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omments4.xml" ContentType="application/vnd.openxmlformats-officedocument.spreadsheetml.comments+xml"/>
  <Override PartName="/xl/drawings/drawing2.xml" ContentType="application/vnd.openxmlformats-officedocument.drawing+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ctrlProps/ctrlProp1.xml" ContentType="application/vnd.ms-excel.controlproperties+xml"/>
  <Override PartName="/xl/comments6.xml" ContentType="application/vnd.openxmlformats-officedocument.spreadsheetml.comments+xml"/>
  <Override PartName="/xl/drawings/drawing5.xml" ContentType="application/vnd.openxmlformats-officedocument.drawing+xml"/>
  <Override PartName="/xl/embeddings/oleObject1.bin" ContentType="application/vnd.openxmlformats-officedocument.oleObject"/>
  <Override PartName="/xl/charts/chart7.xml" ContentType="application/vnd.openxmlformats-officedocument.drawingml.chart+xml"/>
  <Override PartName="/xl/drawings/drawing6.xml" ContentType="application/vnd.openxmlformats-officedocument.drawing+xml"/>
  <Override PartName="/xl/embeddings/oleObject2.bin" ContentType="application/vnd.openxmlformats-officedocument.oleObject"/>
  <Override PartName="/xl/charts/chart8.xml" ContentType="application/vnd.openxmlformats-officedocument.drawingml.chart+xml"/>
  <Override PartName="/xl/drawings/drawing7.xml" ContentType="application/vnd.openxmlformats-officedocument.drawing+xml"/>
  <Override PartName="/xl/embeddings/oleObject3.bin" ContentType="application/vnd.openxmlformats-officedocument.oleObject"/>
  <Override PartName="/xl/charts/chart9.xml" ContentType="application/vnd.openxmlformats-officedocument.drawingml.chart+xml"/>
  <Override PartName="/xl/drawings/drawing8.xml" ContentType="application/vnd.openxmlformats-officedocument.drawing+xml"/>
  <Override PartName="/xl/ctrlProps/ctrlProp2.xml" ContentType="application/vnd.ms-excel.controlproperties+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252FD8E3-2040-40DA-96C5-280C6492711F}" xr6:coauthVersionLast="47" xr6:coauthVersionMax="47" xr10:uidLastSave="{00000000-0000-0000-0000-000000000000}"/>
  <bookViews>
    <workbookView xWindow="-120" yWindow="-120" windowWidth="38640" windowHeight="15720" tabRatio="925" firstSheet="5" activeTab="6"/>
  </bookViews>
  <sheets>
    <sheet name="form A info" sheetId="1" r:id="rId1"/>
    <sheet name="1998 Expense Detail" sheetId="2" r:id="rId2"/>
    <sheet name="Updated Final List" sheetId="3" r:id="rId3"/>
    <sheet name="Total Baseline" sheetId="4" r:id="rId4"/>
    <sheet name="general info" sheetId="5" r:id="rId5"/>
    <sheet name="Electricity Exposure" sheetId="6" r:id="rId6"/>
    <sheet name="Volumetric Exposure" sheetId="7" r:id="rId7"/>
    <sheet name="commodity information" sheetId="8" r:id="rId8"/>
    <sheet name="Wholesale Baseline" sheetId="9" r:id="rId9"/>
    <sheet name="EAM Curves" sheetId="10" r:id="rId10"/>
    <sheet name="wholesale services" sheetId="11" r:id="rId11"/>
    <sheet name="Dereg Option" sheetId="12" r:id="rId12"/>
    <sheet name="Dereg Option 2" sheetId="13" r:id="rId13"/>
    <sheet name="unwinds" sheetId="14" r:id="rId14"/>
    <sheet name="charts" sheetId="15" r:id="rId15"/>
    <sheet name="account mgt" sheetId="16" r:id="rId16"/>
    <sheet name="non-cash charges" sheetId="17" r:id="rId17"/>
    <sheet name="power redistribution" sheetId="18" r:id="rId18"/>
    <sheet name="Redistribution Scenarios" sheetId="19" r:id="rId19"/>
    <sheet name="assumptions" sheetId="20" r:id="rId20"/>
    <sheet name="FM Summary" sheetId="21" r:id="rId21"/>
    <sheet name="Financial summ-EES" sheetId="22" r:id="rId22"/>
    <sheet name="Financial summ-SPG" sheetId="23" r:id="rId23"/>
    <sheet name="Financial summ-TFSPs" sheetId="24" r:id="rId24"/>
    <sheet name="RMPM-Whole" sheetId="25" r:id="rId25"/>
    <sheet name="RMPM-Redis" sheetId="26" r:id="rId26"/>
    <sheet name="RMPM-FM" sheetId="27" r:id="rId27"/>
    <sheet name="Breakout" sheetId="28" r:id="rId28"/>
    <sheet name="Re-Whole" sheetId="29" r:id="rId29"/>
    <sheet name="Re-Redis" sheetId="30" r:id="rId30"/>
    <sheet name="Re-FM" sheetId="31" r:id="rId31"/>
    <sheet name="Compare" sheetId="32" r:id="rId32"/>
    <sheet name="Diagram" sheetId="33" r:id="rId33"/>
    <sheet name="Notes" sheetId="34" r:id="rId34"/>
  </sheets>
  <externalReferences>
    <externalReference r:id="rId35"/>
    <externalReference r:id="rId36"/>
    <externalReference r:id="rId37"/>
    <externalReference r:id="rId38"/>
  </externalReferences>
  <definedNames>
    <definedName name="_998_Baseline___Totals_Only">#REF!</definedName>
    <definedName name="Baseline___1998_check_totals">#REF!</definedName>
    <definedName name="Baseline___1998_Electricity">#REF!</definedName>
    <definedName name="Baseline___1998_R_M">#REF!</definedName>
    <definedName name="Baseline___1998_S_B">#REF!</definedName>
    <definedName name="Baseline___Capital">#REF!</definedName>
    <definedName name="Baseline__1998_Water___Sewer">#REF!</definedName>
    <definedName name="Baseline_1998_Gas">#REF!</definedName>
    <definedName name="CAM_Baseline___1998_Actuals">#REF!</definedName>
    <definedName name="CAM_Expenses_and_Sq_ft_analysis">#REF!</definedName>
    <definedName name="Capital___3_year_total">#REF!</definedName>
    <definedName name="Capital_Baseline___97___98_Actuals">#REF!</definedName>
    <definedName name="Central_Plant_Analysis">#REF!</definedName>
    <definedName name="Central_Plant_Baseline___1998_Actuals">#REF!</definedName>
    <definedName name="Non_CAM_Baseline___1998_Actuals">#REF!</definedName>
    <definedName name="Non_CAM_Expenses">#REF!</definedName>
    <definedName name="_xlnm.Print_Area" localSheetId="31">Compare!$B$2:$F$32</definedName>
    <definedName name="_xlnm.Print_Area" localSheetId="11">'Dereg Option'!$H$2:$L$34</definedName>
    <definedName name="_xlnm.Print_Area" localSheetId="12">'Dereg Option 2'!$H$1:$L$34</definedName>
    <definedName name="_xlnm.Print_Area" localSheetId="21">'Financial summ-EES'!$A$3:$M$54</definedName>
    <definedName name="_xlnm.Print_Area" localSheetId="22">'Financial summ-SPG'!$A$1:$N$47</definedName>
    <definedName name="_xlnm.Print_Area" localSheetId="0">'form A info'!$A$5:$AK$265</definedName>
    <definedName name="_xlnm.Print_Area" localSheetId="30">'Re-FM'!$A$1:$I$78</definedName>
    <definedName name="_xlnm.Print_Area" localSheetId="29">'Re-Redis'!$A$1:$I$78</definedName>
    <definedName name="_xlnm.Print_Area" localSheetId="28">'Re-Whole'!$A$1:$I$78</definedName>
    <definedName name="_xlnm.Print_Area" localSheetId="3">'Total Baseline'!$A$1:$G$57</definedName>
    <definedName name="_xlnm.Print_Area" localSheetId="13">unwinds!$1:$1048576</definedName>
    <definedName name="_xlnm.Print_Area" localSheetId="10">'wholesale services'!$A$100:$M$130</definedName>
    <definedName name="_xlnm.Print_Titles" localSheetId="1">'1998 Expense Detail'!$1:$1</definedName>
    <definedName name="_xlnm.Print_Titles" localSheetId="0">'form A info'!$5:$5</definedName>
    <definedName name="Redistribution_Data_1999">#REF!</definedName>
    <definedName name="Resistribution_Baseline___1998_Actuals">#REF!</definedName>
    <definedName name="solver_adj" localSheetId="7" hidden="1">'commodity information'!$D$35</definedName>
    <definedName name="solver_adj" localSheetId="17" hidden="1">'power redistribution'!#REF!</definedName>
    <definedName name="solver_cvg" localSheetId="7" hidden="1">0.001</definedName>
    <definedName name="solver_cvg" localSheetId="17" hidden="1">0.001</definedName>
    <definedName name="solver_drv" localSheetId="7" hidden="1">1</definedName>
    <definedName name="solver_drv" localSheetId="17" hidden="1">1</definedName>
    <definedName name="solver_est" localSheetId="7" hidden="1">1</definedName>
    <definedName name="solver_est" localSheetId="17" hidden="1">1</definedName>
    <definedName name="solver_itr" localSheetId="7" hidden="1">100</definedName>
    <definedName name="solver_itr" localSheetId="17" hidden="1">100</definedName>
    <definedName name="solver_lhs1" localSheetId="7" hidden="1">'commodity information'!$D$35</definedName>
    <definedName name="solver_lhs1" localSheetId="17" hidden="1">'power redistribution'!#REF!</definedName>
    <definedName name="solver_lin" localSheetId="7" hidden="1">2</definedName>
    <definedName name="solver_lin" localSheetId="17" hidden="1">2</definedName>
    <definedName name="solver_neg" localSheetId="7" hidden="1">2</definedName>
    <definedName name="solver_neg" localSheetId="17" hidden="1">2</definedName>
    <definedName name="solver_num" localSheetId="7" hidden="1">1</definedName>
    <definedName name="solver_num" localSheetId="17" hidden="1">1</definedName>
    <definedName name="solver_nwt" localSheetId="7" hidden="1">1</definedName>
    <definedName name="solver_nwt" localSheetId="17" hidden="1">1</definedName>
    <definedName name="solver_opt" localSheetId="7" hidden="1">'commodity information'!$N$35</definedName>
    <definedName name="solver_opt" localSheetId="17" hidden="1">'power redistribution'!$D$83</definedName>
    <definedName name="solver_pre" localSheetId="7" hidden="1">0.000001</definedName>
    <definedName name="solver_pre" localSheetId="17" hidden="1">0.000001</definedName>
    <definedName name="solver_rel1" localSheetId="7" hidden="1">3</definedName>
    <definedName name="solver_rel1" localSheetId="17" hidden="1">3</definedName>
    <definedName name="solver_rhs1" localSheetId="7" hidden="1">0</definedName>
    <definedName name="solver_rhs1" localSheetId="17" hidden="1">0</definedName>
    <definedName name="solver_scl" localSheetId="7" hidden="1">2</definedName>
    <definedName name="solver_scl" localSheetId="17" hidden="1">2</definedName>
    <definedName name="solver_sho" localSheetId="7" hidden="1">2</definedName>
    <definedName name="solver_sho" localSheetId="17" hidden="1">2</definedName>
    <definedName name="solver_tim" localSheetId="7" hidden="1">100</definedName>
    <definedName name="solver_tim" localSheetId="17" hidden="1">100</definedName>
    <definedName name="solver_tol" localSheetId="7" hidden="1">0.05</definedName>
    <definedName name="solver_tol" localSheetId="17" hidden="1">0.05</definedName>
    <definedName name="solver_typ" localSheetId="7" hidden="1">3</definedName>
    <definedName name="solver_typ" localSheetId="17" hidden="1">3</definedName>
    <definedName name="solver_val" localSheetId="7" hidden="1">9.71</definedName>
    <definedName name="solver_val" localSheetId="17" hidden="1">75578175</definedName>
    <definedName name="The_big_1998_query" localSheetId="1">'1998 Expense Detail'!$A$1:$AE$251</definedName>
    <definedName name="The_big_1998_query">#REF!</definedName>
    <definedName name="Water_and_Sewer_Analysis_1998">#REF!</definedName>
  </definedNames>
  <calcPr calcId="0" calcMode="manual" fullCalcOnLoad="1" iterate="1"/>
</workbook>
</file>

<file path=xl/calcChain.xml><?xml version="1.0" encoding="utf-8"?>
<calcChain xmlns="http://schemas.openxmlformats.org/spreadsheetml/2006/main">
  <c r="C2" i="2" l="1"/>
  <c r="AG2" i="2"/>
  <c r="AG3" i="2"/>
  <c r="C4" i="2"/>
  <c r="AG4" i="2"/>
  <c r="C5" i="2"/>
  <c r="AG5" i="2"/>
  <c r="C6" i="2"/>
  <c r="AG6" i="2"/>
  <c r="C7" i="2"/>
  <c r="AG7" i="2"/>
  <c r="C8" i="2"/>
  <c r="AG8" i="2"/>
  <c r="C9" i="2"/>
  <c r="AG9" i="2"/>
  <c r="C10" i="2"/>
  <c r="AG10" i="2"/>
  <c r="C11" i="2"/>
  <c r="AG11" i="2"/>
  <c r="C12" i="2"/>
  <c r="AG12" i="2"/>
  <c r="C13" i="2"/>
  <c r="AG13" i="2"/>
  <c r="C14" i="2"/>
  <c r="AG14" i="2"/>
  <c r="C15" i="2"/>
  <c r="AG15" i="2"/>
  <c r="C16" i="2"/>
  <c r="AG16" i="2"/>
  <c r="C17" i="2"/>
  <c r="AG17" i="2"/>
  <c r="C18" i="2"/>
  <c r="AG18" i="2"/>
  <c r="C19" i="2"/>
  <c r="AG19" i="2"/>
  <c r="C20" i="2"/>
  <c r="AG20" i="2"/>
  <c r="C21" i="2"/>
  <c r="AG21" i="2"/>
  <c r="C22" i="2"/>
  <c r="AG22" i="2"/>
  <c r="C23" i="2"/>
  <c r="AG23" i="2"/>
  <c r="C24" i="2"/>
  <c r="AG24" i="2"/>
  <c r="C25" i="2"/>
  <c r="AG25" i="2"/>
  <c r="C26" i="2"/>
  <c r="AG26" i="2"/>
  <c r="C27" i="2"/>
  <c r="AG27" i="2"/>
  <c r="C28" i="2"/>
  <c r="AG28" i="2"/>
  <c r="C29" i="2"/>
  <c r="AG29" i="2"/>
  <c r="C30" i="2"/>
  <c r="AG30" i="2"/>
  <c r="C31" i="2"/>
  <c r="AG31" i="2"/>
  <c r="C32" i="2"/>
  <c r="AG32" i="2"/>
  <c r="C33" i="2"/>
  <c r="AG33" i="2"/>
  <c r="C34" i="2"/>
  <c r="AG34" i="2"/>
  <c r="C35" i="2"/>
  <c r="AG35" i="2"/>
  <c r="C36" i="2"/>
  <c r="AG36" i="2"/>
  <c r="C37" i="2"/>
  <c r="AG37" i="2"/>
  <c r="C38" i="2"/>
  <c r="AG38" i="2"/>
  <c r="C39" i="2"/>
  <c r="AG39" i="2"/>
  <c r="C40" i="2"/>
  <c r="AG40" i="2"/>
  <c r="C41" i="2"/>
  <c r="AG41" i="2"/>
  <c r="C42" i="2"/>
  <c r="AG42" i="2"/>
  <c r="C43" i="2"/>
  <c r="AG43" i="2"/>
  <c r="C44" i="2"/>
  <c r="AG44" i="2"/>
  <c r="C45" i="2"/>
  <c r="AG45" i="2"/>
  <c r="C46" i="2"/>
  <c r="AG46" i="2"/>
  <c r="C47" i="2"/>
  <c r="AG47" i="2"/>
  <c r="C48" i="2"/>
  <c r="AG48" i="2"/>
  <c r="C49" i="2"/>
  <c r="AG49" i="2"/>
  <c r="C50" i="2"/>
  <c r="AG50" i="2"/>
  <c r="C51" i="2"/>
  <c r="AG51" i="2"/>
  <c r="C52" i="2"/>
  <c r="AG52" i="2"/>
  <c r="C53" i="2"/>
  <c r="AG53" i="2"/>
  <c r="C54" i="2"/>
  <c r="AG54" i="2"/>
  <c r="C55" i="2"/>
  <c r="AG55" i="2"/>
  <c r="C56" i="2"/>
  <c r="AG56" i="2"/>
  <c r="C57" i="2"/>
  <c r="AG57" i="2"/>
  <c r="C58" i="2"/>
  <c r="AG58" i="2"/>
  <c r="C59" i="2"/>
  <c r="AG59" i="2"/>
  <c r="C60" i="2"/>
  <c r="AG60" i="2"/>
  <c r="C61" i="2"/>
  <c r="AG61" i="2"/>
  <c r="C62" i="2"/>
  <c r="AG62" i="2"/>
  <c r="C63" i="2"/>
  <c r="AG63" i="2"/>
  <c r="C64" i="2"/>
  <c r="AG64" i="2"/>
  <c r="C65" i="2"/>
  <c r="AG65" i="2"/>
  <c r="C66" i="2"/>
  <c r="AG66" i="2"/>
  <c r="C67" i="2"/>
  <c r="AG67" i="2"/>
  <c r="C68" i="2"/>
  <c r="AG68" i="2"/>
  <c r="C69" i="2"/>
  <c r="AG69" i="2"/>
  <c r="C70" i="2"/>
  <c r="AG70" i="2"/>
  <c r="C71" i="2"/>
  <c r="AG71" i="2"/>
  <c r="C72" i="2"/>
  <c r="AG72" i="2"/>
  <c r="C73" i="2"/>
  <c r="AG73" i="2"/>
  <c r="C74" i="2"/>
  <c r="AG74" i="2"/>
  <c r="C75" i="2"/>
  <c r="AG75" i="2"/>
  <c r="C76" i="2"/>
  <c r="AG76" i="2"/>
  <c r="C77" i="2"/>
  <c r="AG77" i="2"/>
  <c r="C78" i="2"/>
  <c r="AG78" i="2"/>
  <c r="C79" i="2"/>
  <c r="AG79" i="2"/>
  <c r="C80" i="2"/>
  <c r="AG80" i="2"/>
  <c r="C81" i="2"/>
  <c r="AG81" i="2"/>
  <c r="C82" i="2"/>
  <c r="AG82" i="2"/>
  <c r="C83" i="2"/>
  <c r="AG83" i="2"/>
  <c r="C84" i="2"/>
  <c r="AG84" i="2"/>
  <c r="C85" i="2"/>
  <c r="AG85" i="2"/>
  <c r="C86" i="2"/>
  <c r="AG86" i="2"/>
  <c r="C87" i="2"/>
  <c r="AG87" i="2"/>
  <c r="C88" i="2"/>
  <c r="AG88" i="2"/>
  <c r="C89" i="2"/>
  <c r="AG89" i="2"/>
  <c r="C90" i="2"/>
  <c r="AG90" i="2"/>
  <c r="C91" i="2"/>
  <c r="AG91" i="2"/>
  <c r="C92" i="2"/>
  <c r="AG92" i="2"/>
  <c r="C93" i="2"/>
  <c r="AG93" i="2"/>
  <c r="C94" i="2"/>
  <c r="AG94" i="2"/>
  <c r="C95" i="2"/>
  <c r="AG95" i="2"/>
  <c r="C96" i="2"/>
  <c r="AG96" i="2"/>
  <c r="C97" i="2"/>
  <c r="AG97" i="2"/>
  <c r="C98" i="2"/>
  <c r="AG98" i="2"/>
  <c r="C99" i="2"/>
  <c r="AG99" i="2"/>
  <c r="C100" i="2"/>
  <c r="AG100" i="2"/>
  <c r="C101" i="2"/>
  <c r="AG101" i="2"/>
  <c r="C102" i="2"/>
  <c r="AG102" i="2"/>
  <c r="C103" i="2"/>
  <c r="AG103" i="2"/>
  <c r="C104" i="2"/>
  <c r="AG104" i="2"/>
  <c r="C105" i="2"/>
  <c r="AG105" i="2"/>
  <c r="C106" i="2"/>
  <c r="AG106" i="2"/>
  <c r="C107" i="2"/>
  <c r="AG107" i="2"/>
  <c r="C108" i="2"/>
  <c r="AG108" i="2"/>
  <c r="C109" i="2"/>
  <c r="AG109" i="2"/>
  <c r="C110" i="2"/>
  <c r="AG110" i="2"/>
  <c r="C111" i="2"/>
  <c r="AG111" i="2"/>
  <c r="C112" i="2"/>
  <c r="AG112" i="2"/>
  <c r="C113" i="2"/>
  <c r="AG113" i="2"/>
  <c r="C114" i="2"/>
  <c r="AG114" i="2"/>
  <c r="C115" i="2"/>
  <c r="AG115" i="2"/>
  <c r="C116" i="2"/>
  <c r="AG116" i="2"/>
  <c r="C117" i="2"/>
  <c r="AG117" i="2"/>
  <c r="C118" i="2"/>
  <c r="AG118" i="2"/>
  <c r="C119" i="2"/>
  <c r="AG119" i="2"/>
  <c r="C120" i="2"/>
  <c r="AG120" i="2"/>
  <c r="C121" i="2"/>
  <c r="AG121" i="2"/>
  <c r="C122" i="2"/>
  <c r="AG122" i="2"/>
  <c r="C123" i="2"/>
  <c r="AG123" i="2"/>
  <c r="C124" i="2"/>
  <c r="AG124" i="2"/>
  <c r="C125" i="2"/>
  <c r="AG125" i="2"/>
  <c r="C126" i="2"/>
  <c r="AG126" i="2"/>
  <c r="C127" i="2"/>
  <c r="AG127" i="2"/>
  <c r="C128" i="2"/>
  <c r="AG128" i="2"/>
  <c r="C129" i="2"/>
  <c r="AG129" i="2"/>
  <c r="C130" i="2"/>
  <c r="AG130" i="2"/>
  <c r="C131" i="2"/>
  <c r="AG131" i="2"/>
  <c r="C132" i="2"/>
  <c r="AG132" i="2"/>
  <c r="C133" i="2"/>
  <c r="AG133" i="2"/>
  <c r="C134" i="2"/>
  <c r="AG134" i="2"/>
  <c r="C135" i="2"/>
  <c r="AG135" i="2"/>
  <c r="C136" i="2"/>
  <c r="AG136" i="2"/>
  <c r="C137" i="2"/>
  <c r="AG137" i="2"/>
  <c r="C138" i="2"/>
  <c r="AG138" i="2"/>
  <c r="C139" i="2"/>
  <c r="AG139" i="2"/>
  <c r="C140" i="2"/>
  <c r="AG140" i="2"/>
  <c r="C141" i="2"/>
  <c r="AG141" i="2"/>
  <c r="C142" i="2"/>
  <c r="AG142" i="2"/>
  <c r="C143" i="2"/>
  <c r="AG143" i="2"/>
  <c r="C144" i="2"/>
  <c r="AG144" i="2"/>
  <c r="C145" i="2"/>
  <c r="AG145" i="2"/>
  <c r="C146" i="2"/>
  <c r="AG146" i="2"/>
  <c r="C147" i="2"/>
  <c r="AG147" i="2"/>
  <c r="C148" i="2"/>
  <c r="AG148" i="2"/>
  <c r="C149" i="2"/>
  <c r="AG149" i="2"/>
  <c r="C150" i="2"/>
  <c r="AG150" i="2"/>
  <c r="C151" i="2"/>
  <c r="AG151" i="2"/>
  <c r="C152" i="2"/>
  <c r="AG152" i="2"/>
  <c r="C153" i="2"/>
  <c r="AG153" i="2"/>
  <c r="C154" i="2"/>
  <c r="AG154" i="2"/>
  <c r="C155" i="2"/>
  <c r="AG155" i="2"/>
  <c r="C156" i="2"/>
  <c r="AG156" i="2"/>
  <c r="C157" i="2"/>
  <c r="AG157" i="2"/>
  <c r="C158" i="2"/>
  <c r="AG158" i="2"/>
  <c r="C159" i="2"/>
  <c r="AG159" i="2"/>
  <c r="C160" i="2"/>
  <c r="AG160" i="2"/>
  <c r="C161" i="2"/>
  <c r="AG161" i="2"/>
  <c r="C162" i="2"/>
  <c r="AG162" i="2"/>
  <c r="C163" i="2"/>
  <c r="AG163" i="2"/>
  <c r="C164" i="2"/>
  <c r="AG164" i="2"/>
  <c r="C165" i="2"/>
  <c r="AG165" i="2"/>
  <c r="C166" i="2"/>
  <c r="AG166" i="2"/>
  <c r="C167" i="2"/>
  <c r="AG167" i="2"/>
  <c r="C168" i="2"/>
  <c r="AG168" i="2"/>
  <c r="C169" i="2"/>
  <c r="AG169" i="2"/>
  <c r="C170" i="2"/>
  <c r="AG170" i="2"/>
  <c r="C171" i="2"/>
  <c r="AG171" i="2"/>
  <c r="C172" i="2"/>
  <c r="AG172" i="2"/>
  <c r="C173" i="2"/>
  <c r="AG173" i="2"/>
  <c r="C174" i="2"/>
  <c r="AG174" i="2"/>
  <c r="C175" i="2"/>
  <c r="AG175" i="2"/>
  <c r="C176" i="2"/>
  <c r="AG176" i="2"/>
  <c r="C177" i="2"/>
  <c r="AG177" i="2"/>
  <c r="C178" i="2"/>
  <c r="AG178" i="2"/>
  <c r="C179" i="2"/>
  <c r="AG179" i="2"/>
  <c r="C180" i="2"/>
  <c r="AG180" i="2"/>
  <c r="C181" i="2"/>
  <c r="AG181" i="2"/>
  <c r="C182" i="2"/>
  <c r="AG182" i="2"/>
  <c r="C183" i="2"/>
  <c r="AG183" i="2"/>
  <c r="C184" i="2"/>
  <c r="AG184" i="2"/>
  <c r="C185" i="2"/>
  <c r="AG185" i="2"/>
  <c r="C186" i="2"/>
  <c r="AG186" i="2"/>
  <c r="C187" i="2"/>
  <c r="AG187" i="2"/>
  <c r="C188" i="2"/>
  <c r="AG188" i="2"/>
  <c r="C189" i="2"/>
  <c r="AG189" i="2"/>
  <c r="C190" i="2"/>
  <c r="AG190" i="2"/>
  <c r="C191" i="2"/>
  <c r="AG191" i="2"/>
  <c r="C192" i="2"/>
  <c r="AG192" i="2"/>
  <c r="C193" i="2"/>
  <c r="AG193" i="2"/>
  <c r="C194" i="2"/>
  <c r="AG194" i="2"/>
  <c r="C195" i="2"/>
  <c r="AG195" i="2"/>
  <c r="C196" i="2"/>
  <c r="AG196" i="2"/>
  <c r="C197" i="2"/>
  <c r="AG197" i="2"/>
  <c r="C198" i="2"/>
  <c r="AG198" i="2"/>
  <c r="C199" i="2"/>
  <c r="AG199" i="2"/>
  <c r="C200" i="2"/>
  <c r="AG200" i="2"/>
  <c r="C201" i="2"/>
  <c r="AG201" i="2"/>
  <c r="C202" i="2"/>
  <c r="AG202" i="2"/>
  <c r="C203" i="2"/>
  <c r="AG203" i="2"/>
  <c r="C204" i="2"/>
  <c r="AG204" i="2"/>
  <c r="C205" i="2"/>
  <c r="AG205" i="2"/>
  <c r="C206" i="2"/>
  <c r="AG206" i="2"/>
  <c r="C207" i="2"/>
  <c r="AG207" i="2"/>
  <c r="C208" i="2"/>
  <c r="AG208" i="2"/>
  <c r="C209" i="2"/>
  <c r="AG209" i="2"/>
  <c r="C210" i="2"/>
  <c r="AG210" i="2"/>
  <c r="C211" i="2"/>
  <c r="AG211" i="2"/>
  <c r="C212" i="2"/>
  <c r="AG212" i="2"/>
  <c r="C213" i="2"/>
  <c r="AG213" i="2"/>
  <c r="C214" i="2"/>
  <c r="AG214" i="2"/>
  <c r="C215" i="2"/>
  <c r="AG215" i="2"/>
  <c r="C216" i="2"/>
  <c r="AG216" i="2"/>
  <c r="C217" i="2"/>
  <c r="AG217" i="2"/>
  <c r="C218" i="2"/>
  <c r="AG218" i="2"/>
  <c r="C219" i="2"/>
  <c r="AG219" i="2"/>
  <c r="C220" i="2"/>
  <c r="AG220" i="2"/>
  <c r="C221" i="2"/>
  <c r="AG221" i="2"/>
  <c r="C222" i="2"/>
  <c r="AG222" i="2"/>
  <c r="C223" i="2"/>
  <c r="AG223" i="2"/>
  <c r="C224" i="2"/>
  <c r="AG224" i="2"/>
  <c r="C225" i="2"/>
  <c r="AG225" i="2"/>
  <c r="C226" i="2"/>
  <c r="AG226" i="2"/>
  <c r="C227" i="2"/>
  <c r="AG227" i="2"/>
  <c r="C228" i="2"/>
  <c r="AG228" i="2"/>
  <c r="C229" i="2"/>
  <c r="AG229" i="2"/>
  <c r="C230" i="2"/>
  <c r="AG230" i="2"/>
  <c r="C231" i="2"/>
  <c r="AG231" i="2"/>
  <c r="C232" i="2"/>
  <c r="AG232" i="2"/>
  <c r="C233" i="2"/>
  <c r="AG233" i="2"/>
  <c r="C234" i="2"/>
  <c r="AG234" i="2"/>
  <c r="C235" i="2"/>
  <c r="AG235" i="2"/>
  <c r="C236" i="2"/>
  <c r="AG236" i="2"/>
  <c r="C237" i="2"/>
  <c r="AG237" i="2"/>
  <c r="C238" i="2"/>
  <c r="AG238" i="2"/>
  <c r="C239" i="2"/>
  <c r="AG239" i="2"/>
  <c r="C240" i="2"/>
  <c r="AG240" i="2"/>
  <c r="C241" i="2"/>
  <c r="AG241" i="2"/>
  <c r="C242" i="2"/>
  <c r="AG242" i="2"/>
  <c r="C243" i="2"/>
  <c r="AG243" i="2"/>
  <c r="C244" i="2"/>
  <c r="AG244" i="2"/>
  <c r="C245" i="2"/>
  <c r="AG245" i="2"/>
  <c r="C246" i="2"/>
  <c r="AG246" i="2"/>
  <c r="C247" i="2"/>
  <c r="AG247" i="2"/>
  <c r="C248" i="2"/>
  <c r="AG248" i="2"/>
  <c r="C249" i="2"/>
  <c r="AG249" i="2"/>
  <c r="C250" i="2"/>
  <c r="AG250" i="2"/>
  <c r="C251" i="2"/>
  <c r="AG251" i="2"/>
  <c r="D252" i="2"/>
  <c r="E252" i="2"/>
  <c r="F252" i="2"/>
  <c r="G252" i="2"/>
  <c r="I252" i="2"/>
  <c r="J252" i="2"/>
  <c r="K252" i="2"/>
  <c r="L252" i="2"/>
  <c r="N252" i="2"/>
  <c r="O252" i="2"/>
  <c r="P252" i="2"/>
  <c r="Q252" i="2"/>
  <c r="S252" i="2"/>
  <c r="T252" i="2"/>
  <c r="U252" i="2"/>
  <c r="V252" i="2"/>
  <c r="X252" i="2"/>
  <c r="Y252" i="2"/>
  <c r="Z252" i="2"/>
  <c r="AA252" i="2"/>
  <c r="AC252" i="2"/>
  <c r="AD252" i="2"/>
  <c r="AE252" i="2"/>
  <c r="AG252" i="2"/>
  <c r="D253" i="2"/>
  <c r="E253" i="2"/>
  <c r="F253" i="2"/>
  <c r="G253" i="2"/>
  <c r="I253" i="2"/>
  <c r="J253" i="2"/>
  <c r="K253" i="2"/>
  <c r="L253" i="2"/>
  <c r="N253" i="2"/>
  <c r="O253" i="2"/>
  <c r="P253" i="2"/>
  <c r="Q253" i="2"/>
  <c r="S253" i="2"/>
  <c r="T253" i="2"/>
  <c r="U253" i="2"/>
  <c r="V253" i="2"/>
  <c r="X253" i="2"/>
  <c r="Y253" i="2"/>
  <c r="Z253" i="2"/>
  <c r="AA253" i="2"/>
  <c r="AC253" i="2"/>
  <c r="AD253" i="2"/>
  <c r="AE253" i="2"/>
  <c r="AG253" i="2"/>
  <c r="G254" i="2"/>
  <c r="L254" i="2"/>
  <c r="Q254" i="2"/>
  <c r="V254" i="2"/>
  <c r="AA254" i="2"/>
  <c r="AE254" i="2"/>
  <c r="AG254" i="2"/>
  <c r="G255" i="2"/>
  <c r="L255" i="2"/>
  <c r="Q255" i="2"/>
  <c r="V255" i="2"/>
  <c r="AA255" i="2"/>
  <c r="AE255" i="2"/>
  <c r="AG255" i="2"/>
  <c r="B9" i="16"/>
  <c r="C9" i="16"/>
  <c r="C19" i="16"/>
  <c r="D19" i="16"/>
  <c r="E19" i="16"/>
  <c r="F19" i="16"/>
  <c r="G19" i="16"/>
  <c r="H19" i="16"/>
  <c r="I19" i="16"/>
  <c r="J19" i="16"/>
  <c r="K19" i="16"/>
  <c r="L19" i="16"/>
  <c r="C20" i="16"/>
  <c r="D20" i="16"/>
  <c r="E20" i="16"/>
  <c r="F20" i="16"/>
  <c r="G20" i="16"/>
  <c r="H20" i="16"/>
  <c r="I20" i="16"/>
  <c r="J20" i="16"/>
  <c r="K20" i="16"/>
  <c r="L20" i="16"/>
  <c r="C21" i="16"/>
  <c r="D21" i="16"/>
  <c r="E21" i="16"/>
  <c r="F21" i="16"/>
  <c r="G21" i="16"/>
  <c r="H21" i="16"/>
  <c r="I21" i="16"/>
  <c r="J21" i="16"/>
  <c r="K21" i="16"/>
  <c r="L21" i="16"/>
  <c r="C23" i="16"/>
  <c r="D23" i="16"/>
  <c r="E23" i="16"/>
  <c r="F23" i="16"/>
  <c r="G23" i="16"/>
  <c r="H23" i="16"/>
  <c r="I23" i="16"/>
  <c r="J23" i="16"/>
  <c r="K23" i="16"/>
  <c r="L23" i="16"/>
  <c r="C25" i="16"/>
  <c r="C5" i="20"/>
  <c r="C6" i="20"/>
  <c r="C7" i="20"/>
  <c r="C8" i="20"/>
  <c r="C9" i="20"/>
  <c r="C10" i="20"/>
  <c r="C12" i="20"/>
  <c r="C13" i="20"/>
  <c r="C15" i="20"/>
  <c r="C17" i="20"/>
  <c r="C18" i="20"/>
  <c r="C19" i="20"/>
  <c r="C24" i="20"/>
  <c r="C25" i="20"/>
  <c r="C26" i="20"/>
  <c r="C27" i="20"/>
  <c r="C29" i="20"/>
  <c r="C34" i="20"/>
  <c r="C35" i="20"/>
  <c r="C36" i="20"/>
  <c r="C37" i="20"/>
  <c r="C39" i="20"/>
  <c r="C2" i="28"/>
  <c r="G2" i="28"/>
  <c r="C3" i="28"/>
  <c r="G3" i="28"/>
  <c r="C4" i="28"/>
  <c r="G4" i="28"/>
  <c r="C5" i="28"/>
  <c r="G5" i="28"/>
  <c r="G6" i="28"/>
  <c r="G7" i="28"/>
  <c r="G8" i="28"/>
  <c r="G9" i="28"/>
  <c r="C14" i="28"/>
  <c r="C15" i="28"/>
  <c r="D15" i="28"/>
  <c r="E15" i="28"/>
  <c r="F15" i="28"/>
  <c r="G15" i="28"/>
  <c r="H15" i="28"/>
  <c r="I15" i="28"/>
  <c r="J15" i="28"/>
  <c r="K15" i="28"/>
  <c r="L15" i="28"/>
  <c r="B16" i="28"/>
  <c r="C16" i="28"/>
  <c r="D16" i="28"/>
  <c r="E16" i="28"/>
  <c r="F16" i="28"/>
  <c r="G16" i="28"/>
  <c r="H16" i="28"/>
  <c r="I16" i="28"/>
  <c r="J16" i="28"/>
  <c r="K16" i="28"/>
  <c r="L16" i="28"/>
  <c r="C17" i="28"/>
  <c r="D17" i="28"/>
  <c r="E17" i="28"/>
  <c r="F17" i="28"/>
  <c r="G17" i="28"/>
  <c r="H17" i="28"/>
  <c r="I17" i="28"/>
  <c r="J17" i="28"/>
  <c r="K17" i="28"/>
  <c r="L17" i="28"/>
  <c r="C18" i="28"/>
  <c r="D18" i="28"/>
  <c r="E18" i="28"/>
  <c r="F18" i="28"/>
  <c r="G18" i="28"/>
  <c r="H18" i="28"/>
  <c r="I18" i="28"/>
  <c r="J18" i="28"/>
  <c r="K18" i="28"/>
  <c r="L18" i="28"/>
  <c r="C19" i="28"/>
  <c r="D19" i="28"/>
  <c r="E19" i="28"/>
  <c r="F19" i="28"/>
  <c r="G19" i="28"/>
  <c r="H19" i="28"/>
  <c r="I19" i="28"/>
  <c r="J19" i="28"/>
  <c r="K19" i="28"/>
  <c r="L19" i="28"/>
  <c r="B20" i="28"/>
  <c r="C20" i="28"/>
  <c r="B21" i="28"/>
  <c r="C21" i="28"/>
  <c r="B22" i="28"/>
  <c r="C25" i="28"/>
  <c r="C26" i="28"/>
  <c r="D26" i="28"/>
  <c r="E26" i="28"/>
  <c r="F26" i="28"/>
  <c r="G26" i="28"/>
  <c r="H26" i="28"/>
  <c r="I26" i="28"/>
  <c r="J26" i="28"/>
  <c r="K26" i="28"/>
  <c r="L26" i="28"/>
  <c r="B27" i="28"/>
  <c r="C27" i="28"/>
  <c r="D27" i="28"/>
  <c r="E27" i="28"/>
  <c r="F27" i="28"/>
  <c r="G27" i="28"/>
  <c r="H27" i="28"/>
  <c r="I27" i="28"/>
  <c r="J27" i="28"/>
  <c r="K27" i="28"/>
  <c r="L27" i="28"/>
  <c r="C28" i="28"/>
  <c r="D28" i="28"/>
  <c r="E28" i="28"/>
  <c r="F28" i="28"/>
  <c r="G28" i="28"/>
  <c r="H28" i="28"/>
  <c r="I28" i="28"/>
  <c r="J28" i="28"/>
  <c r="K28" i="28"/>
  <c r="L28" i="28"/>
  <c r="C29" i="28"/>
  <c r="D29" i="28"/>
  <c r="E29" i="28"/>
  <c r="F29" i="28"/>
  <c r="G29" i="28"/>
  <c r="H29" i="28"/>
  <c r="I29" i="28"/>
  <c r="J29" i="28"/>
  <c r="K29" i="28"/>
  <c r="L29" i="28"/>
  <c r="C30" i="28"/>
  <c r="D30" i="28"/>
  <c r="E30" i="28"/>
  <c r="F30" i="28"/>
  <c r="G30" i="28"/>
  <c r="H30" i="28"/>
  <c r="I30" i="28"/>
  <c r="J30" i="28"/>
  <c r="K30" i="28"/>
  <c r="L30" i="28"/>
  <c r="B31" i="28"/>
  <c r="C31" i="28"/>
  <c r="B32" i="28"/>
  <c r="C32" i="28"/>
  <c r="B33" i="28"/>
  <c r="C36" i="28"/>
  <c r="C37" i="28"/>
  <c r="D37" i="28"/>
  <c r="E37" i="28"/>
  <c r="F37" i="28"/>
  <c r="G37" i="28"/>
  <c r="H37" i="28"/>
  <c r="I37" i="28"/>
  <c r="J37" i="28"/>
  <c r="K37" i="28"/>
  <c r="L37" i="28"/>
  <c r="B38" i="28"/>
  <c r="C38" i="28"/>
  <c r="D38" i="28"/>
  <c r="E38" i="28"/>
  <c r="F38" i="28"/>
  <c r="G38" i="28"/>
  <c r="H38" i="28"/>
  <c r="I38" i="28"/>
  <c r="J38" i="28"/>
  <c r="K38" i="28"/>
  <c r="L38" i="28"/>
  <c r="C39" i="28"/>
  <c r="D39" i="28"/>
  <c r="E39" i="28"/>
  <c r="F39" i="28"/>
  <c r="G39" i="28"/>
  <c r="H39" i="28"/>
  <c r="I39" i="28"/>
  <c r="J39" i="28"/>
  <c r="K39" i="28"/>
  <c r="L39" i="28"/>
  <c r="C40" i="28"/>
  <c r="D40" i="28"/>
  <c r="E40" i="28"/>
  <c r="F40" i="28"/>
  <c r="G40" i="28"/>
  <c r="H40" i="28"/>
  <c r="I40" i="28"/>
  <c r="J40" i="28"/>
  <c r="K40" i="28"/>
  <c r="L40" i="28"/>
  <c r="C41" i="28"/>
  <c r="D41" i="28"/>
  <c r="E41" i="28"/>
  <c r="F41" i="28"/>
  <c r="G41" i="28"/>
  <c r="H41" i="28"/>
  <c r="I41" i="28"/>
  <c r="J41" i="28"/>
  <c r="K41" i="28"/>
  <c r="L41" i="28"/>
  <c r="B42" i="28"/>
  <c r="C42" i="28"/>
  <c r="B43" i="28"/>
  <c r="C43" i="28"/>
  <c r="B44" i="28"/>
  <c r="C47" i="28"/>
  <c r="C48" i="28"/>
  <c r="D48" i="28"/>
  <c r="E48" i="28"/>
  <c r="F48" i="28"/>
  <c r="G48" i="28"/>
  <c r="H48" i="28"/>
  <c r="I48" i="28"/>
  <c r="J48" i="28"/>
  <c r="K48" i="28"/>
  <c r="L48" i="28"/>
  <c r="B49" i="28"/>
  <c r="C49" i="28"/>
  <c r="D49" i="28"/>
  <c r="E49" i="28"/>
  <c r="F49" i="28"/>
  <c r="G49" i="28"/>
  <c r="H49" i="28"/>
  <c r="I49" i="28"/>
  <c r="J49" i="28"/>
  <c r="K49" i="28"/>
  <c r="L49" i="28"/>
  <c r="C50" i="28"/>
  <c r="D50" i="28"/>
  <c r="E50" i="28"/>
  <c r="F50" i="28"/>
  <c r="G50" i="28"/>
  <c r="H50" i="28"/>
  <c r="I50" i="28"/>
  <c r="J50" i="28"/>
  <c r="K50" i="28"/>
  <c r="L50" i="28"/>
  <c r="C51" i="28"/>
  <c r="D51" i="28"/>
  <c r="E51" i="28"/>
  <c r="F51" i="28"/>
  <c r="G51" i="28"/>
  <c r="H51" i="28"/>
  <c r="I51" i="28"/>
  <c r="J51" i="28"/>
  <c r="K51" i="28"/>
  <c r="L51" i="28"/>
  <c r="B52" i="28"/>
  <c r="C52" i="28"/>
  <c r="D52" i="28"/>
  <c r="E52" i="28"/>
  <c r="F52" i="28"/>
  <c r="G52" i="28"/>
  <c r="H52" i="28"/>
  <c r="I52" i="28"/>
  <c r="J52" i="28"/>
  <c r="K52" i="28"/>
  <c r="L52" i="28"/>
  <c r="B53" i="28"/>
  <c r="C53" i="28"/>
  <c r="B54" i="28"/>
  <c r="C54" i="28"/>
  <c r="B55" i="28"/>
  <c r="C58" i="28"/>
  <c r="C59" i="28"/>
  <c r="D59" i="28"/>
  <c r="E59" i="28"/>
  <c r="F59" i="28"/>
  <c r="G59" i="28"/>
  <c r="H59" i="28"/>
  <c r="I59" i="28"/>
  <c r="J59" i="28"/>
  <c r="K59" i="28"/>
  <c r="L59" i="28"/>
  <c r="B60" i="28"/>
  <c r="C60" i="28"/>
  <c r="D60" i="28"/>
  <c r="E60" i="28"/>
  <c r="F60" i="28"/>
  <c r="G60" i="28"/>
  <c r="H60" i="28"/>
  <c r="I60" i="28"/>
  <c r="J60" i="28"/>
  <c r="K60" i="28"/>
  <c r="L60" i="28"/>
  <c r="C61" i="28"/>
  <c r="D61" i="28"/>
  <c r="E61" i="28"/>
  <c r="F61" i="28"/>
  <c r="G61" i="28"/>
  <c r="H61" i="28"/>
  <c r="I61" i="28"/>
  <c r="J61" i="28"/>
  <c r="K61" i="28"/>
  <c r="L61" i="28"/>
  <c r="C62" i="28"/>
  <c r="D62" i="28"/>
  <c r="E62" i="28"/>
  <c r="F62" i="28"/>
  <c r="G62" i="28"/>
  <c r="H62" i="28"/>
  <c r="I62" i="28"/>
  <c r="J62" i="28"/>
  <c r="K62" i="28"/>
  <c r="L62" i="28"/>
  <c r="C63" i="28"/>
  <c r="D63" i="28"/>
  <c r="E63" i="28"/>
  <c r="F63" i="28"/>
  <c r="G63" i="28"/>
  <c r="H63" i="28"/>
  <c r="I63" i="28"/>
  <c r="J63" i="28"/>
  <c r="K63" i="28"/>
  <c r="L63" i="28"/>
  <c r="B64" i="28"/>
  <c r="C64" i="28"/>
  <c r="B65" i="28"/>
  <c r="C65" i="28"/>
  <c r="B66" i="28"/>
  <c r="C69" i="28"/>
  <c r="C70" i="28"/>
  <c r="D70" i="28"/>
  <c r="E70" i="28"/>
  <c r="F70" i="28"/>
  <c r="G70" i="28"/>
  <c r="H70" i="28"/>
  <c r="I70" i="28"/>
  <c r="J70" i="28"/>
  <c r="K70" i="28"/>
  <c r="L70" i="28"/>
  <c r="B71" i="28"/>
  <c r="C71" i="28"/>
  <c r="D71" i="28"/>
  <c r="E71" i="28"/>
  <c r="F71" i="28"/>
  <c r="G71" i="28"/>
  <c r="H71" i="28"/>
  <c r="I71" i="28"/>
  <c r="J71" i="28"/>
  <c r="K71" i="28"/>
  <c r="L71" i="28"/>
  <c r="C72" i="28"/>
  <c r="D72" i="28"/>
  <c r="E72" i="28"/>
  <c r="F72" i="28"/>
  <c r="G72" i="28"/>
  <c r="H72" i="28"/>
  <c r="I72" i="28"/>
  <c r="J72" i="28"/>
  <c r="K72" i="28"/>
  <c r="L72" i="28"/>
  <c r="C73" i="28"/>
  <c r="D73" i="28"/>
  <c r="E73" i="28"/>
  <c r="F73" i="28"/>
  <c r="G73" i="28"/>
  <c r="H73" i="28"/>
  <c r="I73" i="28"/>
  <c r="J73" i="28"/>
  <c r="K73" i="28"/>
  <c r="L73" i="28"/>
  <c r="C74" i="28"/>
  <c r="D74" i="28"/>
  <c r="E74" i="28"/>
  <c r="F74" i="28"/>
  <c r="G74" i="28"/>
  <c r="H74" i="28"/>
  <c r="I74" i="28"/>
  <c r="J74" i="28"/>
  <c r="K74" i="28"/>
  <c r="L74" i="28"/>
  <c r="B75" i="28"/>
  <c r="C75" i="28"/>
  <c r="B76" i="28"/>
  <c r="C76" i="28"/>
  <c r="B77" i="28"/>
  <c r="C80" i="28"/>
  <c r="C81" i="28"/>
  <c r="D81" i="28"/>
  <c r="E81" i="28"/>
  <c r="F81" i="28"/>
  <c r="G81" i="28"/>
  <c r="H81" i="28"/>
  <c r="I81" i="28"/>
  <c r="J81" i="28"/>
  <c r="K81" i="28"/>
  <c r="L81" i="28"/>
  <c r="B82" i="28"/>
  <c r="C82" i="28"/>
  <c r="D82" i="28"/>
  <c r="E82" i="28"/>
  <c r="F82" i="28"/>
  <c r="G82" i="28"/>
  <c r="H82" i="28"/>
  <c r="I82" i="28"/>
  <c r="J82" i="28"/>
  <c r="K82" i="28"/>
  <c r="L82" i="28"/>
  <c r="C83" i="28"/>
  <c r="D83" i="28"/>
  <c r="E83" i="28"/>
  <c r="F83" i="28"/>
  <c r="G83" i="28"/>
  <c r="H83" i="28"/>
  <c r="I83" i="28"/>
  <c r="J83" i="28"/>
  <c r="K83" i="28"/>
  <c r="L83" i="28"/>
  <c r="C84" i="28"/>
  <c r="D84" i="28"/>
  <c r="E84" i="28"/>
  <c r="F84" i="28"/>
  <c r="G84" i="28"/>
  <c r="H84" i="28"/>
  <c r="I84" i="28"/>
  <c r="J84" i="28"/>
  <c r="K84" i="28"/>
  <c r="L84" i="28"/>
  <c r="C85" i="28"/>
  <c r="D85" i="28"/>
  <c r="E85" i="28"/>
  <c r="F85" i="28"/>
  <c r="G85" i="28"/>
  <c r="H85" i="28"/>
  <c r="I85" i="28"/>
  <c r="J85" i="28"/>
  <c r="K85" i="28"/>
  <c r="L85" i="28"/>
  <c r="B86" i="28"/>
  <c r="C86" i="28"/>
  <c r="B87" i="28"/>
  <c r="C87" i="28"/>
  <c r="B88" i="28"/>
  <c r="B91" i="28"/>
  <c r="C91" i="28"/>
  <c r="D91" i="28"/>
  <c r="E91" i="28"/>
  <c r="F91" i="28"/>
  <c r="G91" i="28"/>
  <c r="H91" i="28"/>
  <c r="I91" i="28"/>
  <c r="J91" i="28"/>
  <c r="K91" i="28"/>
  <c r="L91" i="28"/>
  <c r="C92" i="28"/>
  <c r="D92" i="28"/>
  <c r="E92" i="28"/>
  <c r="F92" i="28"/>
  <c r="G92" i="28"/>
  <c r="H92" i="28"/>
  <c r="I92" i="28"/>
  <c r="J92" i="28"/>
  <c r="K92" i="28"/>
  <c r="L92" i="28"/>
  <c r="B93" i="28"/>
  <c r="C93" i="28"/>
  <c r="C96" i="28"/>
  <c r="D96" i="28"/>
  <c r="D97" i="28"/>
  <c r="E97" i="28"/>
  <c r="F97" i="28"/>
  <c r="G97" i="28"/>
  <c r="H97" i="28"/>
  <c r="I97" i="28"/>
  <c r="J97" i="28"/>
  <c r="K97" i="28"/>
  <c r="L97" i="28"/>
  <c r="C98" i="28"/>
  <c r="D98" i="28"/>
  <c r="E98" i="28"/>
  <c r="F98" i="28"/>
  <c r="G98" i="28"/>
  <c r="H98" i="28"/>
  <c r="I98" i="28"/>
  <c r="J98" i="28"/>
  <c r="K98" i="28"/>
  <c r="L98" i="28"/>
  <c r="B99" i="28"/>
  <c r="C99" i="28"/>
  <c r="C102" i="28"/>
  <c r="D102" i="28"/>
  <c r="E102" i="28"/>
  <c r="F102" i="28"/>
  <c r="G102" i="28"/>
  <c r="H102" i="28"/>
  <c r="I102" i="28"/>
  <c r="J102" i="28"/>
  <c r="K102" i="28"/>
  <c r="L102" i="28"/>
  <c r="C103" i="28"/>
  <c r="D103" i="28"/>
  <c r="E103" i="28"/>
  <c r="F103" i="28"/>
  <c r="G103" i="28"/>
  <c r="H103" i="28"/>
  <c r="I103" i="28"/>
  <c r="J103" i="28"/>
  <c r="K103" i="28"/>
  <c r="L103" i="28"/>
  <c r="B104" i="28"/>
  <c r="C104" i="28"/>
  <c r="C107" i="28"/>
  <c r="D107" i="28"/>
  <c r="E107" i="28"/>
  <c r="F107" i="28"/>
  <c r="G107" i="28"/>
  <c r="H107" i="28"/>
  <c r="I107" i="28"/>
  <c r="J107" i="28"/>
  <c r="K107" i="28"/>
  <c r="L107" i="28"/>
  <c r="C108" i="28"/>
  <c r="D108" i="28"/>
  <c r="E108" i="28"/>
  <c r="F108" i="28"/>
  <c r="G108" i="28"/>
  <c r="H108" i="28"/>
  <c r="I108" i="28"/>
  <c r="J108" i="28"/>
  <c r="K108" i="28"/>
  <c r="L108" i="28"/>
  <c r="B109" i="28"/>
  <c r="C109" i="28"/>
  <c r="C112" i="28"/>
  <c r="D112" i="28"/>
  <c r="E112" i="28"/>
  <c r="F112" i="28"/>
  <c r="G112" i="28"/>
  <c r="H112" i="28"/>
  <c r="I112" i="28"/>
  <c r="J112" i="28"/>
  <c r="K112" i="28"/>
  <c r="L112" i="28"/>
  <c r="C113" i="28"/>
  <c r="D113" i="28"/>
  <c r="E113" i="28"/>
  <c r="F113" i="28"/>
  <c r="G113" i="28"/>
  <c r="H113" i="28"/>
  <c r="I113" i="28"/>
  <c r="J113" i="28"/>
  <c r="K113" i="28"/>
  <c r="L113" i="28"/>
  <c r="B114" i="28"/>
  <c r="C114" i="28"/>
  <c r="B116" i="28"/>
  <c r="C116" i="28"/>
  <c r="D116" i="28"/>
  <c r="E116" i="28"/>
  <c r="F116" i="28"/>
  <c r="G116" i="28"/>
  <c r="H116" i="28"/>
  <c r="I116" i="28"/>
  <c r="J116" i="28"/>
  <c r="K116" i="28"/>
  <c r="L116" i="28"/>
  <c r="B118" i="28"/>
  <c r="C119" i="28"/>
  <c r="D119" i="28"/>
  <c r="E119" i="28"/>
  <c r="F119" i="28"/>
  <c r="G119" i="28"/>
  <c r="H119" i="28"/>
  <c r="I119" i="28"/>
  <c r="J119" i="28"/>
  <c r="K119" i="28"/>
  <c r="L119" i="28"/>
  <c r="B120" i="28"/>
  <c r="C120" i="28"/>
  <c r="D120" i="28"/>
  <c r="E120" i="28"/>
  <c r="F120" i="28"/>
  <c r="G120" i="28"/>
  <c r="H120" i="28"/>
  <c r="I120" i="28"/>
  <c r="J120" i="28"/>
  <c r="K120" i="28"/>
  <c r="L120" i="28"/>
  <c r="C121" i="28"/>
  <c r="D121" i="28"/>
  <c r="E121" i="28"/>
  <c r="F121" i="28"/>
  <c r="G121" i="28"/>
  <c r="H121" i="28"/>
  <c r="I121" i="28"/>
  <c r="J121" i="28"/>
  <c r="K121" i="28"/>
  <c r="L121" i="28"/>
  <c r="C122" i="28"/>
  <c r="D122" i="28"/>
  <c r="E122" i="28"/>
  <c r="F122" i="28"/>
  <c r="G122" i="28"/>
  <c r="H122" i="28"/>
  <c r="I122" i="28"/>
  <c r="J122" i="28"/>
  <c r="K122" i="28"/>
  <c r="L122" i="28"/>
  <c r="C123" i="28"/>
  <c r="D123" i="28"/>
  <c r="E123" i="28"/>
  <c r="F123" i="28"/>
  <c r="G123" i="28"/>
  <c r="H123" i="28"/>
  <c r="I123" i="28"/>
  <c r="J123" i="28"/>
  <c r="K123" i="28"/>
  <c r="L123" i="28"/>
  <c r="C124" i="28"/>
  <c r="D124" i="28"/>
  <c r="E124" i="28"/>
  <c r="F124" i="28"/>
  <c r="G124" i="28"/>
  <c r="H124" i="28"/>
  <c r="I124" i="28"/>
  <c r="J124" i="28"/>
  <c r="K124" i="28"/>
  <c r="L124" i="28"/>
  <c r="C125" i="28"/>
  <c r="D125" i="28"/>
  <c r="E125" i="28"/>
  <c r="F125" i="28"/>
  <c r="G125" i="28"/>
  <c r="H125" i="28"/>
  <c r="I125" i="28"/>
  <c r="J125" i="28"/>
  <c r="K125" i="28"/>
  <c r="L125" i="28"/>
  <c r="B126" i="28"/>
  <c r="B127" i="28"/>
  <c r="B129" i="28"/>
  <c r="B130" i="28"/>
  <c r="B131" i="28"/>
  <c r="C135" i="28"/>
  <c r="B136" i="28"/>
  <c r="C136" i="28"/>
  <c r="D136" i="28"/>
  <c r="E136" i="28"/>
  <c r="F136" i="28"/>
  <c r="G136" i="28"/>
  <c r="H136" i="28"/>
  <c r="I136" i="28"/>
  <c r="J136" i="28"/>
  <c r="K136" i="28"/>
  <c r="L136" i="28"/>
  <c r="C137" i="28"/>
  <c r="D137" i="28"/>
  <c r="E137" i="28"/>
  <c r="F137" i="28"/>
  <c r="G137" i="28"/>
  <c r="H137" i="28"/>
  <c r="I137" i="28"/>
  <c r="J137" i="28"/>
  <c r="K137" i="28"/>
  <c r="L137" i="28"/>
  <c r="C138" i="28"/>
  <c r="D138" i="28"/>
  <c r="E138" i="28"/>
  <c r="F138" i="28"/>
  <c r="G138" i="28"/>
  <c r="H138" i="28"/>
  <c r="I138" i="28"/>
  <c r="J138" i="28"/>
  <c r="K138" i="28"/>
  <c r="L138" i="28"/>
  <c r="B139" i="28"/>
  <c r="C142" i="28"/>
  <c r="B143" i="28"/>
  <c r="C143" i="28"/>
  <c r="D143" i="28"/>
  <c r="E143" i="28"/>
  <c r="F143" i="28"/>
  <c r="G143" i="28"/>
  <c r="H143" i="28"/>
  <c r="I143" i="28"/>
  <c r="J143" i="28"/>
  <c r="K143" i="28"/>
  <c r="L143" i="28"/>
  <c r="C144" i="28"/>
  <c r="D144" i="28"/>
  <c r="E144" i="28"/>
  <c r="F144" i="28"/>
  <c r="G144" i="28"/>
  <c r="H144" i="28"/>
  <c r="I144" i="28"/>
  <c r="J144" i="28"/>
  <c r="K144" i="28"/>
  <c r="L144" i="28"/>
  <c r="C145" i="28"/>
  <c r="D145" i="28"/>
  <c r="E145" i="28"/>
  <c r="F145" i="28"/>
  <c r="G145" i="28"/>
  <c r="H145" i="28"/>
  <c r="I145" i="28"/>
  <c r="J145" i="28"/>
  <c r="K145" i="28"/>
  <c r="L145" i="28"/>
  <c r="B146" i="28"/>
  <c r="C149" i="28"/>
  <c r="B150" i="28"/>
  <c r="C151" i="28"/>
  <c r="D151" i="28"/>
  <c r="E151" i="28"/>
  <c r="F151" i="28"/>
  <c r="G151" i="28"/>
  <c r="H151" i="28"/>
  <c r="I151" i="28"/>
  <c r="J151" i="28"/>
  <c r="K151" i="28"/>
  <c r="L151" i="28"/>
  <c r="C152" i="28"/>
  <c r="D152" i="28"/>
  <c r="E152" i="28"/>
  <c r="F152" i="28"/>
  <c r="G152" i="28"/>
  <c r="H152" i="28"/>
  <c r="I152" i="28"/>
  <c r="J152" i="28"/>
  <c r="K152" i="28"/>
  <c r="L152" i="28"/>
  <c r="B153" i="28"/>
  <c r="C156" i="28"/>
  <c r="B157" i="28"/>
  <c r="C158" i="28"/>
  <c r="D158" i="28"/>
  <c r="E158" i="28"/>
  <c r="F158" i="28"/>
  <c r="G158" i="28"/>
  <c r="H158" i="28"/>
  <c r="I158" i="28"/>
  <c r="J158" i="28"/>
  <c r="K158" i="28"/>
  <c r="L158" i="28"/>
  <c r="C159" i="28"/>
  <c r="D159" i="28"/>
  <c r="E159" i="28"/>
  <c r="F159" i="28"/>
  <c r="G159" i="28"/>
  <c r="H159" i="28"/>
  <c r="I159" i="28"/>
  <c r="J159" i="28"/>
  <c r="K159" i="28"/>
  <c r="L159" i="28"/>
  <c r="B160" i="28"/>
  <c r="B164" i="28"/>
  <c r="C165" i="28"/>
  <c r="D165" i="28"/>
  <c r="E165" i="28"/>
  <c r="F165" i="28"/>
  <c r="G165" i="28"/>
  <c r="H165" i="28"/>
  <c r="I165" i="28"/>
  <c r="J165" i="28"/>
  <c r="K165" i="28"/>
  <c r="L165" i="28"/>
  <c r="C166" i="28"/>
  <c r="D166" i="28"/>
  <c r="E166" i="28"/>
  <c r="F166" i="28"/>
  <c r="G166" i="28"/>
  <c r="H166" i="28"/>
  <c r="I166" i="28"/>
  <c r="J166" i="28"/>
  <c r="K166" i="28"/>
  <c r="L166" i="28"/>
  <c r="B167" i="28"/>
  <c r="B171" i="28"/>
  <c r="C172" i="28"/>
  <c r="D172" i="28"/>
  <c r="E172" i="28"/>
  <c r="F172" i="28"/>
  <c r="G172" i="28"/>
  <c r="H172" i="28"/>
  <c r="I172" i="28"/>
  <c r="J172" i="28"/>
  <c r="K172" i="28"/>
  <c r="L172" i="28"/>
  <c r="C173" i="28"/>
  <c r="D173" i="28"/>
  <c r="E173" i="28"/>
  <c r="F173" i="28"/>
  <c r="G173" i="28"/>
  <c r="H173" i="28"/>
  <c r="I173" i="28"/>
  <c r="J173" i="28"/>
  <c r="K173" i="28"/>
  <c r="L173" i="28"/>
  <c r="B174" i="28"/>
  <c r="B178" i="28"/>
  <c r="C179" i="28"/>
  <c r="D179" i="28"/>
  <c r="E179" i="28"/>
  <c r="F179" i="28"/>
  <c r="G179" i="28"/>
  <c r="H179" i="28"/>
  <c r="I179" i="28"/>
  <c r="J179" i="28"/>
  <c r="K179" i="28"/>
  <c r="L179" i="28"/>
  <c r="C180" i="28"/>
  <c r="D180" i="28"/>
  <c r="E180" i="28"/>
  <c r="F180" i="28"/>
  <c r="G180" i="28"/>
  <c r="H180" i="28"/>
  <c r="I180" i="28"/>
  <c r="J180" i="28"/>
  <c r="K180" i="28"/>
  <c r="L180" i="28"/>
  <c r="B181" i="28"/>
  <c r="C183" i="28"/>
  <c r="D183" i="28"/>
  <c r="E183" i="28"/>
  <c r="F183" i="28"/>
  <c r="G183" i="28"/>
  <c r="H183" i="28"/>
  <c r="I183" i="28"/>
  <c r="J183" i="28"/>
  <c r="K183" i="28"/>
  <c r="L183" i="28"/>
  <c r="B184" i="28"/>
  <c r="B185" i="28"/>
  <c r="C186" i="28"/>
  <c r="D186" i="28"/>
  <c r="E186" i="28"/>
  <c r="F186" i="28"/>
  <c r="G186" i="28"/>
  <c r="H186" i="28"/>
  <c r="I186" i="28"/>
  <c r="J186" i="28"/>
  <c r="K186" i="28"/>
  <c r="L186" i="28"/>
  <c r="B189" i="28"/>
  <c r="C193" i="28"/>
  <c r="B194" i="28"/>
  <c r="C196" i="28"/>
  <c r="D196" i="28"/>
  <c r="E196" i="28"/>
  <c r="F196" i="28"/>
  <c r="G196" i="28"/>
  <c r="H196" i="28"/>
  <c r="I196" i="28"/>
  <c r="J196" i="28"/>
  <c r="K196" i="28"/>
  <c r="L196" i="28"/>
  <c r="B197" i="28"/>
  <c r="C200" i="28"/>
  <c r="B201" i="28"/>
  <c r="C203" i="28"/>
  <c r="D203" i="28"/>
  <c r="E203" i="28"/>
  <c r="F203" i="28"/>
  <c r="G203" i="28"/>
  <c r="H203" i="28"/>
  <c r="I203" i="28"/>
  <c r="J203" i="28"/>
  <c r="K203" i="28"/>
  <c r="L203" i="28"/>
  <c r="B204" i="28"/>
  <c r="C207" i="28"/>
  <c r="B208" i="28"/>
  <c r="C209" i="28"/>
  <c r="D209" i="28"/>
  <c r="E209" i="28"/>
  <c r="F209" i="28"/>
  <c r="G209" i="28"/>
  <c r="H209" i="28"/>
  <c r="I209" i="28"/>
  <c r="J209" i="28"/>
  <c r="K209" i="28"/>
  <c r="L209" i="28"/>
  <c r="C210" i="28"/>
  <c r="D210" i="28"/>
  <c r="E210" i="28"/>
  <c r="F210" i="28"/>
  <c r="G210" i="28"/>
  <c r="H210" i="28"/>
  <c r="I210" i="28"/>
  <c r="J210" i="28"/>
  <c r="K210" i="28"/>
  <c r="L210" i="28"/>
  <c r="B211" i="28"/>
  <c r="C214" i="28"/>
  <c r="B215" i="28"/>
  <c r="C217" i="28"/>
  <c r="D217" i="28"/>
  <c r="E217" i="28"/>
  <c r="F217" i="28"/>
  <c r="G217" i="28"/>
  <c r="H217" i="28"/>
  <c r="I217" i="28"/>
  <c r="J217" i="28"/>
  <c r="K217" i="28"/>
  <c r="L217" i="28"/>
  <c r="B218" i="28"/>
  <c r="B222" i="28"/>
  <c r="C222" i="28"/>
  <c r="D222" i="28"/>
  <c r="E222" i="28"/>
  <c r="F222" i="28"/>
  <c r="G222" i="28"/>
  <c r="H222" i="28"/>
  <c r="I222" i="28"/>
  <c r="J222" i="28"/>
  <c r="K222" i="28"/>
  <c r="L222" i="28"/>
  <c r="C223" i="28"/>
  <c r="D223" i="28"/>
  <c r="E223" i="28"/>
  <c r="F223" i="28"/>
  <c r="G223" i="28"/>
  <c r="H223" i="28"/>
  <c r="I223" i="28"/>
  <c r="J223" i="28"/>
  <c r="K223" i="28"/>
  <c r="L223" i="28"/>
  <c r="C224" i="28"/>
  <c r="D224" i="28"/>
  <c r="E224" i="28"/>
  <c r="F224" i="28"/>
  <c r="G224" i="28"/>
  <c r="H224" i="28"/>
  <c r="I224" i="28"/>
  <c r="J224" i="28"/>
  <c r="K224" i="28"/>
  <c r="L224" i="28"/>
  <c r="B225" i="28"/>
  <c r="B229" i="28"/>
  <c r="C231" i="28"/>
  <c r="D231" i="28"/>
  <c r="E231" i="28"/>
  <c r="F231" i="28"/>
  <c r="G231" i="28"/>
  <c r="H231" i="28"/>
  <c r="I231" i="28"/>
  <c r="J231" i="28"/>
  <c r="K231" i="28"/>
  <c r="L231" i="28"/>
  <c r="B232" i="28"/>
  <c r="B236" i="28"/>
  <c r="C237" i="28"/>
  <c r="D237" i="28"/>
  <c r="E237" i="28"/>
  <c r="F237" i="28"/>
  <c r="G237" i="28"/>
  <c r="H237" i="28"/>
  <c r="I237" i="28"/>
  <c r="J237" i="28"/>
  <c r="K237" i="28"/>
  <c r="L237" i="28"/>
  <c r="C238" i="28"/>
  <c r="D238" i="28"/>
  <c r="E238" i="28"/>
  <c r="F238" i="28"/>
  <c r="G238" i="28"/>
  <c r="H238" i="28"/>
  <c r="I238" i="28"/>
  <c r="J238" i="28"/>
  <c r="K238" i="28"/>
  <c r="L238" i="28"/>
  <c r="B239" i="28"/>
  <c r="C241" i="28"/>
  <c r="D241" i="28"/>
  <c r="E241" i="28"/>
  <c r="F241" i="28"/>
  <c r="G241" i="28"/>
  <c r="H241" i="28"/>
  <c r="I241" i="28"/>
  <c r="J241" i="28"/>
  <c r="K241" i="28"/>
  <c r="L241" i="28"/>
  <c r="B242" i="28"/>
  <c r="B243" i="28"/>
  <c r="C244" i="28"/>
  <c r="D244" i="28"/>
  <c r="E244" i="28"/>
  <c r="F244" i="28"/>
  <c r="G244" i="28"/>
  <c r="H244" i="28"/>
  <c r="I244" i="28"/>
  <c r="J244" i="28"/>
  <c r="K244" i="28"/>
  <c r="L244" i="28"/>
  <c r="B247" i="28"/>
  <c r="B4" i="15"/>
  <c r="B5" i="15"/>
  <c r="B6" i="15"/>
  <c r="B7" i="15"/>
  <c r="B8" i="15"/>
  <c r="B21" i="15"/>
  <c r="B22" i="15"/>
  <c r="B23" i="15"/>
  <c r="B24" i="15"/>
  <c r="B45" i="15"/>
  <c r="C45" i="15"/>
  <c r="D45" i="15"/>
  <c r="E45" i="15"/>
  <c r="F45" i="15"/>
  <c r="G45" i="15"/>
  <c r="H45" i="15"/>
  <c r="I45" i="15"/>
  <c r="J45" i="15"/>
  <c r="K45" i="15"/>
  <c r="B46" i="15"/>
  <c r="C46" i="15"/>
  <c r="D46" i="15"/>
  <c r="E46" i="15"/>
  <c r="F46" i="15"/>
  <c r="G46" i="15"/>
  <c r="H46" i="15"/>
  <c r="I46" i="15"/>
  <c r="J46" i="15"/>
  <c r="K46" i="15"/>
  <c r="C5" i="8"/>
  <c r="D5" i="8"/>
  <c r="E5" i="8"/>
  <c r="F5" i="8"/>
  <c r="G5" i="8"/>
  <c r="C6" i="8"/>
  <c r="D6" i="8"/>
  <c r="E6" i="8"/>
  <c r="F6" i="8"/>
  <c r="G6" i="8"/>
  <c r="C7" i="8"/>
  <c r="D7" i="8"/>
  <c r="E7" i="8"/>
  <c r="F7" i="8"/>
  <c r="G7" i="8"/>
  <c r="D13" i="8"/>
  <c r="D17" i="8"/>
  <c r="E19" i="8"/>
  <c r="F19" i="8"/>
  <c r="G19" i="8"/>
  <c r="H19" i="8"/>
  <c r="I19" i="8"/>
  <c r="J19" i="8"/>
  <c r="K19" i="8"/>
  <c r="L19" i="8"/>
  <c r="M19" i="8"/>
  <c r="D20" i="8"/>
  <c r="E20" i="8"/>
  <c r="F20" i="8"/>
  <c r="G20" i="8"/>
  <c r="H20" i="8"/>
  <c r="I20" i="8"/>
  <c r="J20" i="8"/>
  <c r="K20" i="8"/>
  <c r="L20" i="8"/>
  <c r="M20" i="8"/>
  <c r="C21" i="8"/>
  <c r="D21" i="8"/>
  <c r="E21" i="8"/>
  <c r="F21" i="8"/>
  <c r="G21" i="8"/>
  <c r="H21" i="8"/>
  <c r="I21" i="8"/>
  <c r="J21" i="8"/>
  <c r="K21" i="8"/>
  <c r="L21" i="8"/>
  <c r="M21" i="8"/>
  <c r="E22" i="8"/>
  <c r="F22" i="8"/>
  <c r="G22" i="8"/>
  <c r="H22" i="8"/>
  <c r="I22" i="8"/>
  <c r="J22" i="8"/>
  <c r="K22" i="8"/>
  <c r="L22" i="8"/>
  <c r="M22" i="8"/>
  <c r="C23" i="8"/>
  <c r="D23" i="8"/>
  <c r="E23" i="8"/>
  <c r="F23" i="8"/>
  <c r="G23" i="8"/>
  <c r="H23" i="8"/>
  <c r="I23" i="8"/>
  <c r="J23" i="8"/>
  <c r="K23" i="8"/>
  <c r="L23" i="8"/>
  <c r="M23" i="8"/>
  <c r="E27" i="8"/>
  <c r="F27" i="8"/>
  <c r="G27" i="8"/>
  <c r="H27" i="8"/>
  <c r="I27" i="8"/>
  <c r="J27" i="8"/>
  <c r="K27" i="8"/>
  <c r="L27" i="8"/>
  <c r="M27" i="8"/>
  <c r="D28" i="8"/>
  <c r="E28" i="8"/>
  <c r="F28" i="8"/>
  <c r="G28" i="8"/>
  <c r="H28" i="8"/>
  <c r="I28" i="8"/>
  <c r="J28" i="8"/>
  <c r="K28" i="8"/>
  <c r="L28" i="8"/>
  <c r="M28" i="8"/>
  <c r="N28" i="8"/>
  <c r="C29" i="8"/>
  <c r="D29" i="8"/>
  <c r="E29" i="8"/>
  <c r="F29" i="8"/>
  <c r="G29" i="8"/>
  <c r="H29" i="8"/>
  <c r="I29" i="8"/>
  <c r="J29" i="8"/>
  <c r="K29" i="8"/>
  <c r="L29" i="8"/>
  <c r="M29" i="8"/>
  <c r="D30" i="8"/>
  <c r="E30" i="8"/>
  <c r="F30" i="8"/>
  <c r="G30" i="8"/>
  <c r="H30" i="8"/>
  <c r="I30" i="8"/>
  <c r="J30" i="8"/>
  <c r="K30" i="8"/>
  <c r="L30" i="8"/>
  <c r="M30" i="8"/>
  <c r="N30" i="8"/>
  <c r="C31" i="8"/>
  <c r="D31" i="8"/>
  <c r="E31" i="8"/>
  <c r="F31" i="8"/>
  <c r="G31" i="8"/>
  <c r="H31" i="8"/>
  <c r="I31" i="8"/>
  <c r="J31" i="8"/>
  <c r="K31" i="8"/>
  <c r="L31" i="8"/>
  <c r="M31" i="8"/>
  <c r="E34" i="8"/>
  <c r="F34" i="8"/>
  <c r="G34" i="8"/>
  <c r="H34" i="8"/>
  <c r="I34" i="8"/>
  <c r="J34" i="8"/>
  <c r="K34" i="8"/>
  <c r="L34" i="8"/>
  <c r="M34" i="8"/>
  <c r="N34" i="8"/>
  <c r="E35" i="8"/>
  <c r="F35" i="8"/>
  <c r="G35" i="8"/>
  <c r="H35" i="8"/>
  <c r="I35" i="8"/>
  <c r="J35" i="8"/>
  <c r="K35" i="8"/>
  <c r="L35" i="8"/>
  <c r="M35" i="8"/>
  <c r="N35" i="8"/>
  <c r="E2" i="32"/>
  <c r="F2" i="32"/>
  <c r="E7" i="32"/>
  <c r="F7" i="32"/>
  <c r="E8" i="32"/>
  <c r="E11" i="32"/>
  <c r="F11" i="32"/>
  <c r="E12" i="32"/>
  <c r="E15" i="32"/>
  <c r="F15" i="32"/>
  <c r="E16" i="32"/>
  <c r="D19" i="32"/>
  <c r="E19" i="32"/>
  <c r="F19" i="32"/>
  <c r="D20" i="32"/>
  <c r="E20" i="32"/>
  <c r="D23" i="32"/>
  <c r="E23" i="32"/>
  <c r="F23" i="32"/>
  <c r="D24" i="32"/>
  <c r="E24" i="32"/>
  <c r="F24" i="32"/>
  <c r="E27" i="32"/>
  <c r="F27" i="32"/>
  <c r="E28" i="32"/>
  <c r="F28" i="32"/>
  <c r="E29" i="32"/>
  <c r="F29" i="32"/>
  <c r="D30" i="32"/>
  <c r="E30" i="32"/>
  <c r="F30" i="32"/>
  <c r="B8" i="12"/>
  <c r="C8" i="12"/>
  <c r="D8" i="12"/>
  <c r="E8" i="12"/>
  <c r="I8" i="12"/>
  <c r="J8" i="12"/>
  <c r="K8" i="12"/>
  <c r="L8" i="12"/>
  <c r="B10" i="12"/>
  <c r="C10" i="12"/>
  <c r="D10" i="12"/>
  <c r="E10" i="12"/>
  <c r="I10" i="12"/>
  <c r="J10" i="12"/>
  <c r="K10" i="12"/>
  <c r="L10" i="12"/>
  <c r="B20" i="12"/>
  <c r="C20" i="12"/>
  <c r="D20" i="12"/>
  <c r="E20" i="12"/>
  <c r="B22" i="12"/>
  <c r="C22" i="12"/>
  <c r="D22" i="12"/>
  <c r="E22" i="12"/>
  <c r="B24" i="12"/>
  <c r="C24" i="12"/>
  <c r="D24" i="12"/>
  <c r="E24" i="12"/>
  <c r="B31" i="12"/>
  <c r="C31" i="12"/>
  <c r="D31" i="12"/>
  <c r="E31" i="12"/>
  <c r="B33" i="12"/>
  <c r="C33" i="12"/>
  <c r="D33" i="12"/>
  <c r="E33" i="12"/>
  <c r="B35" i="12"/>
  <c r="C35" i="12"/>
  <c r="D35" i="12"/>
  <c r="E35" i="12"/>
  <c r="C11" i="10"/>
  <c r="D11" i="10"/>
  <c r="E11" i="10"/>
  <c r="F11" i="10"/>
  <c r="G11" i="10"/>
  <c r="H11" i="10"/>
  <c r="I11" i="10"/>
  <c r="J11" i="10"/>
  <c r="K11" i="10"/>
  <c r="L11" i="10"/>
  <c r="C12" i="10"/>
  <c r="D12" i="10"/>
  <c r="E12" i="10"/>
  <c r="F12" i="10"/>
  <c r="G12" i="10"/>
  <c r="H12" i="10"/>
  <c r="I12" i="10"/>
  <c r="J12" i="10"/>
  <c r="K12" i="10"/>
  <c r="L12" i="10"/>
  <c r="C13" i="10"/>
  <c r="D13" i="10"/>
  <c r="E13" i="10"/>
  <c r="F13" i="10"/>
  <c r="G13" i="10"/>
  <c r="H13" i="10"/>
  <c r="I13" i="10"/>
  <c r="J13" i="10"/>
  <c r="K13" i="10"/>
  <c r="L13" i="10"/>
  <c r="C17" i="10"/>
  <c r="C19" i="10"/>
  <c r="D19" i="10"/>
  <c r="E19" i="10"/>
  <c r="F19" i="10"/>
  <c r="G19" i="10"/>
  <c r="H19" i="10"/>
  <c r="I19" i="10"/>
  <c r="J19" i="10"/>
  <c r="K19" i="10"/>
  <c r="L19" i="10"/>
  <c r="C20" i="10"/>
  <c r="D20" i="10"/>
  <c r="E20" i="10"/>
  <c r="F20" i="10"/>
  <c r="G20" i="10"/>
  <c r="H20" i="10"/>
  <c r="I20" i="10"/>
  <c r="J20" i="10"/>
  <c r="K20" i="10"/>
  <c r="L20" i="10"/>
  <c r="C21" i="10"/>
  <c r="D21" i="10"/>
  <c r="E21" i="10"/>
  <c r="F21" i="10"/>
  <c r="G21" i="10"/>
  <c r="H21" i="10"/>
  <c r="I21" i="10"/>
  <c r="J21" i="10"/>
  <c r="K21" i="10"/>
  <c r="L21" i="10"/>
  <c r="C22" i="10"/>
  <c r="D22" i="10"/>
  <c r="E22" i="10"/>
  <c r="F22" i="10"/>
  <c r="G22" i="10"/>
  <c r="H22" i="10"/>
  <c r="I22" i="10"/>
  <c r="J22" i="10"/>
  <c r="K22" i="10"/>
  <c r="L22" i="10"/>
  <c r="D23" i="10"/>
  <c r="C26" i="10"/>
  <c r="D26" i="10"/>
  <c r="E26" i="10"/>
  <c r="F26" i="10"/>
  <c r="G26" i="10"/>
  <c r="H26" i="10"/>
  <c r="I26" i="10"/>
  <c r="J26" i="10"/>
  <c r="K26" i="10"/>
  <c r="L26" i="10"/>
  <c r="C27" i="10"/>
  <c r="D27" i="10"/>
  <c r="E27" i="10"/>
  <c r="F27" i="10"/>
  <c r="G27" i="10"/>
  <c r="H27" i="10"/>
  <c r="I27" i="10"/>
  <c r="J27" i="10"/>
  <c r="K27" i="10"/>
  <c r="L27" i="10"/>
  <c r="C28" i="10"/>
  <c r="D28" i="10"/>
  <c r="E28" i="10"/>
  <c r="F28" i="10"/>
  <c r="G28" i="10"/>
  <c r="H28" i="10"/>
  <c r="I28" i="10"/>
  <c r="J28" i="10"/>
  <c r="K28" i="10"/>
  <c r="L28" i="10"/>
  <c r="C29" i="10"/>
  <c r="D29" i="10"/>
  <c r="E29" i="10"/>
  <c r="F29" i="10"/>
  <c r="G29" i="10"/>
  <c r="H29" i="10"/>
  <c r="I29" i="10"/>
  <c r="J29" i="10"/>
  <c r="K29" i="10"/>
  <c r="L29" i="10"/>
  <c r="E2" i="6"/>
  <c r="G2" i="6"/>
  <c r="P2" i="6"/>
  <c r="E3" i="6"/>
  <c r="G3" i="6"/>
  <c r="P3" i="6"/>
  <c r="E4" i="6"/>
  <c r="G4" i="6"/>
  <c r="P4" i="6"/>
  <c r="E5" i="6"/>
  <c r="G5" i="6"/>
  <c r="P5" i="6"/>
  <c r="E6" i="6"/>
  <c r="G6" i="6"/>
  <c r="P6" i="6"/>
  <c r="E7" i="6"/>
  <c r="G7" i="6"/>
  <c r="P7" i="6"/>
  <c r="E8" i="6"/>
  <c r="G8" i="6"/>
  <c r="P8" i="6"/>
  <c r="E9" i="6"/>
  <c r="G9" i="6"/>
  <c r="P9" i="6"/>
  <c r="E10" i="6"/>
  <c r="G10" i="6"/>
  <c r="P10" i="6"/>
  <c r="E11" i="6"/>
  <c r="G11" i="6"/>
  <c r="P11" i="6"/>
  <c r="E12" i="6"/>
  <c r="G12" i="6"/>
  <c r="P12" i="6"/>
  <c r="E13" i="6"/>
  <c r="G13" i="6"/>
  <c r="P13" i="6"/>
  <c r="E14" i="6"/>
  <c r="G14" i="6"/>
  <c r="P14" i="6"/>
  <c r="E15" i="6"/>
  <c r="G15" i="6"/>
  <c r="P15" i="6"/>
  <c r="E16" i="6"/>
  <c r="G16" i="6"/>
  <c r="P16" i="6"/>
  <c r="E17" i="6"/>
  <c r="G17" i="6"/>
  <c r="P17" i="6"/>
  <c r="E18" i="6"/>
  <c r="G18" i="6"/>
  <c r="P18" i="6"/>
  <c r="E19" i="6"/>
  <c r="G19" i="6"/>
  <c r="P19" i="6"/>
  <c r="E20" i="6"/>
  <c r="G20" i="6"/>
  <c r="P20" i="6"/>
  <c r="E21" i="6"/>
  <c r="G21" i="6"/>
  <c r="P21" i="6"/>
  <c r="E22" i="6"/>
  <c r="G22" i="6"/>
  <c r="P22" i="6"/>
  <c r="E23" i="6"/>
  <c r="G23" i="6"/>
  <c r="P23" i="6"/>
  <c r="E24" i="6"/>
  <c r="G24" i="6"/>
  <c r="P24" i="6"/>
  <c r="E25" i="6"/>
  <c r="G25" i="6"/>
  <c r="P25" i="6"/>
  <c r="E26" i="6"/>
  <c r="G26" i="6"/>
  <c r="P26" i="6"/>
  <c r="E27" i="6"/>
  <c r="G27" i="6"/>
  <c r="P27" i="6"/>
  <c r="E28" i="6"/>
  <c r="G28" i="6"/>
  <c r="P28" i="6"/>
  <c r="E29" i="6"/>
  <c r="G29" i="6"/>
  <c r="P29" i="6"/>
  <c r="E30" i="6"/>
  <c r="G30" i="6"/>
  <c r="P30" i="6"/>
  <c r="E31" i="6"/>
  <c r="G31" i="6"/>
  <c r="P31" i="6"/>
  <c r="E32" i="6"/>
  <c r="G32" i="6"/>
  <c r="P32" i="6"/>
  <c r="E33" i="6"/>
  <c r="G33" i="6"/>
  <c r="P33" i="6"/>
  <c r="E34" i="6"/>
  <c r="G34" i="6"/>
  <c r="P34" i="6"/>
  <c r="E35" i="6"/>
  <c r="G35" i="6"/>
  <c r="P35" i="6"/>
  <c r="E36" i="6"/>
  <c r="G36" i="6"/>
  <c r="P36" i="6"/>
  <c r="E37" i="6"/>
  <c r="G37" i="6"/>
  <c r="P37" i="6"/>
  <c r="E38" i="6"/>
  <c r="G38" i="6"/>
  <c r="P38" i="6"/>
  <c r="E39" i="6"/>
  <c r="G39" i="6"/>
  <c r="P39" i="6"/>
  <c r="E40" i="6"/>
  <c r="G40" i="6"/>
  <c r="P40" i="6"/>
  <c r="E41" i="6"/>
  <c r="G41" i="6"/>
  <c r="P41" i="6"/>
  <c r="E42" i="6"/>
  <c r="G42" i="6"/>
  <c r="P42" i="6"/>
  <c r="E43" i="6"/>
  <c r="G43" i="6"/>
  <c r="P43" i="6"/>
  <c r="E44" i="6"/>
  <c r="G44" i="6"/>
  <c r="P44" i="6"/>
  <c r="E45" i="6"/>
  <c r="G45" i="6"/>
  <c r="P45" i="6"/>
  <c r="E46" i="6"/>
  <c r="G46" i="6"/>
  <c r="P46" i="6"/>
  <c r="E47" i="6"/>
  <c r="G47" i="6"/>
  <c r="P47" i="6"/>
  <c r="E48" i="6"/>
  <c r="G48" i="6"/>
  <c r="P48" i="6"/>
  <c r="E49" i="6"/>
  <c r="G49" i="6"/>
  <c r="P49" i="6"/>
  <c r="E50" i="6"/>
  <c r="G50" i="6"/>
  <c r="P50" i="6"/>
  <c r="E51" i="6"/>
  <c r="G51" i="6"/>
  <c r="P51" i="6"/>
  <c r="E52" i="6"/>
  <c r="G52" i="6"/>
  <c r="P52" i="6"/>
  <c r="E53" i="6"/>
  <c r="G53" i="6"/>
  <c r="P53" i="6"/>
  <c r="E54" i="6"/>
  <c r="G54" i="6"/>
  <c r="P54" i="6"/>
  <c r="E55" i="6"/>
  <c r="G55" i="6"/>
  <c r="P55" i="6"/>
  <c r="E56" i="6"/>
  <c r="G56" i="6"/>
  <c r="P56" i="6"/>
  <c r="E57" i="6"/>
  <c r="G57" i="6"/>
  <c r="P57" i="6"/>
  <c r="E58" i="6"/>
  <c r="G58" i="6"/>
  <c r="P58" i="6"/>
  <c r="E59" i="6"/>
  <c r="G59" i="6"/>
  <c r="P59" i="6"/>
  <c r="E60" i="6"/>
  <c r="G60" i="6"/>
  <c r="P60" i="6"/>
  <c r="E61" i="6"/>
  <c r="G61" i="6"/>
  <c r="P61" i="6"/>
  <c r="E62" i="6"/>
  <c r="G62" i="6"/>
  <c r="P62" i="6"/>
  <c r="E63" i="6"/>
  <c r="G63" i="6"/>
  <c r="P63" i="6"/>
  <c r="E64" i="6"/>
  <c r="G64" i="6"/>
  <c r="P64" i="6"/>
  <c r="E65" i="6"/>
  <c r="G65" i="6"/>
  <c r="P65" i="6"/>
  <c r="E66" i="6"/>
  <c r="G66" i="6"/>
  <c r="P66" i="6"/>
  <c r="E67" i="6"/>
  <c r="G67" i="6"/>
  <c r="P67" i="6"/>
  <c r="E68" i="6"/>
  <c r="G68" i="6"/>
  <c r="P68" i="6"/>
  <c r="E69" i="6"/>
  <c r="G69" i="6"/>
  <c r="P69" i="6"/>
  <c r="E70" i="6"/>
  <c r="G70" i="6"/>
  <c r="P70" i="6"/>
  <c r="E71" i="6"/>
  <c r="G71" i="6"/>
  <c r="P71" i="6"/>
  <c r="E72" i="6"/>
  <c r="G72" i="6"/>
  <c r="P72" i="6"/>
  <c r="E73" i="6"/>
  <c r="G73" i="6"/>
  <c r="P73" i="6"/>
  <c r="E74" i="6"/>
  <c r="G74" i="6"/>
  <c r="P74" i="6"/>
  <c r="E75" i="6"/>
  <c r="G75" i="6"/>
  <c r="P75" i="6"/>
  <c r="E76" i="6"/>
  <c r="G76" i="6"/>
  <c r="P76" i="6"/>
  <c r="E77" i="6"/>
  <c r="G77" i="6"/>
  <c r="P77" i="6"/>
  <c r="E78" i="6"/>
  <c r="G78" i="6"/>
  <c r="P78" i="6"/>
  <c r="E79" i="6"/>
  <c r="G79" i="6"/>
  <c r="P79" i="6"/>
  <c r="E80" i="6"/>
  <c r="G80" i="6"/>
  <c r="P80" i="6"/>
  <c r="E81" i="6"/>
  <c r="G81" i="6"/>
  <c r="P81" i="6"/>
  <c r="E82" i="6"/>
  <c r="G82" i="6"/>
  <c r="P82" i="6"/>
  <c r="E83" i="6"/>
  <c r="G83" i="6"/>
  <c r="P83" i="6"/>
  <c r="E84" i="6"/>
  <c r="G84" i="6"/>
  <c r="P84" i="6"/>
  <c r="E85" i="6"/>
  <c r="G85" i="6"/>
  <c r="P85" i="6"/>
  <c r="E86" i="6"/>
  <c r="G86" i="6"/>
  <c r="P86" i="6"/>
  <c r="E87" i="6"/>
  <c r="G87" i="6"/>
  <c r="P87" i="6"/>
  <c r="E88" i="6"/>
  <c r="G88" i="6"/>
  <c r="P88" i="6"/>
  <c r="E89" i="6"/>
  <c r="G89" i="6"/>
  <c r="P89" i="6"/>
  <c r="E90" i="6"/>
  <c r="G90" i="6"/>
  <c r="P90" i="6"/>
  <c r="E91" i="6"/>
  <c r="G91" i="6"/>
  <c r="P91" i="6"/>
  <c r="E92" i="6"/>
  <c r="G92" i="6"/>
  <c r="P92" i="6"/>
  <c r="E93" i="6"/>
  <c r="G93" i="6"/>
  <c r="P93" i="6"/>
  <c r="E94" i="6"/>
  <c r="G94" i="6"/>
  <c r="P94" i="6"/>
  <c r="E95" i="6"/>
  <c r="G95" i="6"/>
  <c r="P95" i="6"/>
  <c r="E96" i="6"/>
  <c r="G96" i="6"/>
  <c r="P96" i="6"/>
  <c r="E97" i="6"/>
  <c r="G97" i="6"/>
  <c r="P97" i="6"/>
  <c r="E98" i="6"/>
  <c r="G98" i="6"/>
  <c r="P98" i="6"/>
  <c r="E99" i="6"/>
  <c r="G99" i="6"/>
  <c r="P99" i="6"/>
  <c r="E100" i="6"/>
  <c r="G100" i="6"/>
  <c r="P100" i="6"/>
  <c r="E101" i="6"/>
  <c r="G101" i="6"/>
  <c r="P101" i="6"/>
  <c r="E102" i="6"/>
  <c r="G102" i="6"/>
  <c r="P102" i="6"/>
  <c r="E103" i="6"/>
  <c r="G103" i="6"/>
  <c r="P103" i="6"/>
  <c r="E104" i="6"/>
  <c r="G104" i="6"/>
  <c r="P104" i="6"/>
  <c r="E105" i="6"/>
  <c r="G105" i="6"/>
  <c r="P105" i="6"/>
  <c r="E106" i="6"/>
  <c r="G106" i="6"/>
  <c r="P106" i="6"/>
  <c r="E107" i="6"/>
  <c r="G107" i="6"/>
  <c r="P107" i="6"/>
  <c r="E108" i="6"/>
  <c r="G108" i="6"/>
  <c r="P108" i="6"/>
  <c r="E109" i="6"/>
  <c r="G109" i="6"/>
  <c r="P109" i="6"/>
  <c r="E110" i="6"/>
  <c r="G110" i="6"/>
  <c r="P110" i="6"/>
  <c r="E111" i="6"/>
  <c r="G111" i="6"/>
  <c r="P111" i="6"/>
  <c r="E112" i="6"/>
  <c r="G112" i="6"/>
  <c r="P112" i="6"/>
  <c r="E113" i="6"/>
  <c r="G113" i="6"/>
  <c r="P113" i="6"/>
  <c r="E114" i="6"/>
  <c r="G114" i="6"/>
  <c r="P114" i="6"/>
  <c r="E115" i="6"/>
  <c r="G115" i="6"/>
  <c r="P115" i="6"/>
  <c r="E116" i="6"/>
  <c r="G116" i="6"/>
  <c r="P116" i="6"/>
  <c r="E117" i="6"/>
  <c r="G117" i="6"/>
  <c r="P117" i="6"/>
  <c r="E118" i="6"/>
  <c r="G118" i="6"/>
  <c r="P118" i="6"/>
  <c r="E119" i="6"/>
  <c r="G119" i="6"/>
  <c r="P119" i="6"/>
  <c r="E120" i="6"/>
  <c r="G120" i="6"/>
  <c r="P120" i="6"/>
  <c r="E121" i="6"/>
  <c r="P121" i="6"/>
  <c r="E122" i="6"/>
  <c r="P122" i="6"/>
  <c r="E123" i="6"/>
  <c r="G123" i="6"/>
  <c r="P123" i="6"/>
  <c r="E124" i="6"/>
  <c r="G124" i="6"/>
  <c r="P124" i="6"/>
  <c r="E125" i="6"/>
  <c r="G125" i="6"/>
  <c r="P125" i="6"/>
  <c r="E126" i="6"/>
  <c r="G126" i="6"/>
  <c r="P126" i="6"/>
  <c r="E127" i="6"/>
  <c r="G127" i="6"/>
  <c r="P127" i="6"/>
  <c r="E128" i="6"/>
  <c r="G128" i="6"/>
  <c r="P128" i="6"/>
  <c r="E129" i="6"/>
  <c r="G129" i="6"/>
  <c r="P129" i="6"/>
  <c r="E130" i="6"/>
  <c r="G130" i="6"/>
  <c r="P130" i="6"/>
  <c r="E131" i="6"/>
  <c r="G131" i="6"/>
  <c r="P131" i="6"/>
  <c r="E132" i="6"/>
  <c r="G132" i="6"/>
  <c r="P132" i="6"/>
  <c r="E133" i="6"/>
  <c r="G133" i="6"/>
  <c r="P133" i="6"/>
  <c r="E134" i="6"/>
  <c r="G134" i="6"/>
  <c r="P134" i="6"/>
  <c r="E135" i="6"/>
  <c r="G135" i="6"/>
  <c r="P135" i="6"/>
  <c r="E136" i="6"/>
  <c r="G136" i="6"/>
  <c r="P136" i="6"/>
  <c r="E137" i="6"/>
  <c r="G137" i="6"/>
  <c r="P137" i="6"/>
  <c r="E138" i="6"/>
  <c r="G138" i="6"/>
  <c r="P138" i="6"/>
  <c r="E139" i="6"/>
  <c r="G139" i="6"/>
  <c r="P139" i="6"/>
  <c r="E140" i="6"/>
  <c r="G140" i="6"/>
  <c r="P140" i="6"/>
  <c r="E141" i="6"/>
  <c r="G141" i="6"/>
  <c r="P141" i="6"/>
  <c r="E142" i="6"/>
  <c r="G142" i="6"/>
  <c r="P142" i="6"/>
  <c r="E143" i="6"/>
  <c r="G143" i="6"/>
  <c r="P143" i="6"/>
  <c r="E144" i="6"/>
  <c r="G144" i="6"/>
  <c r="P144" i="6"/>
  <c r="E145" i="6"/>
  <c r="G145" i="6"/>
  <c r="P145" i="6"/>
  <c r="E146" i="6"/>
  <c r="G146" i="6"/>
  <c r="P146" i="6"/>
  <c r="E147" i="6"/>
  <c r="G147" i="6"/>
  <c r="P147" i="6"/>
  <c r="E148" i="6"/>
  <c r="G148" i="6"/>
  <c r="P148" i="6"/>
  <c r="E149" i="6"/>
  <c r="G149" i="6"/>
  <c r="P149" i="6"/>
  <c r="E150" i="6"/>
  <c r="G150" i="6"/>
  <c r="P150" i="6"/>
  <c r="E151" i="6"/>
  <c r="G151" i="6"/>
  <c r="P151" i="6"/>
  <c r="E152" i="6"/>
  <c r="G152" i="6"/>
  <c r="P152" i="6"/>
  <c r="E153" i="6"/>
  <c r="G153" i="6"/>
  <c r="P153" i="6"/>
  <c r="E154" i="6"/>
  <c r="G154" i="6"/>
  <c r="P154" i="6"/>
  <c r="E155" i="6"/>
  <c r="G155" i="6"/>
  <c r="P155" i="6"/>
  <c r="E156" i="6"/>
  <c r="G156" i="6"/>
  <c r="P156" i="6"/>
  <c r="E157" i="6"/>
  <c r="G157" i="6"/>
  <c r="P157" i="6"/>
  <c r="E158" i="6"/>
  <c r="G158" i="6"/>
  <c r="P158" i="6"/>
  <c r="E159" i="6"/>
  <c r="G159" i="6"/>
  <c r="P159" i="6"/>
  <c r="E160" i="6"/>
  <c r="G160" i="6"/>
  <c r="P160" i="6"/>
  <c r="E161" i="6"/>
  <c r="G161" i="6"/>
  <c r="P161" i="6"/>
  <c r="E162" i="6"/>
  <c r="G162" i="6"/>
  <c r="P162" i="6"/>
  <c r="E163" i="6"/>
  <c r="G163" i="6"/>
  <c r="P163" i="6"/>
  <c r="E164" i="6"/>
  <c r="G164" i="6"/>
  <c r="P164" i="6"/>
  <c r="E165" i="6"/>
  <c r="G165" i="6"/>
  <c r="P165" i="6"/>
  <c r="E166" i="6"/>
  <c r="G166" i="6"/>
  <c r="P166" i="6"/>
  <c r="E167" i="6"/>
  <c r="G167" i="6"/>
  <c r="P167" i="6"/>
  <c r="E168" i="6"/>
  <c r="G168" i="6"/>
  <c r="P168" i="6"/>
  <c r="E169" i="6"/>
  <c r="G169" i="6"/>
  <c r="P169" i="6"/>
  <c r="E170" i="6"/>
  <c r="G170" i="6"/>
  <c r="P170" i="6"/>
  <c r="E171" i="6"/>
  <c r="G171" i="6"/>
  <c r="P171" i="6"/>
  <c r="E172" i="6"/>
  <c r="G172" i="6"/>
  <c r="P172" i="6"/>
  <c r="E173" i="6"/>
  <c r="G173" i="6"/>
  <c r="P173" i="6"/>
  <c r="E174" i="6"/>
  <c r="G174" i="6"/>
  <c r="P174" i="6"/>
  <c r="E175" i="6"/>
  <c r="G175" i="6"/>
  <c r="P175" i="6"/>
  <c r="E176" i="6"/>
  <c r="G176" i="6"/>
  <c r="P176" i="6"/>
  <c r="E177" i="6"/>
  <c r="G177" i="6"/>
  <c r="P177" i="6"/>
  <c r="E178" i="6"/>
  <c r="G178" i="6"/>
  <c r="P178" i="6"/>
  <c r="E179" i="6"/>
  <c r="G179" i="6"/>
  <c r="P179" i="6"/>
  <c r="E180" i="6"/>
  <c r="G180" i="6"/>
  <c r="P180" i="6"/>
  <c r="E181" i="6"/>
  <c r="G181" i="6"/>
  <c r="P181" i="6"/>
  <c r="E182" i="6"/>
  <c r="G182" i="6"/>
  <c r="P182" i="6"/>
  <c r="E183" i="6"/>
  <c r="G183" i="6"/>
  <c r="P183" i="6"/>
  <c r="E184" i="6"/>
  <c r="G184" i="6"/>
  <c r="P184" i="6"/>
  <c r="E185" i="6"/>
  <c r="G185" i="6"/>
  <c r="P185" i="6"/>
  <c r="E186" i="6"/>
  <c r="G186" i="6"/>
  <c r="P186" i="6"/>
  <c r="E187" i="6"/>
  <c r="P187" i="6"/>
  <c r="E188" i="6"/>
  <c r="G188" i="6"/>
  <c r="P188" i="6"/>
  <c r="E189" i="6"/>
  <c r="G189" i="6"/>
  <c r="P189" i="6"/>
  <c r="E190" i="6"/>
  <c r="G190" i="6"/>
  <c r="P190" i="6"/>
  <c r="E191" i="6"/>
  <c r="G191" i="6"/>
  <c r="P191" i="6"/>
  <c r="E192" i="6"/>
  <c r="G192" i="6"/>
  <c r="P192" i="6"/>
  <c r="E193" i="6"/>
  <c r="G193" i="6"/>
  <c r="P193" i="6"/>
  <c r="E194" i="6"/>
  <c r="G194" i="6"/>
  <c r="P194" i="6"/>
  <c r="E195" i="6"/>
  <c r="G195" i="6"/>
  <c r="P195" i="6"/>
  <c r="E196" i="6"/>
  <c r="G196" i="6"/>
  <c r="P196" i="6"/>
  <c r="E197" i="6"/>
  <c r="G197" i="6"/>
  <c r="P197" i="6"/>
  <c r="E198" i="6"/>
  <c r="G198" i="6"/>
  <c r="P198" i="6"/>
  <c r="E199" i="6"/>
  <c r="G199" i="6"/>
  <c r="P199" i="6"/>
  <c r="E200" i="6"/>
  <c r="G200" i="6"/>
  <c r="P200" i="6"/>
  <c r="E201" i="6"/>
  <c r="G201" i="6"/>
  <c r="P201" i="6"/>
  <c r="E202" i="6"/>
  <c r="G202" i="6"/>
  <c r="P202" i="6"/>
  <c r="E203" i="6"/>
  <c r="G203" i="6"/>
  <c r="P203" i="6"/>
  <c r="E204" i="6"/>
  <c r="G204" i="6"/>
  <c r="P204" i="6"/>
  <c r="E205" i="6"/>
  <c r="G205" i="6"/>
  <c r="P205" i="6"/>
  <c r="E206" i="6"/>
  <c r="G206" i="6"/>
  <c r="P206" i="6"/>
  <c r="E207" i="6"/>
  <c r="G207" i="6"/>
  <c r="P207" i="6"/>
  <c r="E208" i="6"/>
  <c r="G208" i="6"/>
  <c r="P208" i="6"/>
  <c r="E209" i="6"/>
  <c r="G209" i="6"/>
  <c r="P209" i="6"/>
  <c r="E210" i="6"/>
  <c r="G210" i="6"/>
  <c r="P210" i="6"/>
  <c r="E211" i="6"/>
  <c r="G211" i="6"/>
  <c r="P211" i="6"/>
  <c r="E212" i="6"/>
  <c r="G212" i="6"/>
  <c r="P212" i="6"/>
  <c r="E213" i="6"/>
  <c r="G213" i="6"/>
  <c r="P213" i="6"/>
  <c r="E214" i="6"/>
  <c r="G214" i="6"/>
  <c r="P214" i="6"/>
  <c r="E215" i="6"/>
  <c r="G215" i="6"/>
  <c r="P215" i="6"/>
  <c r="E216" i="6"/>
  <c r="G216" i="6"/>
  <c r="P216" i="6"/>
  <c r="E217" i="6"/>
  <c r="G217" i="6"/>
  <c r="P217" i="6"/>
  <c r="E218" i="6"/>
  <c r="G218" i="6"/>
  <c r="P218" i="6"/>
  <c r="E219" i="6"/>
  <c r="G219" i="6"/>
  <c r="P219" i="6"/>
  <c r="E220" i="6"/>
  <c r="G220" i="6"/>
  <c r="P220" i="6"/>
  <c r="E221" i="6"/>
  <c r="G221" i="6"/>
  <c r="P221" i="6"/>
  <c r="E222" i="6"/>
  <c r="G222" i="6"/>
  <c r="P222" i="6"/>
  <c r="E223" i="6"/>
  <c r="G223" i="6"/>
  <c r="P223" i="6"/>
  <c r="E224" i="6"/>
  <c r="G224" i="6"/>
  <c r="P224" i="6"/>
  <c r="E225" i="6"/>
  <c r="G225" i="6"/>
  <c r="P225" i="6"/>
  <c r="E226" i="6"/>
  <c r="G226" i="6"/>
  <c r="P226" i="6"/>
  <c r="E227" i="6"/>
  <c r="G227" i="6"/>
  <c r="P227" i="6"/>
  <c r="E228" i="6"/>
  <c r="G228" i="6"/>
  <c r="P228" i="6"/>
  <c r="E229" i="6"/>
  <c r="G229" i="6"/>
  <c r="P229" i="6"/>
  <c r="E230" i="6"/>
  <c r="G230" i="6"/>
  <c r="P230" i="6"/>
  <c r="E231" i="6"/>
  <c r="G231" i="6"/>
  <c r="P231" i="6"/>
  <c r="E232" i="6"/>
  <c r="G232" i="6"/>
  <c r="P232" i="6"/>
  <c r="E233" i="6"/>
  <c r="G233" i="6"/>
  <c r="P233" i="6"/>
  <c r="E234" i="6"/>
  <c r="G234" i="6"/>
  <c r="P234" i="6"/>
  <c r="E235" i="6"/>
  <c r="G235" i="6"/>
  <c r="P235" i="6"/>
  <c r="E236" i="6"/>
  <c r="G236" i="6"/>
  <c r="P236" i="6"/>
  <c r="E237" i="6"/>
  <c r="G237" i="6"/>
  <c r="P237" i="6"/>
  <c r="E238" i="6"/>
  <c r="G238" i="6"/>
  <c r="P238" i="6"/>
  <c r="E239" i="6"/>
  <c r="G239" i="6"/>
  <c r="P239" i="6"/>
  <c r="E240" i="6"/>
  <c r="G240" i="6"/>
  <c r="P240" i="6"/>
  <c r="E241" i="6"/>
  <c r="G241" i="6"/>
  <c r="P241" i="6"/>
  <c r="E242" i="6"/>
  <c r="G242" i="6"/>
  <c r="P242" i="6"/>
  <c r="E243" i="6"/>
  <c r="G243" i="6"/>
  <c r="P243" i="6"/>
  <c r="E244" i="6"/>
  <c r="G244" i="6"/>
  <c r="P244" i="6"/>
  <c r="E245" i="6"/>
  <c r="G245" i="6"/>
  <c r="P245" i="6"/>
  <c r="E246" i="6"/>
  <c r="G246" i="6"/>
  <c r="P246" i="6"/>
  <c r="E247" i="6"/>
  <c r="G247" i="6"/>
  <c r="P247" i="6"/>
  <c r="E248" i="6"/>
  <c r="G248" i="6"/>
  <c r="P248" i="6"/>
  <c r="E249" i="6"/>
  <c r="G249" i="6"/>
  <c r="P249" i="6"/>
  <c r="E250" i="6"/>
  <c r="G250" i="6"/>
  <c r="P250" i="6"/>
  <c r="E251" i="6"/>
  <c r="G251" i="6"/>
  <c r="P251" i="6"/>
  <c r="E252" i="6"/>
  <c r="G252" i="6"/>
  <c r="P252" i="6"/>
  <c r="E253" i="6"/>
  <c r="G253" i="6"/>
  <c r="P253" i="6"/>
  <c r="K254" i="6"/>
  <c r="P254" i="6"/>
  <c r="C8" i="22"/>
  <c r="D8" i="22"/>
  <c r="E8" i="22"/>
  <c r="F8" i="22"/>
  <c r="G8" i="22"/>
  <c r="H8" i="22"/>
  <c r="I8" i="22"/>
  <c r="J8" i="22"/>
  <c r="K8" i="22"/>
  <c r="L8" i="22"/>
  <c r="M8" i="22"/>
  <c r="N8" i="22"/>
  <c r="C9" i="22"/>
  <c r="D9" i="22"/>
  <c r="E9" i="22"/>
  <c r="F9" i="22"/>
  <c r="G9" i="22"/>
  <c r="H9" i="22"/>
  <c r="I9" i="22"/>
  <c r="J9" i="22"/>
  <c r="K9" i="22"/>
  <c r="L9" i="22"/>
  <c r="M9" i="22"/>
  <c r="N9" i="22"/>
  <c r="D10" i="22"/>
  <c r="E10" i="22"/>
  <c r="F10" i="22"/>
  <c r="G10" i="22"/>
  <c r="H10" i="22"/>
  <c r="I10" i="22"/>
  <c r="J10" i="22"/>
  <c r="K10" i="22"/>
  <c r="L10" i="22"/>
  <c r="M10" i="22"/>
  <c r="N10" i="22"/>
  <c r="D11" i="22"/>
  <c r="E11" i="22"/>
  <c r="F11" i="22"/>
  <c r="G11" i="22"/>
  <c r="H11" i="22"/>
  <c r="I11" i="22"/>
  <c r="J11" i="22"/>
  <c r="K11" i="22"/>
  <c r="L11" i="22"/>
  <c r="M11" i="22"/>
  <c r="N11" i="22"/>
  <c r="O11" i="22"/>
  <c r="D14" i="22"/>
  <c r="E14" i="22"/>
  <c r="F14" i="22"/>
  <c r="G14" i="22"/>
  <c r="H14" i="22"/>
  <c r="I14" i="22"/>
  <c r="J14" i="22"/>
  <c r="K14" i="22"/>
  <c r="L14" i="22"/>
  <c r="M14" i="22"/>
  <c r="N14" i="22"/>
  <c r="D15" i="22"/>
  <c r="E15" i="22"/>
  <c r="F15" i="22"/>
  <c r="G15" i="22"/>
  <c r="H15" i="22"/>
  <c r="I15" i="22"/>
  <c r="J15" i="22"/>
  <c r="K15" i="22"/>
  <c r="L15" i="22"/>
  <c r="M15" i="22"/>
  <c r="N15" i="22"/>
  <c r="D16" i="22"/>
  <c r="E16" i="22"/>
  <c r="F16" i="22"/>
  <c r="G16" i="22"/>
  <c r="H16" i="22"/>
  <c r="I16" i="22"/>
  <c r="J16" i="22"/>
  <c r="K16" i="22"/>
  <c r="L16" i="22"/>
  <c r="M16" i="22"/>
  <c r="N16" i="22"/>
  <c r="C17" i="22"/>
  <c r="D17" i="22"/>
  <c r="E17" i="22"/>
  <c r="F17" i="22"/>
  <c r="G17" i="22"/>
  <c r="H17" i="22"/>
  <c r="I17" i="22"/>
  <c r="J17" i="22"/>
  <c r="K17" i="22"/>
  <c r="L17" i="22"/>
  <c r="M17" i="22"/>
  <c r="N17" i="22"/>
  <c r="C18" i="22"/>
  <c r="D18" i="22"/>
  <c r="E18" i="22"/>
  <c r="F18" i="22"/>
  <c r="G18" i="22"/>
  <c r="H18" i="22"/>
  <c r="I18" i="22"/>
  <c r="J18" i="22"/>
  <c r="K18" i="22"/>
  <c r="L18" i="22"/>
  <c r="M18" i="22"/>
  <c r="N18" i="22"/>
  <c r="C19" i="22"/>
  <c r="D19" i="22"/>
  <c r="E19" i="22"/>
  <c r="F19" i="22"/>
  <c r="G19" i="22"/>
  <c r="H19" i="22"/>
  <c r="I19" i="22"/>
  <c r="J19" i="22"/>
  <c r="K19" i="22"/>
  <c r="L19" i="22"/>
  <c r="M19" i="22"/>
  <c r="N19" i="22"/>
  <c r="C20" i="22"/>
  <c r="D20" i="22"/>
  <c r="E20" i="22"/>
  <c r="F20" i="22"/>
  <c r="G20" i="22"/>
  <c r="H20" i="22"/>
  <c r="I20" i="22"/>
  <c r="J20" i="22"/>
  <c r="K20" i="22"/>
  <c r="L20" i="22"/>
  <c r="M20" i="22"/>
  <c r="N20" i="22"/>
  <c r="C21" i="22"/>
  <c r="D21" i="22"/>
  <c r="E21" i="22"/>
  <c r="F21" i="22"/>
  <c r="G21" i="22"/>
  <c r="H21" i="22"/>
  <c r="I21" i="22"/>
  <c r="J21" i="22"/>
  <c r="K21" i="22"/>
  <c r="L21" i="22"/>
  <c r="M21" i="22"/>
  <c r="N21" i="22"/>
  <c r="C22" i="22"/>
  <c r="D22" i="22"/>
  <c r="E22" i="22"/>
  <c r="F22" i="22"/>
  <c r="G22" i="22"/>
  <c r="H22" i="22"/>
  <c r="I22" i="22"/>
  <c r="J22" i="22"/>
  <c r="K22" i="22"/>
  <c r="L22" i="22"/>
  <c r="M22" i="22"/>
  <c r="N22" i="22"/>
  <c r="D23" i="22"/>
  <c r="N23" i="22"/>
  <c r="C24" i="22"/>
  <c r="D24" i="22"/>
  <c r="E24" i="22"/>
  <c r="F24" i="22"/>
  <c r="G24" i="22"/>
  <c r="H24" i="22"/>
  <c r="I24" i="22"/>
  <c r="J24" i="22"/>
  <c r="K24" i="22"/>
  <c r="L24" i="22"/>
  <c r="M24" i="22"/>
  <c r="N24" i="22"/>
  <c r="C25" i="22"/>
  <c r="D25" i="22"/>
  <c r="E25" i="22"/>
  <c r="F25" i="22"/>
  <c r="G25" i="22"/>
  <c r="H25" i="22"/>
  <c r="I25" i="22"/>
  <c r="J25" i="22"/>
  <c r="K25" i="22"/>
  <c r="L25" i="22"/>
  <c r="M25" i="22"/>
  <c r="C26" i="22"/>
  <c r="D26" i="22"/>
  <c r="E26" i="22"/>
  <c r="F26" i="22"/>
  <c r="G26" i="22"/>
  <c r="H26" i="22"/>
  <c r="I26" i="22"/>
  <c r="J26" i="22"/>
  <c r="K26" i="22"/>
  <c r="L26" i="22"/>
  <c r="M26" i="22"/>
  <c r="N26" i="22"/>
  <c r="D27" i="22"/>
  <c r="E27" i="22"/>
  <c r="F27" i="22"/>
  <c r="G27" i="22"/>
  <c r="H27" i="22"/>
  <c r="I27" i="22"/>
  <c r="J27" i="22"/>
  <c r="K27" i="22"/>
  <c r="L27" i="22"/>
  <c r="M27" i="22"/>
  <c r="N27" i="22"/>
  <c r="C28" i="22"/>
  <c r="D28" i="22"/>
  <c r="E28" i="22"/>
  <c r="F28" i="22"/>
  <c r="G28" i="22"/>
  <c r="H28" i="22"/>
  <c r="I28" i="22"/>
  <c r="J28" i="22"/>
  <c r="K28" i="22"/>
  <c r="L28" i="22"/>
  <c r="M28" i="22"/>
  <c r="N28" i="22"/>
  <c r="D30" i="22"/>
  <c r="E30" i="22"/>
  <c r="F30" i="22"/>
  <c r="G30" i="22"/>
  <c r="H30" i="22"/>
  <c r="I30" i="22"/>
  <c r="J30" i="22"/>
  <c r="K30" i="22"/>
  <c r="L30" i="22"/>
  <c r="M30" i="22"/>
  <c r="N30" i="22"/>
  <c r="C33" i="22"/>
  <c r="D33" i="22"/>
  <c r="E33" i="22"/>
  <c r="F33" i="22"/>
  <c r="G33" i="22"/>
  <c r="H33" i="22"/>
  <c r="I33" i="22"/>
  <c r="J33" i="22"/>
  <c r="K33" i="22"/>
  <c r="L33" i="22"/>
  <c r="M33" i="22"/>
  <c r="N33" i="22"/>
  <c r="C34" i="22"/>
  <c r="D34" i="22"/>
  <c r="E34" i="22"/>
  <c r="F34" i="22"/>
  <c r="G34" i="22"/>
  <c r="H34" i="22"/>
  <c r="I34" i="22"/>
  <c r="J34" i="22"/>
  <c r="K34" i="22"/>
  <c r="L34" i="22"/>
  <c r="M34" i="22"/>
  <c r="N34" i="22"/>
  <c r="C35" i="22"/>
  <c r="D35" i="22"/>
  <c r="E35" i="22"/>
  <c r="F35" i="22"/>
  <c r="G35" i="22"/>
  <c r="H35" i="22"/>
  <c r="I35" i="22"/>
  <c r="J35" i="22"/>
  <c r="K35" i="22"/>
  <c r="L35" i="22"/>
  <c r="M35" i="22"/>
  <c r="N35" i="22"/>
  <c r="C36" i="22"/>
  <c r="D36" i="22"/>
  <c r="E36" i="22"/>
  <c r="F36" i="22"/>
  <c r="G36" i="22"/>
  <c r="H36" i="22"/>
  <c r="I36" i="22"/>
  <c r="J36" i="22"/>
  <c r="K36" i="22"/>
  <c r="L36" i="22"/>
  <c r="M36" i="22"/>
  <c r="N36" i="22"/>
  <c r="D38" i="22"/>
  <c r="E38" i="22"/>
  <c r="F38" i="22"/>
  <c r="G38" i="22"/>
  <c r="H38" i="22"/>
  <c r="I38" i="22"/>
  <c r="J38" i="22"/>
  <c r="K38" i="22"/>
  <c r="L38" i="22"/>
  <c r="M38" i="22"/>
  <c r="N38" i="22"/>
  <c r="D41" i="22"/>
  <c r="E41" i="22"/>
  <c r="F41" i="22"/>
  <c r="G41" i="22"/>
  <c r="H41" i="22"/>
  <c r="I41" i="22"/>
  <c r="J41" i="22"/>
  <c r="K41" i="22"/>
  <c r="L41" i="22"/>
  <c r="M41" i="22"/>
  <c r="N41" i="22"/>
  <c r="D42" i="22"/>
  <c r="E42" i="22"/>
  <c r="F42" i="22"/>
  <c r="G42" i="22"/>
  <c r="H42" i="22"/>
  <c r="I42" i="22"/>
  <c r="J42" i="22"/>
  <c r="K42" i="22"/>
  <c r="L42" i="22"/>
  <c r="M42" i="22"/>
  <c r="N42" i="22"/>
  <c r="C43" i="22"/>
  <c r="D43" i="22"/>
  <c r="E43" i="22"/>
  <c r="F43" i="22"/>
  <c r="G43" i="22"/>
  <c r="H43" i="22"/>
  <c r="I43" i="22"/>
  <c r="J43" i="22"/>
  <c r="K43" i="22"/>
  <c r="L43" i="22"/>
  <c r="M43" i="22"/>
  <c r="N43" i="22"/>
  <c r="D45" i="22"/>
  <c r="E45" i="22"/>
  <c r="F45" i="22"/>
  <c r="G45" i="22"/>
  <c r="H45" i="22"/>
  <c r="I45" i="22"/>
  <c r="J45" i="22"/>
  <c r="K45" i="22"/>
  <c r="L45" i="22"/>
  <c r="M45" i="22"/>
  <c r="N45" i="22"/>
  <c r="B48" i="22"/>
  <c r="B49" i="22"/>
  <c r="B50" i="22"/>
  <c r="B52" i="22"/>
  <c r="D52" i="22"/>
  <c r="E52" i="22"/>
  <c r="F52" i="22"/>
  <c r="G52" i="22"/>
  <c r="H52" i="22"/>
  <c r="I52" i="22"/>
  <c r="J52" i="22"/>
  <c r="K52" i="22"/>
  <c r="L52" i="22"/>
  <c r="M52" i="22"/>
  <c r="B57" i="22"/>
  <c r="B58" i="22"/>
  <c r="B59" i="22"/>
  <c r="B60" i="22"/>
  <c r="B61" i="22"/>
  <c r="B63" i="22"/>
  <c r="B64" i="22"/>
  <c r="B65" i="22"/>
  <c r="B66" i="22"/>
  <c r="A4" i="23"/>
  <c r="C9" i="23"/>
  <c r="D9" i="23"/>
  <c r="E9" i="23"/>
  <c r="F9" i="23"/>
  <c r="G9" i="23"/>
  <c r="H9" i="23"/>
  <c r="I9" i="23"/>
  <c r="J9" i="23"/>
  <c r="K9" i="23"/>
  <c r="L9" i="23"/>
  <c r="M9" i="23"/>
  <c r="N9" i="23"/>
  <c r="C10" i="23"/>
  <c r="D10" i="23"/>
  <c r="E10" i="23"/>
  <c r="F10" i="23"/>
  <c r="G10" i="23"/>
  <c r="H10" i="23"/>
  <c r="I10" i="23"/>
  <c r="J10" i="23"/>
  <c r="K10" i="23"/>
  <c r="L10" i="23"/>
  <c r="M10" i="23"/>
  <c r="N10" i="23"/>
  <c r="C11" i="23"/>
  <c r="M11" i="23"/>
  <c r="N11" i="23"/>
  <c r="C12" i="23"/>
  <c r="D12" i="23"/>
  <c r="E12" i="23"/>
  <c r="F12" i="23"/>
  <c r="G12" i="23"/>
  <c r="H12" i="23"/>
  <c r="I12" i="23"/>
  <c r="J12" i="23"/>
  <c r="K12" i="23"/>
  <c r="L12" i="23"/>
  <c r="M12" i="23"/>
  <c r="N12" i="23"/>
  <c r="C14" i="23"/>
  <c r="D14" i="23"/>
  <c r="E14" i="23"/>
  <c r="F14" i="23"/>
  <c r="G14" i="23"/>
  <c r="H14" i="23"/>
  <c r="I14" i="23"/>
  <c r="J14" i="23"/>
  <c r="K14" i="23"/>
  <c r="L14" i="23"/>
  <c r="M14" i="23"/>
  <c r="N14" i="23"/>
  <c r="C15" i="23"/>
  <c r="D15" i="23"/>
  <c r="E15" i="23"/>
  <c r="F15" i="23"/>
  <c r="G15" i="23"/>
  <c r="H15" i="23"/>
  <c r="I15" i="23"/>
  <c r="J15" i="23"/>
  <c r="K15" i="23"/>
  <c r="L15" i="23"/>
  <c r="M15" i="23"/>
  <c r="N15" i="23"/>
  <c r="M16" i="23"/>
  <c r="C17" i="23"/>
  <c r="D17" i="23"/>
  <c r="E17" i="23"/>
  <c r="F17" i="23"/>
  <c r="G17" i="23"/>
  <c r="H17" i="23"/>
  <c r="I17" i="23"/>
  <c r="J17" i="23"/>
  <c r="K17" i="23"/>
  <c r="L17" i="23"/>
  <c r="M17" i="23"/>
  <c r="N17" i="23"/>
  <c r="C19" i="23"/>
  <c r="D19" i="23"/>
  <c r="E19" i="23"/>
  <c r="F19" i="23"/>
  <c r="G19" i="23"/>
  <c r="H19" i="23"/>
  <c r="I19" i="23"/>
  <c r="J19" i="23"/>
  <c r="K19" i="23"/>
  <c r="L19" i="23"/>
  <c r="M19" i="23"/>
  <c r="N19" i="23"/>
  <c r="N20" i="23"/>
  <c r="C22" i="23"/>
  <c r="D22" i="23"/>
  <c r="E22" i="23"/>
  <c r="F22" i="23"/>
  <c r="G22" i="23"/>
  <c r="H22" i="23"/>
  <c r="I22" i="23"/>
  <c r="J22" i="23"/>
  <c r="K22" i="23"/>
  <c r="L22" i="23"/>
  <c r="M22" i="23"/>
  <c r="N22" i="23"/>
  <c r="C24" i="23"/>
  <c r="D24" i="23"/>
  <c r="E24" i="23"/>
  <c r="F24" i="23"/>
  <c r="G24" i="23"/>
  <c r="H24" i="23"/>
  <c r="I24" i="23"/>
  <c r="J24" i="23"/>
  <c r="K24" i="23"/>
  <c r="L24" i="23"/>
  <c r="M24" i="23"/>
  <c r="D25" i="23"/>
  <c r="E25" i="23"/>
  <c r="F25" i="23"/>
  <c r="G25" i="23"/>
  <c r="H25" i="23"/>
  <c r="I25" i="23"/>
  <c r="J25" i="23"/>
  <c r="K25" i="23"/>
  <c r="L25" i="23"/>
  <c r="M25" i="23"/>
  <c r="N25" i="23"/>
  <c r="D26" i="23"/>
  <c r="E26" i="23"/>
  <c r="F26" i="23"/>
  <c r="G26" i="23"/>
  <c r="H26" i="23"/>
  <c r="I26" i="23"/>
  <c r="J26" i="23"/>
  <c r="K26" i="23"/>
  <c r="L26" i="23"/>
  <c r="N26" i="23"/>
  <c r="C28" i="23"/>
  <c r="D28" i="23"/>
  <c r="E28" i="23"/>
  <c r="F28" i="23"/>
  <c r="G28" i="23"/>
  <c r="H28" i="23"/>
  <c r="I28" i="23"/>
  <c r="J28" i="23"/>
  <c r="K28" i="23"/>
  <c r="L28" i="23"/>
  <c r="M28" i="23"/>
  <c r="N28" i="23"/>
  <c r="B30" i="23"/>
  <c r="C36" i="23"/>
  <c r="D36" i="23"/>
  <c r="E36" i="23"/>
  <c r="F36" i="23"/>
  <c r="G36" i="23"/>
  <c r="H36" i="23"/>
  <c r="I36" i="23"/>
  <c r="J36" i="23"/>
  <c r="K36" i="23"/>
  <c r="L36" i="23"/>
  <c r="D42" i="23"/>
  <c r="E42" i="23"/>
  <c r="F42" i="23"/>
  <c r="G42" i="23"/>
  <c r="H42" i="23"/>
  <c r="I42" i="23"/>
  <c r="J42" i="23"/>
  <c r="K42" i="23"/>
  <c r="L42" i="23"/>
  <c r="N42" i="23"/>
  <c r="C43" i="23"/>
  <c r="D43" i="23"/>
  <c r="E43" i="23"/>
  <c r="F43" i="23"/>
  <c r="G43" i="23"/>
  <c r="H43" i="23"/>
  <c r="I43" i="23"/>
  <c r="J43" i="23"/>
  <c r="K43" i="23"/>
  <c r="L43" i="23"/>
  <c r="M43" i="23"/>
  <c r="N43" i="23"/>
  <c r="C44" i="23"/>
  <c r="D44" i="23"/>
  <c r="E44" i="23"/>
  <c r="F44" i="23"/>
  <c r="G44" i="23"/>
  <c r="H44" i="23"/>
  <c r="I44" i="23"/>
  <c r="J44" i="23"/>
  <c r="K44" i="23"/>
  <c r="L44" i="23"/>
  <c r="B48" i="23"/>
  <c r="B49" i="23"/>
  <c r="B50" i="23"/>
  <c r="B51" i="23"/>
  <c r="B52" i="23"/>
  <c r="C13" i="24"/>
  <c r="D13" i="24"/>
  <c r="E13" i="24"/>
  <c r="F13" i="24"/>
  <c r="G13" i="24"/>
  <c r="H13" i="24"/>
  <c r="I13" i="24"/>
  <c r="J13" i="24"/>
  <c r="K13" i="24"/>
  <c r="L13" i="24"/>
  <c r="C14" i="24"/>
  <c r="D14" i="24"/>
  <c r="E14" i="24"/>
  <c r="F14" i="24"/>
  <c r="G14" i="24"/>
  <c r="H14" i="24"/>
  <c r="I14" i="24"/>
  <c r="J14" i="24"/>
  <c r="K14" i="24"/>
  <c r="L14" i="24"/>
  <c r="C15" i="24"/>
  <c r="D15" i="24"/>
  <c r="E15" i="24"/>
  <c r="F15" i="24"/>
  <c r="G15" i="24"/>
  <c r="H15" i="24"/>
  <c r="I15" i="24"/>
  <c r="J15" i="24"/>
  <c r="K15" i="24"/>
  <c r="L15" i="24"/>
  <c r="C16" i="24"/>
  <c r="D16" i="24"/>
  <c r="E16" i="24"/>
  <c r="F16" i="24"/>
  <c r="G16" i="24"/>
  <c r="H16" i="24"/>
  <c r="I16" i="24"/>
  <c r="J16" i="24"/>
  <c r="K16" i="24"/>
  <c r="L16" i="24"/>
  <c r="B17" i="24"/>
  <c r="C17" i="24"/>
  <c r="D17" i="24"/>
  <c r="E17" i="24"/>
  <c r="F17" i="24"/>
  <c r="G17" i="24"/>
  <c r="H17" i="24"/>
  <c r="I17" i="24"/>
  <c r="J17" i="24"/>
  <c r="K17" i="24"/>
  <c r="L17" i="24"/>
  <c r="B19" i="24"/>
  <c r="C22" i="21"/>
  <c r="D22" i="21"/>
  <c r="E22" i="21"/>
  <c r="F22" i="21"/>
  <c r="G22" i="21"/>
  <c r="H22" i="21"/>
  <c r="I22" i="21"/>
  <c r="J22" i="21"/>
  <c r="K22" i="21"/>
  <c r="B28" i="21"/>
  <c r="C33" i="21"/>
  <c r="D33" i="21"/>
  <c r="E33" i="21"/>
  <c r="F33" i="21"/>
  <c r="G33" i="21"/>
  <c r="H33" i="21"/>
  <c r="I33" i="21"/>
  <c r="J33" i="21"/>
  <c r="K33" i="21"/>
  <c r="B35" i="21"/>
  <c r="C35" i="21"/>
  <c r="D35" i="21"/>
  <c r="E35" i="21"/>
  <c r="F35" i="21"/>
  <c r="G35" i="21"/>
  <c r="H35" i="21"/>
  <c r="I35" i="21"/>
  <c r="J35" i="21"/>
  <c r="K35" i="21"/>
  <c r="B41" i="21"/>
  <c r="C41" i="21"/>
  <c r="D41" i="21"/>
  <c r="E41" i="21"/>
  <c r="F41" i="21"/>
  <c r="G41" i="21"/>
  <c r="H41" i="21"/>
  <c r="I41" i="21"/>
  <c r="J41" i="21"/>
  <c r="K41" i="21"/>
  <c r="B43" i="21"/>
  <c r="C43" i="21"/>
  <c r="D43" i="21"/>
  <c r="E43" i="21"/>
  <c r="F43" i="21"/>
  <c r="G43" i="21"/>
  <c r="H43" i="21"/>
  <c r="I43" i="21"/>
  <c r="J43" i="21"/>
  <c r="K43" i="21"/>
  <c r="B44" i="21"/>
  <c r="C44" i="21"/>
  <c r="D44" i="21"/>
  <c r="E44" i="21"/>
  <c r="F44" i="21"/>
  <c r="G44" i="21"/>
  <c r="H44" i="21"/>
  <c r="I44" i="21"/>
  <c r="J44" i="21"/>
  <c r="K44" i="21"/>
  <c r="B45" i="21"/>
  <c r="C45" i="21"/>
  <c r="D45" i="21"/>
  <c r="E45" i="21"/>
  <c r="F45" i="21"/>
  <c r="G45" i="21"/>
  <c r="H45" i="21"/>
  <c r="I45" i="21"/>
  <c r="J45" i="21"/>
  <c r="K45" i="21"/>
  <c r="B46" i="21"/>
  <c r="C46" i="21"/>
  <c r="D46" i="21"/>
  <c r="E46" i="21"/>
  <c r="F46" i="21"/>
  <c r="G46" i="21"/>
  <c r="H46" i="21"/>
  <c r="I46" i="21"/>
  <c r="J46" i="21"/>
  <c r="K46" i="21"/>
  <c r="B48" i="21"/>
  <c r="C48" i="21"/>
  <c r="D48" i="21"/>
  <c r="E48" i="21"/>
  <c r="F48" i="21"/>
  <c r="G48" i="21"/>
  <c r="H48" i="21"/>
  <c r="I48" i="21"/>
  <c r="J48" i="21"/>
  <c r="K48" i="21"/>
  <c r="B49" i="21"/>
  <c r="B52" i="21"/>
  <c r="C52" i="21"/>
  <c r="D52" i="21"/>
  <c r="E52" i="21"/>
  <c r="F52" i="21"/>
  <c r="G52" i="21"/>
  <c r="H52" i="21"/>
  <c r="I52" i="21"/>
  <c r="J52" i="21"/>
  <c r="K52" i="21"/>
  <c r="B53" i="21"/>
  <c r="C53" i="21"/>
  <c r="D53" i="21"/>
  <c r="E53" i="21"/>
  <c r="F53" i="21"/>
  <c r="G53" i="21"/>
  <c r="H53" i="21"/>
  <c r="I53" i="21"/>
  <c r="J53" i="21"/>
  <c r="K53" i="21"/>
  <c r="B54" i="21"/>
  <c r="C54" i="21"/>
  <c r="D54" i="21"/>
  <c r="E54" i="21"/>
  <c r="F54" i="21"/>
  <c r="G54" i="21"/>
  <c r="H54" i="21"/>
  <c r="I54" i="21"/>
  <c r="J54" i="21"/>
  <c r="K54" i="21"/>
  <c r="B55" i="21"/>
  <c r="C55" i="21"/>
  <c r="D55" i="21"/>
  <c r="E55" i="21"/>
  <c r="F55" i="21"/>
  <c r="G55" i="21"/>
  <c r="H55" i="21"/>
  <c r="I55" i="21"/>
  <c r="J55" i="21"/>
  <c r="K55" i="21"/>
  <c r="B57" i="21"/>
  <c r="C57" i="21"/>
  <c r="D57" i="21"/>
  <c r="E57" i="21"/>
  <c r="F57" i="21"/>
  <c r="G57" i="21"/>
  <c r="H57" i="21"/>
  <c r="I57" i="21"/>
  <c r="J57" i="21"/>
  <c r="K57" i="21"/>
  <c r="B58" i="21"/>
  <c r="C58" i="21"/>
  <c r="D58" i="21"/>
  <c r="E58" i="21"/>
  <c r="F58" i="21"/>
  <c r="G58" i="21"/>
  <c r="H58" i="21"/>
  <c r="I58" i="21"/>
  <c r="J58" i="21"/>
  <c r="K58" i="21"/>
  <c r="B59" i="21"/>
  <c r="C59" i="21"/>
  <c r="D59" i="21"/>
  <c r="E59" i="21"/>
  <c r="F59" i="21"/>
  <c r="G59" i="21"/>
  <c r="H59" i="21"/>
  <c r="I59" i="21"/>
  <c r="J59" i="21"/>
  <c r="K59" i="21"/>
  <c r="B61" i="21"/>
  <c r="C61" i="21"/>
  <c r="D61" i="21"/>
  <c r="E61" i="21"/>
  <c r="F61" i="21"/>
  <c r="G61" i="21"/>
  <c r="H61" i="21"/>
  <c r="I61" i="21"/>
  <c r="J61" i="21"/>
  <c r="K61" i="21"/>
  <c r="B62" i="21"/>
  <c r="B63" i="21"/>
  <c r="A71" i="21"/>
  <c r="B71" i="21"/>
  <c r="C71" i="21"/>
  <c r="D71" i="21"/>
  <c r="E71" i="21"/>
  <c r="F71" i="21"/>
  <c r="G71" i="21"/>
  <c r="H71" i="21"/>
  <c r="I71" i="21"/>
  <c r="J71" i="21"/>
  <c r="K71" i="21"/>
  <c r="A72" i="21"/>
  <c r="B72" i="21"/>
  <c r="C72" i="21"/>
  <c r="D72" i="21"/>
  <c r="E72" i="21"/>
  <c r="F72" i="21"/>
  <c r="G72" i="21"/>
  <c r="H72" i="21"/>
  <c r="I72" i="21"/>
  <c r="J72" i="21"/>
  <c r="K72" i="21"/>
  <c r="B73" i="21"/>
  <c r="A77" i="21"/>
  <c r="B77" i="21"/>
  <c r="C77" i="21"/>
  <c r="D77" i="21"/>
  <c r="E77" i="21"/>
  <c r="F77" i="21"/>
  <c r="G77" i="21"/>
  <c r="H77" i="21"/>
  <c r="I77" i="21"/>
  <c r="J77" i="21"/>
  <c r="K77" i="21"/>
  <c r="B79" i="21"/>
  <c r="C79" i="21"/>
  <c r="D79" i="21"/>
  <c r="E79" i="21"/>
  <c r="F79" i="21"/>
  <c r="G79" i="21"/>
  <c r="H79" i="21"/>
  <c r="I79" i="21"/>
  <c r="J79" i="21"/>
  <c r="K79" i="21"/>
  <c r="B80" i="21"/>
  <c r="B81" i="21"/>
  <c r="C81" i="21"/>
  <c r="D81" i="21"/>
  <c r="E81" i="21"/>
  <c r="F81" i="21"/>
  <c r="G81" i="21"/>
  <c r="H81" i="21"/>
  <c r="I81" i="21"/>
  <c r="J81" i="21"/>
  <c r="K81" i="21"/>
  <c r="B82" i="21"/>
  <c r="C82" i="21"/>
  <c r="D82" i="21"/>
  <c r="E82" i="21"/>
  <c r="F82" i="21"/>
  <c r="G82" i="21"/>
  <c r="H82" i="21"/>
  <c r="I82" i="21"/>
  <c r="J82" i="21"/>
  <c r="K82" i="21"/>
  <c r="B83" i="21"/>
  <c r="C83" i="21"/>
  <c r="D83" i="21"/>
  <c r="E83" i="21"/>
  <c r="F83" i="21"/>
  <c r="G83" i="21"/>
  <c r="H83" i="21"/>
  <c r="I83" i="21"/>
  <c r="J83" i="21"/>
  <c r="K83" i="21"/>
  <c r="B84" i="21"/>
  <c r="B86" i="21"/>
  <c r="C86" i="21"/>
  <c r="D86" i="21"/>
  <c r="E86" i="21"/>
  <c r="F86" i="21"/>
  <c r="G86" i="21"/>
  <c r="H86" i="21"/>
  <c r="I86" i="21"/>
  <c r="J86" i="21"/>
  <c r="K86" i="21"/>
  <c r="B87" i="21"/>
  <c r="B94" i="21"/>
  <c r="B97" i="21"/>
  <c r="B98" i="21"/>
  <c r="C98" i="21"/>
  <c r="D98" i="21"/>
  <c r="E98" i="21"/>
  <c r="F98" i="21"/>
  <c r="G98" i="21"/>
  <c r="H98" i="21"/>
  <c r="I98" i="21"/>
  <c r="J98" i="21"/>
  <c r="K98" i="21"/>
  <c r="B100" i="21"/>
  <c r="C100" i="21"/>
  <c r="D100" i="21"/>
  <c r="E100" i="21"/>
  <c r="F100" i="21"/>
  <c r="G100" i="21"/>
  <c r="H100" i="21"/>
  <c r="I100" i="21"/>
  <c r="J100" i="21"/>
  <c r="K100" i="21"/>
  <c r="B102" i="21"/>
  <c r="T7" i="1"/>
  <c r="V7" i="1"/>
  <c r="X7" i="1"/>
  <c r="Y7" i="1"/>
  <c r="AA7" i="1"/>
  <c r="AB7" i="1"/>
  <c r="AC7" i="1"/>
  <c r="AD7" i="1"/>
  <c r="AE7" i="1"/>
  <c r="AF7" i="1"/>
  <c r="AG7" i="1"/>
  <c r="AM7" i="1"/>
  <c r="T8" i="1"/>
  <c r="V8" i="1"/>
  <c r="X8" i="1"/>
  <c r="Y8" i="1"/>
  <c r="AA8" i="1"/>
  <c r="AB8" i="1"/>
  <c r="AC8" i="1"/>
  <c r="AD8" i="1"/>
  <c r="AE8" i="1"/>
  <c r="AF8" i="1"/>
  <c r="AG8" i="1"/>
  <c r="AM8" i="1"/>
  <c r="T9" i="1"/>
  <c r="V9" i="1"/>
  <c r="X9" i="1"/>
  <c r="Y9" i="1"/>
  <c r="AA9" i="1"/>
  <c r="AB9" i="1"/>
  <c r="AC9" i="1"/>
  <c r="AD9" i="1"/>
  <c r="AE9" i="1"/>
  <c r="AF9" i="1"/>
  <c r="AG9" i="1"/>
  <c r="T10" i="1"/>
  <c r="V10" i="1"/>
  <c r="X10" i="1"/>
  <c r="Y10" i="1"/>
  <c r="AA10" i="1"/>
  <c r="AB10" i="1"/>
  <c r="AC10" i="1"/>
  <c r="AD10" i="1"/>
  <c r="AE10" i="1"/>
  <c r="AF10" i="1"/>
  <c r="AG10" i="1"/>
  <c r="T11" i="1"/>
  <c r="V11" i="1"/>
  <c r="X11" i="1"/>
  <c r="Y11" i="1"/>
  <c r="AA11" i="1"/>
  <c r="AB11" i="1"/>
  <c r="AC11" i="1"/>
  <c r="AD11" i="1"/>
  <c r="AE11" i="1"/>
  <c r="AF11" i="1"/>
  <c r="AG11" i="1"/>
  <c r="T12" i="1"/>
  <c r="V12" i="1"/>
  <c r="X12" i="1"/>
  <c r="Y12" i="1"/>
  <c r="AA12" i="1"/>
  <c r="AB12" i="1"/>
  <c r="AC12" i="1"/>
  <c r="AD12" i="1"/>
  <c r="AE12" i="1"/>
  <c r="AF12" i="1"/>
  <c r="AG12" i="1"/>
  <c r="T13" i="1"/>
  <c r="V13" i="1"/>
  <c r="X13" i="1"/>
  <c r="Y13" i="1"/>
  <c r="AA13" i="1"/>
  <c r="AB13" i="1"/>
  <c r="AC13" i="1"/>
  <c r="AD13" i="1"/>
  <c r="AE13" i="1"/>
  <c r="AF13" i="1"/>
  <c r="AG13" i="1"/>
  <c r="T15" i="1"/>
  <c r="V15" i="1"/>
  <c r="X15" i="1"/>
  <c r="Y15" i="1"/>
  <c r="AA15" i="1"/>
  <c r="AB15" i="1"/>
  <c r="AC15" i="1"/>
  <c r="AD15" i="1"/>
  <c r="AE15" i="1"/>
  <c r="AF15" i="1"/>
  <c r="AG15" i="1"/>
  <c r="T16" i="1"/>
  <c r="V16" i="1"/>
  <c r="X16" i="1"/>
  <c r="Y16" i="1"/>
  <c r="AA16" i="1"/>
  <c r="AB16" i="1"/>
  <c r="AC16" i="1"/>
  <c r="AD16" i="1"/>
  <c r="AE16" i="1"/>
  <c r="AF16" i="1"/>
  <c r="AG16" i="1"/>
  <c r="T17" i="1"/>
  <c r="V17" i="1"/>
  <c r="X17" i="1"/>
  <c r="Y17" i="1"/>
  <c r="AA17" i="1"/>
  <c r="AB17" i="1"/>
  <c r="AC17" i="1"/>
  <c r="AD17" i="1"/>
  <c r="AE17" i="1"/>
  <c r="AF17" i="1"/>
  <c r="AG17" i="1"/>
  <c r="T18" i="1"/>
  <c r="V18" i="1"/>
  <c r="X18" i="1"/>
  <c r="Y18" i="1"/>
  <c r="AA18" i="1"/>
  <c r="AB18" i="1"/>
  <c r="AC18" i="1"/>
  <c r="AD18" i="1"/>
  <c r="AE18" i="1"/>
  <c r="AF18" i="1"/>
  <c r="AG18" i="1"/>
  <c r="T19" i="1"/>
  <c r="V19" i="1"/>
  <c r="X19" i="1"/>
  <c r="Y19" i="1"/>
  <c r="AA19" i="1"/>
  <c r="AB19" i="1"/>
  <c r="AC19" i="1"/>
  <c r="AD19" i="1"/>
  <c r="AE19" i="1"/>
  <c r="AF19" i="1"/>
  <c r="AG19" i="1"/>
  <c r="T20" i="1"/>
  <c r="V20" i="1"/>
  <c r="X20" i="1"/>
  <c r="Y20" i="1"/>
  <c r="AA20" i="1"/>
  <c r="AB20" i="1"/>
  <c r="AC20" i="1"/>
  <c r="AD20" i="1"/>
  <c r="AE20" i="1"/>
  <c r="AF20" i="1"/>
  <c r="AG20" i="1"/>
  <c r="T21" i="1"/>
  <c r="V21" i="1"/>
  <c r="X21" i="1"/>
  <c r="Y21" i="1"/>
  <c r="AA21" i="1"/>
  <c r="AB21" i="1"/>
  <c r="AC21" i="1"/>
  <c r="AD21" i="1"/>
  <c r="AE21" i="1"/>
  <c r="AF21" i="1"/>
  <c r="AG21" i="1"/>
  <c r="T22" i="1"/>
  <c r="V22" i="1"/>
  <c r="X22" i="1"/>
  <c r="Y22" i="1"/>
  <c r="AA22" i="1"/>
  <c r="AB22" i="1"/>
  <c r="AC22" i="1"/>
  <c r="AD22" i="1"/>
  <c r="AE22" i="1"/>
  <c r="AF22" i="1"/>
  <c r="AG22" i="1"/>
  <c r="T23" i="1"/>
  <c r="V23" i="1"/>
  <c r="X23" i="1"/>
  <c r="Y23" i="1"/>
  <c r="AA23" i="1"/>
  <c r="AB23" i="1"/>
  <c r="AC23" i="1"/>
  <c r="AD23" i="1"/>
  <c r="AE23" i="1"/>
  <c r="AF23" i="1"/>
  <c r="AG23" i="1"/>
  <c r="T24" i="1"/>
  <c r="V24" i="1"/>
  <c r="X24" i="1"/>
  <c r="Y24" i="1"/>
  <c r="AA24" i="1"/>
  <c r="AB24" i="1"/>
  <c r="AC24" i="1"/>
  <c r="AD24" i="1"/>
  <c r="AE24" i="1"/>
  <c r="AF24" i="1"/>
  <c r="AG24" i="1"/>
  <c r="T25" i="1"/>
  <c r="V25" i="1"/>
  <c r="X25" i="1"/>
  <c r="Y25" i="1"/>
  <c r="AA25" i="1"/>
  <c r="AB25" i="1"/>
  <c r="AC25" i="1"/>
  <c r="AD25" i="1"/>
  <c r="AE25" i="1"/>
  <c r="AF25" i="1"/>
  <c r="AG25" i="1"/>
  <c r="T26" i="1"/>
  <c r="V26" i="1"/>
  <c r="X26" i="1"/>
  <c r="Y26" i="1"/>
  <c r="AA26" i="1"/>
  <c r="AB26" i="1"/>
  <c r="AC26" i="1"/>
  <c r="AD26" i="1"/>
  <c r="AE26" i="1"/>
  <c r="AF26" i="1"/>
  <c r="AG26" i="1"/>
  <c r="T27" i="1"/>
  <c r="V27" i="1"/>
  <c r="X27" i="1"/>
  <c r="Y27" i="1"/>
  <c r="AA27" i="1"/>
  <c r="AB27" i="1"/>
  <c r="AC27" i="1"/>
  <c r="AD27" i="1"/>
  <c r="AE27" i="1"/>
  <c r="AF27" i="1"/>
  <c r="AG27" i="1"/>
  <c r="T28" i="1"/>
  <c r="V28" i="1"/>
  <c r="X28" i="1"/>
  <c r="Y28" i="1"/>
  <c r="AA28" i="1"/>
  <c r="AB28" i="1"/>
  <c r="AC28" i="1"/>
  <c r="AD28" i="1"/>
  <c r="AE28" i="1"/>
  <c r="AF28" i="1"/>
  <c r="AG28" i="1"/>
  <c r="T29" i="1"/>
  <c r="V29" i="1"/>
  <c r="X29" i="1"/>
  <c r="Y29" i="1"/>
  <c r="AA29" i="1"/>
  <c r="AB29" i="1"/>
  <c r="AC29" i="1"/>
  <c r="AD29" i="1"/>
  <c r="AE29" i="1"/>
  <c r="AF29" i="1"/>
  <c r="AG29" i="1"/>
  <c r="T30" i="1"/>
  <c r="V30" i="1"/>
  <c r="X30" i="1"/>
  <c r="Y30" i="1"/>
  <c r="AA30" i="1"/>
  <c r="AB30" i="1"/>
  <c r="AC30" i="1"/>
  <c r="AD30" i="1"/>
  <c r="AE30" i="1"/>
  <c r="AF30" i="1"/>
  <c r="AG30" i="1"/>
  <c r="T31" i="1"/>
  <c r="V31" i="1"/>
  <c r="X31" i="1"/>
  <c r="Y31" i="1"/>
  <c r="AA31" i="1"/>
  <c r="AB31" i="1"/>
  <c r="AC31" i="1"/>
  <c r="AD31" i="1"/>
  <c r="AE31" i="1"/>
  <c r="AF31" i="1"/>
  <c r="AG31" i="1"/>
  <c r="T32" i="1"/>
  <c r="V32" i="1"/>
  <c r="X32" i="1"/>
  <c r="Y32" i="1"/>
  <c r="AA32" i="1"/>
  <c r="AB32" i="1"/>
  <c r="AC32" i="1"/>
  <c r="AD32" i="1"/>
  <c r="AE32" i="1"/>
  <c r="AF32" i="1"/>
  <c r="AG32" i="1"/>
  <c r="T33" i="1"/>
  <c r="V33" i="1"/>
  <c r="X33" i="1"/>
  <c r="Y33" i="1"/>
  <c r="AA33" i="1"/>
  <c r="AB33" i="1"/>
  <c r="AC33" i="1"/>
  <c r="AD33" i="1"/>
  <c r="AE33" i="1"/>
  <c r="AF33" i="1"/>
  <c r="AG33" i="1"/>
  <c r="T34" i="1"/>
  <c r="V34" i="1"/>
  <c r="X34" i="1"/>
  <c r="Y34" i="1"/>
  <c r="AA34" i="1"/>
  <c r="AB34" i="1"/>
  <c r="AC34" i="1"/>
  <c r="AD34" i="1"/>
  <c r="AE34" i="1"/>
  <c r="AF34" i="1"/>
  <c r="AG34" i="1"/>
  <c r="T35" i="1"/>
  <c r="V35" i="1"/>
  <c r="X35" i="1"/>
  <c r="Y35" i="1"/>
  <c r="AA35" i="1"/>
  <c r="AB35" i="1"/>
  <c r="AC35" i="1"/>
  <c r="AD35" i="1"/>
  <c r="AE35" i="1"/>
  <c r="AF35" i="1"/>
  <c r="AG35" i="1"/>
  <c r="T36" i="1"/>
  <c r="V36" i="1"/>
  <c r="X36" i="1"/>
  <c r="Y36" i="1"/>
  <c r="AA36" i="1"/>
  <c r="AB36" i="1"/>
  <c r="AC36" i="1"/>
  <c r="AD36" i="1"/>
  <c r="AE36" i="1"/>
  <c r="AF36" i="1"/>
  <c r="AG36" i="1"/>
  <c r="T37" i="1"/>
  <c r="V37" i="1"/>
  <c r="X37" i="1"/>
  <c r="Y37" i="1"/>
  <c r="AA37" i="1"/>
  <c r="AB37" i="1"/>
  <c r="AC37" i="1"/>
  <c r="AD37" i="1"/>
  <c r="AE37" i="1"/>
  <c r="AF37" i="1"/>
  <c r="AG37" i="1"/>
  <c r="T38" i="1"/>
  <c r="V38" i="1"/>
  <c r="X38" i="1"/>
  <c r="Y38" i="1"/>
  <c r="AA38" i="1"/>
  <c r="AB38" i="1"/>
  <c r="AC38" i="1"/>
  <c r="AD38" i="1"/>
  <c r="AE38" i="1"/>
  <c r="AF38" i="1"/>
  <c r="AG38" i="1"/>
  <c r="T39" i="1"/>
  <c r="V39" i="1"/>
  <c r="X39" i="1"/>
  <c r="Y39" i="1"/>
  <c r="AA39" i="1"/>
  <c r="AB39" i="1"/>
  <c r="AC39" i="1"/>
  <c r="AD39" i="1"/>
  <c r="AE39" i="1"/>
  <c r="AF39" i="1"/>
  <c r="AG39" i="1"/>
  <c r="T40" i="1"/>
  <c r="V40" i="1"/>
  <c r="X40" i="1"/>
  <c r="Y40" i="1"/>
  <c r="AA40" i="1"/>
  <c r="AB40" i="1"/>
  <c r="AC40" i="1"/>
  <c r="AD40" i="1"/>
  <c r="AE40" i="1"/>
  <c r="AF40" i="1"/>
  <c r="AG40" i="1"/>
  <c r="T41" i="1"/>
  <c r="V41" i="1"/>
  <c r="X41" i="1"/>
  <c r="Y41" i="1"/>
  <c r="AA41" i="1"/>
  <c r="AB41" i="1"/>
  <c r="AC41" i="1"/>
  <c r="AD41" i="1"/>
  <c r="AE41" i="1"/>
  <c r="AF41" i="1"/>
  <c r="AG41" i="1"/>
  <c r="T42" i="1"/>
  <c r="V42" i="1"/>
  <c r="X42" i="1"/>
  <c r="Y42" i="1"/>
  <c r="AA42" i="1"/>
  <c r="AB42" i="1"/>
  <c r="AC42" i="1"/>
  <c r="AD42" i="1"/>
  <c r="AE42" i="1"/>
  <c r="AF42" i="1"/>
  <c r="AG42" i="1"/>
  <c r="T43" i="1"/>
  <c r="V43" i="1"/>
  <c r="X43" i="1"/>
  <c r="Y43" i="1"/>
  <c r="AA43" i="1"/>
  <c r="AB43" i="1"/>
  <c r="AC43" i="1"/>
  <c r="AD43" i="1"/>
  <c r="AE43" i="1"/>
  <c r="AF43" i="1"/>
  <c r="AG43" i="1"/>
  <c r="T44" i="1"/>
  <c r="V44" i="1"/>
  <c r="X44" i="1"/>
  <c r="Y44" i="1"/>
  <c r="AA44" i="1"/>
  <c r="AB44" i="1"/>
  <c r="AC44" i="1"/>
  <c r="AD44" i="1"/>
  <c r="AE44" i="1"/>
  <c r="AF44" i="1"/>
  <c r="AG44" i="1"/>
  <c r="T45" i="1"/>
  <c r="V45" i="1"/>
  <c r="X45" i="1"/>
  <c r="Y45" i="1"/>
  <c r="AA45" i="1"/>
  <c r="AB45" i="1"/>
  <c r="AC45" i="1"/>
  <c r="AD45" i="1"/>
  <c r="AE45" i="1"/>
  <c r="AF45" i="1"/>
  <c r="AG45" i="1"/>
  <c r="T46" i="1"/>
  <c r="V46" i="1"/>
  <c r="X46" i="1"/>
  <c r="Y46" i="1"/>
  <c r="AA46" i="1"/>
  <c r="AB46" i="1"/>
  <c r="AC46" i="1"/>
  <c r="AD46" i="1"/>
  <c r="AE46" i="1"/>
  <c r="AF46" i="1"/>
  <c r="AG46" i="1"/>
  <c r="T47" i="1"/>
  <c r="V47" i="1"/>
  <c r="X47" i="1"/>
  <c r="Y47" i="1"/>
  <c r="AA47" i="1"/>
  <c r="AB47" i="1"/>
  <c r="AC47" i="1"/>
  <c r="AD47" i="1"/>
  <c r="AE47" i="1"/>
  <c r="AF47" i="1"/>
  <c r="AG47" i="1"/>
  <c r="T48" i="1"/>
  <c r="V48" i="1"/>
  <c r="X48" i="1"/>
  <c r="Y48" i="1"/>
  <c r="AA48" i="1"/>
  <c r="AB48" i="1"/>
  <c r="AC48" i="1"/>
  <c r="AD48" i="1"/>
  <c r="AE48" i="1"/>
  <c r="AF48" i="1"/>
  <c r="AG48" i="1"/>
  <c r="T49" i="1"/>
  <c r="V49" i="1"/>
  <c r="X49" i="1"/>
  <c r="Y49" i="1"/>
  <c r="AA49" i="1"/>
  <c r="AB49" i="1"/>
  <c r="AC49" i="1"/>
  <c r="AD49" i="1"/>
  <c r="AE49" i="1"/>
  <c r="AF49" i="1"/>
  <c r="AG49" i="1"/>
  <c r="T50" i="1"/>
  <c r="V50" i="1"/>
  <c r="X50" i="1"/>
  <c r="Y50" i="1"/>
  <c r="AA50" i="1"/>
  <c r="AB50" i="1"/>
  <c r="AC50" i="1"/>
  <c r="AD50" i="1"/>
  <c r="AE50" i="1"/>
  <c r="AF50" i="1"/>
  <c r="AG50" i="1"/>
  <c r="T51" i="1"/>
  <c r="V51" i="1"/>
  <c r="X51" i="1"/>
  <c r="Y51" i="1"/>
  <c r="AA51" i="1"/>
  <c r="AB51" i="1"/>
  <c r="AC51" i="1"/>
  <c r="AD51" i="1"/>
  <c r="AE51" i="1"/>
  <c r="AF51" i="1"/>
  <c r="AG51" i="1"/>
  <c r="T53" i="1"/>
  <c r="V53" i="1"/>
  <c r="X53" i="1"/>
  <c r="Y53" i="1"/>
  <c r="AA53" i="1"/>
  <c r="AB53" i="1"/>
  <c r="AC53" i="1"/>
  <c r="AD53" i="1"/>
  <c r="AE53" i="1"/>
  <c r="AF53" i="1"/>
  <c r="AG53" i="1"/>
  <c r="T54" i="1"/>
  <c r="V54" i="1"/>
  <c r="X54" i="1"/>
  <c r="Y54" i="1"/>
  <c r="AA54" i="1"/>
  <c r="AB54" i="1"/>
  <c r="AC54" i="1"/>
  <c r="AD54" i="1"/>
  <c r="AE54" i="1"/>
  <c r="AF54" i="1"/>
  <c r="AG54" i="1"/>
  <c r="T55" i="1"/>
  <c r="V55" i="1"/>
  <c r="X55" i="1"/>
  <c r="Y55" i="1"/>
  <c r="AA55" i="1"/>
  <c r="AB55" i="1"/>
  <c r="AC55" i="1"/>
  <c r="AD55" i="1"/>
  <c r="AE55" i="1"/>
  <c r="AF55" i="1"/>
  <c r="AG55" i="1"/>
  <c r="T56" i="1"/>
  <c r="V56" i="1"/>
  <c r="X56" i="1"/>
  <c r="Y56" i="1"/>
  <c r="AA56" i="1"/>
  <c r="AB56" i="1"/>
  <c r="AC56" i="1"/>
  <c r="AD56" i="1"/>
  <c r="AE56" i="1"/>
  <c r="AF56" i="1"/>
  <c r="AG56" i="1"/>
  <c r="T57" i="1"/>
  <c r="V57" i="1"/>
  <c r="X57" i="1"/>
  <c r="Y57" i="1"/>
  <c r="AA57" i="1"/>
  <c r="AB57" i="1"/>
  <c r="AC57" i="1"/>
  <c r="AD57" i="1"/>
  <c r="AE57" i="1"/>
  <c r="AF57" i="1"/>
  <c r="AG57" i="1"/>
  <c r="T58" i="1"/>
  <c r="V58" i="1"/>
  <c r="X58" i="1"/>
  <c r="Y58" i="1"/>
  <c r="AA58" i="1"/>
  <c r="AB58" i="1"/>
  <c r="AC58" i="1"/>
  <c r="AD58" i="1"/>
  <c r="AE58" i="1"/>
  <c r="AF58" i="1"/>
  <c r="AG58" i="1"/>
  <c r="T59" i="1"/>
  <c r="V59" i="1"/>
  <c r="X59" i="1"/>
  <c r="Y59" i="1"/>
  <c r="AA59" i="1"/>
  <c r="AB59" i="1"/>
  <c r="AC59" i="1"/>
  <c r="AD59" i="1"/>
  <c r="AE59" i="1"/>
  <c r="AF59" i="1"/>
  <c r="AG59" i="1"/>
  <c r="T60" i="1"/>
  <c r="V60" i="1"/>
  <c r="X60" i="1"/>
  <c r="Y60" i="1"/>
  <c r="AA60" i="1"/>
  <c r="AB60" i="1"/>
  <c r="AC60" i="1"/>
  <c r="AD60" i="1"/>
  <c r="AE60" i="1"/>
  <c r="AF60" i="1"/>
  <c r="AG60" i="1"/>
  <c r="T61" i="1"/>
  <c r="V61" i="1"/>
  <c r="X61" i="1"/>
  <c r="Y61" i="1"/>
  <c r="AA61" i="1"/>
  <c r="AB61" i="1"/>
  <c r="AC61" i="1"/>
  <c r="AD61" i="1"/>
  <c r="AE61" i="1"/>
  <c r="AF61" i="1"/>
  <c r="AG61" i="1"/>
  <c r="T62" i="1"/>
  <c r="V62" i="1"/>
  <c r="X62" i="1"/>
  <c r="Y62" i="1"/>
  <c r="AA62" i="1"/>
  <c r="AB62" i="1"/>
  <c r="AC62" i="1"/>
  <c r="AD62" i="1"/>
  <c r="AE62" i="1"/>
  <c r="AF62" i="1"/>
  <c r="AG62" i="1"/>
  <c r="T63" i="1"/>
  <c r="V63" i="1"/>
  <c r="X63" i="1"/>
  <c r="Y63" i="1"/>
  <c r="AA63" i="1"/>
  <c r="AB63" i="1"/>
  <c r="AC63" i="1"/>
  <c r="AD63" i="1"/>
  <c r="AE63" i="1"/>
  <c r="AF63" i="1"/>
  <c r="AG63" i="1"/>
  <c r="T64" i="1"/>
  <c r="V64" i="1"/>
  <c r="X64" i="1"/>
  <c r="Y64" i="1"/>
  <c r="AA64" i="1"/>
  <c r="AB64" i="1"/>
  <c r="AC64" i="1"/>
  <c r="AD64" i="1"/>
  <c r="AE64" i="1"/>
  <c r="AF64" i="1"/>
  <c r="AG64" i="1"/>
  <c r="T66" i="1"/>
  <c r="V66" i="1"/>
  <c r="X66" i="1"/>
  <c r="Y66" i="1"/>
  <c r="AA66" i="1"/>
  <c r="AB66" i="1"/>
  <c r="AC66" i="1"/>
  <c r="AD66" i="1"/>
  <c r="AE66" i="1"/>
  <c r="AF66" i="1"/>
  <c r="AG66" i="1"/>
  <c r="T68" i="1"/>
  <c r="V68" i="1"/>
  <c r="X68" i="1"/>
  <c r="Y68" i="1"/>
  <c r="AA68" i="1"/>
  <c r="AB68" i="1"/>
  <c r="AC68" i="1"/>
  <c r="AD68" i="1"/>
  <c r="AE68" i="1"/>
  <c r="AF68" i="1"/>
  <c r="AG68" i="1"/>
  <c r="T69" i="1"/>
  <c r="V69" i="1"/>
  <c r="X69" i="1"/>
  <c r="Y69" i="1"/>
  <c r="AA69" i="1"/>
  <c r="AB69" i="1"/>
  <c r="AC69" i="1"/>
  <c r="AD69" i="1"/>
  <c r="AE69" i="1"/>
  <c r="AF69" i="1"/>
  <c r="AG69" i="1"/>
  <c r="T70" i="1"/>
  <c r="V70" i="1"/>
  <c r="X70" i="1"/>
  <c r="Y70" i="1"/>
  <c r="AA70" i="1"/>
  <c r="AB70" i="1"/>
  <c r="AC70" i="1"/>
  <c r="AD70" i="1"/>
  <c r="AE70" i="1"/>
  <c r="AF70" i="1"/>
  <c r="AG70" i="1"/>
  <c r="T71" i="1"/>
  <c r="V71" i="1"/>
  <c r="X71" i="1"/>
  <c r="Y71" i="1"/>
  <c r="AA71" i="1"/>
  <c r="AB71" i="1"/>
  <c r="AC71" i="1"/>
  <c r="AD71" i="1"/>
  <c r="AE71" i="1"/>
  <c r="AF71" i="1"/>
  <c r="AG71" i="1"/>
  <c r="T72" i="1"/>
  <c r="V72" i="1"/>
  <c r="X72" i="1"/>
  <c r="Y72" i="1"/>
  <c r="AA72" i="1"/>
  <c r="AB72" i="1"/>
  <c r="AC72" i="1"/>
  <c r="AD72" i="1"/>
  <c r="AE72" i="1"/>
  <c r="AF72" i="1"/>
  <c r="AG72" i="1"/>
  <c r="T73" i="1"/>
  <c r="V73" i="1"/>
  <c r="X73" i="1"/>
  <c r="Y73" i="1"/>
  <c r="AA73" i="1"/>
  <c r="AB73" i="1"/>
  <c r="AC73" i="1"/>
  <c r="AD73" i="1"/>
  <c r="AE73" i="1"/>
  <c r="AF73" i="1"/>
  <c r="AG73" i="1"/>
  <c r="T74" i="1"/>
  <c r="V74" i="1"/>
  <c r="X74" i="1"/>
  <c r="Y74" i="1"/>
  <c r="AA74" i="1"/>
  <c r="AB74" i="1"/>
  <c r="AC74" i="1"/>
  <c r="AD74" i="1"/>
  <c r="AE74" i="1"/>
  <c r="AF74" i="1"/>
  <c r="AG74" i="1"/>
  <c r="T75" i="1"/>
  <c r="V75" i="1"/>
  <c r="X75" i="1"/>
  <c r="Y75" i="1"/>
  <c r="AA75" i="1"/>
  <c r="AB75" i="1"/>
  <c r="AC75" i="1"/>
  <c r="AD75" i="1"/>
  <c r="AE75" i="1"/>
  <c r="AF75" i="1"/>
  <c r="AG75" i="1"/>
  <c r="T76" i="1"/>
  <c r="V76" i="1"/>
  <c r="X76" i="1"/>
  <c r="Y76" i="1"/>
  <c r="AA76" i="1"/>
  <c r="AB76" i="1"/>
  <c r="AC76" i="1"/>
  <c r="AD76" i="1"/>
  <c r="AE76" i="1"/>
  <c r="AF76" i="1"/>
  <c r="AG76" i="1"/>
  <c r="T77" i="1"/>
  <c r="V77" i="1"/>
  <c r="X77" i="1"/>
  <c r="Y77" i="1"/>
  <c r="AA77" i="1"/>
  <c r="AB77" i="1"/>
  <c r="AC77" i="1"/>
  <c r="AD77" i="1"/>
  <c r="AE77" i="1"/>
  <c r="AF77" i="1"/>
  <c r="AG77" i="1"/>
  <c r="T78" i="1"/>
  <c r="V78" i="1"/>
  <c r="X78" i="1"/>
  <c r="Y78" i="1"/>
  <c r="AA78" i="1"/>
  <c r="AB78" i="1"/>
  <c r="AC78" i="1"/>
  <c r="AD78" i="1"/>
  <c r="AE78" i="1"/>
  <c r="AF78" i="1"/>
  <c r="AG78" i="1"/>
  <c r="T79" i="1"/>
  <c r="V79" i="1"/>
  <c r="X79" i="1"/>
  <c r="Y79" i="1"/>
  <c r="AA79" i="1"/>
  <c r="AB79" i="1"/>
  <c r="AC79" i="1"/>
  <c r="AD79" i="1"/>
  <c r="AE79" i="1"/>
  <c r="AF79" i="1"/>
  <c r="AG79" i="1"/>
  <c r="T80" i="1"/>
  <c r="V80" i="1"/>
  <c r="X80" i="1"/>
  <c r="Y80" i="1"/>
  <c r="AA80" i="1"/>
  <c r="AB80" i="1"/>
  <c r="AC80" i="1"/>
  <c r="AD80" i="1"/>
  <c r="AE80" i="1"/>
  <c r="AF80" i="1"/>
  <c r="AG80" i="1"/>
  <c r="T83" i="1"/>
  <c r="V83" i="1"/>
  <c r="X83" i="1"/>
  <c r="Y83" i="1"/>
  <c r="AA83" i="1"/>
  <c r="AB83" i="1"/>
  <c r="AC83" i="1"/>
  <c r="AD83" i="1"/>
  <c r="AE83" i="1"/>
  <c r="AF83" i="1"/>
  <c r="AG83" i="1"/>
  <c r="T84" i="1"/>
  <c r="V84" i="1"/>
  <c r="X84" i="1"/>
  <c r="Y84" i="1"/>
  <c r="AA84" i="1"/>
  <c r="AB84" i="1"/>
  <c r="AC84" i="1"/>
  <c r="AD84" i="1"/>
  <c r="AE84" i="1"/>
  <c r="AF84" i="1"/>
  <c r="AG84" i="1"/>
  <c r="T85" i="1"/>
  <c r="V85" i="1"/>
  <c r="X85" i="1"/>
  <c r="Y85" i="1"/>
  <c r="AA85" i="1"/>
  <c r="AB85" i="1"/>
  <c r="AC85" i="1"/>
  <c r="AD85" i="1"/>
  <c r="AE85" i="1"/>
  <c r="AF85" i="1"/>
  <c r="AG85" i="1"/>
  <c r="T87" i="1"/>
  <c r="V87" i="1"/>
  <c r="X87" i="1"/>
  <c r="Y87" i="1"/>
  <c r="AA87" i="1"/>
  <c r="AB87" i="1"/>
  <c r="AC87" i="1"/>
  <c r="AD87" i="1"/>
  <c r="AE87" i="1"/>
  <c r="AF87" i="1"/>
  <c r="AG87" i="1"/>
  <c r="T88" i="1"/>
  <c r="V88" i="1"/>
  <c r="X88" i="1"/>
  <c r="Y88" i="1"/>
  <c r="AA88" i="1"/>
  <c r="AB88" i="1"/>
  <c r="AC88" i="1"/>
  <c r="AD88" i="1"/>
  <c r="AE88" i="1"/>
  <c r="AF88" i="1"/>
  <c r="AG88" i="1"/>
  <c r="T89" i="1"/>
  <c r="V89" i="1"/>
  <c r="X89" i="1"/>
  <c r="Y89" i="1"/>
  <c r="AA89" i="1"/>
  <c r="AB89" i="1"/>
  <c r="AC89" i="1"/>
  <c r="AD89" i="1"/>
  <c r="AE89" i="1"/>
  <c r="AF89" i="1"/>
  <c r="AG89" i="1"/>
  <c r="T90" i="1"/>
  <c r="V90" i="1"/>
  <c r="X90" i="1"/>
  <c r="Y90" i="1"/>
  <c r="AA90" i="1"/>
  <c r="AB90" i="1"/>
  <c r="AC90" i="1"/>
  <c r="AD90" i="1"/>
  <c r="AE90" i="1"/>
  <c r="AF90" i="1"/>
  <c r="AG90" i="1"/>
  <c r="T91" i="1"/>
  <c r="V91" i="1"/>
  <c r="X91" i="1"/>
  <c r="Y91" i="1"/>
  <c r="AA91" i="1"/>
  <c r="AB91" i="1"/>
  <c r="AC91" i="1"/>
  <c r="AD91" i="1"/>
  <c r="AE91" i="1"/>
  <c r="AF91" i="1"/>
  <c r="AG91" i="1"/>
  <c r="T92" i="1"/>
  <c r="V92" i="1"/>
  <c r="X92" i="1"/>
  <c r="Y92" i="1"/>
  <c r="AA92" i="1"/>
  <c r="AB92" i="1"/>
  <c r="AC92" i="1"/>
  <c r="AD92" i="1"/>
  <c r="AE92" i="1"/>
  <c r="AF92" i="1"/>
  <c r="AG92" i="1"/>
  <c r="T93" i="1"/>
  <c r="V93" i="1"/>
  <c r="X93" i="1"/>
  <c r="Y93" i="1"/>
  <c r="AA93" i="1"/>
  <c r="AB93" i="1"/>
  <c r="AC93" i="1"/>
  <c r="AD93" i="1"/>
  <c r="AE93" i="1"/>
  <c r="AF93" i="1"/>
  <c r="AG93" i="1"/>
  <c r="T94" i="1"/>
  <c r="V94" i="1"/>
  <c r="X94" i="1"/>
  <c r="Y94" i="1"/>
  <c r="AA94" i="1"/>
  <c r="AB94" i="1"/>
  <c r="AC94" i="1"/>
  <c r="AD94" i="1"/>
  <c r="AE94" i="1"/>
  <c r="AF94" i="1"/>
  <c r="AG94" i="1"/>
  <c r="T95" i="1"/>
  <c r="V95" i="1"/>
  <c r="X95" i="1"/>
  <c r="Y95" i="1"/>
  <c r="AA95" i="1"/>
  <c r="AB95" i="1"/>
  <c r="AC95" i="1"/>
  <c r="AD95" i="1"/>
  <c r="AE95" i="1"/>
  <c r="AF95" i="1"/>
  <c r="AG95" i="1"/>
  <c r="T97" i="1"/>
  <c r="V97" i="1"/>
  <c r="X97" i="1"/>
  <c r="Y97" i="1"/>
  <c r="AA97" i="1"/>
  <c r="AB97" i="1"/>
  <c r="AC97" i="1"/>
  <c r="AD97" i="1"/>
  <c r="AE97" i="1"/>
  <c r="AF97" i="1"/>
  <c r="AG97" i="1"/>
  <c r="T98" i="1"/>
  <c r="V98" i="1"/>
  <c r="X98" i="1"/>
  <c r="Y98" i="1"/>
  <c r="AA98" i="1"/>
  <c r="AB98" i="1"/>
  <c r="AC98" i="1"/>
  <c r="AD98" i="1"/>
  <c r="AE98" i="1"/>
  <c r="AF98" i="1"/>
  <c r="AG98" i="1"/>
  <c r="T99" i="1"/>
  <c r="V99" i="1"/>
  <c r="X99" i="1"/>
  <c r="Y99" i="1"/>
  <c r="AA99" i="1"/>
  <c r="AB99" i="1"/>
  <c r="AC99" i="1"/>
  <c r="AD99" i="1"/>
  <c r="AE99" i="1"/>
  <c r="AF99" i="1"/>
  <c r="AG99" i="1"/>
  <c r="T100" i="1"/>
  <c r="V100" i="1"/>
  <c r="X100" i="1"/>
  <c r="Y100" i="1"/>
  <c r="AA100" i="1"/>
  <c r="AB100" i="1"/>
  <c r="AC100" i="1"/>
  <c r="AD100" i="1"/>
  <c r="AE100" i="1"/>
  <c r="AF100" i="1"/>
  <c r="AG100" i="1"/>
  <c r="T101" i="1"/>
  <c r="V101" i="1"/>
  <c r="X101" i="1"/>
  <c r="Y101" i="1"/>
  <c r="AA101" i="1"/>
  <c r="AB101" i="1"/>
  <c r="AC101" i="1"/>
  <c r="AD101" i="1"/>
  <c r="AE101" i="1"/>
  <c r="AF101" i="1"/>
  <c r="AG101" i="1"/>
  <c r="T102" i="1"/>
  <c r="V102" i="1"/>
  <c r="X102" i="1"/>
  <c r="Y102" i="1"/>
  <c r="AA102" i="1"/>
  <c r="AB102" i="1"/>
  <c r="AC102" i="1"/>
  <c r="AD102" i="1"/>
  <c r="AE102" i="1"/>
  <c r="AF102" i="1"/>
  <c r="AG102" i="1"/>
  <c r="T103" i="1"/>
  <c r="V103" i="1"/>
  <c r="X103" i="1"/>
  <c r="Y103" i="1"/>
  <c r="AA103" i="1"/>
  <c r="AB103" i="1"/>
  <c r="AC103" i="1"/>
  <c r="AD103" i="1"/>
  <c r="AE103" i="1"/>
  <c r="AF103" i="1"/>
  <c r="AG103" i="1"/>
  <c r="T104" i="1"/>
  <c r="V104" i="1"/>
  <c r="X104" i="1"/>
  <c r="Y104" i="1"/>
  <c r="AA104" i="1"/>
  <c r="AB104" i="1"/>
  <c r="AC104" i="1"/>
  <c r="AD104" i="1"/>
  <c r="AE104" i="1"/>
  <c r="AF104" i="1"/>
  <c r="AG104" i="1"/>
  <c r="T107" i="1"/>
  <c r="V107" i="1"/>
  <c r="X107" i="1"/>
  <c r="Y107" i="1"/>
  <c r="AA107" i="1"/>
  <c r="AB107" i="1"/>
  <c r="AC107" i="1"/>
  <c r="AD107" i="1"/>
  <c r="AE107" i="1"/>
  <c r="AF107" i="1"/>
  <c r="AG107" i="1"/>
  <c r="T108" i="1"/>
  <c r="V108" i="1"/>
  <c r="X108" i="1"/>
  <c r="Y108" i="1"/>
  <c r="AA108" i="1"/>
  <c r="AB108" i="1"/>
  <c r="AC108" i="1"/>
  <c r="AD108" i="1"/>
  <c r="AE108" i="1"/>
  <c r="AF108" i="1"/>
  <c r="AG108" i="1"/>
  <c r="T109" i="1"/>
  <c r="V109" i="1"/>
  <c r="X109" i="1"/>
  <c r="Y109" i="1"/>
  <c r="AA109" i="1"/>
  <c r="AB109" i="1"/>
  <c r="AC109" i="1"/>
  <c r="AD109" i="1"/>
  <c r="AE109" i="1"/>
  <c r="AF109" i="1"/>
  <c r="AG109" i="1"/>
  <c r="T110" i="1"/>
  <c r="V110" i="1"/>
  <c r="X110" i="1"/>
  <c r="Y110" i="1"/>
  <c r="AA110" i="1"/>
  <c r="AB110" i="1"/>
  <c r="AC110" i="1"/>
  <c r="AD110" i="1"/>
  <c r="AE110" i="1"/>
  <c r="AF110" i="1"/>
  <c r="AG110" i="1"/>
  <c r="T111" i="1"/>
  <c r="V111" i="1"/>
  <c r="X111" i="1"/>
  <c r="Y111" i="1"/>
  <c r="AA111" i="1"/>
  <c r="AB111" i="1"/>
  <c r="AC111" i="1"/>
  <c r="AD111" i="1"/>
  <c r="AE111" i="1"/>
  <c r="AF111" i="1"/>
  <c r="AG111" i="1"/>
  <c r="T112" i="1"/>
  <c r="V112" i="1"/>
  <c r="X112" i="1"/>
  <c r="Y112" i="1"/>
  <c r="AA112" i="1"/>
  <c r="AB112" i="1"/>
  <c r="AC112" i="1"/>
  <c r="AD112" i="1"/>
  <c r="AE112" i="1"/>
  <c r="AF112" i="1"/>
  <c r="AG112" i="1"/>
  <c r="T113" i="1"/>
  <c r="V113" i="1"/>
  <c r="X113" i="1"/>
  <c r="Y113" i="1"/>
  <c r="AA113" i="1"/>
  <c r="AB113" i="1"/>
  <c r="AC113" i="1"/>
  <c r="AD113" i="1"/>
  <c r="AE113" i="1"/>
  <c r="AF113" i="1"/>
  <c r="AG113" i="1"/>
  <c r="T114" i="1"/>
  <c r="V114" i="1"/>
  <c r="X114" i="1"/>
  <c r="Y114" i="1"/>
  <c r="AA114" i="1"/>
  <c r="AB114" i="1"/>
  <c r="AC114" i="1"/>
  <c r="AD114" i="1"/>
  <c r="AE114" i="1"/>
  <c r="AF114" i="1"/>
  <c r="AG114" i="1"/>
  <c r="T115" i="1"/>
  <c r="V115" i="1"/>
  <c r="X115" i="1"/>
  <c r="Y115" i="1"/>
  <c r="AA115" i="1"/>
  <c r="AB115" i="1"/>
  <c r="AC115" i="1"/>
  <c r="AD115" i="1"/>
  <c r="AE115" i="1"/>
  <c r="AF115" i="1"/>
  <c r="AG115" i="1"/>
  <c r="T116" i="1"/>
  <c r="V116" i="1"/>
  <c r="X116" i="1"/>
  <c r="Y116" i="1"/>
  <c r="AA116" i="1"/>
  <c r="AB116" i="1"/>
  <c r="AC116" i="1"/>
  <c r="AD116" i="1"/>
  <c r="AE116" i="1"/>
  <c r="AF116" i="1"/>
  <c r="AG116" i="1"/>
  <c r="T117" i="1"/>
  <c r="V117" i="1"/>
  <c r="X117" i="1"/>
  <c r="Y117" i="1"/>
  <c r="AA117" i="1"/>
  <c r="AB117" i="1"/>
  <c r="AC117" i="1"/>
  <c r="AD117" i="1"/>
  <c r="AE117" i="1"/>
  <c r="AF117" i="1"/>
  <c r="AG117" i="1"/>
  <c r="T118" i="1"/>
  <c r="V118" i="1"/>
  <c r="X118" i="1"/>
  <c r="Y118" i="1"/>
  <c r="AA118" i="1"/>
  <c r="AB118" i="1"/>
  <c r="AC118" i="1"/>
  <c r="AD118" i="1"/>
  <c r="AE118" i="1"/>
  <c r="AF118" i="1"/>
  <c r="AG118" i="1"/>
  <c r="T119" i="1"/>
  <c r="V119" i="1"/>
  <c r="X119" i="1"/>
  <c r="Y119" i="1"/>
  <c r="AA119" i="1"/>
  <c r="AB119" i="1"/>
  <c r="AC119" i="1"/>
  <c r="AD119" i="1"/>
  <c r="AE119" i="1"/>
  <c r="AF119" i="1"/>
  <c r="AG119" i="1"/>
  <c r="T120" i="1"/>
  <c r="V120" i="1"/>
  <c r="X120" i="1"/>
  <c r="Y120" i="1"/>
  <c r="AA120" i="1"/>
  <c r="AB120" i="1"/>
  <c r="AC120" i="1"/>
  <c r="AD120" i="1"/>
  <c r="AE120" i="1"/>
  <c r="AF120" i="1"/>
  <c r="AG120" i="1"/>
  <c r="T121" i="1"/>
  <c r="V121" i="1"/>
  <c r="X121" i="1"/>
  <c r="Y121" i="1"/>
  <c r="AA121" i="1"/>
  <c r="AB121" i="1"/>
  <c r="AC121" i="1"/>
  <c r="AD121" i="1"/>
  <c r="AE121" i="1"/>
  <c r="AF121" i="1"/>
  <c r="AG121" i="1"/>
  <c r="T122" i="1"/>
  <c r="V122" i="1"/>
  <c r="X122" i="1"/>
  <c r="Y122" i="1"/>
  <c r="AA122" i="1"/>
  <c r="AB122" i="1"/>
  <c r="AC122" i="1"/>
  <c r="AD122" i="1"/>
  <c r="AE122" i="1"/>
  <c r="AF122" i="1"/>
  <c r="AG122" i="1"/>
  <c r="T124" i="1"/>
  <c r="V124" i="1"/>
  <c r="X124" i="1"/>
  <c r="Y124" i="1"/>
  <c r="AA124" i="1"/>
  <c r="AB124" i="1"/>
  <c r="AC124" i="1"/>
  <c r="AD124" i="1"/>
  <c r="AE124" i="1"/>
  <c r="AF124" i="1"/>
  <c r="AG124" i="1"/>
  <c r="T125" i="1"/>
  <c r="V125" i="1"/>
  <c r="X125" i="1"/>
  <c r="Y125" i="1"/>
  <c r="AA125" i="1"/>
  <c r="AB125" i="1"/>
  <c r="AC125" i="1"/>
  <c r="AD125" i="1"/>
  <c r="AE125" i="1"/>
  <c r="AF125" i="1"/>
  <c r="AG125" i="1"/>
  <c r="T126" i="1"/>
  <c r="V126" i="1"/>
  <c r="X126" i="1"/>
  <c r="Y126" i="1"/>
  <c r="AA126" i="1"/>
  <c r="AB126" i="1"/>
  <c r="AC126" i="1"/>
  <c r="AD126" i="1"/>
  <c r="AE126" i="1"/>
  <c r="AF126" i="1"/>
  <c r="AG126" i="1"/>
  <c r="T127" i="1"/>
  <c r="V127" i="1"/>
  <c r="X127" i="1"/>
  <c r="Y127" i="1"/>
  <c r="AA127" i="1"/>
  <c r="AB127" i="1"/>
  <c r="AC127" i="1"/>
  <c r="AD127" i="1"/>
  <c r="AE127" i="1"/>
  <c r="AF127" i="1"/>
  <c r="AG127" i="1"/>
  <c r="T128" i="1"/>
  <c r="V128" i="1"/>
  <c r="X128" i="1"/>
  <c r="Y128" i="1"/>
  <c r="AA128" i="1"/>
  <c r="AB128" i="1"/>
  <c r="AC128" i="1"/>
  <c r="AD128" i="1"/>
  <c r="AE128" i="1"/>
  <c r="AF128" i="1"/>
  <c r="AG128" i="1"/>
  <c r="T129" i="1"/>
  <c r="V129" i="1"/>
  <c r="AA129" i="1"/>
  <c r="AD129" i="1"/>
  <c r="AE129" i="1"/>
  <c r="AF129" i="1"/>
  <c r="AG129" i="1"/>
  <c r="T130" i="1"/>
  <c r="V130" i="1"/>
  <c r="X130" i="1"/>
  <c r="Y130" i="1"/>
  <c r="AA130" i="1"/>
  <c r="AB130" i="1"/>
  <c r="AC130" i="1"/>
  <c r="AD130" i="1"/>
  <c r="AE130" i="1"/>
  <c r="AF130" i="1"/>
  <c r="AG130" i="1"/>
  <c r="T131" i="1"/>
  <c r="V131" i="1"/>
  <c r="X131" i="1"/>
  <c r="Y131" i="1"/>
  <c r="AA131" i="1"/>
  <c r="AB131" i="1"/>
  <c r="AC131" i="1"/>
  <c r="AD131" i="1"/>
  <c r="AE131" i="1"/>
  <c r="AF131" i="1"/>
  <c r="AG131" i="1"/>
  <c r="T132" i="1"/>
  <c r="V132" i="1"/>
  <c r="X132" i="1"/>
  <c r="Y132" i="1"/>
  <c r="AA132" i="1"/>
  <c r="AB132" i="1"/>
  <c r="AC132" i="1"/>
  <c r="AD132" i="1"/>
  <c r="AE132" i="1"/>
  <c r="AF132" i="1"/>
  <c r="AG132" i="1"/>
  <c r="T133" i="1"/>
  <c r="V133" i="1"/>
  <c r="X133" i="1"/>
  <c r="Y133" i="1"/>
  <c r="AA133" i="1"/>
  <c r="AB133" i="1"/>
  <c r="AC133" i="1"/>
  <c r="AD133" i="1"/>
  <c r="AE133" i="1"/>
  <c r="AF133" i="1"/>
  <c r="AG133" i="1"/>
  <c r="T134" i="1"/>
  <c r="V134" i="1"/>
  <c r="X134" i="1"/>
  <c r="Y134" i="1"/>
  <c r="AA134" i="1"/>
  <c r="AB134" i="1"/>
  <c r="AC134" i="1"/>
  <c r="AD134" i="1"/>
  <c r="AE134" i="1"/>
  <c r="AF134" i="1"/>
  <c r="AG134" i="1"/>
  <c r="T135" i="1"/>
  <c r="V135" i="1"/>
  <c r="X135" i="1"/>
  <c r="Y135" i="1"/>
  <c r="AA135" i="1"/>
  <c r="AB135" i="1"/>
  <c r="AC135" i="1"/>
  <c r="AD135" i="1"/>
  <c r="AE135" i="1"/>
  <c r="AF135" i="1"/>
  <c r="AG135" i="1"/>
  <c r="T136" i="1"/>
  <c r="V136" i="1"/>
  <c r="X136" i="1"/>
  <c r="Y136" i="1"/>
  <c r="AA136" i="1"/>
  <c r="AB136" i="1"/>
  <c r="AC136" i="1"/>
  <c r="AD136" i="1"/>
  <c r="AE136" i="1"/>
  <c r="AF136" i="1"/>
  <c r="AG136" i="1"/>
  <c r="T137" i="1"/>
  <c r="V137" i="1"/>
  <c r="X137" i="1"/>
  <c r="Y137" i="1"/>
  <c r="AA137" i="1"/>
  <c r="AB137" i="1"/>
  <c r="AC137" i="1"/>
  <c r="AD137" i="1"/>
  <c r="AE137" i="1"/>
  <c r="AF137" i="1"/>
  <c r="AG137" i="1"/>
  <c r="T138" i="1"/>
  <c r="V138" i="1"/>
  <c r="X138" i="1"/>
  <c r="Y138" i="1"/>
  <c r="AA138" i="1"/>
  <c r="AB138" i="1"/>
  <c r="AC138" i="1"/>
  <c r="AD138" i="1"/>
  <c r="AE138" i="1"/>
  <c r="AF138" i="1"/>
  <c r="AG138" i="1"/>
  <c r="T139" i="1"/>
  <c r="V139" i="1"/>
  <c r="X139" i="1"/>
  <c r="Y139" i="1"/>
  <c r="AA139" i="1"/>
  <c r="AB139" i="1"/>
  <c r="AC139" i="1"/>
  <c r="AD139" i="1"/>
  <c r="AE139" i="1"/>
  <c r="AF139" i="1"/>
  <c r="AG139" i="1"/>
  <c r="T140" i="1"/>
  <c r="V140" i="1"/>
  <c r="X140" i="1"/>
  <c r="Y140" i="1"/>
  <c r="AA140" i="1"/>
  <c r="AB140" i="1"/>
  <c r="AC140" i="1"/>
  <c r="AD140" i="1"/>
  <c r="AE140" i="1"/>
  <c r="AF140" i="1"/>
  <c r="AG140" i="1"/>
  <c r="T141" i="1"/>
  <c r="V141" i="1"/>
  <c r="X141" i="1"/>
  <c r="Y141" i="1"/>
  <c r="AA141" i="1"/>
  <c r="AB141" i="1"/>
  <c r="AC141" i="1"/>
  <c r="AD141" i="1"/>
  <c r="AE141" i="1"/>
  <c r="AF141" i="1"/>
  <c r="AG141" i="1"/>
  <c r="T143" i="1"/>
  <c r="V143" i="1"/>
  <c r="X143" i="1"/>
  <c r="Y143" i="1"/>
  <c r="AA143" i="1"/>
  <c r="AB143" i="1"/>
  <c r="AC143" i="1"/>
  <c r="AD143" i="1"/>
  <c r="AE143" i="1"/>
  <c r="AF143" i="1"/>
  <c r="AG143" i="1"/>
  <c r="T144" i="1"/>
  <c r="V144" i="1"/>
  <c r="X144" i="1"/>
  <c r="Y144" i="1"/>
  <c r="AA144" i="1"/>
  <c r="AB144" i="1"/>
  <c r="AC144" i="1"/>
  <c r="AD144" i="1"/>
  <c r="AE144" i="1"/>
  <c r="AF144" i="1"/>
  <c r="AG144" i="1"/>
  <c r="T146" i="1"/>
  <c r="V146" i="1"/>
  <c r="X146" i="1"/>
  <c r="Y146" i="1"/>
  <c r="AA146" i="1"/>
  <c r="AB146" i="1"/>
  <c r="AC146" i="1"/>
  <c r="AD146" i="1"/>
  <c r="AE146" i="1"/>
  <c r="AF146" i="1"/>
  <c r="AG146" i="1"/>
  <c r="T147" i="1"/>
  <c r="V147" i="1"/>
  <c r="X147" i="1"/>
  <c r="Y147" i="1"/>
  <c r="AA147" i="1"/>
  <c r="AB147" i="1"/>
  <c r="AC147" i="1"/>
  <c r="AD147" i="1"/>
  <c r="AE147" i="1"/>
  <c r="AF147" i="1"/>
  <c r="AG147" i="1"/>
  <c r="T148" i="1"/>
  <c r="V148" i="1"/>
  <c r="X148" i="1"/>
  <c r="Y148" i="1"/>
  <c r="AA148" i="1"/>
  <c r="AB148" i="1"/>
  <c r="AC148" i="1"/>
  <c r="AD148" i="1"/>
  <c r="AE148" i="1"/>
  <c r="AF148" i="1"/>
  <c r="AG148" i="1"/>
  <c r="T149" i="1"/>
  <c r="V149" i="1"/>
  <c r="X149" i="1"/>
  <c r="Y149" i="1"/>
  <c r="AA149" i="1"/>
  <c r="AB149" i="1"/>
  <c r="AC149" i="1"/>
  <c r="AD149" i="1"/>
  <c r="AE149" i="1"/>
  <c r="AF149" i="1"/>
  <c r="AG149" i="1"/>
  <c r="T150" i="1"/>
  <c r="V150" i="1"/>
  <c r="X150" i="1"/>
  <c r="Y150" i="1"/>
  <c r="AA150" i="1"/>
  <c r="AB150" i="1"/>
  <c r="AC150" i="1"/>
  <c r="AD150" i="1"/>
  <c r="AE150" i="1"/>
  <c r="AF150" i="1"/>
  <c r="AG150" i="1"/>
  <c r="T151" i="1"/>
  <c r="V151" i="1"/>
  <c r="X151" i="1"/>
  <c r="Y151" i="1"/>
  <c r="AA151" i="1"/>
  <c r="AB151" i="1"/>
  <c r="AC151" i="1"/>
  <c r="AD151" i="1"/>
  <c r="AE151" i="1"/>
  <c r="AF151" i="1"/>
  <c r="AG151" i="1"/>
  <c r="T152" i="1"/>
  <c r="V152" i="1"/>
  <c r="X152" i="1"/>
  <c r="Y152" i="1"/>
  <c r="AA152" i="1"/>
  <c r="AB152" i="1"/>
  <c r="AC152" i="1"/>
  <c r="AD152" i="1"/>
  <c r="AE152" i="1"/>
  <c r="AF152" i="1"/>
  <c r="AG152" i="1"/>
  <c r="T153" i="1"/>
  <c r="V153" i="1"/>
  <c r="X153" i="1"/>
  <c r="Y153" i="1"/>
  <c r="AA153" i="1"/>
  <c r="AB153" i="1"/>
  <c r="AC153" i="1"/>
  <c r="AD153" i="1"/>
  <c r="AE153" i="1"/>
  <c r="AF153" i="1"/>
  <c r="AG153" i="1"/>
  <c r="T154" i="1"/>
  <c r="V154" i="1"/>
  <c r="X154" i="1"/>
  <c r="Y154" i="1"/>
  <c r="AA154" i="1"/>
  <c r="AB154" i="1"/>
  <c r="AC154" i="1"/>
  <c r="AD154" i="1"/>
  <c r="AE154" i="1"/>
  <c r="AF154" i="1"/>
  <c r="AG154" i="1"/>
  <c r="T155" i="1"/>
  <c r="V155" i="1"/>
  <c r="X155" i="1"/>
  <c r="Y155" i="1"/>
  <c r="AA155" i="1"/>
  <c r="AB155" i="1"/>
  <c r="AC155" i="1"/>
  <c r="AD155" i="1"/>
  <c r="AE155" i="1"/>
  <c r="AF155" i="1"/>
  <c r="AG155" i="1"/>
  <c r="T156" i="1"/>
  <c r="V156" i="1"/>
  <c r="X156" i="1"/>
  <c r="Y156" i="1"/>
  <c r="AA156" i="1"/>
  <c r="AB156" i="1"/>
  <c r="AC156" i="1"/>
  <c r="AD156" i="1"/>
  <c r="AE156" i="1"/>
  <c r="AF156" i="1"/>
  <c r="AG156" i="1"/>
  <c r="T157" i="1"/>
  <c r="V157" i="1"/>
  <c r="X157" i="1"/>
  <c r="Y157" i="1"/>
  <c r="AA157" i="1"/>
  <c r="AB157" i="1"/>
  <c r="AC157" i="1"/>
  <c r="AD157" i="1"/>
  <c r="AE157" i="1"/>
  <c r="AF157" i="1"/>
  <c r="AG157" i="1"/>
  <c r="T158" i="1"/>
  <c r="V158" i="1"/>
  <c r="X158" i="1"/>
  <c r="Y158" i="1"/>
  <c r="AA158" i="1"/>
  <c r="AB158" i="1"/>
  <c r="AC158" i="1"/>
  <c r="AD158" i="1"/>
  <c r="AE158" i="1"/>
  <c r="AF158" i="1"/>
  <c r="AG158" i="1"/>
  <c r="T159" i="1"/>
  <c r="V159" i="1"/>
  <c r="X159" i="1"/>
  <c r="Y159" i="1"/>
  <c r="AA159" i="1"/>
  <c r="AB159" i="1"/>
  <c r="AC159" i="1"/>
  <c r="AD159" i="1"/>
  <c r="AE159" i="1"/>
  <c r="AF159" i="1"/>
  <c r="AG159" i="1"/>
  <c r="T160" i="1"/>
  <c r="V160" i="1"/>
  <c r="X160" i="1"/>
  <c r="Y160" i="1"/>
  <c r="AA160" i="1"/>
  <c r="AB160" i="1"/>
  <c r="AC160" i="1"/>
  <c r="AD160" i="1"/>
  <c r="AE160" i="1"/>
  <c r="AF160" i="1"/>
  <c r="AG160" i="1"/>
  <c r="T161" i="1"/>
  <c r="V161" i="1"/>
  <c r="X161" i="1"/>
  <c r="Y161" i="1"/>
  <c r="AA161" i="1"/>
  <c r="AB161" i="1"/>
  <c r="AC161" i="1"/>
  <c r="AD161" i="1"/>
  <c r="AE161" i="1"/>
  <c r="AF161" i="1"/>
  <c r="AG161" i="1"/>
  <c r="T162" i="1"/>
  <c r="V162" i="1"/>
  <c r="X162" i="1"/>
  <c r="Y162" i="1"/>
  <c r="AA162" i="1"/>
  <c r="AB162" i="1"/>
  <c r="AC162" i="1"/>
  <c r="AD162" i="1"/>
  <c r="AE162" i="1"/>
  <c r="AF162" i="1"/>
  <c r="AG162" i="1"/>
  <c r="T163" i="1"/>
  <c r="V163" i="1"/>
  <c r="X163" i="1"/>
  <c r="Y163" i="1"/>
  <c r="AA163" i="1"/>
  <c r="AB163" i="1"/>
  <c r="AC163" i="1"/>
  <c r="AD163" i="1"/>
  <c r="AE163" i="1"/>
  <c r="AF163" i="1"/>
  <c r="AG163" i="1"/>
  <c r="T164" i="1"/>
  <c r="V164" i="1"/>
  <c r="X164" i="1"/>
  <c r="Y164" i="1"/>
  <c r="AA164" i="1"/>
  <c r="AB164" i="1"/>
  <c r="AC164" i="1"/>
  <c r="AD164" i="1"/>
  <c r="AE164" i="1"/>
  <c r="AF164" i="1"/>
  <c r="AG164" i="1"/>
  <c r="T165" i="1"/>
  <c r="V165" i="1"/>
  <c r="X165" i="1"/>
  <c r="Y165" i="1"/>
  <c r="AA165" i="1"/>
  <c r="AB165" i="1"/>
  <c r="AC165" i="1"/>
  <c r="AD165" i="1"/>
  <c r="AE165" i="1"/>
  <c r="AF165" i="1"/>
  <c r="AG165" i="1"/>
  <c r="T166" i="1"/>
  <c r="V166" i="1"/>
  <c r="X166" i="1"/>
  <c r="Y166" i="1"/>
  <c r="AA166" i="1"/>
  <c r="AB166" i="1"/>
  <c r="AC166" i="1"/>
  <c r="AD166" i="1"/>
  <c r="AE166" i="1"/>
  <c r="AF166" i="1"/>
  <c r="AG166" i="1"/>
  <c r="T167" i="1"/>
  <c r="V167" i="1"/>
  <c r="X167" i="1"/>
  <c r="Y167" i="1"/>
  <c r="AA167" i="1"/>
  <c r="AB167" i="1"/>
  <c r="AC167" i="1"/>
  <c r="AD167" i="1"/>
  <c r="AE167" i="1"/>
  <c r="AF167" i="1"/>
  <c r="AG167" i="1"/>
  <c r="T169" i="1"/>
  <c r="V169" i="1"/>
  <c r="X169" i="1"/>
  <c r="Y169" i="1"/>
  <c r="AA169" i="1"/>
  <c r="AB169" i="1"/>
  <c r="AC169" i="1"/>
  <c r="AD169" i="1"/>
  <c r="AE169" i="1"/>
  <c r="AF169" i="1"/>
  <c r="AG169" i="1"/>
  <c r="T170" i="1"/>
  <c r="V170" i="1"/>
  <c r="X170" i="1"/>
  <c r="Y170" i="1"/>
  <c r="AA170" i="1"/>
  <c r="AB170" i="1"/>
  <c r="AC170" i="1"/>
  <c r="AD170" i="1"/>
  <c r="AE170" i="1"/>
  <c r="AF170" i="1"/>
  <c r="AG170" i="1"/>
  <c r="T171" i="1"/>
  <c r="V171" i="1"/>
  <c r="X171" i="1"/>
  <c r="Y171" i="1"/>
  <c r="AA171" i="1"/>
  <c r="AB171" i="1"/>
  <c r="AC171" i="1"/>
  <c r="AD171" i="1"/>
  <c r="AE171" i="1"/>
  <c r="AF171" i="1"/>
  <c r="AG171" i="1"/>
  <c r="T172" i="1"/>
  <c r="V172" i="1"/>
  <c r="X172" i="1"/>
  <c r="Y172" i="1"/>
  <c r="AA172" i="1"/>
  <c r="AB172" i="1"/>
  <c r="AC172" i="1"/>
  <c r="AD172" i="1"/>
  <c r="AE172" i="1"/>
  <c r="AF172" i="1"/>
  <c r="AG172" i="1"/>
  <c r="T173" i="1"/>
  <c r="V173" i="1"/>
  <c r="X173" i="1"/>
  <c r="Y173" i="1"/>
  <c r="AA173" i="1"/>
  <c r="AB173" i="1"/>
  <c r="AC173" i="1"/>
  <c r="AD173" i="1"/>
  <c r="AE173" i="1"/>
  <c r="AF173" i="1"/>
  <c r="AG173" i="1"/>
  <c r="T174" i="1"/>
  <c r="V174" i="1"/>
  <c r="X174" i="1"/>
  <c r="Y174" i="1"/>
  <c r="AA174" i="1"/>
  <c r="AB174" i="1"/>
  <c r="AC174" i="1"/>
  <c r="AD174" i="1"/>
  <c r="AE174" i="1"/>
  <c r="AF174" i="1"/>
  <c r="AG174" i="1"/>
  <c r="T175" i="1"/>
  <c r="V175" i="1"/>
  <c r="X175" i="1"/>
  <c r="Y175" i="1"/>
  <c r="AA175" i="1"/>
  <c r="AB175" i="1"/>
  <c r="AC175" i="1"/>
  <c r="AD175" i="1"/>
  <c r="AE175" i="1"/>
  <c r="AF175" i="1"/>
  <c r="AG175" i="1"/>
  <c r="T176" i="1"/>
  <c r="V176" i="1"/>
  <c r="X176" i="1"/>
  <c r="Y176" i="1"/>
  <c r="AA176" i="1"/>
  <c r="AB176" i="1"/>
  <c r="AC176" i="1"/>
  <c r="AD176" i="1"/>
  <c r="AE176" i="1"/>
  <c r="AF176" i="1"/>
  <c r="AG176" i="1"/>
  <c r="T177" i="1"/>
  <c r="V177" i="1"/>
  <c r="X177" i="1"/>
  <c r="Y177" i="1"/>
  <c r="AA177" i="1"/>
  <c r="AB177" i="1"/>
  <c r="AC177" i="1"/>
  <c r="AD177" i="1"/>
  <c r="AE177" i="1"/>
  <c r="AF177" i="1"/>
  <c r="AG177" i="1"/>
  <c r="T178" i="1"/>
  <c r="V178" i="1"/>
  <c r="X178" i="1"/>
  <c r="Y178" i="1"/>
  <c r="AA178" i="1"/>
  <c r="AB178" i="1"/>
  <c r="AC178" i="1"/>
  <c r="AD178" i="1"/>
  <c r="AE178" i="1"/>
  <c r="AF178" i="1"/>
  <c r="AG178" i="1"/>
  <c r="T179" i="1"/>
  <c r="V179" i="1"/>
  <c r="X179" i="1"/>
  <c r="Y179" i="1"/>
  <c r="AA179" i="1"/>
  <c r="AB179" i="1"/>
  <c r="AC179" i="1"/>
  <c r="AD179" i="1"/>
  <c r="AE179" i="1"/>
  <c r="AF179" i="1"/>
  <c r="AG179" i="1"/>
  <c r="T180" i="1"/>
  <c r="V180" i="1"/>
  <c r="X180" i="1"/>
  <c r="Y180" i="1"/>
  <c r="AA180" i="1"/>
  <c r="AB180" i="1"/>
  <c r="AC180" i="1"/>
  <c r="AD180" i="1"/>
  <c r="AE180" i="1"/>
  <c r="AF180" i="1"/>
  <c r="AG180" i="1"/>
  <c r="T181" i="1"/>
  <c r="V181" i="1"/>
  <c r="X181" i="1"/>
  <c r="Y181" i="1"/>
  <c r="AA181" i="1"/>
  <c r="AB181" i="1"/>
  <c r="AC181" i="1"/>
  <c r="AD181" i="1"/>
  <c r="AE181" i="1"/>
  <c r="AF181" i="1"/>
  <c r="AG181" i="1"/>
  <c r="T182" i="1"/>
  <c r="V182" i="1"/>
  <c r="X182" i="1"/>
  <c r="Y182" i="1"/>
  <c r="AA182" i="1"/>
  <c r="AB182" i="1"/>
  <c r="AC182" i="1"/>
  <c r="AD182" i="1"/>
  <c r="AE182" i="1"/>
  <c r="AF182" i="1"/>
  <c r="AG182" i="1"/>
  <c r="T183" i="1"/>
  <c r="V183" i="1"/>
  <c r="X183" i="1"/>
  <c r="Y183" i="1"/>
  <c r="AA183" i="1"/>
  <c r="AB183" i="1"/>
  <c r="AC183" i="1"/>
  <c r="AD183" i="1"/>
  <c r="AE183" i="1"/>
  <c r="AF183" i="1"/>
  <c r="AG183" i="1"/>
  <c r="T184" i="1"/>
  <c r="V184" i="1"/>
  <c r="X184" i="1"/>
  <c r="Y184" i="1"/>
  <c r="AA184" i="1"/>
  <c r="AB184" i="1"/>
  <c r="AC184" i="1"/>
  <c r="AD184" i="1"/>
  <c r="AE184" i="1"/>
  <c r="AF184" i="1"/>
  <c r="AG184" i="1"/>
  <c r="T185" i="1"/>
  <c r="V185" i="1"/>
  <c r="X185" i="1"/>
  <c r="Y185" i="1"/>
  <c r="AA185" i="1"/>
  <c r="AB185" i="1"/>
  <c r="AC185" i="1"/>
  <c r="AD185" i="1"/>
  <c r="AE185" i="1"/>
  <c r="AF185" i="1"/>
  <c r="AG185" i="1"/>
  <c r="T186" i="1"/>
  <c r="V186" i="1"/>
  <c r="X186" i="1"/>
  <c r="Y186" i="1"/>
  <c r="AA186" i="1"/>
  <c r="AB186" i="1"/>
  <c r="AC186" i="1"/>
  <c r="AD186" i="1"/>
  <c r="AE186" i="1"/>
  <c r="AF186" i="1"/>
  <c r="AG186" i="1"/>
  <c r="T187" i="1"/>
  <c r="V187" i="1"/>
  <c r="X187" i="1"/>
  <c r="Y187" i="1"/>
  <c r="AA187" i="1"/>
  <c r="AB187" i="1"/>
  <c r="AC187" i="1"/>
  <c r="AD187" i="1"/>
  <c r="AE187" i="1"/>
  <c r="AF187" i="1"/>
  <c r="AG187" i="1"/>
  <c r="T188" i="1"/>
  <c r="V188" i="1"/>
  <c r="X188" i="1"/>
  <c r="Y188" i="1"/>
  <c r="AA188" i="1"/>
  <c r="AB188" i="1"/>
  <c r="AC188" i="1"/>
  <c r="AD188" i="1"/>
  <c r="AE188" i="1"/>
  <c r="AF188" i="1"/>
  <c r="AG188" i="1"/>
  <c r="T189" i="1"/>
  <c r="V189" i="1"/>
  <c r="X189" i="1"/>
  <c r="Y189" i="1"/>
  <c r="AA189" i="1"/>
  <c r="AB189" i="1"/>
  <c r="AC189" i="1"/>
  <c r="AD189" i="1"/>
  <c r="AE189" i="1"/>
  <c r="AF189" i="1"/>
  <c r="AG189" i="1"/>
  <c r="T190" i="1"/>
  <c r="V190" i="1"/>
  <c r="X190" i="1"/>
  <c r="Y190" i="1"/>
  <c r="AA190" i="1"/>
  <c r="AB190" i="1"/>
  <c r="AC190" i="1"/>
  <c r="AD190" i="1"/>
  <c r="AE190" i="1"/>
  <c r="AF190" i="1"/>
  <c r="AG190" i="1"/>
  <c r="T191" i="1"/>
  <c r="V191" i="1"/>
  <c r="X191" i="1"/>
  <c r="Y191" i="1"/>
  <c r="AA191" i="1"/>
  <c r="AB191" i="1"/>
  <c r="AC191" i="1"/>
  <c r="AD191" i="1"/>
  <c r="AE191" i="1"/>
  <c r="AF191" i="1"/>
  <c r="AG191" i="1"/>
  <c r="T192" i="1"/>
  <c r="V192" i="1"/>
  <c r="X192" i="1"/>
  <c r="Y192" i="1"/>
  <c r="AA192" i="1"/>
  <c r="AB192" i="1"/>
  <c r="AC192" i="1"/>
  <c r="AD192" i="1"/>
  <c r="AE192" i="1"/>
  <c r="AF192" i="1"/>
  <c r="AG192" i="1"/>
  <c r="T193" i="1"/>
  <c r="V193" i="1"/>
  <c r="X193" i="1"/>
  <c r="Y193" i="1"/>
  <c r="AA193" i="1"/>
  <c r="AB193" i="1"/>
  <c r="AC193" i="1"/>
  <c r="AD193" i="1"/>
  <c r="AE193" i="1"/>
  <c r="AF193" i="1"/>
  <c r="AG193" i="1"/>
  <c r="T194" i="1"/>
  <c r="V194" i="1"/>
  <c r="X194" i="1"/>
  <c r="Y194" i="1"/>
  <c r="AA194" i="1"/>
  <c r="AB194" i="1"/>
  <c r="AC194" i="1"/>
  <c r="AD194" i="1"/>
  <c r="AE194" i="1"/>
  <c r="AF194" i="1"/>
  <c r="AG194" i="1"/>
  <c r="T196" i="1"/>
  <c r="V196" i="1"/>
  <c r="X196" i="1"/>
  <c r="Y196" i="1"/>
  <c r="AA196" i="1"/>
  <c r="AB196" i="1"/>
  <c r="AC196" i="1"/>
  <c r="AD196" i="1"/>
  <c r="AE196" i="1"/>
  <c r="AF196" i="1"/>
  <c r="AG196" i="1"/>
  <c r="T197" i="1"/>
  <c r="V197" i="1"/>
  <c r="X197" i="1"/>
  <c r="Y197" i="1"/>
  <c r="AA197" i="1"/>
  <c r="AB197" i="1"/>
  <c r="AC197" i="1"/>
  <c r="AD197" i="1"/>
  <c r="AE197" i="1"/>
  <c r="AF197" i="1"/>
  <c r="AG197" i="1"/>
  <c r="T198" i="1"/>
  <c r="V198" i="1"/>
  <c r="X198" i="1"/>
  <c r="Y198" i="1"/>
  <c r="AA198" i="1"/>
  <c r="AB198" i="1"/>
  <c r="AC198" i="1"/>
  <c r="AD198" i="1"/>
  <c r="AE198" i="1"/>
  <c r="AF198" i="1"/>
  <c r="AG198" i="1"/>
  <c r="T201" i="1"/>
  <c r="V201" i="1"/>
  <c r="X201" i="1"/>
  <c r="Y201" i="1"/>
  <c r="AA201" i="1"/>
  <c r="AB201" i="1"/>
  <c r="AC201" i="1"/>
  <c r="AD201" i="1"/>
  <c r="AE201" i="1"/>
  <c r="AF201" i="1"/>
  <c r="AG201" i="1"/>
  <c r="T202" i="1"/>
  <c r="V202" i="1"/>
  <c r="X202" i="1"/>
  <c r="Y202" i="1"/>
  <c r="AA202" i="1"/>
  <c r="AB202" i="1"/>
  <c r="AC202" i="1"/>
  <c r="AD202" i="1"/>
  <c r="AE202" i="1"/>
  <c r="AF202" i="1"/>
  <c r="AG202" i="1"/>
  <c r="T203" i="1"/>
  <c r="V203" i="1"/>
  <c r="X203" i="1"/>
  <c r="Y203" i="1"/>
  <c r="AA203" i="1"/>
  <c r="AB203" i="1"/>
  <c r="AC203" i="1"/>
  <c r="AD203" i="1"/>
  <c r="AE203" i="1"/>
  <c r="AF203" i="1"/>
  <c r="AG203" i="1"/>
  <c r="T204" i="1"/>
  <c r="V204" i="1"/>
  <c r="X204" i="1"/>
  <c r="Y204" i="1"/>
  <c r="AA204" i="1"/>
  <c r="AB204" i="1"/>
  <c r="AC204" i="1"/>
  <c r="AD204" i="1"/>
  <c r="AE204" i="1"/>
  <c r="AF204" i="1"/>
  <c r="AG204" i="1"/>
  <c r="T205" i="1"/>
  <c r="V205" i="1"/>
  <c r="X205" i="1"/>
  <c r="Y205" i="1"/>
  <c r="AA205" i="1"/>
  <c r="AB205" i="1"/>
  <c r="AC205" i="1"/>
  <c r="AD205" i="1"/>
  <c r="AE205" i="1"/>
  <c r="AF205" i="1"/>
  <c r="AG205" i="1"/>
  <c r="T206" i="1"/>
  <c r="V206" i="1"/>
  <c r="X206" i="1"/>
  <c r="Y206" i="1"/>
  <c r="AA206" i="1"/>
  <c r="AB206" i="1"/>
  <c r="AC206" i="1"/>
  <c r="AD206" i="1"/>
  <c r="AE206" i="1"/>
  <c r="AF206" i="1"/>
  <c r="AG206" i="1"/>
  <c r="T208" i="1"/>
  <c r="V208" i="1"/>
  <c r="X208" i="1"/>
  <c r="Y208" i="1"/>
  <c r="AA208" i="1"/>
  <c r="AB208" i="1"/>
  <c r="AC208" i="1"/>
  <c r="AD208" i="1"/>
  <c r="AE208" i="1"/>
  <c r="AF208" i="1"/>
  <c r="AG208" i="1"/>
  <c r="T209" i="1"/>
  <c r="V209" i="1"/>
  <c r="X209" i="1"/>
  <c r="Y209" i="1"/>
  <c r="AA209" i="1"/>
  <c r="AB209" i="1"/>
  <c r="AC209" i="1"/>
  <c r="AD209" i="1"/>
  <c r="AE209" i="1"/>
  <c r="AF209" i="1"/>
  <c r="AG209" i="1"/>
  <c r="T211" i="1"/>
  <c r="V211" i="1"/>
  <c r="X211" i="1"/>
  <c r="Y211" i="1"/>
  <c r="AA211" i="1"/>
  <c r="AB211" i="1"/>
  <c r="AC211" i="1"/>
  <c r="AD211" i="1"/>
  <c r="AE211" i="1"/>
  <c r="AF211" i="1"/>
  <c r="AG211" i="1"/>
  <c r="T212" i="1"/>
  <c r="V212" i="1"/>
  <c r="X212" i="1"/>
  <c r="Y212" i="1"/>
  <c r="AA212" i="1"/>
  <c r="AB212" i="1"/>
  <c r="AC212" i="1"/>
  <c r="AD212" i="1"/>
  <c r="AE212" i="1"/>
  <c r="AF212" i="1"/>
  <c r="AG212" i="1"/>
  <c r="T213" i="1"/>
  <c r="V213" i="1"/>
  <c r="X213" i="1"/>
  <c r="Y213" i="1"/>
  <c r="AA213" i="1"/>
  <c r="AB213" i="1"/>
  <c r="AC213" i="1"/>
  <c r="AD213" i="1"/>
  <c r="AE213" i="1"/>
  <c r="AF213" i="1"/>
  <c r="AG213" i="1"/>
  <c r="T214" i="1"/>
  <c r="V214" i="1"/>
  <c r="X214" i="1"/>
  <c r="Y214" i="1"/>
  <c r="AA214" i="1"/>
  <c r="AB214" i="1"/>
  <c r="AC214" i="1"/>
  <c r="AD214" i="1"/>
  <c r="AE214" i="1"/>
  <c r="AF214" i="1"/>
  <c r="AG214" i="1"/>
  <c r="T215" i="1"/>
  <c r="V215" i="1"/>
  <c r="X215" i="1"/>
  <c r="Y215" i="1"/>
  <c r="AA215" i="1"/>
  <c r="AB215" i="1"/>
  <c r="AC215" i="1"/>
  <c r="AD215" i="1"/>
  <c r="AE215" i="1"/>
  <c r="AF215" i="1"/>
  <c r="AG215" i="1"/>
  <c r="T216" i="1"/>
  <c r="V216" i="1"/>
  <c r="X216" i="1"/>
  <c r="Y216" i="1"/>
  <c r="AA216" i="1"/>
  <c r="AB216" i="1"/>
  <c r="AC216" i="1"/>
  <c r="AD216" i="1"/>
  <c r="AE216" i="1"/>
  <c r="AF216" i="1"/>
  <c r="AG216" i="1"/>
  <c r="T217" i="1"/>
  <c r="V217" i="1"/>
  <c r="X217" i="1"/>
  <c r="Y217" i="1"/>
  <c r="AA217" i="1"/>
  <c r="AB217" i="1"/>
  <c r="AC217" i="1"/>
  <c r="AD217" i="1"/>
  <c r="AE217" i="1"/>
  <c r="AF217" i="1"/>
  <c r="AG217" i="1"/>
  <c r="T218" i="1"/>
  <c r="V218" i="1"/>
  <c r="X218" i="1"/>
  <c r="Y218" i="1"/>
  <c r="AA218" i="1"/>
  <c r="AB218" i="1"/>
  <c r="AC218" i="1"/>
  <c r="AD218" i="1"/>
  <c r="AE218" i="1"/>
  <c r="AF218" i="1"/>
  <c r="AG218" i="1"/>
  <c r="T219" i="1"/>
  <c r="V219" i="1"/>
  <c r="X219" i="1"/>
  <c r="Y219" i="1"/>
  <c r="AA219" i="1"/>
  <c r="AB219" i="1"/>
  <c r="AC219" i="1"/>
  <c r="AD219" i="1"/>
  <c r="AE219" i="1"/>
  <c r="AF219" i="1"/>
  <c r="AG219" i="1"/>
  <c r="T220" i="1"/>
  <c r="V220" i="1"/>
  <c r="X220" i="1"/>
  <c r="Y220" i="1"/>
  <c r="AA220" i="1"/>
  <c r="AB220" i="1"/>
  <c r="AC220" i="1"/>
  <c r="AD220" i="1"/>
  <c r="AE220" i="1"/>
  <c r="AF220" i="1"/>
  <c r="AG220" i="1"/>
  <c r="T221" i="1"/>
  <c r="V221" i="1"/>
  <c r="X221" i="1"/>
  <c r="Y221" i="1"/>
  <c r="AA221" i="1"/>
  <c r="AB221" i="1"/>
  <c r="AC221" i="1"/>
  <c r="AD221" i="1"/>
  <c r="AE221" i="1"/>
  <c r="AF221" i="1"/>
  <c r="AG221" i="1"/>
  <c r="T222" i="1"/>
  <c r="V222" i="1"/>
  <c r="X222" i="1"/>
  <c r="Y222" i="1"/>
  <c r="AA222" i="1"/>
  <c r="AB222" i="1"/>
  <c r="AC222" i="1"/>
  <c r="AD222" i="1"/>
  <c r="AE222" i="1"/>
  <c r="AF222" i="1"/>
  <c r="AG222" i="1"/>
  <c r="T223" i="1"/>
  <c r="V223" i="1"/>
  <c r="X223" i="1"/>
  <c r="Y223" i="1"/>
  <c r="AA223" i="1"/>
  <c r="AB223" i="1"/>
  <c r="AC223" i="1"/>
  <c r="AD223" i="1"/>
  <c r="AE223" i="1"/>
  <c r="AF223" i="1"/>
  <c r="AG223" i="1"/>
  <c r="T224" i="1"/>
  <c r="V224" i="1"/>
  <c r="X224" i="1"/>
  <c r="Y224" i="1"/>
  <c r="AA224" i="1"/>
  <c r="AB224" i="1"/>
  <c r="AC224" i="1"/>
  <c r="AD224" i="1"/>
  <c r="AE224" i="1"/>
  <c r="AF224" i="1"/>
  <c r="AG224" i="1"/>
  <c r="T225" i="1"/>
  <c r="V225" i="1"/>
  <c r="X225" i="1"/>
  <c r="Y225" i="1"/>
  <c r="AA225" i="1"/>
  <c r="AB225" i="1"/>
  <c r="AC225" i="1"/>
  <c r="AD225" i="1"/>
  <c r="AE225" i="1"/>
  <c r="AF225" i="1"/>
  <c r="AG225" i="1"/>
  <c r="T226" i="1"/>
  <c r="V226" i="1"/>
  <c r="X226" i="1"/>
  <c r="Y226" i="1"/>
  <c r="AA226" i="1"/>
  <c r="AB226" i="1"/>
  <c r="AC226" i="1"/>
  <c r="AD226" i="1"/>
  <c r="AE226" i="1"/>
  <c r="AF226" i="1"/>
  <c r="AG226" i="1"/>
  <c r="T227" i="1"/>
  <c r="V227" i="1"/>
  <c r="X227" i="1"/>
  <c r="Y227" i="1"/>
  <c r="AA227" i="1"/>
  <c r="AB227" i="1"/>
  <c r="AC227" i="1"/>
  <c r="AD227" i="1"/>
  <c r="AE227" i="1"/>
  <c r="AF227" i="1"/>
  <c r="AG227" i="1"/>
  <c r="T228" i="1"/>
  <c r="V228" i="1"/>
  <c r="X228" i="1"/>
  <c r="Y228" i="1"/>
  <c r="AA228" i="1"/>
  <c r="AB228" i="1"/>
  <c r="AC228" i="1"/>
  <c r="AD228" i="1"/>
  <c r="AE228" i="1"/>
  <c r="AF228" i="1"/>
  <c r="AG228" i="1"/>
  <c r="T229" i="1"/>
  <c r="V229" i="1"/>
  <c r="X229" i="1"/>
  <c r="Y229" i="1"/>
  <c r="AA229" i="1"/>
  <c r="AB229" i="1"/>
  <c r="AC229" i="1"/>
  <c r="AD229" i="1"/>
  <c r="AE229" i="1"/>
  <c r="AF229" i="1"/>
  <c r="AG229" i="1"/>
  <c r="T230" i="1"/>
  <c r="V230" i="1"/>
  <c r="X230" i="1"/>
  <c r="Y230" i="1"/>
  <c r="AA230" i="1"/>
  <c r="AB230" i="1"/>
  <c r="AC230" i="1"/>
  <c r="AD230" i="1"/>
  <c r="AE230" i="1"/>
  <c r="AF230" i="1"/>
  <c r="AG230" i="1"/>
  <c r="T231" i="1"/>
  <c r="V231" i="1"/>
  <c r="X231" i="1"/>
  <c r="Y231" i="1"/>
  <c r="AA231" i="1"/>
  <c r="AB231" i="1"/>
  <c r="AC231" i="1"/>
  <c r="AD231" i="1"/>
  <c r="AE231" i="1"/>
  <c r="AF231" i="1"/>
  <c r="AG231" i="1"/>
  <c r="T232" i="1"/>
  <c r="V232" i="1"/>
  <c r="X232" i="1"/>
  <c r="Y232" i="1"/>
  <c r="AA232" i="1"/>
  <c r="AB232" i="1"/>
  <c r="AC232" i="1"/>
  <c r="AD232" i="1"/>
  <c r="AE232" i="1"/>
  <c r="AF232" i="1"/>
  <c r="AG232" i="1"/>
  <c r="T233" i="1"/>
  <c r="V233" i="1"/>
  <c r="X233" i="1"/>
  <c r="Y233" i="1"/>
  <c r="AA233" i="1"/>
  <c r="AB233" i="1"/>
  <c r="AC233" i="1"/>
  <c r="AD233" i="1"/>
  <c r="AE233" i="1"/>
  <c r="AF233" i="1"/>
  <c r="AG233" i="1"/>
  <c r="T234" i="1"/>
  <c r="V234" i="1"/>
  <c r="X234" i="1"/>
  <c r="Y234" i="1"/>
  <c r="AA234" i="1"/>
  <c r="AB234" i="1"/>
  <c r="AC234" i="1"/>
  <c r="AD234" i="1"/>
  <c r="AE234" i="1"/>
  <c r="AF234" i="1"/>
  <c r="AG234" i="1"/>
  <c r="T236" i="1"/>
  <c r="V236" i="1"/>
  <c r="X236" i="1"/>
  <c r="Y236" i="1"/>
  <c r="AA236" i="1"/>
  <c r="AB236" i="1"/>
  <c r="AC236" i="1"/>
  <c r="AD236" i="1"/>
  <c r="AE236" i="1"/>
  <c r="AF236" i="1"/>
  <c r="AG236" i="1"/>
  <c r="T237" i="1"/>
  <c r="V237" i="1"/>
  <c r="X237" i="1"/>
  <c r="Y237" i="1"/>
  <c r="AA237" i="1"/>
  <c r="AB237" i="1"/>
  <c r="AC237" i="1"/>
  <c r="AD237" i="1"/>
  <c r="AE237" i="1"/>
  <c r="AF237" i="1"/>
  <c r="AG237" i="1"/>
  <c r="T238" i="1"/>
  <c r="V238" i="1"/>
  <c r="X238" i="1"/>
  <c r="Y238" i="1"/>
  <c r="AA238" i="1"/>
  <c r="AB238" i="1"/>
  <c r="AC238" i="1"/>
  <c r="AD238" i="1"/>
  <c r="AE238" i="1"/>
  <c r="AF238" i="1"/>
  <c r="AG238" i="1"/>
  <c r="T239" i="1"/>
  <c r="V239" i="1"/>
  <c r="X239" i="1"/>
  <c r="Y239" i="1"/>
  <c r="AA239" i="1"/>
  <c r="AB239" i="1"/>
  <c r="AC239" i="1"/>
  <c r="AD239" i="1"/>
  <c r="AE239" i="1"/>
  <c r="AF239" i="1"/>
  <c r="AG239" i="1"/>
  <c r="T240" i="1"/>
  <c r="V240" i="1"/>
  <c r="X240" i="1"/>
  <c r="Y240" i="1"/>
  <c r="AA240" i="1"/>
  <c r="AB240" i="1"/>
  <c r="AC240" i="1"/>
  <c r="AD240" i="1"/>
  <c r="AE240" i="1"/>
  <c r="AF240" i="1"/>
  <c r="AG240" i="1"/>
  <c r="T241" i="1"/>
  <c r="V241" i="1"/>
  <c r="X241" i="1"/>
  <c r="Y241" i="1"/>
  <c r="AA241" i="1"/>
  <c r="AB241" i="1"/>
  <c r="AC241" i="1"/>
  <c r="AD241" i="1"/>
  <c r="AE241" i="1"/>
  <c r="AF241" i="1"/>
  <c r="AG241" i="1"/>
  <c r="T242" i="1"/>
  <c r="V242" i="1"/>
  <c r="X242" i="1"/>
  <c r="Y242" i="1"/>
  <c r="AA242" i="1"/>
  <c r="AB242" i="1"/>
  <c r="AC242" i="1"/>
  <c r="AD242" i="1"/>
  <c r="AE242" i="1"/>
  <c r="AF242" i="1"/>
  <c r="AG242" i="1"/>
  <c r="T243" i="1"/>
  <c r="V243" i="1"/>
  <c r="X243" i="1"/>
  <c r="Y243" i="1"/>
  <c r="AA243" i="1"/>
  <c r="AB243" i="1"/>
  <c r="AC243" i="1"/>
  <c r="AD243" i="1"/>
  <c r="AE243" i="1"/>
  <c r="AF243" i="1"/>
  <c r="AG243" i="1"/>
  <c r="T244" i="1"/>
  <c r="V244" i="1"/>
  <c r="X244" i="1"/>
  <c r="Y244" i="1"/>
  <c r="AA244" i="1"/>
  <c r="AB244" i="1"/>
  <c r="AC244" i="1"/>
  <c r="AD244" i="1"/>
  <c r="AE244" i="1"/>
  <c r="AF244" i="1"/>
  <c r="AG244" i="1"/>
  <c r="T245" i="1"/>
  <c r="V245" i="1"/>
  <c r="X245" i="1"/>
  <c r="Y245" i="1"/>
  <c r="AA245" i="1"/>
  <c r="AB245" i="1"/>
  <c r="AC245" i="1"/>
  <c r="AD245" i="1"/>
  <c r="AE245" i="1"/>
  <c r="AF245" i="1"/>
  <c r="AG245" i="1"/>
  <c r="T246" i="1"/>
  <c r="V246" i="1"/>
  <c r="X246" i="1"/>
  <c r="Y246" i="1"/>
  <c r="AA246" i="1"/>
  <c r="AB246" i="1"/>
  <c r="AC246" i="1"/>
  <c r="AD246" i="1"/>
  <c r="AE246" i="1"/>
  <c r="AF246" i="1"/>
  <c r="AG246" i="1"/>
  <c r="T247" i="1"/>
  <c r="V247" i="1"/>
  <c r="X247" i="1"/>
  <c r="Y247" i="1"/>
  <c r="AA247" i="1"/>
  <c r="AB247" i="1"/>
  <c r="AC247" i="1"/>
  <c r="AD247" i="1"/>
  <c r="AE247" i="1"/>
  <c r="AF247" i="1"/>
  <c r="AG247" i="1"/>
  <c r="T248" i="1"/>
  <c r="V248" i="1"/>
  <c r="X248" i="1"/>
  <c r="Y248" i="1"/>
  <c r="AA248" i="1"/>
  <c r="AB248" i="1"/>
  <c r="AC248" i="1"/>
  <c r="AD248" i="1"/>
  <c r="AE248" i="1"/>
  <c r="AF248" i="1"/>
  <c r="AG248" i="1"/>
  <c r="T249" i="1"/>
  <c r="V249" i="1"/>
  <c r="X249" i="1"/>
  <c r="Y249" i="1"/>
  <c r="AA249" i="1"/>
  <c r="AB249" i="1"/>
  <c r="AC249" i="1"/>
  <c r="AD249" i="1"/>
  <c r="AE249" i="1"/>
  <c r="AF249" i="1"/>
  <c r="AG249" i="1"/>
  <c r="T250" i="1"/>
  <c r="V250" i="1"/>
  <c r="X250" i="1"/>
  <c r="Y250" i="1"/>
  <c r="AA250" i="1"/>
  <c r="AB250" i="1"/>
  <c r="AC250" i="1"/>
  <c r="AD250" i="1"/>
  <c r="AE250" i="1"/>
  <c r="AF250" i="1"/>
  <c r="AG250" i="1"/>
  <c r="T251" i="1"/>
  <c r="V251" i="1"/>
  <c r="X251" i="1"/>
  <c r="Y251" i="1"/>
  <c r="AA251" i="1"/>
  <c r="AB251" i="1"/>
  <c r="AC251" i="1"/>
  <c r="AD251" i="1"/>
  <c r="AE251" i="1"/>
  <c r="AF251" i="1"/>
  <c r="AG251" i="1"/>
  <c r="T252" i="1"/>
  <c r="V252" i="1"/>
  <c r="X252" i="1"/>
  <c r="Y252" i="1"/>
  <c r="AA252" i="1"/>
  <c r="AB252" i="1"/>
  <c r="AC252" i="1"/>
  <c r="AD252" i="1"/>
  <c r="AE252" i="1"/>
  <c r="AF252" i="1"/>
  <c r="AG252" i="1"/>
  <c r="T253" i="1"/>
  <c r="V253" i="1"/>
  <c r="X253" i="1"/>
  <c r="Y253" i="1"/>
  <c r="AA253" i="1"/>
  <c r="AB253" i="1"/>
  <c r="AC253" i="1"/>
  <c r="AD253" i="1"/>
  <c r="AE253" i="1"/>
  <c r="AF253" i="1"/>
  <c r="AG253" i="1"/>
  <c r="T254" i="1"/>
  <c r="V254" i="1"/>
  <c r="X254" i="1"/>
  <c r="Y254" i="1"/>
  <c r="AA254" i="1"/>
  <c r="AB254" i="1"/>
  <c r="AC254" i="1"/>
  <c r="AD254" i="1"/>
  <c r="AE254" i="1"/>
  <c r="AF254" i="1"/>
  <c r="AG254" i="1"/>
  <c r="T255" i="1"/>
  <c r="V255" i="1"/>
  <c r="X255" i="1"/>
  <c r="Y255" i="1"/>
  <c r="AA255" i="1"/>
  <c r="AB255" i="1"/>
  <c r="AC255" i="1"/>
  <c r="AD255" i="1"/>
  <c r="AE255" i="1"/>
  <c r="AF255" i="1"/>
  <c r="AG255" i="1"/>
  <c r="T256" i="1"/>
  <c r="V256" i="1"/>
  <c r="X256" i="1"/>
  <c r="Y256" i="1"/>
  <c r="AA256" i="1"/>
  <c r="AB256" i="1"/>
  <c r="AC256" i="1"/>
  <c r="AD256" i="1"/>
  <c r="AE256" i="1"/>
  <c r="AF256" i="1"/>
  <c r="AG256" i="1"/>
  <c r="A257" i="1"/>
  <c r="B257" i="1"/>
  <c r="G257" i="1"/>
  <c r="K257" i="1"/>
  <c r="M257" i="1"/>
  <c r="R257" i="1"/>
  <c r="S257" i="1"/>
  <c r="T257" i="1"/>
  <c r="U257" i="1"/>
  <c r="V257" i="1"/>
  <c r="W257" i="1"/>
  <c r="X257" i="1"/>
  <c r="Y257" i="1"/>
  <c r="Z257" i="1"/>
  <c r="AA257" i="1"/>
  <c r="AB257" i="1"/>
  <c r="AC257" i="1"/>
  <c r="AD257" i="1"/>
  <c r="AE257" i="1"/>
  <c r="AF257" i="1"/>
  <c r="AG257" i="1"/>
  <c r="AH257" i="1"/>
  <c r="AI257" i="1"/>
  <c r="AK257" i="1"/>
  <c r="H260" i="1"/>
  <c r="I260" i="1"/>
  <c r="M260" i="1"/>
  <c r="N260" i="1"/>
  <c r="O260" i="1"/>
  <c r="P260" i="1"/>
  <c r="Q260" i="1"/>
  <c r="R260" i="1"/>
  <c r="S260" i="1"/>
  <c r="T260" i="1"/>
  <c r="U260" i="1"/>
  <c r="V260" i="1"/>
  <c r="W260" i="1"/>
  <c r="X260" i="1"/>
  <c r="AA260" i="1"/>
  <c r="AB260" i="1"/>
  <c r="AC260" i="1"/>
  <c r="M261" i="1"/>
  <c r="N261" i="1"/>
  <c r="O261" i="1"/>
  <c r="P261" i="1"/>
  <c r="Q261" i="1"/>
  <c r="R261" i="1"/>
  <c r="S261" i="1"/>
  <c r="T261" i="1"/>
  <c r="U261" i="1"/>
  <c r="V261" i="1"/>
  <c r="W261" i="1"/>
  <c r="X261" i="1"/>
  <c r="AA261" i="1"/>
  <c r="AB261" i="1"/>
  <c r="AC261" i="1"/>
  <c r="M262" i="1"/>
  <c r="N262" i="1"/>
  <c r="O262" i="1"/>
  <c r="P262" i="1"/>
  <c r="Q262" i="1"/>
  <c r="R262" i="1"/>
  <c r="S262" i="1"/>
  <c r="T262" i="1"/>
  <c r="U262" i="1"/>
  <c r="V262" i="1"/>
  <c r="W262" i="1"/>
  <c r="X262" i="1"/>
  <c r="AA262" i="1"/>
  <c r="AB262" i="1"/>
  <c r="AC262" i="1"/>
  <c r="H264" i="1"/>
  <c r="L264" i="1"/>
  <c r="M264" i="1"/>
  <c r="N264" i="1"/>
  <c r="O264" i="1"/>
  <c r="P264" i="1"/>
  <c r="Q264" i="1"/>
  <c r="R264" i="1"/>
  <c r="S264" i="1"/>
  <c r="T264" i="1"/>
  <c r="U264" i="1"/>
  <c r="V264" i="1"/>
  <c r="W264" i="1"/>
  <c r="B5" i="5"/>
  <c r="C5" i="5"/>
  <c r="B7" i="5"/>
  <c r="C7" i="5"/>
  <c r="D7" i="5"/>
  <c r="B8" i="5"/>
  <c r="C8" i="5"/>
  <c r="D8" i="5"/>
  <c r="B9" i="5"/>
  <c r="C9" i="5"/>
  <c r="D9" i="5"/>
  <c r="D10" i="5"/>
  <c r="B11" i="5"/>
  <c r="C11" i="5"/>
  <c r="D11" i="5"/>
  <c r="B14" i="5"/>
  <c r="C14" i="5"/>
  <c r="D14" i="5"/>
  <c r="B15" i="5"/>
  <c r="C15" i="5"/>
  <c r="D15" i="5"/>
  <c r="B17" i="5"/>
  <c r="C17" i="5"/>
  <c r="D17" i="5"/>
  <c r="B18" i="5"/>
  <c r="C18" i="5"/>
  <c r="D18" i="5"/>
  <c r="B20" i="5"/>
  <c r="C20" i="5"/>
  <c r="D20" i="5"/>
  <c r="B21" i="5"/>
  <c r="C21" i="5"/>
  <c r="D21" i="5"/>
  <c r="B23" i="5"/>
  <c r="C23" i="5"/>
  <c r="D23" i="5"/>
  <c r="B24" i="5"/>
  <c r="C24" i="5"/>
  <c r="D24" i="5"/>
  <c r="B27" i="5"/>
  <c r="C27" i="5"/>
  <c r="D27" i="5"/>
  <c r="B28" i="5"/>
  <c r="C28" i="5"/>
  <c r="D28" i="5"/>
  <c r="B32" i="5"/>
  <c r="C32" i="5"/>
  <c r="D33" i="5"/>
  <c r="B34" i="5"/>
  <c r="C34" i="5"/>
  <c r="D35" i="5"/>
  <c r="B36" i="5"/>
  <c r="C36" i="5"/>
  <c r="D36" i="5"/>
  <c r="B41" i="5"/>
  <c r="B42" i="5"/>
  <c r="E4" i="17"/>
  <c r="B7" i="17"/>
  <c r="C7" i="17"/>
  <c r="D7" i="17"/>
  <c r="E7" i="17"/>
  <c r="F7" i="17"/>
  <c r="G7" i="17"/>
  <c r="H7" i="17"/>
  <c r="I7" i="17"/>
  <c r="J7" i="17"/>
  <c r="K7" i="17"/>
  <c r="B8" i="17"/>
  <c r="C8" i="17"/>
  <c r="D8" i="17"/>
  <c r="E8" i="17"/>
  <c r="F8" i="17"/>
  <c r="G8" i="17"/>
  <c r="H8" i="17"/>
  <c r="I8" i="17"/>
  <c r="J8" i="17"/>
  <c r="K8" i="17"/>
  <c r="B10" i="17"/>
  <c r="C10" i="18"/>
  <c r="C11" i="18"/>
  <c r="C12" i="18"/>
  <c r="C14" i="18"/>
  <c r="D20" i="18"/>
  <c r="E20" i="18"/>
  <c r="F20" i="18"/>
  <c r="G20" i="18"/>
  <c r="H20" i="18"/>
  <c r="I20" i="18"/>
  <c r="J20" i="18"/>
  <c r="K20" i="18"/>
  <c r="L20" i="18"/>
  <c r="M20" i="18"/>
  <c r="C22" i="18"/>
  <c r="D22" i="18"/>
  <c r="E22" i="18"/>
  <c r="F22" i="18"/>
  <c r="G22" i="18"/>
  <c r="H22" i="18"/>
  <c r="I22" i="18"/>
  <c r="J22" i="18"/>
  <c r="K22" i="18"/>
  <c r="L22" i="18"/>
  <c r="M22" i="18"/>
  <c r="C23" i="18"/>
  <c r="D23" i="18"/>
  <c r="E23" i="18"/>
  <c r="F23" i="18"/>
  <c r="G23" i="18"/>
  <c r="H23" i="18"/>
  <c r="I23" i="18"/>
  <c r="J23" i="18"/>
  <c r="K23" i="18"/>
  <c r="L23" i="18"/>
  <c r="M23" i="18"/>
  <c r="C30" i="18"/>
  <c r="D30" i="18"/>
  <c r="C31" i="18"/>
  <c r="D31" i="18"/>
  <c r="C32" i="18"/>
  <c r="D32" i="18"/>
  <c r="C39" i="18"/>
  <c r="D44" i="18"/>
  <c r="E44" i="18"/>
  <c r="F44" i="18"/>
  <c r="G44" i="18"/>
  <c r="H44" i="18"/>
  <c r="I44" i="18"/>
  <c r="J44" i="18"/>
  <c r="K44" i="18"/>
  <c r="L44" i="18"/>
  <c r="M44" i="18"/>
  <c r="D45" i="18"/>
  <c r="E45" i="18"/>
  <c r="F45" i="18"/>
  <c r="G45" i="18"/>
  <c r="H45" i="18"/>
  <c r="I45" i="18"/>
  <c r="J45" i="18"/>
  <c r="K45" i="18"/>
  <c r="L45" i="18"/>
  <c r="M45" i="18"/>
  <c r="C46" i="18"/>
  <c r="D46" i="18"/>
  <c r="E46" i="18"/>
  <c r="F46" i="18"/>
  <c r="G46" i="18"/>
  <c r="H46" i="18"/>
  <c r="I46" i="18"/>
  <c r="J46" i="18"/>
  <c r="K46" i="18"/>
  <c r="L46" i="18"/>
  <c r="M46" i="18"/>
  <c r="C50" i="18"/>
  <c r="D50" i="18"/>
  <c r="E50" i="18"/>
  <c r="F50" i="18"/>
  <c r="G50" i="18"/>
  <c r="H50" i="18"/>
  <c r="I50" i="18"/>
  <c r="J50" i="18"/>
  <c r="K50" i="18"/>
  <c r="L50" i="18"/>
  <c r="M50" i="18"/>
  <c r="D59" i="18"/>
  <c r="E59" i="18"/>
  <c r="F59" i="18"/>
  <c r="G59" i="18"/>
  <c r="H59" i="18"/>
  <c r="I59" i="18"/>
  <c r="J59" i="18"/>
  <c r="K59" i="18"/>
  <c r="L59" i="18"/>
  <c r="M59" i="18"/>
  <c r="C60" i="18"/>
  <c r="D60" i="18"/>
  <c r="E60" i="18"/>
  <c r="F60" i="18"/>
  <c r="G60" i="18"/>
  <c r="H60" i="18"/>
  <c r="I60" i="18"/>
  <c r="J60" i="18"/>
  <c r="K60" i="18"/>
  <c r="L60" i="18"/>
  <c r="M60" i="18"/>
  <c r="N60" i="18"/>
  <c r="C61" i="18"/>
  <c r="D61" i="18"/>
  <c r="E61" i="18"/>
  <c r="F61" i="18"/>
  <c r="G61" i="18"/>
  <c r="H61" i="18"/>
  <c r="I61" i="18"/>
  <c r="J61" i="18"/>
  <c r="K61" i="18"/>
  <c r="L61" i="18"/>
  <c r="M61" i="18"/>
  <c r="C62" i="18"/>
  <c r="D62" i="18"/>
  <c r="E62" i="18"/>
  <c r="F62" i="18"/>
  <c r="G62" i="18"/>
  <c r="H62" i="18"/>
  <c r="I62" i="18"/>
  <c r="J62" i="18"/>
  <c r="K62" i="18"/>
  <c r="L62" i="18"/>
  <c r="M62" i="18"/>
  <c r="N62" i="18"/>
  <c r="D65" i="18"/>
  <c r="E65" i="18"/>
  <c r="F65" i="18"/>
  <c r="G65" i="18"/>
  <c r="H65" i="18"/>
  <c r="I65" i="18"/>
  <c r="J65" i="18"/>
  <c r="K65" i="18"/>
  <c r="L65" i="18"/>
  <c r="M65" i="18"/>
  <c r="C66" i="18"/>
  <c r="D66" i="18"/>
  <c r="E66" i="18"/>
  <c r="F66" i="18"/>
  <c r="G66" i="18"/>
  <c r="H66" i="18"/>
  <c r="I66" i="18"/>
  <c r="J66" i="18"/>
  <c r="K66" i="18"/>
  <c r="L66" i="18"/>
  <c r="M66" i="18"/>
  <c r="N66" i="18"/>
  <c r="C67" i="18"/>
  <c r="D67" i="18"/>
  <c r="E67" i="18"/>
  <c r="F67" i="18"/>
  <c r="G67" i="18"/>
  <c r="H67" i="18"/>
  <c r="I67" i="18"/>
  <c r="J67" i="18"/>
  <c r="K67" i="18"/>
  <c r="L67" i="18"/>
  <c r="M67" i="18"/>
  <c r="N67" i="18"/>
  <c r="C68" i="18"/>
  <c r="D68" i="18"/>
  <c r="E68" i="18"/>
  <c r="F68" i="18"/>
  <c r="G68" i="18"/>
  <c r="H68" i="18"/>
  <c r="I68" i="18"/>
  <c r="J68" i="18"/>
  <c r="K68" i="18"/>
  <c r="L68" i="18"/>
  <c r="M68" i="18"/>
  <c r="N68" i="18"/>
  <c r="O68" i="18"/>
  <c r="C69" i="18"/>
  <c r="D69" i="18"/>
  <c r="E69" i="18"/>
  <c r="F69" i="18"/>
  <c r="G69" i="18"/>
  <c r="H69" i="18"/>
  <c r="I69" i="18"/>
  <c r="J69" i="18"/>
  <c r="K69" i="18"/>
  <c r="L69" i="18"/>
  <c r="M69" i="18"/>
  <c r="N69" i="18"/>
  <c r="C70" i="18"/>
  <c r="D70" i="18"/>
  <c r="E70" i="18"/>
  <c r="F70" i="18"/>
  <c r="G70" i="18"/>
  <c r="H70" i="18"/>
  <c r="I70" i="18"/>
  <c r="J70" i="18"/>
  <c r="K70" i="18"/>
  <c r="L70" i="18"/>
  <c r="M70" i="18"/>
  <c r="D71" i="18"/>
  <c r="F71" i="18"/>
  <c r="G71" i="18"/>
  <c r="H71" i="18"/>
  <c r="I71" i="18"/>
  <c r="J71" i="18"/>
  <c r="K71" i="18"/>
  <c r="L71" i="18"/>
  <c r="M71" i="18"/>
  <c r="C72" i="18"/>
  <c r="D72" i="18"/>
  <c r="E72" i="18"/>
  <c r="F72" i="18"/>
  <c r="G72" i="18"/>
  <c r="H72" i="18"/>
  <c r="I72" i="18"/>
  <c r="J72" i="18"/>
  <c r="K72" i="18"/>
  <c r="L72" i="18"/>
  <c r="M72" i="18"/>
  <c r="C74" i="18"/>
  <c r="D74" i="18"/>
  <c r="E74" i="18"/>
  <c r="F74" i="18"/>
  <c r="G74" i="18"/>
  <c r="H74" i="18"/>
  <c r="I74" i="18"/>
  <c r="J74" i="18"/>
  <c r="K74" i="18"/>
  <c r="L74" i="18"/>
  <c r="M74" i="18"/>
  <c r="D75" i="18"/>
  <c r="E75" i="18"/>
  <c r="F75" i="18"/>
  <c r="G75" i="18"/>
  <c r="H75" i="18"/>
  <c r="I75" i="18"/>
  <c r="J75" i="18"/>
  <c r="K75" i="18"/>
  <c r="L75" i="18"/>
  <c r="M75" i="18"/>
  <c r="D76" i="18"/>
  <c r="E76" i="18"/>
  <c r="F76" i="18"/>
  <c r="G76" i="18"/>
  <c r="H76" i="18"/>
  <c r="I76" i="18"/>
  <c r="J76" i="18"/>
  <c r="K76" i="18"/>
  <c r="L76" i="18"/>
  <c r="M76" i="18"/>
  <c r="C78" i="18"/>
  <c r="C79" i="18"/>
  <c r="B4" i="19"/>
  <c r="C4" i="19"/>
  <c r="D4" i="19"/>
  <c r="E4" i="19"/>
  <c r="F4" i="19"/>
  <c r="G4" i="19"/>
  <c r="H4" i="19"/>
  <c r="I4" i="19"/>
  <c r="J4" i="19"/>
  <c r="K4" i="19"/>
  <c r="L4" i="19"/>
  <c r="C5" i="19"/>
  <c r="D5" i="19"/>
  <c r="E5" i="19"/>
  <c r="F5" i="19"/>
  <c r="G5" i="19"/>
  <c r="H5" i="19"/>
  <c r="I5" i="19"/>
  <c r="J5" i="19"/>
  <c r="K5" i="19"/>
  <c r="L5" i="19"/>
  <c r="C6" i="19"/>
  <c r="D6" i="19"/>
  <c r="E6" i="19"/>
  <c r="F6" i="19"/>
  <c r="G6" i="19"/>
  <c r="H6" i="19"/>
  <c r="I6" i="19"/>
  <c r="J6" i="19"/>
  <c r="K6" i="19"/>
  <c r="L6" i="19"/>
  <c r="B8" i="19"/>
  <c r="C8" i="19"/>
  <c r="D8" i="19"/>
  <c r="E8" i="19"/>
  <c r="F8" i="19"/>
  <c r="G8" i="19"/>
  <c r="H8" i="19"/>
  <c r="I8" i="19"/>
  <c r="J8" i="19"/>
  <c r="K8" i="19"/>
  <c r="L8" i="19"/>
  <c r="C9" i="19"/>
  <c r="D9" i="19"/>
  <c r="E9" i="19"/>
  <c r="F9" i="19"/>
  <c r="G9" i="19"/>
  <c r="H9" i="19"/>
  <c r="I9" i="19"/>
  <c r="J9" i="19"/>
  <c r="K9" i="19"/>
  <c r="L9" i="19"/>
  <c r="C10" i="19"/>
  <c r="D10" i="19"/>
  <c r="E10" i="19"/>
  <c r="F10" i="19"/>
  <c r="G10" i="19"/>
  <c r="H10" i="19"/>
  <c r="I10" i="19"/>
  <c r="J10" i="19"/>
  <c r="K10" i="19"/>
  <c r="L10" i="19"/>
  <c r="B12" i="19"/>
  <c r="C12" i="19"/>
  <c r="D12" i="19"/>
  <c r="E12" i="19"/>
  <c r="F12" i="19"/>
  <c r="G12" i="19"/>
  <c r="H12" i="19"/>
  <c r="I12" i="19"/>
  <c r="J12" i="19"/>
  <c r="K12" i="19"/>
  <c r="L12" i="19"/>
  <c r="C13" i="19"/>
  <c r="D13" i="19"/>
  <c r="E13" i="19"/>
  <c r="F13" i="19"/>
  <c r="G13" i="19"/>
  <c r="H13" i="19"/>
  <c r="I13" i="19"/>
  <c r="J13" i="19"/>
  <c r="K13" i="19"/>
  <c r="L13" i="19"/>
  <c r="C14" i="19"/>
  <c r="D14" i="19"/>
  <c r="E14" i="19"/>
  <c r="F14" i="19"/>
  <c r="G14" i="19"/>
  <c r="H14" i="19"/>
  <c r="I14" i="19"/>
  <c r="J14" i="19"/>
  <c r="K14" i="19"/>
  <c r="L14" i="19"/>
  <c r="C17" i="19"/>
  <c r="D17" i="19"/>
  <c r="E17" i="19"/>
  <c r="F17" i="19"/>
  <c r="G17" i="19"/>
  <c r="H17" i="19"/>
  <c r="I17" i="19"/>
  <c r="J17" i="19"/>
  <c r="K17" i="19"/>
  <c r="L17" i="19"/>
  <c r="C18" i="19"/>
  <c r="D18" i="19"/>
  <c r="E18" i="19"/>
  <c r="F18" i="19"/>
  <c r="G18" i="19"/>
  <c r="H18" i="19"/>
  <c r="I18" i="19"/>
  <c r="J18" i="19"/>
  <c r="K18" i="19"/>
  <c r="L18" i="19"/>
  <c r="C19" i="19"/>
  <c r="D19" i="19"/>
  <c r="E19" i="19"/>
  <c r="F19" i="19"/>
  <c r="G19" i="19"/>
  <c r="H19" i="19"/>
  <c r="I19" i="19"/>
  <c r="J19" i="19"/>
  <c r="K19" i="19"/>
  <c r="L19" i="19"/>
  <c r="C22" i="19"/>
  <c r="D22" i="19"/>
  <c r="E22" i="19"/>
  <c r="F22" i="19"/>
  <c r="G22" i="19"/>
  <c r="H22" i="19"/>
  <c r="I22" i="19"/>
  <c r="J22" i="19"/>
  <c r="K22" i="19"/>
  <c r="L22" i="19"/>
  <c r="C23" i="19"/>
  <c r="D23" i="19"/>
  <c r="E23" i="19"/>
  <c r="F23" i="19"/>
  <c r="G23" i="19"/>
  <c r="H23" i="19"/>
  <c r="I23" i="19"/>
  <c r="J23" i="19"/>
  <c r="K23" i="19"/>
  <c r="L23" i="19"/>
  <c r="C24" i="19"/>
  <c r="D24" i="19"/>
  <c r="E24" i="19"/>
  <c r="F24" i="19"/>
  <c r="G24" i="19"/>
  <c r="H24" i="19"/>
  <c r="I24" i="19"/>
  <c r="J24" i="19"/>
  <c r="K24" i="19"/>
  <c r="L24" i="19"/>
  <c r="C26" i="19"/>
  <c r="D26" i="19"/>
  <c r="E26" i="19"/>
  <c r="F26" i="19"/>
  <c r="G26" i="19"/>
  <c r="H26" i="19"/>
  <c r="I26" i="19"/>
  <c r="J26" i="19"/>
  <c r="K26" i="19"/>
  <c r="L26" i="19"/>
  <c r="C29" i="19"/>
  <c r="D29" i="19"/>
  <c r="E29" i="19"/>
  <c r="F29" i="19"/>
  <c r="G29" i="19"/>
  <c r="H29" i="19"/>
  <c r="I29" i="19"/>
  <c r="J29" i="19"/>
  <c r="K29" i="19"/>
  <c r="L29" i="19"/>
  <c r="C30" i="19"/>
  <c r="D30" i="19"/>
  <c r="E30" i="19"/>
  <c r="F30" i="19"/>
  <c r="G30" i="19"/>
  <c r="H30" i="19"/>
  <c r="I30" i="19"/>
  <c r="J30" i="19"/>
  <c r="K30" i="19"/>
  <c r="L30" i="19"/>
  <c r="C31" i="19"/>
  <c r="D31" i="19"/>
  <c r="E31" i="19"/>
  <c r="F31" i="19"/>
  <c r="G31" i="19"/>
  <c r="H31" i="19"/>
  <c r="I31" i="19"/>
  <c r="J31" i="19"/>
  <c r="K31" i="19"/>
  <c r="L31" i="19"/>
  <c r="B32" i="19"/>
  <c r="C34" i="19"/>
  <c r="C35" i="19"/>
  <c r="E6" i="31"/>
  <c r="E7" i="31"/>
  <c r="E8" i="31"/>
  <c r="E9" i="31"/>
  <c r="E10" i="31"/>
  <c r="C25" i="31"/>
  <c r="C31" i="31"/>
  <c r="D31" i="31"/>
  <c r="C32" i="31"/>
  <c r="D32" i="31"/>
  <c r="C33" i="31"/>
  <c r="D33" i="31"/>
  <c r="C34" i="31"/>
  <c r="H34" i="31"/>
  <c r="H35" i="31"/>
  <c r="E41" i="31"/>
  <c r="E42" i="31"/>
  <c r="E43" i="31"/>
  <c r="E44" i="31"/>
  <c r="E45" i="31"/>
  <c r="E46" i="31"/>
  <c r="C47" i="31"/>
  <c r="E47" i="31"/>
  <c r="E48" i="31"/>
  <c r="E49" i="31"/>
  <c r="E50" i="31"/>
  <c r="C51" i="31"/>
  <c r="E51" i="31"/>
  <c r="C54" i="31"/>
  <c r="E54" i="31"/>
  <c r="C55" i="31"/>
  <c r="E55" i="31"/>
  <c r="C56" i="31"/>
  <c r="E56" i="31"/>
  <c r="C57" i="31"/>
  <c r="E57" i="31"/>
  <c r="C58" i="31"/>
  <c r="E58" i="31"/>
  <c r="C59" i="31"/>
  <c r="E59" i="31"/>
  <c r="E61" i="31"/>
  <c r="E62" i="31"/>
  <c r="E63" i="31"/>
  <c r="C64" i="31"/>
  <c r="E64" i="31"/>
  <c r="D81" i="31"/>
  <c r="E81" i="31"/>
  <c r="D82" i="31"/>
  <c r="E82" i="31"/>
  <c r="D83" i="31"/>
  <c r="E83" i="31"/>
  <c r="D84" i="31"/>
  <c r="E84" i="31"/>
  <c r="D85" i="31"/>
  <c r="E85" i="31"/>
  <c r="D86" i="31"/>
  <c r="E86" i="31"/>
  <c r="D87" i="31"/>
  <c r="E87" i="31"/>
  <c r="D88" i="31"/>
  <c r="E88" i="31"/>
  <c r="D89" i="31"/>
  <c r="E89" i="31"/>
  <c r="D90" i="31"/>
  <c r="E90" i="31"/>
  <c r="E6" i="30"/>
  <c r="E7" i="30"/>
  <c r="E8" i="30"/>
  <c r="E9" i="30"/>
  <c r="E10" i="30"/>
  <c r="C18" i="30"/>
  <c r="C19" i="30"/>
  <c r="C23" i="30"/>
  <c r="C24" i="30"/>
  <c r="C25" i="30"/>
  <c r="C31" i="30"/>
  <c r="D31" i="30"/>
  <c r="C32" i="30"/>
  <c r="D32" i="30"/>
  <c r="C33" i="30"/>
  <c r="D33" i="30"/>
  <c r="H33" i="30"/>
  <c r="C34" i="30"/>
  <c r="H35" i="30"/>
  <c r="E41" i="30"/>
  <c r="E42" i="30"/>
  <c r="C44" i="30"/>
  <c r="E44" i="30"/>
  <c r="C45" i="30"/>
  <c r="E45" i="30"/>
  <c r="E46" i="30"/>
  <c r="E47" i="30"/>
  <c r="E48" i="30"/>
  <c r="E49" i="30"/>
  <c r="E50" i="30"/>
  <c r="C51" i="30"/>
  <c r="E51" i="30"/>
  <c r="C54" i="30"/>
  <c r="E54" i="30"/>
  <c r="C55" i="30"/>
  <c r="E55" i="30"/>
  <c r="C56" i="30"/>
  <c r="E56" i="30"/>
  <c r="E57" i="30"/>
  <c r="C58" i="30"/>
  <c r="E58" i="30"/>
  <c r="C59" i="30"/>
  <c r="E59" i="30"/>
  <c r="C61" i="30"/>
  <c r="E61" i="30"/>
  <c r="E62" i="30"/>
  <c r="C63" i="30"/>
  <c r="E63" i="30"/>
  <c r="C64" i="30"/>
  <c r="E64" i="30"/>
  <c r="E81" i="30"/>
  <c r="E82" i="30"/>
  <c r="E83" i="30"/>
  <c r="E84" i="30"/>
  <c r="E85" i="30"/>
  <c r="E86" i="30"/>
  <c r="E87" i="30"/>
  <c r="E88" i="30"/>
  <c r="E89" i="30"/>
  <c r="E90" i="30"/>
  <c r="E6" i="29"/>
  <c r="C18" i="29"/>
  <c r="D18" i="29"/>
  <c r="C19" i="29"/>
  <c r="D19" i="29"/>
  <c r="C20" i="29"/>
  <c r="D20" i="29"/>
  <c r="C21" i="29"/>
  <c r="D21" i="29"/>
  <c r="C22" i="29"/>
  <c r="D22" i="29"/>
  <c r="C23" i="29"/>
  <c r="D23" i="29"/>
  <c r="C24" i="29"/>
  <c r="D24" i="29"/>
  <c r="C25" i="29"/>
  <c r="C26" i="29"/>
  <c r="C32" i="29"/>
  <c r="D32" i="29"/>
  <c r="C33" i="29"/>
  <c r="D33" i="29"/>
  <c r="H33" i="29"/>
  <c r="C34" i="29"/>
  <c r="D34" i="29"/>
  <c r="H34" i="29"/>
  <c r="C35" i="29"/>
  <c r="C36" i="29"/>
  <c r="H36" i="29"/>
  <c r="C37" i="29"/>
  <c r="C38" i="29"/>
  <c r="C43" i="29"/>
  <c r="E43" i="29"/>
  <c r="C44" i="29"/>
  <c r="E44" i="29"/>
  <c r="C45" i="29"/>
  <c r="E45" i="29"/>
  <c r="C46" i="29"/>
  <c r="E46" i="29"/>
  <c r="C47" i="29"/>
  <c r="E47" i="29"/>
  <c r="C48" i="29"/>
  <c r="E48" i="29"/>
  <c r="C49" i="29"/>
  <c r="E49" i="29"/>
  <c r="C50" i="29"/>
  <c r="E50" i="29"/>
  <c r="C51" i="29"/>
  <c r="E51" i="29"/>
  <c r="C54" i="29"/>
  <c r="E54" i="29"/>
  <c r="C55" i="29"/>
  <c r="E55" i="29"/>
  <c r="C56" i="29"/>
  <c r="E56" i="29"/>
  <c r="E57" i="29"/>
  <c r="C58" i="29"/>
  <c r="E58" i="29"/>
  <c r="C59" i="29"/>
  <c r="E59" i="29"/>
  <c r="C60" i="29"/>
  <c r="E60" i="29"/>
  <c r="C61" i="29"/>
  <c r="E61" i="29"/>
  <c r="E63" i="29"/>
  <c r="E64" i="29"/>
  <c r="E65" i="29"/>
  <c r="C66" i="29"/>
  <c r="D66" i="29"/>
  <c r="E66" i="29"/>
  <c r="E81" i="29"/>
  <c r="F81" i="29"/>
  <c r="G81" i="29"/>
  <c r="H81" i="29"/>
  <c r="K81" i="29"/>
  <c r="E82" i="29"/>
  <c r="F82" i="29"/>
  <c r="G82" i="29"/>
  <c r="H82" i="29"/>
  <c r="K82" i="29"/>
  <c r="E83" i="29"/>
  <c r="F83" i="29"/>
  <c r="G83" i="29"/>
  <c r="H83" i="29"/>
  <c r="K83" i="29"/>
  <c r="E84" i="29"/>
  <c r="F84" i="29"/>
  <c r="G84" i="29"/>
  <c r="H84" i="29"/>
  <c r="K84" i="29"/>
  <c r="E85" i="29"/>
  <c r="F85" i="29"/>
  <c r="G85" i="29"/>
  <c r="H85" i="29"/>
  <c r="K85" i="29"/>
  <c r="E86" i="29"/>
  <c r="F86" i="29"/>
  <c r="G86" i="29"/>
  <c r="H86" i="29"/>
  <c r="K86" i="29"/>
  <c r="E87" i="29"/>
  <c r="F87" i="29"/>
  <c r="G87" i="29"/>
  <c r="H87" i="29"/>
  <c r="K87" i="29"/>
  <c r="E88" i="29"/>
  <c r="F88" i="29"/>
  <c r="G88" i="29"/>
  <c r="H88" i="29"/>
  <c r="K88" i="29"/>
  <c r="E89" i="29"/>
  <c r="F89" i="29"/>
  <c r="G89" i="29"/>
  <c r="H89" i="29"/>
  <c r="K89" i="29"/>
  <c r="E90" i="29"/>
  <c r="F90" i="29"/>
  <c r="G90" i="29"/>
  <c r="H90" i="29"/>
  <c r="K90" i="29"/>
  <c r="F93" i="29"/>
  <c r="G93" i="29"/>
  <c r="H93" i="29"/>
  <c r="J93" i="29"/>
  <c r="K93" i="29"/>
  <c r="K5" i="27"/>
  <c r="N9" i="27"/>
  <c r="P9" i="27"/>
  <c r="S9" i="27"/>
  <c r="N10" i="27"/>
  <c r="P10" i="27"/>
  <c r="S10" i="27"/>
  <c r="D11" i="27"/>
  <c r="E11" i="27"/>
  <c r="F11" i="27"/>
  <c r="G11" i="27"/>
  <c r="H11" i="27"/>
  <c r="I11" i="27"/>
  <c r="J11" i="27"/>
  <c r="K11" i="27"/>
  <c r="L11" i="27"/>
  <c r="M11" i="27"/>
  <c r="N11" i="27"/>
  <c r="P11" i="27"/>
  <c r="E12" i="27"/>
  <c r="F12" i="27"/>
  <c r="G12" i="27"/>
  <c r="H12" i="27"/>
  <c r="I12" i="27"/>
  <c r="J12" i="27"/>
  <c r="K12" i="27"/>
  <c r="L12" i="27"/>
  <c r="M12" i="27"/>
  <c r="N12" i="27"/>
  <c r="P12" i="27"/>
  <c r="E13" i="27"/>
  <c r="F13" i="27"/>
  <c r="G13" i="27"/>
  <c r="H13" i="27"/>
  <c r="I13" i="27"/>
  <c r="J13" i="27"/>
  <c r="K13" i="27"/>
  <c r="L13" i="27"/>
  <c r="M13" i="27"/>
  <c r="N13" i="27"/>
  <c r="P13" i="27"/>
  <c r="E14" i="27"/>
  <c r="F14" i="27"/>
  <c r="G14" i="27"/>
  <c r="H14" i="27"/>
  <c r="I14" i="27"/>
  <c r="J14" i="27"/>
  <c r="K14" i="27"/>
  <c r="L14" i="27"/>
  <c r="M14" i="27"/>
  <c r="N14" i="27"/>
  <c r="P14" i="27"/>
  <c r="E15" i="27"/>
  <c r="F15" i="27"/>
  <c r="G15" i="27"/>
  <c r="H15" i="27"/>
  <c r="I15" i="27"/>
  <c r="J15" i="27"/>
  <c r="K15" i="27"/>
  <c r="L15" i="27"/>
  <c r="M15" i="27"/>
  <c r="N15" i="27"/>
  <c r="P15" i="27"/>
  <c r="E16" i="27"/>
  <c r="F16" i="27"/>
  <c r="G16" i="27"/>
  <c r="H16" i="27"/>
  <c r="I16" i="27"/>
  <c r="J16" i="27"/>
  <c r="K16" i="27"/>
  <c r="L16" i="27"/>
  <c r="M16" i="27"/>
  <c r="N16" i="27"/>
  <c r="P16" i="27"/>
  <c r="E17" i="27"/>
  <c r="F17" i="27"/>
  <c r="G17" i="27"/>
  <c r="H17" i="27"/>
  <c r="I17" i="27"/>
  <c r="J17" i="27"/>
  <c r="K17" i="27"/>
  <c r="L17" i="27"/>
  <c r="M17" i="27"/>
  <c r="N17" i="27"/>
  <c r="P17" i="27"/>
  <c r="E18" i="27"/>
  <c r="F18" i="27"/>
  <c r="G18" i="27"/>
  <c r="H18" i="27"/>
  <c r="I18" i="27"/>
  <c r="J18" i="27"/>
  <c r="K18" i="27"/>
  <c r="L18" i="27"/>
  <c r="M18" i="27"/>
  <c r="N18" i="27"/>
  <c r="P18" i="27"/>
  <c r="E19" i="27"/>
  <c r="F19" i="27"/>
  <c r="G19" i="27"/>
  <c r="H19" i="27"/>
  <c r="I19" i="27"/>
  <c r="J19" i="27"/>
  <c r="K19" i="27"/>
  <c r="L19" i="27"/>
  <c r="M19" i="27"/>
  <c r="N19" i="27"/>
  <c r="P19" i="27"/>
  <c r="E20" i="27"/>
  <c r="F20" i="27"/>
  <c r="G20" i="27"/>
  <c r="H20" i="27"/>
  <c r="I20" i="27"/>
  <c r="J20" i="27"/>
  <c r="K20" i="27"/>
  <c r="L20" i="27"/>
  <c r="M20" i="27"/>
  <c r="N20" i="27"/>
  <c r="P20" i="27"/>
  <c r="E21" i="27"/>
  <c r="F21" i="27"/>
  <c r="G21" i="27"/>
  <c r="H21" i="27"/>
  <c r="I21" i="27"/>
  <c r="J21" i="27"/>
  <c r="K21" i="27"/>
  <c r="L21" i="27"/>
  <c r="M21" i="27"/>
  <c r="N21" i="27"/>
  <c r="P21" i="27"/>
  <c r="E22" i="27"/>
  <c r="F22" i="27"/>
  <c r="G22" i="27"/>
  <c r="H22" i="27"/>
  <c r="I22" i="27"/>
  <c r="J22" i="27"/>
  <c r="K22" i="27"/>
  <c r="L22" i="27"/>
  <c r="M22" i="27"/>
  <c r="N22" i="27"/>
  <c r="O22" i="27"/>
  <c r="P22" i="27"/>
  <c r="Q22" i="27"/>
  <c r="E23" i="27"/>
  <c r="F23" i="27"/>
  <c r="G23" i="27"/>
  <c r="H23" i="27"/>
  <c r="I23" i="27"/>
  <c r="J23" i="27"/>
  <c r="K23" i="27"/>
  <c r="L23" i="27"/>
  <c r="M23" i="27"/>
  <c r="N23" i="27"/>
  <c r="P23" i="27"/>
  <c r="E24" i="27"/>
  <c r="F24" i="27"/>
  <c r="G24" i="27"/>
  <c r="H24" i="27"/>
  <c r="I24" i="27"/>
  <c r="J24" i="27"/>
  <c r="K24" i="27"/>
  <c r="L24" i="27"/>
  <c r="M24" i="27"/>
  <c r="N24" i="27"/>
  <c r="P24" i="27"/>
  <c r="E25" i="27"/>
  <c r="F25" i="27"/>
  <c r="G25" i="27"/>
  <c r="H25" i="27"/>
  <c r="I25" i="27"/>
  <c r="J25" i="27"/>
  <c r="K25" i="27"/>
  <c r="L25" i="27"/>
  <c r="M25" i="27"/>
  <c r="N25" i="27"/>
  <c r="P25" i="27"/>
  <c r="E26" i="27"/>
  <c r="F26" i="27"/>
  <c r="G26" i="27"/>
  <c r="H26" i="27"/>
  <c r="I26" i="27"/>
  <c r="J26" i="27"/>
  <c r="K26" i="27"/>
  <c r="L26" i="27"/>
  <c r="M26" i="27"/>
  <c r="N26" i="27"/>
  <c r="P26" i="27"/>
  <c r="E27" i="27"/>
  <c r="F27" i="27"/>
  <c r="G27" i="27"/>
  <c r="H27" i="27"/>
  <c r="I27" i="27"/>
  <c r="J27" i="27"/>
  <c r="K27" i="27"/>
  <c r="L27" i="27"/>
  <c r="M27" i="27"/>
  <c r="N27" i="27"/>
  <c r="P27" i="27"/>
  <c r="E28" i="27"/>
  <c r="F28" i="27"/>
  <c r="G28" i="27"/>
  <c r="H28" i="27"/>
  <c r="I28" i="27"/>
  <c r="J28" i="27"/>
  <c r="K28" i="27"/>
  <c r="L28" i="27"/>
  <c r="M28" i="27"/>
  <c r="N28" i="27"/>
  <c r="P28" i="27"/>
  <c r="E29" i="27"/>
  <c r="F29" i="27"/>
  <c r="G29" i="27"/>
  <c r="H29" i="27"/>
  <c r="I29" i="27"/>
  <c r="J29" i="27"/>
  <c r="K29" i="27"/>
  <c r="L29" i="27"/>
  <c r="M29" i="27"/>
  <c r="N29" i="27"/>
  <c r="P29" i="27"/>
  <c r="E30" i="27"/>
  <c r="F30" i="27"/>
  <c r="G30" i="27"/>
  <c r="H30" i="27"/>
  <c r="I30" i="27"/>
  <c r="J30" i="27"/>
  <c r="K30" i="27"/>
  <c r="L30" i="27"/>
  <c r="M30" i="27"/>
  <c r="N30" i="27"/>
  <c r="P30" i="27"/>
  <c r="E31" i="27"/>
  <c r="F31" i="27"/>
  <c r="G31" i="27"/>
  <c r="H31" i="27"/>
  <c r="I31" i="27"/>
  <c r="J31" i="27"/>
  <c r="K31" i="27"/>
  <c r="L31" i="27"/>
  <c r="M31" i="27"/>
  <c r="N31" i="27"/>
  <c r="P31" i="27"/>
  <c r="E32" i="27"/>
  <c r="F32" i="27"/>
  <c r="G32" i="27"/>
  <c r="H32" i="27"/>
  <c r="I32" i="27"/>
  <c r="J32" i="27"/>
  <c r="K32" i="27"/>
  <c r="L32" i="27"/>
  <c r="M32" i="27"/>
  <c r="N32" i="27"/>
  <c r="P32" i="27"/>
  <c r="E33" i="27"/>
  <c r="F33" i="27"/>
  <c r="G33" i="27"/>
  <c r="H33" i="27"/>
  <c r="I33" i="27"/>
  <c r="J33" i="27"/>
  <c r="K33" i="27"/>
  <c r="L33" i="27"/>
  <c r="M33" i="27"/>
  <c r="N33" i="27"/>
  <c r="P33" i="27"/>
  <c r="E34" i="27"/>
  <c r="F34" i="27"/>
  <c r="G34" i="27"/>
  <c r="H34" i="27"/>
  <c r="I34" i="27"/>
  <c r="J34" i="27"/>
  <c r="K34" i="27"/>
  <c r="L34" i="27"/>
  <c r="M34" i="27"/>
  <c r="N34" i="27"/>
  <c r="O34" i="27"/>
  <c r="P34" i="27"/>
  <c r="Q34" i="27"/>
  <c r="E35" i="27"/>
  <c r="F35" i="27"/>
  <c r="G35" i="27"/>
  <c r="H35" i="27"/>
  <c r="I35" i="27"/>
  <c r="J35" i="27"/>
  <c r="K35" i="27"/>
  <c r="L35" i="27"/>
  <c r="M35" i="27"/>
  <c r="N35" i="27"/>
  <c r="P35" i="27"/>
  <c r="E36" i="27"/>
  <c r="F36" i="27"/>
  <c r="G36" i="27"/>
  <c r="H36" i="27"/>
  <c r="I36" i="27"/>
  <c r="J36" i="27"/>
  <c r="K36" i="27"/>
  <c r="L36" i="27"/>
  <c r="M36" i="27"/>
  <c r="N36" i="27"/>
  <c r="P36" i="27"/>
  <c r="E37" i="27"/>
  <c r="F37" i="27"/>
  <c r="G37" i="27"/>
  <c r="H37" i="27"/>
  <c r="I37" i="27"/>
  <c r="J37" i="27"/>
  <c r="K37" i="27"/>
  <c r="L37" i="27"/>
  <c r="M37" i="27"/>
  <c r="N37" i="27"/>
  <c r="P37" i="27"/>
  <c r="E38" i="27"/>
  <c r="F38" i="27"/>
  <c r="G38" i="27"/>
  <c r="H38" i="27"/>
  <c r="I38" i="27"/>
  <c r="J38" i="27"/>
  <c r="K38" i="27"/>
  <c r="L38" i="27"/>
  <c r="M38" i="27"/>
  <c r="N38" i="27"/>
  <c r="P38" i="27"/>
  <c r="E39" i="27"/>
  <c r="F39" i="27"/>
  <c r="G39" i="27"/>
  <c r="H39" i="27"/>
  <c r="I39" i="27"/>
  <c r="J39" i="27"/>
  <c r="K39" i="27"/>
  <c r="L39" i="27"/>
  <c r="M39" i="27"/>
  <c r="N39" i="27"/>
  <c r="P39" i="27"/>
  <c r="E40" i="27"/>
  <c r="F40" i="27"/>
  <c r="G40" i="27"/>
  <c r="H40" i="27"/>
  <c r="I40" i="27"/>
  <c r="J40" i="27"/>
  <c r="K40" i="27"/>
  <c r="L40" i="27"/>
  <c r="M40" i="27"/>
  <c r="N40" i="27"/>
  <c r="P40" i="27"/>
  <c r="E41" i="27"/>
  <c r="F41" i="27"/>
  <c r="G41" i="27"/>
  <c r="H41" i="27"/>
  <c r="I41" i="27"/>
  <c r="J41" i="27"/>
  <c r="K41" i="27"/>
  <c r="L41" i="27"/>
  <c r="M41" i="27"/>
  <c r="N41" i="27"/>
  <c r="P41" i="27"/>
  <c r="E42" i="27"/>
  <c r="F42" i="27"/>
  <c r="G42" i="27"/>
  <c r="H42" i="27"/>
  <c r="I42" i="27"/>
  <c r="J42" i="27"/>
  <c r="K42" i="27"/>
  <c r="L42" i="27"/>
  <c r="M42" i="27"/>
  <c r="N42" i="27"/>
  <c r="P42" i="27"/>
  <c r="E43" i="27"/>
  <c r="F43" i="27"/>
  <c r="G43" i="27"/>
  <c r="H43" i="27"/>
  <c r="I43" i="27"/>
  <c r="J43" i="27"/>
  <c r="K43" i="27"/>
  <c r="L43" i="27"/>
  <c r="M43" i="27"/>
  <c r="N43" i="27"/>
  <c r="P43" i="27"/>
  <c r="E44" i="27"/>
  <c r="F44" i="27"/>
  <c r="G44" i="27"/>
  <c r="H44" i="27"/>
  <c r="I44" i="27"/>
  <c r="J44" i="27"/>
  <c r="K44" i="27"/>
  <c r="L44" i="27"/>
  <c r="M44" i="27"/>
  <c r="N44" i="27"/>
  <c r="P44" i="27"/>
  <c r="E45" i="27"/>
  <c r="F45" i="27"/>
  <c r="G45" i="27"/>
  <c r="H45" i="27"/>
  <c r="I45" i="27"/>
  <c r="J45" i="27"/>
  <c r="K45" i="27"/>
  <c r="L45" i="27"/>
  <c r="M45" i="27"/>
  <c r="N45" i="27"/>
  <c r="P45" i="27"/>
  <c r="E46" i="27"/>
  <c r="F46" i="27"/>
  <c r="G46" i="27"/>
  <c r="H46" i="27"/>
  <c r="I46" i="27"/>
  <c r="J46" i="27"/>
  <c r="K46" i="27"/>
  <c r="L46" i="27"/>
  <c r="M46" i="27"/>
  <c r="N46" i="27"/>
  <c r="O46" i="27"/>
  <c r="P46" i="27"/>
  <c r="Q46" i="27"/>
  <c r="E47" i="27"/>
  <c r="F47" i="27"/>
  <c r="G47" i="27"/>
  <c r="H47" i="27"/>
  <c r="I47" i="27"/>
  <c r="J47" i="27"/>
  <c r="K47" i="27"/>
  <c r="L47" i="27"/>
  <c r="M47" i="27"/>
  <c r="N47" i="27"/>
  <c r="P47" i="27"/>
  <c r="E48" i="27"/>
  <c r="F48" i="27"/>
  <c r="G48" i="27"/>
  <c r="H48" i="27"/>
  <c r="I48" i="27"/>
  <c r="J48" i="27"/>
  <c r="K48" i="27"/>
  <c r="L48" i="27"/>
  <c r="M48" i="27"/>
  <c r="N48" i="27"/>
  <c r="P48" i="27"/>
  <c r="E49" i="27"/>
  <c r="F49" i="27"/>
  <c r="G49" i="27"/>
  <c r="H49" i="27"/>
  <c r="I49" i="27"/>
  <c r="J49" i="27"/>
  <c r="K49" i="27"/>
  <c r="L49" i="27"/>
  <c r="M49" i="27"/>
  <c r="N49" i="27"/>
  <c r="P49" i="27"/>
  <c r="E50" i="27"/>
  <c r="F50" i="27"/>
  <c r="G50" i="27"/>
  <c r="H50" i="27"/>
  <c r="I50" i="27"/>
  <c r="J50" i="27"/>
  <c r="K50" i="27"/>
  <c r="L50" i="27"/>
  <c r="M50" i="27"/>
  <c r="N50" i="27"/>
  <c r="P50" i="27"/>
  <c r="E51" i="27"/>
  <c r="F51" i="27"/>
  <c r="G51" i="27"/>
  <c r="H51" i="27"/>
  <c r="I51" i="27"/>
  <c r="J51" i="27"/>
  <c r="K51" i="27"/>
  <c r="L51" i="27"/>
  <c r="M51" i="27"/>
  <c r="N51" i="27"/>
  <c r="P51" i="27"/>
  <c r="E52" i="27"/>
  <c r="F52" i="27"/>
  <c r="G52" i="27"/>
  <c r="H52" i="27"/>
  <c r="I52" i="27"/>
  <c r="J52" i="27"/>
  <c r="K52" i="27"/>
  <c r="L52" i="27"/>
  <c r="M52" i="27"/>
  <c r="N52" i="27"/>
  <c r="P52" i="27"/>
  <c r="E53" i="27"/>
  <c r="F53" i="27"/>
  <c r="G53" i="27"/>
  <c r="H53" i="27"/>
  <c r="I53" i="27"/>
  <c r="J53" i="27"/>
  <c r="K53" i="27"/>
  <c r="L53" i="27"/>
  <c r="M53" i="27"/>
  <c r="N53" i="27"/>
  <c r="P53" i="27"/>
  <c r="E54" i="27"/>
  <c r="F54" i="27"/>
  <c r="G54" i="27"/>
  <c r="H54" i="27"/>
  <c r="I54" i="27"/>
  <c r="J54" i="27"/>
  <c r="K54" i="27"/>
  <c r="L54" i="27"/>
  <c r="M54" i="27"/>
  <c r="N54" i="27"/>
  <c r="P54" i="27"/>
  <c r="E55" i="27"/>
  <c r="F55" i="27"/>
  <c r="G55" i="27"/>
  <c r="H55" i="27"/>
  <c r="I55" i="27"/>
  <c r="J55" i="27"/>
  <c r="K55" i="27"/>
  <c r="L55" i="27"/>
  <c r="M55" i="27"/>
  <c r="N55" i="27"/>
  <c r="P55" i="27"/>
  <c r="E56" i="27"/>
  <c r="F56" i="27"/>
  <c r="G56" i="27"/>
  <c r="H56" i="27"/>
  <c r="I56" i="27"/>
  <c r="J56" i="27"/>
  <c r="K56" i="27"/>
  <c r="L56" i="27"/>
  <c r="M56" i="27"/>
  <c r="N56" i="27"/>
  <c r="P56" i="27"/>
  <c r="E57" i="27"/>
  <c r="F57" i="27"/>
  <c r="G57" i="27"/>
  <c r="H57" i="27"/>
  <c r="I57" i="27"/>
  <c r="J57" i="27"/>
  <c r="K57" i="27"/>
  <c r="L57" i="27"/>
  <c r="M57" i="27"/>
  <c r="N57" i="27"/>
  <c r="P57" i="27"/>
  <c r="E58" i="27"/>
  <c r="F58" i="27"/>
  <c r="G58" i="27"/>
  <c r="H58" i="27"/>
  <c r="I58" i="27"/>
  <c r="J58" i="27"/>
  <c r="K58" i="27"/>
  <c r="L58" i="27"/>
  <c r="M58" i="27"/>
  <c r="N58" i="27"/>
  <c r="O58" i="27"/>
  <c r="P58" i="27"/>
  <c r="Q58" i="27"/>
  <c r="E59" i="27"/>
  <c r="F59" i="27"/>
  <c r="G59" i="27"/>
  <c r="H59" i="27"/>
  <c r="I59" i="27"/>
  <c r="J59" i="27"/>
  <c r="K59" i="27"/>
  <c r="L59" i="27"/>
  <c r="M59" i="27"/>
  <c r="N59" i="27"/>
  <c r="P59" i="27"/>
  <c r="E60" i="27"/>
  <c r="F60" i="27"/>
  <c r="G60" i="27"/>
  <c r="H60" i="27"/>
  <c r="I60" i="27"/>
  <c r="J60" i="27"/>
  <c r="K60" i="27"/>
  <c r="L60" i="27"/>
  <c r="M60" i="27"/>
  <c r="N60" i="27"/>
  <c r="P60" i="27"/>
  <c r="E61" i="27"/>
  <c r="F61" i="27"/>
  <c r="G61" i="27"/>
  <c r="H61" i="27"/>
  <c r="I61" i="27"/>
  <c r="J61" i="27"/>
  <c r="K61" i="27"/>
  <c r="L61" i="27"/>
  <c r="M61" i="27"/>
  <c r="N61" i="27"/>
  <c r="P61" i="27"/>
  <c r="E62" i="27"/>
  <c r="F62" i="27"/>
  <c r="G62" i="27"/>
  <c r="H62" i="27"/>
  <c r="I62" i="27"/>
  <c r="J62" i="27"/>
  <c r="K62" i="27"/>
  <c r="L62" i="27"/>
  <c r="M62" i="27"/>
  <c r="N62" i="27"/>
  <c r="P62" i="27"/>
  <c r="E63" i="27"/>
  <c r="F63" i="27"/>
  <c r="G63" i="27"/>
  <c r="H63" i="27"/>
  <c r="I63" i="27"/>
  <c r="J63" i="27"/>
  <c r="K63" i="27"/>
  <c r="L63" i="27"/>
  <c r="M63" i="27"/>
  <c r="N63" i="27"/>
  <c r="P63" i="27"/>
  <c r="E64" i="27"/>
  <c r="F64" i="27"/>
  <c r="G64" i="27"/>
  <c r="H64" i="27"/>
  <c r="I64" i="27"/>
  <c r="J64" i="27"/>
  <c r="K64" i="27"/>
  <c r="L64" i="27"/>
  <c r="M64" i="27"/>
  <c r="N64" i="27"/>
  <c r="P64" i="27"/>
  <c r="E65" i="27"/>
  <c r="F65" i="27"/>
  <c r="G65" i="27"/>
  <c r="H65" i="27"/>
  <c r="I65" i="27"/>
  <c r="J65" i="27"/>
  <c r="K65" i="27"/>
  <c r="L65" i="27"/>
  <c r="M65" i="27"/>
  <c r="N65" i="27"/>
  <c r="P65" i="27"/>
  <c r="E66" i="27"/>
  <c r="F66" i="27"/>
  <c r="G66" i="27"/>
  <c r="H66" i="27"/>
  <c r="I66" i="27"/>
  <c r="J66" i="27"/>
  <c r="K66" i="27"/>
  <c r="L66" i="27"/>
  <c r="M66" i="27"/>
  <c r="N66" i="27"/>
  <c r="P66" i="27"/>
  <c r="E67" i="27"/>
  <c r="F67" i="27"/>
  <c r="G67" i="27"/>
  <c r="H67" i="27"/>
  <c r="I67" i="27"/>
  <c r="J67" i="27"/>
  <c r="K67" i="27"/>
  <c r="L67" i="27"/>
  <c r="M67" i="27"/>
  <c r="N67" i="27"/>
  <c r="P67" i="27"/>
  <c r="E68" i="27"/>
  <c r="F68" i="27"/>
  <c r="G68" i="27"/>
  <c r="H68" i="27"/>
  <c r="I68" i="27"/>
  <c r="J68" i="27"/>
  <c r="K68" i="27"/>
  <c r="L68" i="27"/>
  <c r="M68" i="27"/>
  <c r="N68" i="27"/>
  <c r="P68" i="27"/>
  <c r="E69" i="27"/>
  <c r="F69" i="27"/>
  <c r="G69" i="27"/>
  <c r="H69" i="27"/>
  <c r="I69" i="27"/>
  <c r="J69" i="27"/>
  <c r="K69" i="27"/>
  <c r="L69" i="27"/>
  <c r="M69" i="27"/>
  <c r="N69" i="27"/>
  <c r="P69" i="27"/>
  <c r="E70" i="27"/>
  <c r="F70" i="27"/>
  <c r="G70" i="27"/>
  <c r="H70" i="27"/>
  <c r="I70" i="27"/>
  <c r="J70" i="27"/>
  <c r="K70" i="27"/>
  <c r="L70" i="27"/>
  <c r="M70" i="27"/>
  <c r="N70" i="27"/>
  <c r="O70" i="27"/>
  <c r="P70" i="27"/>
  <c r="Q70" i="27"/>
  <c r="E71" i="27"/>
  <c r="F71" i="27"/>
  <c r="G71" i="27"/>
  <c r="H71" i="27"/>
  <c r="I71" i="27"/>
  <c r="J71" i="27"/>
  <c r="K71" i="27"/>
  <c r="L71" i="27"/>
  <c r="M71" i="27"/>
  <c r="N71" i="27"/>
  <c r="P71" i="27"/>
  <c r="E72" i="27"/>
  <c r="F72" i="27"/>
  <c r="G72" i="27"/>
  <c r="H72" i="27"/>
  <c r="I72" i="27"/>
  <c r="J72" i="27"/>
  <c r="K72" i="27"/>
  <c r="L72" i="27"/>
  <c r="M72" i="27"/>
  <c r="N72" i="27"/>
  <c r="P72" i="27"/>
  <c r="E73" i="27"/>
  <c r="F73" i="27"/>
  <c r="G73" i="27"/>
  <c r="H73" i="27"/>
  <c r="I73" i="27"/>
  <c r="J73" i="27"/>
  <c r="K73" i="27"/>
  <c r="L73" i="27"/>
  <c r="M73" i="27"/>
  <c r="N73" i="27"/>
  <c r="P73" i="27"/>
  <c r="E74" i="27"/>
  <c r="F74" i="27"/>
  <c r="G74" i="27"/>
  <c r="H74" i="27"/>
  <c r="I74" i="27"/>
  <c r="J74" i="27"/>
  <c r="K74" i="27"/>
  <c r="L74" i="27"/>
  <c r="M74" i="27"/>
  <c r="N74" i="27"/>
  <c r="P74" i="27"/>
  <c r="E75" i="27"/>
  <c r="F75" i="27"/>
  <c r="G75" i="27"/>
  <c r="H75" i="27"/>
  <c r="I75" i="27"/>
  <c r="J75" i="27"/>
  <c r="K75" i="27"/>
  <c r="L75" i="27"/>
  <c r="M75" i="27"/>
  <c r="N75" i="27"/>
  <c r="P75" i="27"/>
  <c r="E76" i="27"/>
  <c r="F76" i="27"/>
  <c r="G76" i="27"/>
  <c r="H76" i="27"/>
  <c r="I76" i="27"/>
  <c r="J76" i="27"/>
  <c r="K76" i="27"/>
  <c r="L76" i="27"/>
  <c r="M76" i="27"/>
  <c r="N76" i="27"/>
  <c r="P76" i="27"/>
  <c r="E77" i="27"/>
  <c r="F77" i="27"/>
  <c r="G77" i="27"/>
  <c r="H77" i="27"/>
  <c r="I77" i="27"/>
  <c r="J77" i="27"/>
  <c r="K77" i="27"/>
  <c r="L77" i="27"/>
  <c r="M77" i="27"/>
  <c r="N77" i="27"/>
  <c r="P77" i="27"/>
  <c r="E78" i="27"/>
  <c r="F78" i="27"/>
  <c r="G78" i="27"/>
  <c r="H78" i="27"/>
  <c r="I78" i="27"/>
  <c r="J78" i="27"/>
  <c r="K78" i="27"/>
  <c r="L78" i="27"/>
  <c r="M78" i="27"/>
  <c r="N78" i="27"/>
  <c r="P78" i="27"/>
  <c r="E79" i="27"/>
  <c r="F79" i="27"/>
  <c r="G79" i="27"/>
  <c r="H79" i="27"/>
  <c r="I79" i="27"/>
  <c r="J79" i="27"/>
  <c r="K79" i="27"/>
  <c r="L79" i="27"/>
  <c r="M79" i="27"/>
  <c r="N79" i="27"/>
  <c r="P79" i="27"/>
  <c r="E80" i="27"/>
  <c r="F80" i="27"/>
  <c r="G80" i="27"/>
  <c r="H80" i="27"/>
  <c r="I80" i="27"/>
  <c r="J80" i="27"/>
  <c r="K80" i="27"/>
  <c r="L80" i="27"/>
  <c r="M80" i="27"/>
  <c r="N80" i="27"/>
  <c r="P80" i="27"/>
  <c r="E81" i="27"/>
  <c r="F81" i="27"/>
  <c r="G81" i="27"/>
  <c r="H81" i="27"/>
  <c r="I81" i="27"/>
  <c r="J81" i="27"/>
  <c r="K81" i="27"/>
  <c r="L81" i="27"/>
  <c r="M81" i="27"/>
  <c r="N81" i="27"/>
  <c r="P81" i="27"/>
  <c r="E82" i="27"/>
  <c r="F82" i="27"/>
  <c r="G82" i="27"/>
  <c r="H82" i="27"/>
  <c r="I82" i="27"/>
  <c r="J82" i="27"/>
  <c r="K82" i="27"/>
  <c r="L82" i="27"/>
  <c r="M82" i="27"/>
  <c r="N82" i="27"/>
  <c r="O82" i="27"/>
  <c r="P82" i="27"/>
  <c r="Q82" i="27"/>
  <c r="E83" i="27"/>
  <c r="F83" i="27"/>
  <c r="G83" i="27"/>
  <c r="H83" i="27"/>
  <c r="I83" i="27"/>
  <c r="J83" i="27"/>
  <c r="K83" i="27"/>
  <c r="L83" i="27"/>
  <c r="M83" i="27"/>
  <c r="N83" i="27"/>
  <c r="P83" i="27"/>
  <c r="E84" i="27"/>
  <c r="F84" i="27"/>
  <c r="G84" i="27"/>
  <c r="H84" i="27"/>
  <c r="I84" i="27"/>
  <c r="J84" i="27"/>
  <c r="K84" i="27"/>
  <c r="L84" i="27"/>
  <c r="M84" i="27"/>
  <c r="N84" i="27"/>
  <c r="P84" i="27"/>
  <c r="E85" i="27"/>
  <c r="F85" i="27"/>
  <c r="G85" i="27"/>
  <c r="H85" i="27"/>
  <c r="I85" i="27"/>
  <c r="J85" i="27"/>
  <c r="K85" i="27"/>
  <c r="L85" i="27"/>
  <c r="M85" i="27"/>
  <c r="N85" i="27"/>
  <c r="P85" i="27"/>
  <c r="E86" i="27"/>
  <c r="F86" i="27"/>
  <c r="G86" i="27"/>
  <c r="H86" i="27"/>
  <c r="I86" i="27"/>
  <c r="J86" i="27"/>
  <c r="K86" i="27"/>
  <c r="L86" i="27"/>
  <c r="M86" i="27"/>
  <c r="N86" i="27"/>
  <c r="P86" i="27"/>
  <c r="E87" i="27"/>
  <c r="F87" i="27"/>
  <c r="G87" i="27"/>
  <c r="H87" i="27"/>
  <c r="I87" i="27"/>
  <c r="J87" i="27"/>
  <c r="K87" i="27"/>
  <c r="L87" i="27"/>
  <c r="M87" i="27"/>
  <c r="N87" i="27"/>
  <c r="P87" i="27"/>
  <c r="E88" i="27"/>
  <c r="F88" i="27"/>
  <c r="G88" i="27"/>
  <c r="H88" i="27"/>
  <c r="I88" i="27"/>
  <c r="J88" i="27"/>
  <c r="K88" i="27"/>
  <c r="L88" i="27"/>
  <c r="M88" i="27"/>
  <c r="N88" i="27"/>
  <c r="P88" i="27"/>
  <c r="E89" i="27"/>
  <c r="F89" i="27"/>
  <c r="G89" i="27"/>
  <c r="H89" i="27"/>
  <c r="I89" i="27"/>
  <c r="J89" i="27"/>
  <c r="K89" i="27"/>
  <c r="L89" i="27"/>
  <c r="M89" i="27"/>
  <c r="N89" i="27"/>
  <c r="P89" i="27"/>
  <c r="E90" i="27"/>
  <c r="F90" i="27"/>
  <c r="G90" i="27"/>
  <c r="H90" i="27"/>
  <c r="I90" i="27"/>
  <c r="J90" i="27"/>
  <c r="K90" i="27"/>
  <c r="L90" i="27"/>
  <c r="M90" i="27"/>
  <c r="N90" i="27"/>
  <c r="P90" i="27"/>
  <c r="E91" i="27"/>
  <c r="F91" i="27"/>
  <c r="G91" i="27"/>
  <c r="H91" i="27"/>
  <c r="I91" i="27"/>
  <c r="J91" i="27"/>
  <c r="K91" i="27"/>
  <c r="L91" i="27"/>
  <c r="M91" i="27"/>
  <c r="N91" i="27"/>
  <c r="P91" i="27"/>
  <c r="E92" i="27"/>
  <c r="F92" i="27"/>
  <c r="G92" i="27"/>
  <c r="H92" i="27"/>
  <c r="I92" i="27"/>
  <c r="J92" i="27"/>
  <c r="K92" i="27"/>
  <c r="L92" i="27"/>
  <c r="M92" i="27"/>
  <c r="N92" i="27"/>
  <c r="P92" i="27"/>
  <c r="E93" i="27"/>
  <c r="F93" i="27"/>
  <c r="G93" i="27"/>
  <c r="H93" i="27"/>
  <c r="I93" i="27"/>
  <c r="J93" i="27"/>
  <c r="K93" i="27"/>
  <c r="L93" i="27"/>
  <c r="M93" i="27"/>
  <c r="N93" i="27"/>
  <c r="P93" i="27"/>
  <c r="E94" i="27"/>
  <c r="F94" i="27"/>
  <c r="G94" i="27"/>
  <c r="H94" i="27"/>
  <c r="I94" i="27"/>
  <c r="J94" i="27"/>
  <c r="K94" i="27"/>
  <c r="L94" i="27"/>
  <c r="M94" i="27"/>
  <c r="N94" i="27"/>
  <c r="O94" i="27"/>
  <c r="P94" i="27"/>
  <c r="Q94" i="27"/>
  <c r="E95" i="27"/>
  <c r="F95" i="27"/>
  <c r="G95" i="27"/>
  <c r="H95" i="27"/>
  <c r="I95" i="27"/>
  <c r="J95" i="27"/>
  <c r="K95" i="27"/>
  <c r="L95" i="27"/>
  <c r="M95" i="27"/>
  <c r="N95" i="27"/>
  <c r="P95" i="27"/>
  <c r="E96" i="27"/>
  <c r="F96" i="27"/>
  <c r="G96" i="27"/>
  <c r="H96" i="27"/>
  <c r="I96" i="27"/>
  <c r="J96" i="27"/>
  <c r="K96" i="27"/>
  <c r="L96" i="27"/>
  <c r="M96" i="27"/>
  <c r="N96" i="27"/>
  <c r="P96" i="27"/>
  <c r="E97" i="27"/>
  <c r="F97" i="27"/>
  <c r="G97" i="27"/>
  <c r="H97" i="27"/>
  <c r="I97" i="27"/>
  <c r="J97" i="27"/>
  <c r="K97" i="27"/>
  <c r="L97" i="27"/>
  <c r="M97" i="27"/>
  <c r="N97" i="27"/>
  <c r="P97" i="27"/>
  <c r="E98" i="27"/>
  <c r="F98" i="27"/>
  <c r="G98" i="27"/>
  <c r="H98" i="27"/>
  <c r="I98" i="27"/>
  <c r="J98" i="27"/>
  <c r="K98" i="27"/>
  <c r="L98" i="27"/>
  <c r="M98" i="27"/>
  <c r="N98" i="27"/>
  <c r="P98" i="27"/>
  <c r="E99" i="27"/>
  <c r="F99" i="27"/>
  <c r="G99" i="27"/>
  <c r="H99" i="27"/>
  <c r="I99" i="27"/>
  <c r="J99" i="27"/>
  <c r="K99" i="27"/>
  <c r="L99" i="27"/>
  <c r="M99" i="27"/>
  <c r="N99" i="27"/>
  <c r="P99" i="27"/>
  <c r="E100" i="27"/>
  <c r="F100" i="27"/>
  <c r="G100" i="27"/>
  <c r="H100" i="27"/>
  <c r="I100" i="27"/>
  <c r="J100" i="27"/>
  <c r="K100" i="27"/>
  <c r="L100" i="27"/>
  <c r="M100" i="27"/>
  <c r="N100" i="27"/>
  <c r="P100" i="27"/>
  <c r="E101" i="27"/>
  <c r="F101" i="27"/>
  <c r="G101" i="27"/>
  <c r="H101" i="27"/>
  <c r="I101" i="27"/>
  <c r="J101" i="27"/>
  <c r="K101" i="27"/>
  <c r="L101" i="27"/>
  <c r="M101" i="27"/>
  <c r="N101" i="27"/>
  <c r="P101" i="27"/>
  <c r="E102" i="27"/>
  <c r="F102" i="27"/>
  <c r="G102" i="27"/>
  <c r="H102" i="27"/>
  <c r="I102" i="27"/>
  <c r="J102" i="27"/>
  <c r="K102" i="27"/>
  <c r="L102" i="27"/>
  <c r="M102" i="27"/>
  <c r="N102" i="27"/>
  <c r="P102" i="27"/>
  <c r="E103" i="27"/>
  <c r="F103" i="27"/>
  <c r="G103" i="27"/>
  <c r="H103" i="27"/>
  <c r="I103" i="27"/>
  <c r="J103" i="27"/>
  <c r="K103" i="27"/>
  <c r="L103" i="27"/>
  <c r="M103" i="27"/>
  <c r="N103" i="27"/>
  <c r="P103" i="27"/>
  <c r="E104" i="27"/>
  <c r="F104" i="27"/>
  <c r="G104" i="27"/>
  <c r="H104" i="27"/>
  <c r="I104" i="27"/>
  <c r="J104" i="27"/>
  <c r="K104" i="27"/>
  <c r="L104" i="27"/>
  <c r="M104" i="27"/>
  <c r="N104" i="27"/>
  <c r="P104" i="27"/>
  <c r="E105" i="27"/>
  <c r="F105" i="27"/>
  <c r="G105" i="27"/>
  <c r="H105" i="27"/>
  <c r="I105" i="27"/>
  <c r="J105" i="27"/>
  <c r="K105" i="27"/>
  <c r="L105" i="27"/>
  <c r="M105" i="27"/>
  <c r="N105" i="27"/>
  <c r="P105" i="27"/>
  <c r="E106" i="27"/>
  <c r="F106" i="27"/>
  <c r="G106" i="27"/>
  <c r="H106" i="27"/>
  <c r="I106" i="27"/>
  <c r="J106" i="27"/>
  <c r="K106" i="27"/>
  <c r="L106" i="27"/>
  <c r="M106" i="27"/>
  <c r="N106" i="27"/>
  <c r="O106" i="27"/>
  <c r="P106" i="27"/>
  <c r="Q106" i="27"/>
  <c r="E107" i="27"/>
  <c r="F107" i="27"/>
  <c r="G107" i="27"/>
  <c r="H107" i="27"/>
  <c r="I107" i="27"/>
  <c r="J107" i="27"/>
  <c r="K107" i="27"/>
  <c r="L107" i="27"/>
  <c r="M107" i="27"/>
  <c r="N107" i="27"/>
  <c r="P107" i="27"/>
  <c r="E108" i="27"/>
  <c r="F108" i="27"/>
  <c r="G108" i="27"/>
  <c r="H108" i="27"/>
  <c r="I108" i="27"/>
  <c r="J108" i="27"/>
  <c r="K108" i="27"/>
  <c r="L108" i="27"/>
  <c r="M108" i="27"/>
  <c r="N108" i="27"/>
  <c r="P108" i="27"/>
  <c r="E109" i="27"/>
  <c r="F109" i="27"/>
  <c r="G109" i="27"/>
  <c r="H109" i="27"/>
  <c r="I109" i="27"/>
  <c r="J109" i="27"/>
  <c r="K109" i="27"/>
  <c r="L109" i="27"/>
  <c r="M109" i="27"/>
  <c r="N109" i="27"/>
  <c r="P109" i="27"/>
  <c r="E110" i="27"/>
  <c r="F110" i="27"/>
  <c r="G110" i="27"/>
  <c r="H110" i="27"/>
  <c r="I110" i="27"/>
  <c r="J110" i="27"/>
  <c r="K110" i="27"/>
  <c r="L110" i="27"/>
  <c r="M110" i="27"/>
  <c r="N110" i="27"/>
  <c r="P110" i="27"/>
  <c r="E111" i="27"/>
  <c r="F111" i="27"/>
  <c r="G111" i="27"/>
  <c r="H111" i="27"/>
  <c r="I111" i="27"/>
  <c r="J111" i="27"/>
  <c r="K111" i="27"/>
  <c r="L111" i="27"/>
  <c r="M111" i="27"/>
  <c r="N111" i="27"/>
  <c r="P111" i="27"/>
  <c r="E112" i="27"/>
  <c r="F112" i="27"/>
  <c r="G112" i="27"/>
  <c r="H112" i="27"/>
  <c r="I112" i="27"/>
  <c r="J112" i="27"/>
  <c r="K112" i="27"/>
  <c r="L112" i="27"/>
  <c r="M112" i="27"/>
  <c r="N112" i="27"/>
  <c r="P112" i="27"/>
  <c r="E113" i="27"/>
  <c r="F113" i="27"/>
  <c r="G113" i="27"/>
  <c r="H113" i="27"/>
  <c r="I113" i="27"/>
  <c r="J113" i="27"/>
  <c r="K113" i="27"/>
  <c r="L113" i="27"/>
  <c r="M113" i="27"/>
  <c r="N113" i="27"/>
  <c r="P113" i="27"/>
  <c r="E114" i="27"/>
  <c r="F114" i="27"/>
  <c r="G114" i="27"/>
  <c r="H114" i="27"/>
  <c r="I114" i="27"/>
  <c r="J114" i="27"/>
  <c r="K114" i="27"/>
  <c r="L114" i="27"/>
  <c r="M114" i="27"/>
  <c r="N114" i="27"/>
  <c r="P114" i="27"/>
  <c r="E115" i="27"/>
  <c r="F115" i="27"/>
  <c r="G115" i="27"/>
  <c r="H115" i="27"/>
  <c r="I115" i="27"/>
  <c r="J115" i="27"/>
  <c r="K115" i="27"/>
  <c r="L115" i="27"/>
  <c r="M115" i="27"/>
  <c r="N115" i="27"/>
  <c r="P115" i="27"/>
  <c r="E116" i="27"/>
  <c r="F116" i="27"/>
  <c r="G116" i="27"/>
  <c r="H116" i="27"/>
  <c r="I116" i="27"/>
  <c r="J116" i="27"/>
  <c r="K116" i="27"/>
  <c r="L116" i="27"/>
  <c r="M116" i="27"/>
  <c r="N116" i="27"/>
  <c r="P116" i="27"/>
  <c r="E117" i="27"/>
  <c r="F117" i="27"/>
  <c r="G117" i="27"/>
  <c r="H117" i="27"/>
  <c r="I117" i="27"/>
  <c r="J117" i="27"/>
  <c r="K117" i="27"/>
  <c r="L117" i="27"/>
  <c r="M117" i="27"/>
  <c r="N117" i="27"/>
  <c r="P117" i="27"/>
  <c r="E118" i="27"/>
  <c r="F118" i="27"/>
  <c r="G118" i="27"/>
  <c r="H118" i="27"/>
  <c r="I118" i="27"/>
  <c r="J118" i="27"/>
  <c r="K118" i="27"/>
  <c r="L118" i="27"/>
  <c r="M118" i="27"/>
  <c r="N118" i="27"/>
  <c r="O118" i="27"/>
  <c r="P118" i="27"/>
  <c r="Q118" i="27"/>
  <c r="E119" i="27"/>
  <c r="F119" i="27"/>
  <c r="G119" i="27"/>
  <c r="H119" i="27"/>
  <c r="I119" i="27"/>
  <c r="J119" i="27"/>
  <c r="K119" i="27"/>
  <c r="L119" i="27"/>
  <c r="M119" i="27"/>
  <c r="N119" i="27"/>
  <c r="P119" i="27"/>
  <c r="E120" i="27"/>
  <c r="F120" i="27"/>
  <c r="G120" i="27"/>
  <c r="H120" i="27"/>
  <c r="I120" i="27"/>
  <c r="J120" i="27"/>
  <c r="K120" i="27"/>
  <c r="L120" i="27"/>
  <c r="M120" i="27"/>
  <c r="N120" i="27"/>
  <c r="P120" i="27"/>
  <c r="E121" i="27"/>
  <c r="F121" i="27"/>
  <c r="G121" i="27"/>
  <c r="H121" i="27"/>
  <c r="I121" i="27"/>
  <c r="J121" i="27"/>
  <c r="K121" i="27"/>
  <c r="L121" i="27"/>
  <c r="M121" i="27"/>
  <c r="N121" i="27"/>
  <c r="P121" i="27"/>
  <c r="E122" i="27"/>
  <c r="F122" i="27"/>
  <c r="G122" i="27"/>
  <c r="H122" i="27"/>
  <c r="I122" i="27"/>
  <c r="J122" i="27"/>
  <c r="K122" i="27"/>
  <c r="L122" i="27"/>
  <c r="M122" i="27"/>
  <c r="N122" i="27"/>
  <c r="P122" i="27"/>
  <c r="E123" i="27"/>
  <c r="F123" i="27"/>
  <c r="G123" i="27"/>
  <c r="H123" i="27"/>
  <c r="I123" i="27"/>
  <c r="J123" i="27"/>
  <c r="K123" i="27"/>
  <c r="L123" i="27"/>
  <c r="M123" i="27"/>
  <c r="N123" i="27"/>
  <c r="P123" i="27"/>
  <c r="E124" i="27"/>
  <c r="F124" i="27"/>
  <c r="G124" i="27"/>
  <c r="H124" i="27"/>
  <c r="I124" i="27"/>
  <c r="J124" i="27"/>
  <c r="K124" i="27"/>
  <c r="L124" i="27"/>
  <c r="M124" i="27"/>
  <c r="N124" i="27"/>
  <c r="P124" i="27"/>
  <c r="E125" i="27"/>
  <c r="F125" i="27"/>
  <c r="G125" i="27"/>
  <c r="H125" i="27"/>
  <c r="I125" i="27"/>
  <c r="J125" i="27"/>
  <c r="K125" i="27"/>
  <c r="L125" i="27"/>
  <c r="M125" i="27"/>
  <c r="N125" i="27"/>
  <c r="P125" i="27"/>
  <c r="E126" i="27"/>
  <c r="F126" i="27"/>
  <c r="G126" i="27"/>
  <c r="H126" i="27"/>
  <c r="I126" i="27"/>
  <c r="J126" i="27"/>
  <c r="K126" i="27"/>
  <c r="L126" i="27"/>
  <c r="M126" i="27"/>
  <c r="N126" i="27"/>
  <c r="P126" i="27"/>
  <c r="E127" i="27"/>
  <c r="F127" i="27"/>
  <c r="G127" i="27"/>
  <c r="H127" i="27"/>
  <c r="I127" i="27"/>
  <c r="J127" i="27"/>
  <c r="K127" i="27"/>
  <c r="L127" i="27"/>
  <c r="M127" i="27"/>
  <c r="N127" i="27"/>
  <c r="P127" i="27"/>
  <c r="E128" i="27"/>
  <c r="F128" i="27"/>
  <c r="G128" i="27"/>
  <c r="H128" i="27"/>
  <c r="I128" i="27"/>
  <c r="J128" i="27"/>
  <c r="K128" i="27"/>
  <c r="L128" i="27"/>
  <c r="M128" i="27"/>
  <c r="N128" i="27"/>
  <c r="P128" i="27"/>
  <c r="E129" i="27"/>
  <c r="F129" i="27"/>
  <c r="G129" i="27"/>
  <c r="H129" i="27"/>
  <c r="I129" i="27"/>
  <c r="J129" i="27"/>
  <c r="K129" i="27"/>
  <c r="L129" i="27"/>
  <c r="M129" i="27"/>
  <c r="N129" i="27"/>
  <c r="P129" i="27"/>
  <c r="E130" i="27"/>
  <c r="F130" i="27"/>
  <c r="G130" i="27"/>
  <c r="H130" i="27"/>
  <c r="I130" i="27"/>
  <c r="J130" i="27"/>
  <c r="K130" i="27"/>
  <c r="L130" i="27"/>
  <c r="M130" i="27"/>
  <c r="N130" i="27"/>
  <c r="O130" i="27"/>
  <c r="P130" i="27"/>
  <c r="Q130" i="27"/>
  <c r="T5" i="26"/>
  <c r="T9" i="26"/>
  <c r="W9" i="26"/>
  <c r="Y9" i="26"/>
  <c r="AD9" i="26"/>
  <c r="W10" i="26"/>
  <c r="Y10" i="26"/>
  <c r="C11" i="26"/>
  <c r="D11" i="26"/>
  <c r="F11" i="26"/>
  <c r="G11" i="26"/>
  <c r="M11" i="26"/>
  <c r="N11" i="26"/>
  <c r="O11" i="26"/>
  <c r="P11" i="26"/>
  <c r="Q11" i="26"/>
  <c r="R11" i="26"/>
  <c r="S11" i="26"/>
  <c r="T11" i="26"/>
  <c r="U11" i="26"/>
  <c r="V11" i="26"/>
  <c r="W11" i="26"/>
  <c r="Y11" i="26"/>
  <c r="AA11" i="26"/>
  <c r="AB11" i="26"/>
  <c r="C12" i="26"/>
  <c r="D12" i="26"/>
  <c r="F12" i="26"/>
  <c r="G12" i="26"/>
  <c r="M12" i="26"/>
  <c r="N12" i="26"/>
  <c r="O12" i="26"/>
  <c r="P12" i="26"/>
  <c r="Q12" i="26"/>
  <c r="R12" i="26"/>
  <c r="S12" i="26"/>
  <c r="T12" i="26"/>
  <c r="U12" i="26"/>
  <c r="V12" i="26"/>
  <c r="W12" i="26"/>
  <c r="Y12" i="26"/>
  <c r="AA12" i="26"/>
  <c r="AB12" i="26"/>
  <c r="C13" i="26"/>
  <c r="D13" i="26"/>
  <c r="F13" i="26"/>
  <c r="G13" i="26"/>
  <c r="M13" i="26"/>
  <c r="N13" i="26"/>
  <c r="O13" i="26"/>
  <c r="P13" i="26"/>
  <c r="Q13" i="26"/>
  <c r="R13" i="26"/>
  <c r="S13" i="26"/>
  <c r="T13" i="26"/>
  <c r="U13" i="26"/>
  <c r="V13" i="26"/>
  <c r="W13" i="26"/>
  <c r="Y13" i="26"/>
  <c r="AA13" i="26"/>
  <c r="AB13" i="26"/>
  <c r="C14" i="26"/>
  <c r="D14" i="26"/>
  <c r="F14" i="26"/>
  <c r="G14" i="26"/>
  <c r="M14" i="26"/>
  <c r="N14" i="26"/>
  <c r="O14" i="26"/>
  <c r="P14" i="26"/>
  <c r="Q14" i="26"/>
  <c r="R14" i="26"/>
  <c r="S14" i="26"/>
  <c r="T14" i="26"/>
  <c r="U14" i="26"/>
  <c r="V14" i="26"/>
  <c r="W14" i="26"/>
  <c r="Y14" i="26"/>
  <c r="AA14" i="26"/>
  <c r="AB14" i="26"/>
  <c r="C15" i="26"/>
  <c r="D15" i="26"/>
  <c r="F15" i="26"/>
  <c r="G15" i="26"/>
  <c r="M15" i="26"/>
  <c r="N15" i="26"/>
  <c r="O15" i="26"/>
  <c r="P15" i="26"/>
  <c r="Q15" i="26"/>
  <c r="R15" i="26"/>
  <c r="S15" i="26"/>
  <c r="T15" i="26"/>
  <c r="U15" i="26"/>
  <c r="V15" i="26"/>
  <c r="W15" i="26"/>
  <c r="Y15" i="26"/>
  <c r="AA15" i="26"/>
  <c r="AB15" i="26"/>
  <c r="C16" i="26"/>
  <c r="D16" i="26"/>
  <c r="F16" i="26"/>
  <c r="G16" i="26"/>
  <c r="M16" i="26"/>
  <c r="N16" i="26"/>
  <c r="O16" i="26"/>
  <c r="P16" i="26"/>
  <c r="Q16" i="26"/>
  <c r="R16" i="26"/>
  <c r="S16" i="26"/>
  <c r="T16" i="26"/>
  <c r="U16" i="26"/>
  <c r="V16" i="26"/>
  <c r="W16" i="26"/>
  <c r="Y16" i="26"/>
  <c r="AA16" i="26"/>
  <c r="AB16" i="26"/>
  <c r="C17" i="26"/>
  <c r="D17" i="26"/>
  <c r="F17" i="26"/>
  <c r="G17" i="26"/>
  <c r="M17" i="26"/>
  <c r="N17" i="26"/>
  <c r="O17" i="26"/>
  <c r="P17" i="26"/>
  <c r="Q17" i="26"/>
  <c r="R17" i="26"/>
  <c r="S17" i="26"/>
  <c r="T17" i="26"/>
  <c r="U17" i="26"/>
  <c r="V17" i="26"/>
  <c r="W17" i="26"/>
  <c r="Y17" i="26"/>
  <c r="AA17" i="26"/>
  <c r="AB17" i="26"/>
  <c r="C18" i="26"/>
  <c r="D18" i="26"/>
  <c r="F18" i="26"/>
  <c r="G18" i="26"/>
  <c r="M18" i="26"/>
  <c r="N18" i="26"/>
  <c r="O18" i="26"/>
  <c r="P18" i="26"/>
  <c r="Q18" i="26"/>
  <c r="R18" i="26"/>
  <c r="S18" i="26"/>
  <c r="T18" i="26"/>
  <c r="U18" i="26"/>
  <c r="V18" i="26"/>
  <c r="W18" i="26"/>
  <c r="Y18" i="26"/>
  <c r="AA18" i="26"/>
  <c r="AB18" i="26"/>
  <c r="C19" i="26"/>
  <c r="D19" i="26"/>
  <c r="F19" i="26"/>
  <c r="G19" i="26"/>
  <c r="M19" i="26"/>
  <c r="N19" i="26"/>
  <c r="O19" i="26"/>
  <c r="P19" i="26"/>
  <c r="Q19" i="26"/>
  <c r="R19" i="26"/>
  <c r="S19" i="26"/>
  <c r="T19" i="26"/>
  <c r="U19" i="26"/>
  <c r="V19" i="26"/>
  <c r="W19" i="26"/>
  <c r="Y19" i="26"/>
  <c r="AA19" i="26"/>
  <c r="AB19" i="26"/>
  <c r="C20" i="26"/>
  <c r="D20" i="26"/>
  <c r="F20" i="26"/>
  <c r="G20" i="26"/>
  <c r="M20" i="26"/>
  <c r="N20" i="26"/>
  <c r="O20" i="26"/>
  <c r="P20" i="26"/>
  <c r="Q20" i="26"/>
  <c r="R20" i="26"/>
  <c r="S20" i="26"/>
  <c r="T20" i="26"/>
  <c r="U20" i="26"/>
  <c r="V20" i="26"/>
  <c r="W20" i="26"/>
  <c r="Y20" i="26"/>
  <c r="AA20" i="26"/>
  <c r="AB20" i="26"/>
  <c r="C21" i="26"/>
  <c r="D21" i="26"/>
  <c r="F21" i="26"/>
  <c r="G21" i="26"/>
  <c r="M21" i="26"/>
  <c r="N21" i="26"/>
  <c r="O21" i="26"/>
  <c r="P21" i="26"/>
  <c r="Q21" i="26"/>
  <c r="R21" i="26"/>
  <c r="S21" i="26"/>
  <c r="T21" i="26"/>
  <c r="U21" i="26"/>
  <c r="V21" i="26"/>
  <c r="W21" i="26"/>
  <c r="Y21" i="26"/>
  <c r="AA21" i="26"/>
  <c r="AB21" i="26"/>
  <c r="C22" i="26"/>
  <c r="D22" i="26"/>
  <c r="F22" i="26"/>
  <c r="G22" i="26"/>
  <c r="M22" i="26"/>
  <c r="N22" i="26"/>
  <c r="O22" i="26"/>
  <c r="P22" i="26"/>
  <c r="Q22" i="26"/>
  <c r="R22" i="26"/>
  <c r="S22" i="26"/>
  <c r="T22" i="26"/>
  <c r="U22" i="26"/>
  <c r="V22" i="26"/>
  <c r="W22" i="26"/>
  <c r="X22" i="26"/>
  <c r="Y22" i="26"/>
  <c r="Z22" i="26"/>
  <c r="AA22" i="26"/>
  <c r="AB22" i="26"/>
  <c r="C23" i="26"/>
  <c r="D23" i="26"/>
  <c r="F23" i="26"/>
  <c r="G23" i="26"/>
  <c r="M23" i="26"/>
  <c r="N23" i="26"/>
  <c r="O23" i="26"/>
  <c r="P23" i="26"/>
  <c r="Q23" i="26"/>
  <c r="R23" i="26"/>
  <c r="S23" i="26"/>
  <c r="T23" i="26"/>
  <c r="U23" i="26"/>
  <c r="V23" i="26"/>
  <c r="W23" i="26"/>
  <c r="Y23" i="26"/>
  <c r="AA23" i="26"/>
  <c r="AB23" i="26"/>
  <c r="C24" i="26"/>
  <c r="D24" i="26"/>
  <c r="F24" i="26"/>
  <c r="G24" i="26"/>
  <c r="M24" i="26"/>
  <c r="N24" i="26"/>
  <c r="O24" i="26"/>
  <c r="P24" i="26"/>
  <c r="Q24" i="26"/>
  <c r="R24" i="26"/>
  <c r="S24" i="26"/>
  <c r="T24" i="26"/>
  <c r="U24" i="26"/>
  <c r="V24" i="26"/>
  <c r="W24" i="26"/>
  <c r="Y24" i="26"/>
  <c r="AA24" i="26"/>
  <c r="AB24" i="26"/>
  <c r="C25" i="26"/>
  <c r="D25" i="26"/>
  <c r="F25" i="26"/>
  <c r="G25" i="26"/>
  <c r="M25" i="26"/>
  <c r="N25" i="26"/>
  <c r="O25" i="26"/>
  <c r="P25" i="26"/>
  <c r="Q25" i="26"/>
  <c r="R25" i="26"/>
  <c r="S25" i="26"/>
  <c r="T25" i="26"/>
  <c r="U25" i="26"/>
  <c r="V25" i="26"/>
  <c r="W25" i="26"/>
  <c r="Y25" i="26"/>
  <c r="AA25" i="26"/>
  <c r="AB25" i="26"/>
  <c r="C26" i="26"/>
  <c r="D26" i="26"/>
  <c r="F26" i="26"/>
  <c r="G26" i="26"/>
  <c r="M26" i="26"/>
  <c r="N26" i="26"/>
  <c r="O26" i="26"/>
  <c r="P26" i="26"/>
  <c r="Q26" i="26"/>
  <c r="R26" i="26"/>
  <c r="S26" i="26"/>
  <c r="T26" i="26"/>
  <c r="U26" i="26"/>
  <c r="V26" i="26"/>
  <c r="W26" i="26"/>
  <c r="Y26" i="26"/>
  <c r="AA26" i="26"/>
  <c r="AB26" i="26"/>
  <c r="C27" i="26"/>
  <c r="D27" i="26"/>
  <c r="F27" i="26"/>
  <c r="G27" i="26"/>
  <c r="M27" i="26"/>
  <c r="N27" i="26"/>
  <c r="O27" i="26"/>
  <c r="P27" i="26"/>
  <c r="Q27" i="26"/>
  <c r="R27" i="26"/>
  <c r="S27" i="26"/>
  <c r="T27" i="26"/>
  <c r="U27" i="26"/>
  <c r="V27" i="26"/>
  <c r="W27" i="26"/>
  <c r="Y27" i="26"/>
  <c r="AA27" i="26"/>
  <c r="AB27" i="26"/>
  <c r="C28" i="26"/>
  <c r="D28" i="26"/>
  <c r="F28" i="26"/>
  <c r="G28" i="26"/>
  <c r="M28" i="26"/>
  <c r="N28" i="26"/>
  <c r="O28" i="26"/>
  <c r="P28" i="26"/>
  <c r="Q28" i="26"/>
  <c r="R28" i="26"/>
  <c r="S28" i="26"/>
  <c r="T28" i="26"/>
  <c r="U28" i="26"/>
  <c r="V28" i="26"/>
  <c r="W28" i="26"/>
  <c r="Y28" i="26"/>
  <c r="AA28" i="26"/>
  <c r="AB28" i="26"/>
  <c r="C29" i="26"/>
  <c r="D29" i="26"/>
  <c r="F29" i="26"/>
  <c r="G29" i="26"/>
  <c r="M29" i="26"/>
  <c r="N29" i="26"/>
  <c r="O29" i="26"/>
  <c r="P29" i="26"/>
  <c r="Q29" i="26"/>
  <c r="R29" i="26"/>
  <c r="S29" i="26"/>
  <c r="T29" i="26"/>
  <c r="U29" i="26"/>
  <c r="V29" i="26"/>
  <c r="W29" i="26"/>
  <c r="Y29" i="26"/>
  <c r="AA29" i="26"/>
  <c r="AB29" i="26"/>
  <c r="C30" i="26"/>
  <c r="D30" i="26"/>
  <c r="F30" i="26"/>
  <c r="G30" i="26"/>
  <c r="M30" i="26"/>
  <c r="N30" i="26"/>
  <c r="O30" i="26"/>
  <c r="P30" i="26"/>
  <c r="Q30" i="26"/>
  <c r="R30" i="26"/>
  <c r="S30" i="26"/>
  <c r="T30" i="26"/>
  <c r="U30" i="26"/>
  <c r="V30" i="26"/>
  <c r="W30" i="26"/>
  <c r="Y30" i="26"/>
  <c r="AA30" i="26"/>
  <c r="AB30" i="26"/>
  <c r="C31" i="26"/>
  <c r="D31" i="26"/>
  <c r="F31" i="26"/>
  <c r="G31" i="26"/>
  <c r="M31" i="26"/>
  <c r="N31" i="26"/>
  <c r="O31" i="26"/>
  <c r="P31" i="26"/>
  <c r="Q31" i="26"/>
  <c r="R31" i="26"/>
  <c r="S31" i="26"/>
  <c r="T31" i="26"/>
  <c r="U31" i="26"/>
  <c r="V31" i="26"/>
  <c r="W31" i="26"/>
  <c r="Y31" i="26"/>
  <c r="AA31" i="26"/>
  <c r="AB31" i="26"/>
  <c r="C32" i="26"/>
  <c r="D32" i="26"/>
  <c r="F32" i="26"/>
  <c r="G32" i="26"/>
  <c r="M32" i="26"/>
  <c r="N32" i="26"/>
  <c r="O32" i="26"/>
  <c r="P32" i="26"/>
  <c r="Q32" i="26"/>
  <c r="R32" i="26"/>
  <c r="S32" i="26"/>
  <c r="T32" i="26"/>
  <c r="U32" i="26"/>
  <c r="V32" i="26"/>
  <c r="W32" i="26"/>
  <c r="Y32" i="26"/>
  <c r="AA32" i="26"/>
  <c r="AB32" i="26"/>
  <c r="C33" i="26"/>
  <c r="D33" i="26"/>
  <c r="F33" i="26"/>
  <c r="G33" i="26"/>
  <c r="M33" i="26"/>
  <c r="N33" i="26"/>
  <c r="O33" i="26"/>
  <c r="P33" i="26"/>
  <c r="Q33" i="26"/>
  <c r="R33" i="26"/>
  <c r="S33" i="26"/>
  <c r="T33" i="26"/>
  <c r="U33" i="26"/>
  <c r="V33" i="26"/>
  <c r="W33" i="26"/>
  <c r="Y33" i="26"/>
  <c r="AA33" i="26"/>
  <c r="AB33" i="26"/>
  <c r="C34" i="26"/>
  <c r="D34" i="26"/>
  <c r="F34" i="26"/>
  <c r="G34" i="26"/>
  <c r="M34" i="26"/>
  <c r="N34" i="26"/>
  <c r="O34" i="26"/>
  <c r="P34" i="26"/>
  <c r="Q34" i="26"/>
  <c r="R34" i="26"/>
  <c r="S34" i="26"/>
  <c r="T34" i="26"/>
  <c r="U34" i="26"/>
  <c r="V34" i="26"/>
  <c r="W34" i="26"/>
  <c r="X34" i="26"/>
  <c r="Y34" i="26"/>
  <c r="Z34" i="26"/>
  <c r="AA34" i="26"/>
  <c r="AB34" i="26"/>
  <c r="C35" i="26"/>
  <c r="D35" i="26"/>
  <c r="F35" i="26"/>
  <c r="G35" i="26"/>
  <c r="M35" i="26"/>
  <c r="N35" i="26"/>
  <c r="O35" i="26"/>
  <c r="P35" i="26"/>
  <c r="Q35" i="26"/>
  <c r="R35" i="26"/>
  <c r="S35" i="26"/>
  <c r="T35" i="26"/>
  <c r="U35" i="26"/>
  <c r="V35" i="26"/>
  <c r="W35" i="26"/>
  <c r="Y35" i="26"/>
  <c r="AA35" i="26"/>
  <c r="AB35" i="26"/>
  <c r="C36" i="26"/>
  <c r="D36" i="26"/>
  <c r="F36" i="26"/>
  <c r="G36" i="26"/>
  <c r="M36" i="26"/>
  <c r="N36" i="26"/>
  <c r="O36" i="26"/>
  <c r="P36" i="26"/>
  <c r="Q36" i="26"/>
  <c r="R36" i="26"/>
  <c r="S36" i="26"/>
  <c r="T36" i="26"/>
  <c r="U36" i="26"/>
  <c r="V36" i="26"/>
  <c r="W36" i="26"/>
  <c r="Y36" i="26"/>
  <c r="AA36" i="26"/>
  <c r="AB36" i="26"/>
  <c r="C37" i="26"/>
  <c r="D37" i="26"/>
  <c r="F37" i="26"/>
  <c r="G37" i="26"/>
  <c r="M37" i="26"/>
  <c r="N37" i="26"/>
  <c r="O37" i="26"/>
  <c r="P37" i="26"/>
  <c r="Q37" i="26"/>
  <c r="R37" i="26"/>
  <c r="S37" i="26"/>
  <c r="T37" i="26"/>
  <c r="U37" i="26"/>
  <c r="V37" i="26"/>
  <c r="W37" i="26"/>
  <c r="Y37" i="26"/>
  <c r="AA37" i="26"/>
  <c r="AB37" i="26"/>
  <c r="C38" i="26"/>
  <c r="D38" i="26"/>
  <c r="F38" i="26"/>
  <c r="G38" i="26"/>
  <c r="M38" i="26"/>
  <c r="N38" i="26"/>
  <c r="O38" i="26"/>
  <c r="P38" i="26"/>
  <c r="Q38" i="26"/>
  <c r="R38" i="26"/>
  <c r="S38" i="26"/>
  <c r="T38" i="26"/>
  <c r="U38" i="26"/>
  <c r="V38" i="26"/>
  <c r="W38" i="26"/>
  <c r="Y38" i="26"/>
  <c r="AA38" i="26"/>
  <c r="AB38" i="26"/>
  <c r="C39" i="26"/>
  <c r="D39" i="26"/>
  <c r="F39" i="26"/>
  <c r="G39" i="26"/>
  <c r="M39" i="26"/>
  <c r="N39" i="26"/>
  <c r="O39" i="26"/>
  <c r="P39" i="26"/>
  <c r="Q39" i="26"/>
  <c r="R39" i="26"/>
  <c r="S39" i="26"/>
  <c r="T39" i="26"/>
  <c r="U39" i="26"/>
  <c r="V39" i="26"/>
  <c r="W39" i="26"/>
  <c r="Y39" i="26"/>
  <c r="AA39" i="26"/>
  <c r="AB39" i="26"/>
  <c r="C40" i="26"/>
  <c r="D40" i="26"/>
  <c r="F40" i="26"/>
  <c r="G40" i="26"/>
  <c r="M40" i="26"/>
  <c r="N40" i="26"/>
  <c r="O40" i="26"/>
  <c r="P40" i="26"/>
  <c r="Q40" i="26"/>
  <c r="R40" i="26"/>
  <c r="S40" i="26"/>
  <c r="T40" i="26"/>
  <c r="U40" i="26"/>
  <c r="V40" i="26"/>
  <c r="W40" i="26"/>
  <c r="Y40" i="26"/>
  <c r="AA40" i="26"/>
  <c r="AB40" i="26"/>
  <c r="C41" i="26"/>
  <c r="D41" i="26"/>
  <c r="F41" i="26"/>
  <c r="G41" i="26"/>
  <c r="M41" i="26"/>
  <c r="N41" i="26"/>
  <c r="O41" i="26"/>
  <c r="P41" i="26"/>
  <c r="Q41" i="26"/>
  <c r="R41" i="26"/>
  <c r="S41" i="26"/>
  <c r="T41" i="26"/>
  <c r="U41" i="26"/>
  <c r="V41" i="26"/>
  <c r="W41" i="26"/>
  <c r="Y41" i="26"/>
  <c r="AA41" i="26"/>
  <c r="AB41" i="26"/>
  <c r="C42" i="26"/>
  <c r="D42" i="26"/>
  <c r="F42" i="26"/>
  <c r="G42" i="26"/>
  <c r="M42" i="26"/>
  <c r="N42" i="26"/>
  <c r="O42" i="26"/>
  <c r="P42" i="26"/>
  <c r="Q42" i="26"/>
  <c r="R42" i="26"/>
  <c r="S42" i="26"/>
  <c r="T42" i="26"/>
  <c r="U42" i="26"/>
  <c r="V42" i="26"/>
  <c r="W42" i="26"/>
  <c r="Y42" i="26"/>
  <c r="AA42" i="26"/>
  <c r="AB42" i="26"/>
  <c r="C43" i="26"/>
  <c r="D43" i="26"/>
  <c r="F43" i="26"/>
  <c r="G43" i="26"/>
  <c r="M43" i="26"/>
  <c r="N43" i="26"/>
  <c r="O43" i="26"/>
  <c r="P43" i="26"/>
  <c r="Q43" i="26"/>
  <c r="R43" i="26"/>
  <c r="S43" i="26"/>
  <c r="T43" i="26"/>
  <c r="U43" i="26"/>
  <c r="V43" i="26"/>
  <c r="W43" i="26"/>
  <c r="Y43" i="26"/>
  <c r="AA43" i="26"/>
  <c r="AB43" i="26"/>
  <c r="C44" i="26"/>
  <c r="D44" i="26"/>
  <c r="F44" i="26"/>
  <c r="G44" i="26"/>
  <c r="M44" i="26"/>
  <c r="N44" i="26"/>
  <c r="O44" i="26"/>
  <c r="P44" i="26"/>
  <c r="Q44" i="26"/>
  <c r="R44" i="26"/>
  <c r="S44" i="26"/>
  <c r="T44" i="26"/>
  <c r="U44" i="26"/>
  <c r="V44" i="26"/>
  <c r="W44" i="26"/>
  <c r="Y44" i="26"/>
  <c r="AA44" i="26"/>
  <c r="AB44" i="26"/>
  <c r="C45" i="26"/>
  <c r="D45" i="26"/>
  <c r="F45" i="26"/>
  <c r="G45" i="26"/>
  <c r="M45" i="26"/>
  <c r="N45" i="26"/>
  <c r="O45" i="26"/>
  <c r="P45" i="26"/>
  <c r="Q45" i="26"/>
  <c r="R45" i="26"/>
  <c r="S45" i="26"/>
  <c r="T45" i="26"/>
  <c r="U45" i="26"/>
  <c r="V45" i="26"/>
  <c r="W45" i="26"/>
  <c r="Y45" i="26"/>
  <c r="AA45" i="26"/>
  <c r="AB45" i="26"/>
  <c r="C46" i="26"/>
  <c r="D46" i="26"/>
  <c r="F46" i="26"/>
  <c r="G46" i="26"/>
  <c r="M46" i="26"/>
  <c r="N46" i="26"/>
  <c r="O46" i="26"/>
  <c r="P46" i="26"/>
  <c r="Q46" i="26"/>
  <c r="R46" i="26"/>
  <c r="S46" i="26"/>
  <c r="T46" i="26"/>
  <c r="U46" i="26"/>
  <c r="V46" i="26"/>
  <c r="W46" i="26"/>
  <c r="X46" i="26"/>
  <c r="Y46" i="26"/>
  <c r="Z46" i="26"/>
  <c r="AA46" i="26"/>
  <c r="AB46" i="26"/>
  <c r="C47" i="26"/>
  <c r="D47" i="26"/>
  <c r="F47" i="26"/>
  <c r="G47" i="26"/>
  <c r="M47" i="26"/>
  <c r="N47" i="26"/>
  <c r="O47" i="26"/>
  <c r="P47" i="26"/>
  <c r="Q47" i="26"/>
  <c r="R47" i="26"/>
  <c r="S47" i="26"/>
  <c r="T47" i="26"/>
  <c r="U47" i="26"/>
  <c r="V47" i="26"/>
  <c r="W47" i="26"/>
  <c r="Y47" i="26"/>
  <c r="AA47" i="26"/>
  <c r="AB47" i="26"/>
  <c r="C48" i="26"/>
  <c r="D48" i="26"/>
  <c r="F48" i="26"/>
  <c r="G48" i="26"/>
  <c r="M48" i="26"/>
  <c r="N48" i="26"/>
  <c r="O48" i="26"/>
  <c r="P48" i="26"/>
  <c r="Q48" i="26"/>
  <c r="R48" i="26"/>
  <c r="S48" i="26"/>
  <c r="T48" i="26"/>
  <c r="U48" i="26"/>
  <c r="V48" i="26"/>
  <c r="W48" i="26"/>
  <c r="Y48" i="26"/>
  <c r="AA48" i="26"/>
  <c r="AB48" i="26"/>
  <c r="C49" i="26"/>
  <c r="D49" i="26"/>
  <c r="F49" i="26"/>
  <c r="G49" i="26"/>
  <c r="M49" i="26"/>
  <c r="N49" i="26"/>
  <c r="O49" i="26"/>
  <c r="P49" i="26"/>
  <c r="Q49" i="26"/>
  <c r="R49" i="26"/>
  <c r="S49" i="26"/>
  <c r="T49" i="26"/>
  <c r="U49" i="26"/>
  <c r="V49" i="26"/>
  <c r="W49" i="26"/>
  <c r="Y49" i="26"/>
  <c r="AA49" i="26"/>
  <c r="AB49" i="26"/>
  <c r="C50" i="26"/>
  <c r="D50" i="26"/>
  <c r="F50" i="26"/>
  <c r="G50" i="26"/>
  <c r="M50" i="26"/>
  <c r="N50" i="26"/>
  <c r="O50" i="26"/>
  <c r="P50" i="26"/>
  <c r="Q50" i="26"/>
  <c r="R50" i="26"/>
  <c r="S50" i="26"/>
  <c r="T50" i="26"/>
  <c r="U50" i="26"/>
  <c r="V50" i="26"/>
  <c r="W50" i="26"/>
  <c r="Y50" i="26"/>
  <c r="AA50" i="26"/>
  <c r="AB50" i="26"/>
  <c r="C51" i="26"/>
  <c r="D51" i="26"/>
  <c r="F51" i="26"/>
  <c r="G51" i="26"/>
  <c r="M51" i="26"/>
  <c r="N51" i="26"/>
  <c r="O51" i="26"/>
  <c r="P51" i="26"/>
  <c r="Q51" i="26"/>
  <c r="R51" i="26"/>
  <c r="S51" i="26"/>
  <c r="T51" i="26"/>
  <c r="U51" i="26"/>
  <c r="V51" i="26"/>
  <c r="W51" i="26"/>
  <c r="Y51" i="26"/>
  <c r="AA51" i="26"/>
  <c r="AB51" i="26"/>
  <c r="C52" i="26"/>
  <c r="D52" i="26"/>
  <c r="F52" i="26"/>
  <c r="G52" i="26"/>
  <c r="M52" i="26"/>
  <c r="N52" i="26"/>
  <c r="O52" i="26"/>
  <c r="P52" i="26"/>
  <c r="Q52" i="26"/>
  <c r="R52" i="26"/>
  <c r="S52" i="26"/>
  <c r="T52" i="26"/>
  <c r="U52" i="26"/>
  <c r="V52" i="26"/>
  <c r="W52" i="26"/>
  <c r="Y52" i="26"/>
  <c r="AA52" i="26"/>
  <c r="AB52" i="26"/>
  <c r="C53" i="26"/>
  <c r="D53" i="26"/>
  <c r="F53" i="26"/>
  <c r="G53" i="26"/>
  <c r="M53" i="26"/>
  <c r="N53" i="26"/>
  <c r="O53" i="26"/>
  <c r="P53" i="26"/>
  <c r="Q53" i="26"/>
  <c r="R53" i="26"/>
  <c r="S53" i="26"/>
  <c r="T53" i="26"/>
  <c r="U53" i="26"/>
  <c r="V53" i="26"/>
  <c r="W53" i="26"/>
  <c r="Y53" i="26"/>
  <c r="AA53" i="26"/>
  <c r="AB53" i="26"/>
  <c r="C54" i="26"/>
  <c r="D54" i="26"/>
  <c r="F54" i="26"/>
  <c r="G54" i="26"/>
  <c r="M54" i="26"/>
  <c r="N54" i="26"/>
  <c r="O54" i="26"/>
  <c r="P54" i="26"/>
  <c r="Q54" i="26"/>
  <c r="R54" i="26"/>
  <c r="S54" i="26"/>
  <c r="T54" i="26"/>
  <c r="U54" i="26"/>
  <c r="V54" i="26"/>
  <c r="W54" i="26"/>
  <c r="Y54" i="26"/>
  <c r="AA54" i="26"/>
  <c r="AB54" i="26"/>
  <c r="C55" i="26"/>
  <c r="D55" i="26"/>
  <c r="F55" i="26"/>
  <c r="G55" i="26"/>
  <c r="M55" i="26"/>
  <c r="N55" i="26"/>
  <c r="O55" i="26"/>
  <c r="P55" i="26"/>
  <c r="Q55" i="26"/>
  <c r="R55" i="26"/>
  <c r="S55" i="26"/>
  <c r="T55" i="26"/>
  <c r="U55" i="26"/>
  <c r="V55" i="26"/>
  <c r="W55" i="26"/>
  <c r="Y55" i="26"/>
  <c r="AA55" i="26"/>
  <c r="AB55" i="26"/>
  <c r="C56" i="26"/>
  <c r="D56" i="26"/>
  <c r="F56" i="26"/>
  <c r="G56" i="26"/>
  <c r="M56" i="26"/>
  <c r="N56" i="26"/>
  <c r="O56" i="26"/>
  <c r="P56" i="26"/>
  <c r="Q56" i="26"/>
  <c r="R56" i="26"/>
  <c r="S56" i="26"/>
  <c r="T56" i="26"/>
  <c r="U56" i="26"/>
  <c r="V56" i="26"/>
  <c r="W56" i="26"/>
  <c r="Y56" i="26"/>
  <c r="AA56" i="26"/>
  <c r="AB56" i="26"/>
  <c r="C57" i="26"/>
  <c r="D57" i="26"/>
  <c r="F57" i="26"/>
  <c r="G57" i="26"/>
  <c r="M57" i="26"/>
  <c r="N57" i="26"/>
  <c r="O57" i="26"/>
  <c r="P57" i="26"/>
  <c r="Q57" i="26"/>
  <c r="R57" i="26"/>
  <c r="S57" i="26"/>
  <c r="T57" i="26"/>
  <c r="U57" i="26"/>
  <c r="V57" i="26"/>
  <c r="W57" i="26"/>
  <c r="Y57" i="26"/>
  <c r="AA57" i="26"/>
  <c r="AB57" i="26"/>
  <c r="C58" i="26"/>
  <c r="D58" i="26"/>
  <c r="F58" i="26"/>
  <c r="G58" i="26"/>
  <c r="M58" i="26"/>
  <c r="N58" i="26"/>
  <c r="O58" i="26"/>
  <c r="P58" i="26"/>
  <c r="Q58" i="26"/>
  <c r="R58" i="26"/>
  <c r="S58" i="26"/>
  <c r="T58" i="26"/>
  <c r="U58" i="26"/>
  <c r="V58" i="26"/>
  <c r="W58" i="26"/>
  <c r="X58" i="26"/>
  <c r="Y58" i="26"/>
  <c r="Z58" i="26"/>
  <c r="AA58" i="26"/>
  <c r="AB58" i="26"/>
  <c r="C59" i="26"/>
  <c r="D59" i="26"/>
  <c r="F59" i="26"/>
  <c r="G59" i="26"/>
  <c r="M59" i="26"/>
  <c r="N59" i="26"/>
  <c r="O59" i="26"/>
  <c r="P59" i="26"/>
  <c r="Q59" i="26"/>
  <c r="R59" i="26"/>
  <c r="S59" i="26"/>
  <c r="T59" i="26"/>
  <c r="U59" i="26"/>
  <c r="V59" i="26"/>
  <c r="W59" i="26"/>
  <c r="Y59" i="26"/>
  <c r="AA59" i="26"/>
  <c r="AB59" i="26"/>
  <c r="C60" i="26"/>
  <c r="D60" i="26"/>
  <c r="F60" i="26"/>
  <c r="G60" i="26"/>
  <c r="M60" i="26"/>
  <c r="N60" i="26"/>
  <c r="O60" i="26"/>
  <c r="P60" i="26"/>
  <c r="Q60" i="26"/>
  <c r="R60" i="26"/>
  <c r="S60" i="26"/>
  <c r="T60" i="26"/>
  <c r="U60" i="26"/>
  <c r="V60" i="26"/>
  <c r="W60" i="26"/>
  <c r="Y60" i="26"/>
  <c r="AA60" i="26"/>
  <c r="AB60" i="26"/>
  <c r="C61" i="26"/>
  <c r="D61" i="26"/>
  <c r="F61" i="26"/>
  <c r="G61" i="26"/>
  <c r="M61" i="26"/>
  <c r="N61" i="26"/>
  <c r="O61" i="26"/>
  <c r="P61" i="26"/>
  <c r="Q61" i="26"/>
  <c r="R61" i="26"/>
  <c r="S61" i="26"/>
  <c r="T61" i="26"/>
  <c r="U61" i="26"/>
  <c r="V61" i="26"/>
  <c r="W61" i="26"/>
  <c r="Y61" i="26"/>
  <c r="AA61" i="26"/>
  <c r="AB61" i="26"/>
  <c r="C62" i="26"/>
  <c r="D62" i="26"/>
  <c r="F62" i="26"/>
  <c r="G62" i="26"/>
  <c r="M62" i="26"/>
  <c r="N62" i="26"/>
  <c r="O62" i="26"/>
  <c r="P62" i="26"/>
  <c r="Q62" i="26"/>
  <c r="R62" i="26"/>
  <c r="S62" i="26"/>
  <c r="T62" i="26"/>
  <c r="U62" i="26"/>
  <c r="V62" i="26"/>
  <c r="W62" i="26"/>
  <c r="Y62" i="26"/>
  <c r="AA62" i="26"/>
  <c r="AB62" i="26"/>
  <c r="C63" i="26"/>
  <c r="D63" i="26"/>
  <c r="F63" i="26"/>
  <c r="G63" i="26"/>
  <c r="M63" i="26"/>
  <c r="N63" i="26"/>
  <c r="O63" i="26"/>
  <c r="P63" i="26"/>
  <c r="Q63" i="26"/>
  <c r="R63" i="26"/>
  <c r="S63" i="26"/>
  <c r="T63" i="26"/>
  <c r="U63" i="26"/>
  <c r="V63" i="26"/>
  <c r="W63" i="26"/>
  <c r="Y63" i="26"/>
  <c r="AA63" i="26"/>
  <c r="AB63" i="26"/>
  <c r="C64" i="26"/>
  <c r="D64" i="26"/>
  <c r="F64" i="26"/>
  <c r="G64" i="26"/>
  <c r="M64" i="26"/>
  <c r="N64" i="26"/>
  <c r="O64" i="26"/>
  <c r="P64" i="26"/>
  <c r="Q64" i="26"/>
  <c r="R64" i="26"/>
  <c r="S64" i="26"/>
  <c r="T64" i="26"/>
  <c r="U64" i="26"/>
  <c r="V64" i="26"/>
  <c r="W64" i="26"/>
  <c r="Y64" i="26"/>
  <c r="AA64" i="26"/>
  <c r="AB64" i="26"/>
  <c r="C65" i="26"/>
  <c r="D65" i="26"/>
  <c r="F65" i="26"/>
  <c r="G65" i="26"/>
  <c r="M65" i="26"/>
  <c r="N65" i="26"/>
  <c r="O65" i="26"/>
  <c r="P65" i="26"/>
  <c r="Q65" i="26"/>
  <c r="R65" i="26"/>
  <c r="S65" i="26"/>
  <c r="T65" i="26"/>
  <c r="U65" i="26"/>
  <c r="V65" i="26"/>
  <c r="W65" i="26"/>
  <c r="Y65" i="26"/>
  <c r="AA65" i="26"/>
  <c r="AB65" i="26"/>
  <c r="C66" i="26"/>
  <c r="D66" i="26"/>
  <c r="F66" i="26"/>
  <c r="G66" i="26"/>
  <c r="M66" i="26"/>
  <c r="N66" i="26"/>
  <c r="O66" i="26"/>
  <c r="P66" i="26"/>
  <c r="Q66" i="26"/>
  <c r="R66" i="26"/>
  <c r="S66" i="26"/>
  <c r="T66" i="26"/>
  <c r="U66" i="26"/>
  <c r="V66" i="26"/>
  <c r="W66" i="26"/>
  <c r="Y66" i="26"/>
  <c r="AA66" i="26"/>
  <c r="AB66" i="26"/>
  <c r="C67" i="26"/>
  <c r="D67" i="26"/>
  <c r="F67" i="26"/>
  <c r="G67" i="26"/>
  <c r="M67" i="26"/>
  <c r="N67" i="26"/>
  <c r="O67" i="26"/>
  <c r="P67" i="26"/>
  <c r="Q67" i="26"/>
  <c r="R67" i="26"/>
  <c r="S67" i="26"/>
  <c r="T67" i="26"/>
  <c r="U67" i="26"/>
  <c r="V67" i="26"/>
  <c r="W67" i="26"/>
  <c r="Y67" i="26"/>
  <c r="AA67" i="26"/>
  <c r="AB67" i="26"/>
  <c r="C68" i="26"/>
  <c r="D68" i="26"/>
  <c r="F68" i="26"/>
  <c r="G68" i="26"/>
  <c r="M68" i="26"/>
  <c r="N68" i="26"/>
  <c r="O68" i="26"/>
  <c r="P68" i="26"/>
  <c r="Q68" i="26"/>
  <c r="R68" i="26"/>
  <c r="S68" i="26"/>
  <c r="T68" i="26"/>
  <c r="U68" i="26"/>
  <c r="V68" i="26"/>
  <c r="W68" i="26"/>
  <c r="Y68" i="26"/>
  <c r="AA68" i="26"/>
  <c r="AB68" i="26"/>
  <c r="C69" i="26"/>
  <c r="D69" i="26"/>
  <c r="F69" i="26"/>
  <c r="G69" i="26"/>
  <c r="M69" i="26"/>
  <c r="N69" i="26"/>
  <c r="O69" i="26"/>
  <c r="P69" i="26"/>
  <c r="Q69" i="26"/>
  <c r="R69" i="26"/>
  <c r="S69" i="26"/>
  <c r="T69" i="26"/>
  <c r="U69" i="26"/>
  <c r="V69" i="26"/>
  <c r="W69" i="26"/>
  <c r="Y69" i="26"/>
  <c r="AA69" i="26"/>
  <c r="AB69" i="26"/>
  <c r="C70" i="26"/>
  <c r="D70" i="26"/>
  <c r="F70" i="26"/>
  <c r="G70" i="26"/>
  <c r="M70" i="26"/>
  <c r="N70" i="26"/>
  <c r="O70" i="26"/>
  <c r="P70" i="26"/>
  <c r="Q70" i="26"/>
  <c r="R70" i="26"/>
  <c r="S70" i="26"/>
  <c r="T70" i="26"/>
  <c r="U70" i="26"/>
  <c r="V70" i="26"/>
  <c r="W70" i="26"/>
  <c r="X70" i="26"/>
  <c r="Y70" i="26"/>
  <c r="Z70" i="26"/>
  <c r="AA70" i="26"/>
  <c r="AB70" i="26"/>
  <c r="C71" i="26"/>
  <c r="D71" i="26"/>
  <c r="F71" i="26"/>
  <c r="G71" i="26"/>
  <c r="M71" i="26"/>
  <c r="N71" i="26"/>
  <c r="O71" i="26"/>
  <c r="P71" i="26"/>
  <c r="Q71" i="26"/>
  <c r="R71" i="26"/>
  <c r="S71" i="26"/>
  <c r="T71" i="26"/>
  <c r="U71" i="26"/>
  <c r="V71" i="26"/>
  <c r="W71" i="26"/>
  <c r="Y71" i="26"/>
  <c r="AA71" i="26"/>
  <c r="AB71" i="26"/>
  <c r="C72" i="26"/>
  <c r="D72" i="26"/>
  <c r="F72" i="26"/>
  <c r="G72" i="26"/>
  <c r="M72" i="26"/>
  <c r="N72" i="26"/>
  <c r="O72" i="26"/>
  <c r="P72" i="26"/>
  <c r="Q72" i="26"/>
  <c r="R72" i="26"/>
  <c r="S72" i="26"/>
  <c r="T72" i="26"/>
  <c r="U72" i="26"/>
  <c r="V72" i="26"/>
  <c r="W72" i="26"/>
  <c r="Y72" i="26"/>
  <c r="AA72" i="26"/>
  <c r="AB72" i="26"/>
  <c r="C73" i="26"/>
  <c r="D73" i="26"/>
  <c r="F73" i="26"/>
  <c r="G73" i="26"/>
  <c r="M73" i="26"/>
  <c r="N73" i="26"/>
  <c r="O73" i="26"/>
  <c r="P73" i="26"/>
  <c r="Q73" i="26"/>
  <c r="R73" i="26"/>
  <c r="S73" i="26"/>
  <c r="T73" i="26"/>
  <c r="U73" i="26"/>
  <c r="V73" i="26"/>
  <c r="W73" i="26"/>
  <c r="Y73" i="26"/>
  <c r="AA73" i="26"/>
  <c r="AB73" i="26"/>
  <c r="C74" i="26"/>
  <c r="D74" i="26"/>
  <c r="F74" i="26"/>
  <c r="G74" i="26"/>
  <c r="M74" i="26"/>
  <c r="N74" i="26"/>
  <c r="O74" i="26"/>
  <c r="P74" i="26"/>
  <c r="Q74" i="26"/>
  <c r="R74" i="26"/>
  <c r="S74" i="26"/>
  <c r="T74" i="26"/>
  <c r="U74" i="26"/>
  <c r="V74" i="26"/>
  <c r="W74" i="26"/>
  <c r="Y74" i="26"/>
  <c r="AA74" i="26"/>
  <c r="AB74" i="26"/>
  <c r="C75" i="26"/>
  <c r="D75" i="26"/>
  <c r="F75" i="26"/>
  <c r="G75" i="26"/>
  <c r="M75" i="26"/>
  <c r="N75" i="26"/>
  <c r="O75" i="26"/>
  <c r="P75" i="26"/>
  <c r="Q75" i="26"/>
  <c r="R75" i="26"/>
  <c r="S75" i="26"/>
  <c r="T75" i="26"/>
  <c r="U75" i="26"/>
  <c r="V75" i="26"/>
  <c r="W75" i="26"/>
  <c r="Y75" i="26"/>
  <c r="AA75" i="26"/>
  <c r="AB75" i="26"/>
  <c r="C76" i="26"/>
  <c r="D76" i="26"/>
  <c r="F76" i="26"/>
  <c r="G76" i="26"/>
  <c r="M76" i="26"/>
  <c r="N76" i="26"/>
  <c r="O76" i="26"/>
  <c r="P76" i="26"/>
  <c r="Q76" i="26"/>
  <c r="R76" i="26"/>
  <c r="S76" i="26"/>
  <c r="T76" i="26"/>
  <c r="U76" i="26"/>
  <c r="V76" i="26"/>
  <c r="W76" i="26"/>
  <c r="Y76" i="26"/>
  <c r="AA76" i="26"/>
  <c r="AB76" i="26"/>
  <c r="C77" i="26"/>
  <c r="D77" i="26"/>
  <c r="F77" i="26"/>
  <c r="G77" i="26"/>
  <c r="M77" i="26"/>
  <c r="N77" i="26"/>
  <c r="O77" i="26"/>
  <c r="P77" i="26"/>
  <c r="Q77" i="26"/>
  <c r="R77" i="26"/>
  <c r="S77" i="26"/>
  <c r="T77" i="26"/>
  <c r="U77" i="26"/>
  <c r="V77" i="26"/>
  <c r="W77" i="26"/>
  <c r="Y77" i="26"/>
  <c r="AA77" i="26"/>
  <c r="AB77" i="26"/>
  <c r="C78" i="26"/>
  <c r="D78" i="26"/>
  <c r="F78" i="26"/>
  <c r="G78" i="26"/>
  <c r="M78" i="26"/>
  <c r="N78" i="26"/>
  <c r="O78" i="26"/>
  <c r="P78" i="26"/>
  <c r="Q78" i="26"/>
  <c r="R78" i="26"/>
  <c r="S78" i="26"/>
  <c r="T78" i="26"/>
  <c r="U78" i="26"/>
  <c r="V78" i="26"/>
  <c r="W78" i="26"/>
  <c r="Y78" i="26"/>
  <c r="AA78" i="26"/>
  <c r="AB78" i="26"/>
  <c r="C79" i="26"/>
  <c r="D79" i="26"/>
  <c r="F79" i="26"/>
  <c r="G79" i="26"/>
  <c r="M79" i="26"/>
  <c r="N79" i="26"/>
  <c r="O79" i="26"/>
  <c r="P79" i="26"/>
  <c r="Q79" i="26"/>
  <c r="R79" i="26"/>
  <c r="S79" i="26"/>
  <c r="T79" i="26"/>
  <c r="U79" i="26"/>
  <c r="V79" i="26"/>
  <c r="W79" i="26"/>
  <c r="Y79" i="26"/>
  <c r="AA79" i="26"/>
  <c r="AB79" i="26"/>
  <c r="C80" i="26"/>
  <c r="D80" i="26"/>
  <c r="F80" i="26"/>
  <c r="G80" i="26"/>
  <c r="M80" i="26"/>
  <c r="N80" i="26"/>
  <c r="O80" i="26"/>
  <c r="P80" i="26"/>
  <c r="Q80" i="26"/>
  <c r="R80" i="26"/>
  <c r="S80" i="26"/>
  <c r="T80" i="26"/>
  <c r="U80" i="26"/>
  <c r="V80" i="26"/>
  <c r="W80" i="26"/>
  <c r="Y80" i="26"/>
  <c r="AA80" i="26"/>
  <c r="AB80" i="26"/>
  <c r="C81" i="26"/>
  <c r="D81" i="26"/>
  <c r="F81" i="26"/>
  <c r="G81" i="26"/>
  <c r="M81" i="26"/>
  <c r="N81" i="26"/>
  <c r="O81" i="26"/>
  <c r="P81" i="26"/>
  <c r="Q81" i="26"/>
  <c r="R81" i="26"/>
  <c r="S81" i="26"/>
  <c r="T81" i="26"/>
  <c r="U81" i="26"/>
  <c r="V81" i="26"/>
  <c r="W81" i="26"/>
  <c r="Y81" i="26"/>
  <c r="AA81" i="26"/>
  <c r="AB81" i="26"/>
  <c r="C82" i="26"/>
  <c r="D82" i="26"/>
  <c r="F82" i="26"/>
  <c r="G82" i="26"/>
  <c r="M82" i="26"/>
  <c r="N82" i="26"/>
  <c r="O82" i="26"/>
  <c r="P82" i="26"/>
  <c r="Q82" i="26"/>
  <c r="R82" i="26"/>
  <c r="S82" i="26"/>
  <c r="T82" i="26"/>
  <c r="U82" i="26"/>
  <c r="V82" i="26"/>
  <c r="W82" i="26"/>
  <c r="X82" i="26"/>
  <c r="Y82" i="26"/>
  <c r="Z82" i="26"/>
  <c r="AA82" i="26"/>
  <c r="AB82" i="26"/>
  <c r="C83" i="26"/>
  <c r="D83" i="26"/>
  <c r="F83" i="26"/>
  <c r="G83" i="26"/>
  <c r="M83" i="26"/>
  <c r="N83" i="26"/>
  <c r="O83" i="26"/>
  <c r="P83" i="26"/>
  <c r="Q83" i="26"/>
  <c r="R83" i="26"/>
  <c r="S83" i="26"/>
  <c r="T83" i="26"/>
  <c r="U83" i="26"/>
  <c r="V83" i="26"/>
  <c r="W83" i="26"/>
  <c r="Y83" i="26"/>
  <c r="AA83" i="26"/>
  <c r="AB83" i="26"/>
  <c r="C84" i="26"/>
  <c r="D84" i="26"/>
  <c r="F84" i="26"/>
  <c r="G84" i="26"/>
  <c r="M84" i="26"/>
  <c r="N84" i="26"/>
  <c r="O84" i="26"/>
  <c r="P84" i="26"/>
  <c r="Q84" i="26"/>
  <c r="R84" i="26"/>
  <c r="S84" i="26"/>
  <c r="T84" i="26"/>
  <c r="U84" i="26"/>
  <c r="V84" i="26"/>
  <c r="W84" i="26"/>
  <c r="Y84" i="26"/>
  <c r="AA84" i="26"/>
  <c r="AB84" i="26"/>
  <c r="C85" i="26"/>
  <c r="D85" i="26"/>
  <c r="F85" i="26"/>
  <c r="G85" i="26"/>
  <c r="M85" i="26"/>
  <c r="N85" i="26"/>
  <c r="O85" i="26"/>
  <c r="P85" i="26"/>
  <c r="Q85" i="26"/>
  <c r="R85" i="26"/>
  <c r="S85" i="26"/>
  <c r="T85" i="26"/>
  <c r="U85" i="26"/>
  <c r="V85" i="26"/>
  <c r="W85" i="26"/>
  <c r="Y85" i="26"/>
  <c r="AA85" i="26"/>
  <c r="AB85" i="26"/>
  <c r="C86" i="26"/>
  <c r="D86" i="26"/>
  <c r="F86" i="26"/>
  <c r="G86" i="26"/>
  <c r="M86" i="26"/>
  <c r="N86" i="26"/>
  <c r="O86" i="26"/>
  <c r="P86" i="26"/>
  <c r="Q86" i="26"/>
  <c r="R86" i="26"/>
  <c r="S86" i="26"/>
  <c r="T86" i="26"/>
  <c r="U86" i="26"/>
  <c r="V86" i="26"/>
  <c r="W86" i="26"/>
  <c r="Y86" i="26"/>
  <c r="AA86" i="26"/>
  <c r="AB86" i="26"/>
  <c r="C87" i="26"/>
  <c r="D87" i="26"/>
  <c r="F87" i="26"/>
  <c r="G87" i="26"/>
  <c r="M87" i="26"/>
  <c r="N87" i="26"/>
  <c r="O87" i="26"/>
  <c r="P87" i="26"/>
  <c r="Q87" i="26"/>
  <c r="R87" i="26"/>
  <c r="S87" i="26"/>
  <c r="T87" i="26"/>
  <c r="U87" i="26"/>
  <c r="V87" i="26"/>
  <c r="W87" i="26"/>
  <c r="Y87" i="26"/>
  <c r="AA87" i="26"/>
  <c r="AB87" i="26"/>
  <c r="C88" i="26"/>
  <c r="D88" i="26"/>
  <c r="F88" i="26"/>
  <c r="G88" i="26"/>
  <c r="M88" i="26"/>
  <c r="N88" i="26"/>
  <c r="O88" i="26"/>
  <c r="P88" i="26"/>
  <c r="Q88" i="26"/>
  <c r="R88" i="26"/>
  <c r="S88" i="26"/>
  <c r="T88" i="26"/>
  <c r="U88" i="26"/>
  <c r="V88" i="26"/>
  <c r="W88" i="26"/>
  <c r="Y88" i="26"/>
  <c r="AA88" i="26"/>
  <c r="AB88" i="26"/>
  <c r="C89" i="26"/>
  <c r="D89" i="26"/>
  <c r="F89" i="26"/>
  <c r="G89" i="26"/>
  <c r="M89" i="26"/>
  <c r="N89" i="26"/>
  <c r="O89" i="26"/>
  <c r="P89" i="26"/>
  <c r="Q89" i="26"/>
  <c r="R89" i="26"/>
  <c r="S89" i="26"/>
  <c r="T89" i="26"/>
  <c r="U89" i="26"/>
  <c r="V89" i="26"/>
  <c r="W89" i="26"/>
  <c r="Y89" i="26"/>
  <c r="AA89" i="26"/>
  <c r="AB89" i="26"/>
  <c r="C90" i="26"/>
  <c r="D90" i="26"/>
  <c r="F90" i="26"/>
  <c r="G90" i="26"/>
  <c r="M90" i="26"/>
  <c r="N90" i="26"/>
  <c r="O90" i="26"/>
  <c r="P90" i="26"/>
  <c r="Q90" i="26"/>
  <c r="R90" i="26"/>
  <c r="S90" i="26"/>
  <c r="T90" i="26"/>
  <c r="U90" i="26"/>
  <c r="V90" i="26"/>
  <c r="W90" i="26"/>
  <c r="Y90" i="26"/>
  <c r="AA90" i="26"/>
  <c r="AB90" i="26"/>
  <c r="C91" i="26"/>
  <c r="D91" i="26"/>
  <c r="F91" i="26"/>
  <c r="G91" i="26"/>
  <c r="M91" i="26"/>
  <c r="N91" i="26"/>
  <c r="O91" i="26"/>
  <c r="P91" i="26"/>
  <c r="Q91" i="26"/>
  <c r="R91" i="26"/>
  <c r="S91" i="26"/>
  <c r="T91" i="26"/>
  <c r="U91" i="26"/>
  <c r="V91" i="26"/>
  <c r="W91" i="26"/>
  <c r="Y91" i="26"/>
  <c r="AA91" i="26"/>
  <c r="AB91" i="26"/>
  <c r="C92" i="26"/>
  <c r="D92" i="26"/>
  <c r="F92" i="26"/>
  <c r="G92" i="26"/>
  <c r="M92" i="26"/>
  <c r="N92" i="26"/>
  <c r="O92" i="26"/>
  <c r="P92" i="26"/>
  <c r="Q92" i="26"/>
  <c r="R92" i="26"/>
  <c r="S92" i="26"/>
  <c r="T92" i="26"/>
  <c r="U92" i="26"/>
  <c r="V92" i="26"/>
  <c r="W92" i="26"/>
  <c r="Y92" i="26"/>
  <c r="AA92" i="26"/>
  <c r="AB92" i="26"/>
  <c r="C93" i="26"/>
  <c r="D93" i="26"/>
  <c r="F93" i="26"/>
  <c r="G93" i="26"/>
  <c r="M93" i="26"/>
  <c r="N93" i="26"/>
  <c r="O93" i="26"/>
  <c r="P93" i="26"/>
  <c r="Q93" i="26"/>
  <c r="R93" i="26"/>
  <c r="S93" i="26"/>
  <c r="T93" i="26"/>
  <c r="U93" i="26"/>
  <c r="V93" i="26"/>
  <c r="W93" i="26"/>
  <c r="Y93" i="26"/>
  <c r="AA93" i="26"/>
  <c r="AB93" i="26"/>
  <c r="C94" i="26"/>
  <c r="D94" i="26"/>
  <c r="F94" i="26"/>
  <c r="G94" i="26"/>
  <c r="M94" i="26"/>
  <c r="N94" i="26"/>
  <c r="O94" i="26"/>
  <c r="P94" i="26"/>
  <c r="Q94" i="26"/>
  <c r="R94" i="26"/>
  <c r="S94" i="26"/>
  <c r="T94" i="26"/>
  <c r="U94" i="26"/>
  <c r="V94" i="26"/>
  <c r="W94" i="26"/>
  <c r="X94" i="26"/>
  <c r="Y94" i="26"/>
  <c r="Z94" i="26"/>
  <c r="AA94" i="26"/>
  <c r="AB94" i="26"/>
  <c r="C95" i="26"/>
  <c r="D95" i="26"/>
  <c r="F95" i="26"/>
  <c r="G95" i="26"/>
  <c r="M95" i="26"/>
  <c r="N95" i="26"/>
  <c r="O95" i="26"/>
  <c r="P95" i="26"/>
  <c r="Q95" i="26"/>
  <c r="R95" i="26"/>
  <c r="S95" i="26"/>
  <c r="T95" i="26"/>
  <c r="U95" i="26"/>
  <c r="V95" i="26"/>
  <c r="W95" i="26"/>
  <c r="Y95" i="26"/>
  <c r="AA95" i="26"/>
  <c r="AB95" i="26"/>
  <c r="C96" i="26"/>
  <c r="D96" i="26"/>
  <c r="F96" i="26"/>
  <c r="G96" i="26"/>
  <c r="M96" i="26"/>
  <c r="N96" i="26"/>
  <c r="O96" i="26"/>
  <c r="P96" i="26"/>
  <c r="Q96" i="26"/>
  <c r="R96" i="26"/>
  <c r="S96" i="26"/>
  <c r="T96" i="26"/>
  <c r="U96" i="26"/>
  <c r="V96" i="26"/>
  <c r="W96" i="26"/>
  <c r="Y96" i="26"/>
  <c r="AA96" i="26"/>
  <c r="AB96" i="26"/>
  <c r="C97" i="26"/>
  <c r="D97" i="26"/>
  <c r="F97" i="26"/>
  <c r="G97" i="26"/>
  <c r="M97" i="26"/>
  <c r="N97" i="26"/>
  <c r="O97" i="26"/>
  <c r="P97" i="26"/>
  <c r="Q97" i="26"/>
  <c r="R97" i="26"/>
  <c r="S97" i="26"/>
  <c r="T97" i="26"/>
  <c r="U97" i="26"/>
  <c r="V97" i="26"/>
  <c r="W97" i="26"/>
  <c r="Y97" i="26"/>
  <c r="AA97" i="26"/>
  <c r="AB97" i="26"/>
  <c r="C98" i="26"/>
  <c r="D98" i="26"/>
  <c r="F98" i="26"/>
  <c r="G98" i="26"/>
  <c r="M98" i="26"/>
  <c r="N98" i="26"/>
  <c r="O98" i="26"/>
  <c r="P98" i="26"/>
  <c r="Q98" i="26"/>
  <c r="R98" i="26"/>
  <c r="S98" i="26"/>
  <c r="T98" i="26"/>
  <c r="U98" i="26"/>
  <c r="V98" i="26"/>
  <c r="W98" i="26"/>
  <c r="Y98" i="26"/>
  <c r="AA98" i="26"/>
  <c r="AB98" i="26"/>
  <c r="C99" i="26"/>
  <c r="D99" i="26"/>
  <c r="F99" i="26"/>
  <c r="G99" i="26"/>
  <c r="M99" i="26"/>
  <c r="N99" i="26"/>
  <c r="O99" i="26"/>
  <c r="P99" i="26"/>
  <c r="Q99" i="26"/>
  <c r="R99" i="26"/>
  <c r="S99" i="26"/>
  <c r="T99" i="26"/>
  <c r="U99" i="26"/>
  <c r="V99" i="26"/>
  <c r="W99" i="26"/>
  <c r="Y99" i="26"/>
  <c r="AA99" i="26"/>
  <c r="AB99" i="26"/>
  <c r="C100" i="26"/>
  <c r="D100" i="26"/>
  <c r="F100" i="26"/>
  <c r="G100" i="26"/>
  <c r="M100" i="26"/>
  <c r="N100" i="26"/>
  <c r="O100" i="26"/>
  <c r="P100" i="26"/>
  <c r="Q100" i="26"/>
  <c r="R100" i="26"/>
  <c r="S100" i="26"/>
  <c r="T100" i="26"/>
  <c r="U100" i="26"/>
  <c r="V100" i="26"/>
  <c r="W100" i="26"/>
  <c r="Y100" i="26"/>
  <c r="AA100" i="26"/>
  <c r="AB100" i="26"/>
  <c r="C101" i="26"/>
  <c r="D101" i="26"/>
  <c r="F101" i="26"/>
  <c r="G101" i="26"/>
  <c r="M101" i="26"/>
  <c r="N101" i="26"/>
  <c r="O101" i="26"/>
  <c r="P101" i="26"/>
  <c r="Q101" i="26"/>
  <c r="R101" i="26"/>
  <c r="S101" i="26"/>
  <c r="T101" i="26"/>
  <c r="U101" i="26"/>
  <c r="V101" i="26"/>
  <c r="W101" i="26"/>
  <c r="Y101" i="26"/>
  <c r="AA101" i="26"/>
  <c r="AB101" i="26"/>
  <c r="C102" i="26"/>
  <c r="D102" i="26"/>
  <c r="F102" i="26"/>
  <c r="G102" i="26"/>
  <c r="M102" i="26"/>
  <c r="N102" i="26"/>
  <c r="O102" i="26"/>
  <c r="P102" i="26"/>
  <c r="Q102" i="26"/>
  <c r="R102" i="26"/>
  <c r="S102" i="26"/>
  <c r="T102" i="26"/>
  <c r="U102" i="26"/>
  <c r="V102" i="26"/>
  <c r="W102" i="26"/>
  <c r="Y102" i="26"/>
  <c r="AA102" i="26"/>
  <c r="AB102" i="26"/>
  <c r="C103" i="26"/>
  <c r="D103" i="26"/>
  <c r="F103" i="26"/>
  <c r="G103" i="26"/>
  <c r="M103" i="26"/>
  <c r="N103" i="26"/>
  <c r="O103" i="26"/>
  <c r="P103" i="26"/>
  <c r="Q103" i="26"/>
  <c r="R103" i="26"/>
  <c r="S103" i="26"/>
  <c r="T103" i="26"/>
  <c r="U103" i="26"/>
  <c r="V103" i="26"/>
  <c r="W103" i="26"/>
  <c r="Y103" i="26"/>
  <c r="AA103" i="26"/>
  <c r="AB103" i="26"/>
  <c r="C104" i="26"/>
  <c r="D104" i="26"/>
  <c r="F104" i="26"/>
  <c r="G104" i="26"/>
  <c r="M104" i="26"/>
  <c r="N104" i="26"/>
  <c r="O104" i="26"/>
  <c r="P104" i="26"/>
  <c r="Q104" i="26"/>
  <c r="R104" i="26"/>
  <c r="S104" i="26"/>
  <c r="T104" i="26"/>
  <c r="U104" i="26"/>
  <c r="V104" i="26"/>
  <c r="W104" i="26"/>
  <c r="Y104" i="26"/>
  <c r="AA104" i="26"/>
  <c r="AB104" i="26"/>
  <c r="C105" i="26"/>
  <c r="D105" i="26"/>
  <c r="F105" i="26"/>
  <c r="G105" i="26"/>
  <c r="M105" i="26"/>
  <c r="N105" i="26"/>
  <c r="O105" i="26"/>
  <c r="P105" i="26"/>
  <c r="Q105" i="26"/>
  <c r="R105" i="26"/>
  <c r="S105" i="26"/>
  <c r="T105" i="26"/>
  <c r="U105" i="26"/>
  <c r="V105" i="26"/>
  <c r="W105" i="26"/>
  <c r="Y105" i="26"/>
  <c r="AA105" i="26"/>
  <c r="AB105" i="26"/>
  <c r="C106" i="26"/>
  <c r="D106" i="26"/>
  <c r="F106" i="26"/>
  <c r="G106" i="26"/>
  <c r="M106" i="26"/>
  <c r="N106" i="26"/>
  <c r="O106" i="26"/>
  <c r="P106" i="26"/>
  <c r="Q106" i="26"/>
  <c r="R106" i="26"/>
  <c r="S106" i="26"/>
  <c r="T106" i="26"/>
  <c r="U106" i="26"/>
  <c r="V106" i="26"/>
  <c r="W106" i="26"/>
  <c r="X106" i="26"/>
  <c r="Y106" i="26"/>
  <c r="Z106" i="26"/>
  <c r="AA106" i="26"/>
  <c r="AB106" i="26"/>
  <c r="C107" i="26"/>
  <c r="D107" i="26"/>
  <c r="F107" i="26"/>
  <c r="G107" i="26"/>
  <c r="M107" i="26"/>
  <c r="N107" i="26"/>
  <c r="O107" i="26"/>
  <c r="P107" i="26"/>
  <c r="Q107" i="26"/>
  <c r="R107" i="26"/>
  <c r="S107" i="26"/>
  <c r="T107" i="26"/>
  <c r="U107" i="26"/>
  <c r="V107" i="26"/>
  <c r="W107" i="26"/>
  <c r="Y107" i="26"/>
  <c r="AA107" i="26"/>
  <c r="AB107" i="26"/>
  <c r="C108" i="26"/>
  <c r="D108" i="26"/>
  <c r="F108" i="26"/>
  <c r="G108" i="26"/>
  <c r="M108" i="26"/>
  <c r="N108" i="26"/>
  <c r="O108" i="26"/>
  <c r="P108" i="26"/>
  <c r="Q108" i="26"/>
  <c r="R108" i="26"/>
  <c r="S108" i="26"/>
  <c r="T108" i="26"/>
  <c r="U108" i="26"/>
  <c r="V108" i="26"/>
  <c r="W108" i="26"/>
  <c r="Y108" i="26"/>
  <c r="AA108" i="26"/>
  <c r="AB108" i="26"/>
  <c r="C109" i="26"/>
  <c r="D109" i="26"/>
  <c r="F109" i="26"/>
  <c r="G109" i="26"/>
  <c r="M109" i="26"/>
  <c r="N109" i="26"/>
  <c r="O109" i="26"/>
  <c r="P109" i="26"/>
  <c r="Q109" i="26"/>
  <c r="R109" i="26"/>
  <c r="S109" i="26"/>
  <c r="T109" i="26"/>
  <c r="U109" i="26"/>
  <c r="V109" i="26"/>
  <c r="W109" i="26"/>
  <c r="Y109" i="26"/>
  <c r="AA109" i="26"/>
  <c r="AB109" i="26"/>
  <c r="C110" i="26"/>
  <c r="D110" i="26"/>
  <c r="F110" i="26"/>
  <c r="G110" i="26"/>
  <c r="M110" i="26"/>
  <c r="N110" i="26"/>
  <c r="O110" i="26"/>
  <c r="P110" i="26"/>
  <c r="Q110" i="26"/>
  <c r="R110" i="26"/>
  <c r="S110" i="26"/>
  <c r="T110" i="26"/>
  <c r="U110" i="26"/>
  <c r="V110" i="26"/>
  <c r="W110" i="26"/>
  <c r="Y110" i="26"/>
  <c r="AA110" i="26"/>
  <c r="AB110" i="26"/>
  <c r="C111" i="26"/>
  <c r="D111" i="26"/>
  <c r="F111" i="26"/>
  <c r="G111" i="26"/>
  <c r="M111" i="26"/>
  <c r="N111" i="26"/>
  <c r="O111" i="26"/>
  <c r="P111" i="26"/>
  <c r="Q111" i="26"/>
  <c r="R111" i="26"/>
  <c r="S111" i="26"/>
  <c r="T111" i="26"/>
  <c r="U111" i="26"/>
  <c r="V111" i="26"/>
  <c r="W111" i="26"/>
  <c r="Y111" i="26"/>
  <c r="AA111" i="26"/>
  <c r="AB111" i="26"/>
  <c r="C112" i="26"/>
  <c r="D112" i="26"/>
  <c r="F112" i="26"/>
  <c r="G112" i="26"/>
  <c r="M112" i="26"/>
  <c r="N112" i="26"/>
  <c r="O112" i="26"/>
  <c r="P112" i="26"/>
  <c r="Q112" i="26"/>
  <c r="R112" i="26"/>
  <c r="S112" i="26"/>
  <c r="T112" i="26"/>
  <c r="U112" i="26"/>
  <c r="V112" i="26"/>
  <c r="W112" i="26"/>
  <c r="Y112" i="26"/>
  <c r="AA112" i="26"/>
  <c r="AB112" i="26"/>
  <c r="C113" i="26"/>
  <c r="D113" i="26"/>
  <c r="F113" i="26"/>
  <c r="G113" i="26"/>
  <c r="M113" i="26"/>
  <c r="N113" i="26"/>
  <c r="O113" i="26"/>
  <c r="P113" i="26"/>
  <c r="Q113" i="26"/>
  <c r="R113" i="26"/>
  <c r="S113" i="26"/>
  <c r="T113" i="26"/>
  <c r="U113" i="26"/>
  <c r="V113" i="26"/>
  <c r="W113" i="26"/>
  <c r="Y113" i="26"/>
  <c r="AA113" i="26"/>
  <c r="AB113" i="26"/>
  <c r="C114" i="26"/>
  <c r="D114" i="26"/>
  <c r="F114" i="26"/>
  <c r="G114" i="26"/>
  <c r="M114" i="26"/>
  <c r="N114" i="26"/>
  <c r="O114" i="26"/>
  <c r="P114" i="26"/>
  <c r="Q114" i="26"/>
  <c r="R114" i="26"/>
  <c r="S114" i="26"/>
  <c r="T114" i="26"/>
  <c r="U114" i="26"/>
  <c r="V114" i="26"/>
  <c r="W114" i="26"/>
  <c r="Y114" i="26"/>
  <c r="AA114" i="26"/>
  <c r="AB114" i="26"/>
  <c r="C115" i="26"/>
  <c r="D115" i="26"/>
  <c r="F115" i="26"/>
  <c r="G115" i="26"/>
  <c r="M115" i="26"/>
  <c r="N115" i="26"/>
  <c r="O115" i="26"/>
  <c r="P115" i="26"/>
  <c r="Q115" i="26"/>
  <c r="R115" i="26"/>
  <c r="S115" i="26"/>
  <c r="T115" i="26"/>
  <c r="U115" i="26"/>
  <c r="V115" i="26"/>
  <c r="W115" i="26"/>
  <c r="Y115" i="26"/>
  <c r="AA115" i="26"/>
  <c r="AB115" i="26"/>
  <c r="C116" i="26"/>
  <c r="D116" i="26"/>
  <c r="F116" i="26"/>
  <c r="G116" i="26"/>
  <c r="M116" i="26"/>
  <c r="N116" i="26"/>
  <c r="O116" i="26"/>
  <c r="P116" i="26"/>
  <c r="Q116" i="26"/>
  <c r="R116" i="26"/>
  <c r="S116" i="26"/>
  <c r="T116" i="26"/>
  <c r="U116" i="26"/>
  <c r="V116" i="26"/>
  <c r="W116" i="26"/>
  <c r="Y116" i="26"/>
  <c r="AA116" i="26"/>
  <c r="AB116" i="26"/>
  <c r="C117" i="26"/>
  <c r="D117" i="26"/>
  <c r="F117" i="26"/>
  <c r="G117" i="26"/>
  <c r="M117" i="26"/>
  <c r="N117" i="26"/>
  <c r="O117" i="26"/>
  <c r="P117" i="26"/>
  <c r="Q117" i="26"/>
  <c r="R117" i="26"/>
  <c r="S117" i="26"/>
  <c r="T117" i="26"/>
  <c r="U117" i="26"/>
  <c r="V117" i="26"/>
  <c r="W117" i="26"/>
  <c r="Y117" i="26"/>
  <c r="AA117" i="26"/>
  <c r="AB117" i="26"/>
  <c r="C118" i="26"/>
  <c r="D118" i="26"/>
  <c r="F118" i="26"/>
  <c r="G118" i="26"/>
  <c r="M118" i="26"/>
  <c r="N118" i="26"/>
  <c r="O118" i="26"/>
  <c r="P118" i="26"/>
  <c r="Q118" i="26"/>
  <c r="R118" i="26"/>
  <c r="S118" i="26"/>
  <c r="T118" i="26"/>
  <c r="U118" i="26"/>
  <c r="V118" i="26"/>
  <c r="W118" i="26"/>
  <c r="X118" i="26"/>
  <c r="Y118" i="26"/>
  <c r="Z118" i="26"/>
  <c r="AA118" i="26"/>
  <c r="AB118" i="26"/>
  <c r="C119" i="26"/>
  <c r="D119" i="26"/>
  <c r="F119" i="26"/>
  <c r="G119" i="26"/>
  <c r="M119" i="26"/>
  <c r="N119" i="26"/>
  <c r="O119" i="26"/>
  <c r="P119" i="26"/>
  <c r="Q119" i="26"/>
  <c r="R119" i="26"/>
  <c r="S119" i="26"/>
  <c r="T119" i="26"/>
  <c r="U119" i="26"/>
  <c r="V119" i="26"/>
  <c r="W119" i="26"/>
  <c r="Y119" i="26"/>
  <c r="AA119" i="26"/>
  <c r="AB119" i="26"/>
  <c r="C120" i="26"/>
  <c r="D120" i="26"/>
  <c r="F120" i="26"/>
  <c r="G120" i="26"/>
  <c r="M120" i="26"/>
  <c r="N120" i="26"/>
  <c r="O120" i="26"/>
  <c r="P120" i="26"/>
  <c r="Q120" i="26"/>
  <c r="R120" i="26"/>
  <c r="S120" i="26"/>
  <c r="T120" i="26"/>
  <c r="U120" i="26"/>
  <c r="V120" i="26"/>
  <c r="W120" i="26"/>
  <c r="Y120" i="26"/>
  <c r="AA120" i="26"/>
  <c r="AB120" i="26"/>
  <c r="C121" i="26"/>
  <c r="D121" i="26"/>
  <c r="F121" i="26"/>
  <c r="G121" i="26"/>
  <c r="M121" i="26"/>
  <c r="N121" i="26"/>
  <c r="O121" i="26"/>
  <c r="P121" i="26"/>
  <c r="Q121" i="26"/>
  <c r="R121" i="26"/>
  <c r="S121" i="26"/>
  <c r="T121" i="26"/>
  <c r="U121" i="26"/>
  <c r="V121" i="26"/>
  <c r="W121" i="26"/>
  <c r="Y121" i="26"/>
  <c r="AA121" i="26"/>
  <c r="AB121" i="26"/>
  <c r="C122" i="26"/>
  <c r="D122" i="26"/>
  <c r="F122" i="26"/>
  <c r="G122" i="26"/>
  <c r="M122" i="26"/>
  <c r="N122" i="26"/>
  <c r="O122" i="26"/>
  <c r="P122" i="26"/>
  <c r="Q122" i="26"/>
  <c r="R122" i="26"/>
  <c r="S122" i="26"/>
  <c r="T122" i="26"/>
  <c r="U122" i="26"/>
  <c r="V122" i="26"/>
  <c r="W122" i="26"/>
  <c r="Y122" i="26"/>
  <c r="AA122" i="26"/>
  <c r="AB122" i="26"/>
  <c r="C123" i="26"/>
  <c r="D123" i="26"/>
  <c r="F123" i="26"/>
  <c r="G123" i="26"/>
  <c r="M123" i="26"/>
  <c r="N123" i="26"/>
  <c r="O123" i="26"/>
  <c r="P123" i="26"/>
  <c r="Q123" i="26"/>
  <c r="R123" i="26"/>
  <c r="S123" i="26"/>
  <c r="T123" i="26"/>
  <c r="U123" i="26"/>
  <c r="V123" i="26"/>
  <c r="W123" i="26"/>
  <c r="Y123" i="26"/>
  <c r="AA123" i="26"/>
  <c r="AB123" i="26"/>
  <c r="C124" i="26"/>
  <c r="D124" i="26"/>
  <c r="F124" i="26"/>
  <c r="G124" i="26"/>
  <c r="M124" i="26"/>
  <c r="N124" i="26"/>
  <c r="O124" i="26"/>
  <c r="P124" i="26"/>
  <c r="Q124" i="26"/>
  <c r="R124" i="26"/>
  <c r="S124" i="26"/>
  <c r="T124" i="26"/>
  <c r="U124" i="26"/>
  <c r="V124" i="26"/>
  <c r="W124" i="26"/>
  <c r="Y124" i="26"/>
  <c r="AA124" i="26"/>
  <c r="AB124" i="26"/>
  <c r="C125" i="26"/>
  <c r="D125" i="26"/>
  <c r="F125" i="26"/>
  <c r="G125" i="26"/>
  <c r="M125" i="26"/>
  <c r="N125" i="26"/>
  <c r="O125" i="26"/>
  <c r="P125" i="26"/>
  <c r="Q125" i="26"/>
  <c r="R125" i="26"/>
  <c r="S125" i="26"/>
  <c r="T125" i="26"/>
  <c r="U125" i="26"/>
  <c r="V125" i="26"/>
  <c r="W125" i="26"/>
  <c r="Y125" i="26"/>
  <c r="AA125" i="26"/>
  <c r="AB125" i="26"/>
  <c r="C126" i="26"/>
  <c r="D126" i="26"/>
  <c r="F126" i="26"/>
  <c r="G126" i="26"/>
  <c r="M126" i="26"/>
  <c r="N126" i="26"/>
  <c r="O126" i="26"/>
  <c r="P126" i="26"/>
  <c r="Q126" i="26"/>
  <c r="R126" i="26"/>
  <c r="S126" i="26"/>
  <c r="T126" i="26"/>
  <c r="U126" i="26"/>
  <c r="V126" i="26"/>
  <c r="W126" i="26"/>
  <c r="Y126" i="26"/>
  <c r="AA126" i="26"/>
  <c r="AB126" i="26"/>
  <c r="C127" i="26"/>
  <c r="D127" i="26"/>
  <c r="F127" i="26"/>
  <c r="G127" i="26"/>
  <c r="M127" i="26"/>
  <c r="N127" i="26"/>
  <c r="O127" i="26"/>
  <c r="P127" i="26"/>
  <c r="Q127" i="26"/>
  <c r="R127" i="26"/>
  <c r="S127" i="26"/>
  <c r="T127" i="26"/>
  <c r="U127" i="26"/>
  <c r="V127" i="26"/>
  <c r="W127" i="26"/>
  <c r="Y127" i="26"/>
  <c r="AA127" i="26"/>
  <c r="AB127" i="26"/>
  <c r="C128" i="26"/>
  <c r="D128" i="26"/>
  <c r="F128" i="26"/>
  <c r="G128" i="26"/>
  <c r="M128" i="26"/>
  <c r="N128" i="26"/>
  <c r="O128" i="26"/>
  <c r="P128" i="26"/>
  <c r="Q128" i="26"/>
  <c r="R128" i="26"/>
  <c r="S128" i="26"/>
  <c r="T128" i="26"/>
  <c r="U128" i="26"/>
  <c r="V128" i="26"/>
  <c r="W128" i="26"/>
  <c r="Y128" i="26"/>
  <c r="AA128" i="26"/>
  <c r="AB128" i="26"/>
  <c r="C129" i="26"/>
  <c r="D129" i="26"/>
  <c r="F129" i="26"/>
  <c r="G129" i="26"/>
  <c r="M129" i="26"/>
  <c r="N129" i="26"/>
  <c r="O129" i="26"/>
  <c r="P129" i="26"/>
  <c r="Q129" i="26"/>
  <c r="R129" i="26"/>
  <c r="S129" i="26"/>
  <c r="T129" i="26"/>
  <c r="U129" i="26"/>
  <c r="V129" i="26"/>
  <c r="W129" i="26"/>
  <c r="Y129" i="26"/>
  <c r="AA129" i="26"/>
  <c r="AB129" i="26"/>
  <c r="C130" i="26"/>
  <c r="D130" i="26"/>
  <c r="F130" i="26"/>
  <c r="G130" i="26"/>
  <c r="M130" i="26"/>
  <c r="N130" i="26"/>
  <c r="O130" i="26"/>
  <c r="P130" i="26"/>
  <c r="Q130" i="26"/>
  <c r="R130" i="26"/>
  <c r="S130" i="26"/>
  <c r="T130" i="26"/>
  <c r="U130" i="26"/>
  <c r="V130" i="26"/>
  <c r="W130" i="26"/>
  <c r="X130" i="26"/>
  <c r="Y130" i="26"/>
  <c r="Z130" i="26"/>
  <c r="AA130" i="26"/>
  <c r="AB130" i="26"/>
  <c r="I2" i="25"/>
  <c r="J2" i="25"/>
  <c r="L2" i="25"/>
  <c r="O2" i="25"/>
  <c r="AF2" i="25"/>
  <c r="I3" i="25"/>
  <c r="J3" i="25"/>
  <c r="L3" i="25"/>
  <c r="R4" i="25"/>
  <c r="W4" i="25"/>
  <c r="X4" i="25"/>
  <c r="Y4" i="25"/>
  <c r="Z4" i="25"/>
  <c r="AK4" i="25"/>
  <c r="AM4" i="25"/>
  <c r="BL4" i="25"/>
  <c r="I5" i="25"/>
  <c r="K5" i="25"/>
  <c r="L5" i="25"/>
  <c r="S5" i="25"/>
  <c r="V5" i="25"/>
  <c r="W5" i="25"/>
  <c r="X5" i="25"/>
  <c r="Y5" i="25"/>
  <c r="Z5" i="25"/>
  <c r="AA5" i="25"/>
  <c r="AB5" i="25"/>
  <c r="AC5" i="25"/>
  <c r="AD5" i="25"/>
  <c r="AE5" i="25"/>
  <c r="AF5" i="25"/>
  <c r="BQ5" i="25"/>
  <c r="R6" i="25"/>
  <c r="S6" i="25"/>
  <c r="W6" i="25"/>
  <c r="X6" i="25"/>
  <c r="Y6" i="25"/>
  <c r="Z6" i="25"/>
  <c r="AA6" i="25"/>
  <c r="AB6" i="25"/>
  <c r="AC6" i="25"/>
  <c r="AD6" i="25"/>
  <c r="AE6" i="25"/>
  <c r="AF6" i="25"/>
  <c r="AX6" i="25"/>
  <c r="K7" i="25"/>
  <c r="R7" i="25"/>
  <c r="S7" i="25"/>
  <c r="W7" i="25"/>
  <c r="X7" i="25"/>
  <c r="Y7" i="25"/>
  <c r="Z7" i="25"/>
  <c r="AA7" i="25"/>
  <c r="AB7" i="25"/>
  <c r="AC7" i="25"/>
  <c r="AD7" i="25"/>
  <c r="AE7" i="25"/>
  <c r="AF7" i="25"/>
  <c r="N8" i="25"/>
  <c r="O8" i="25"/>
  <c r="W8" i="25"/>
  <c r="X8" i="25"/>
  <c r="Y8" i="25"/>
  <c r="Z8" i="25"/>
  <c r="AA8" i="25"/>
  <c r="AB8" i="25"/>
  <c r="AC8" i="25"/>
  <c r="AD8" i="25"/>
  <c r="AE8" i="25"/>
  <c r="AF8" i="25"/>
  <c r="AX8" i="25"/>
  <c r="AY8" i="25"/>
  <c r="AO10" i="25"/>
  <c r="AP10" i="25"/>
  <c r="AQ10" i="25"/>
  <c r="AS10" i="25"/>
  <c r="BA10" i="25"/>
  <c r="BB10" i="25"/>
  <c r="BC10" i="25"/>
  <c r="BD10" i="25"/>
  <c r="BE10" i="25"/>
  <c r="BF10" i="25"/>
  <c r="BG10" i="25"/>
  <c r="BH10" i="25"/>
  <c r="BI10" i="25"/>
  <c r="BJ10" i="25"/>
  <c r="BL10" i="25"/>
  <c r="BM10" i="25"/>
  <c r="BN10" i="25"/>
  <c r="BO10" i="25"/>
  <c r="BP10" i="25"/>
  <c r="BQ10" i="25"/>
  <c r="BR10" i="25"/>
  <c r="BS10" i="25"/>
  <c r="BT10" i="25"/>
  <c r="BU10" i="25"/>
  <c r="CL10" i="25"/>
  <c r="CN10" i="25"/>
  <c r="DN10" i="25"/>
  <c r="DO10" i="25"/>
  <c r="DQ10" i="25"/>
  <c r="DR10" i="25"/>
  <c r="N11" i="25"/>
  <c r="O11" i="25"/>
  <c r="AO11" i="25"/>
  <c r="AP11" i="25"/>
  <c r="AQ11" i="25"/>
  <c r="AS11" i="25"/>
  <c r="AX11" i="25"/>
  <c r="AY11" i="25"/>
  <c r="BA11" i="25"/>
  <c r="BB11" i="25"/>
  <c r="BC11" i="25"/>
  <c r="BD11" i="25"/>
  <c r="BE11" i="25"/>
  <c r="BF11" i="25"/>
  <c r="BG11" i="25"/>
  <c r="BH11" i="25"/>
  <c r="BI11" i="25"/>
  <c r="BL11" i="25"/>
  <c r="BM11" i="25"/>
  <c r="BN11" i="25"/>
  <c r="BO11" i="25"/>
  <c r="BP11" i="25"/>
  <c r="BQ11" i="25"/>
  <c r="BR11" i="25"/>
  <c r="BS11" i="25"/>
  <c r="BT11" i="25"/>
  <c r="CE11" i="25"/>
  <c r="CF11" i="25"/>
  <c r="CG11" i="25"/>
  <c r="CI11" i="25"/>
  <c r="CJ11" i="25"/>
  <c r="CN11" i="25"/>
  <c r="DN11" i="25"/>
  <c r="DO11" i="25"/>
  <c r="DQ11" i="25"/>
  <c r="DR11" i="25"/>
  <c r="J12" i="25"/>
  <c r="K12" i="25"/>
  <c r="M12" i="25"/>
  <c r="N12" i="25"/>
  <c r="O12" i="25"/>
  <c r="P12" i="25"/>
  <c r="Q12" i="25"/>
  <c r="S12" i="25"/>
  <c r="T12" i="25"/>
  <c r="V12" i="25"/>
  <c r="W12" i="25"/>
  <c r="Y12" i="25"/>
  <c r="Z12" i="25"/>
  <c r="AB12" i="25"/>
  <c r="AC12" i="25"/>
  <c r="AE12" i="25"/>
  <c r="AF12" i="25"/>
  <c r="AH12" i="25"/>
  <c r="AI12" i="25"/>
  <c r="AK12" i="25"/>
  <c r="AM12" i="25"/>
  <c r="AO12" i="25"/>
  <c r="AP12" i="25"/>
  <c r="AQ12" i="25"/>
  <c r="AS12" i="25"/>
  <c r="AU12" i="25"/>
  <c r="AV12" i="25"/>
  <c r="AX12" i="25"/>
  <c r="AY12" i="25"/>
  <c r="BA12" i="25"/>
  <c r="BB12" i="25"/>
  <c r="BC12" i="25"/>
  <c r="BD12" i="25"/>
  <c r="BE12" i="25"/>
  <c r="BF12" i="25"/>
  <c r="BG12" i="25"/>
  <c r="BH12" i="25"/>
  <c r="BI12" i="25"/>
  <c r="BL12" i="25"/>
  <c r="BM12" i="25"/>
  <c r="BN12" i="25"/>
  <c r="BO12" i="25"/>
  <c r="BP12" i="25"/>
  <c r="BQ12" i="25"/>
  <c r="BR12" i="25"/>
  <c r="BS12" i="25"/>
  <c r="BT12" i="25"/>
  <c r="BW12" i="25"/>
  <c r="BX12" i="25"/>
  <c r="BY12" i="25"/>
  <c r="BZ12" i="25"/>
  <c r="CA12" i="25"/>
  <c r="CB12" i="25"/>
  <c r="CC12" i="25"/>
  <c r="CE12" i="25"/>
  <c r="CF12" i="25"/>
  <c r="CG12" i="25"/>
  <c r="CI12" i="25"/>
  <c r="CJ12" i="25"/>
  <c r="CL12" i="25"/>
  <c r="CP12" i="25"/>
  <c r="CQ12" i="25"/>
  <c r="CR12" i="25"/>
  <c r="CS12" i="25"/>
  <c r="CX12" i="25"/>
  <c r="DE12" i="25"/>
  <c r="DK12" i="25"/>
  <c r="DN12" i="25"/>
  <c r="DO12" i="25"/>
  <c r="DQ12" i="25"/>
  <c r="DR12" i="25"/>
  <c r="J13" i="25"/>
  <c r="K13" i="25"/>
  <c r="M13" i="25"/>
  <c r="N13" i="25"/>
  <c r="O13" i="25"/>
  <c r="P13" i="25"/>
  <c r="Q13" i="25"/>
  <c r="S13" i="25"/>
  <c r="T13" i="25"/>
  <c r="V13" i="25"/>
  <c r="W13" i="25"/>
  <c r="Y13" i="25"/>
  <c r="Z13" i="25"/>
  <c r="AB13" i="25"/>
  <c r="AC13" i="25"/>
  <c r="AE13" i="25"/>
  <c r="AF13" i="25"/>
  <c r="AH13" i="25"/>
  <c r="AI13" i="25"/>
  <c r="AK13" i="25"/>
  <c r="AM13" i="25"/>
  <c r="AO13" i="25"/>
  <c r="AP13" i="25"/>
  <c r="AQ13" i="25"/>
  <c r="AS13" i="25"/>
  <c r="AU13" i="25"/>
  <c r="AV13" i="25"/>
  <c r="AX13" i="25"/>
  <c r="AY13" i="25"/>
  <c r="BA13" i="25"/>
  <c r="BB13" i="25"/>
  <c r="BC13" i="25"/>
  <c r="BD13" i="25"/>
  <c r="BE13" i="25"/>
  <c r="BF13" i="25"/>
  <c r="BG13" i="25"/>
  <c r="BH13" i="25"/>
  <c r="BI13" i="25"/>
  <c r="BL13" i="25"/>
  <c r="BM13" i="25"/>
  <c r="BN13" i="25"/>
  <c r="BO13" i="25"/>
  <c r="BP13" i="25"/>
  <c r="BQ13" i="25"/>
  <c r="BR13" i="25"/>
  <c r="BS13" i="25"/>
  <c r="BT13" i="25"/>
  <c r="BW13" i="25"/>
  <c r="BX13" i="25"/>
  <c r="BY13" i="25"/>
  <c r="BZ13" i="25"/>
  <c r="CA13" i="25"/>
  <c r="CB13" i="25"/>
  <c r="CC13" i="25"/>
  <c r="CE13" i="25"/>
  <c r="CF13" i="25"/>
  <c r="CG13" i="25"/>
  <c r="CI13" i="25"/>
  <c r="CJ13" i="25"/>
  <c r="CL13" i="25"/>
  <c r="CP13" i="25"/>
  <c r="CQ13" i="25"/>
  <c r="CR13" i="25"/>
  <c r="CS13" i="25"/>
  <c r="CX13" i="25"/>
  <c r="DE13" i="25"/>
  <c r="DK13" i="25"/>
  <c r="DN13" i="25"/>
  <c r="DO13" i="25"/>
  <c r="DQ13" i="25"/>
  <c r="DR13" i="25"/>
  <c r="J14" i="25"/>
  <c r="K14" i="25"/>
  <c r="M14" i="25"/>
  <c r="N14" i="25"/>
  <c r="O14" i="25"/>
  <c r="P14" i="25"/>
  <c r="Q14" i="25"/>
  <c r="S14" i="25"/>
  <c r="T14" i="25"/>
  <c r="V14" i="25"/>
  <c r="W14" i="25"/>
  <c r="Y14" i="25"/>
  <c r="Z14" i="25"/>
  <c r="AB14" i="25"/>
  <c r="AC14" i="25"/>
  <c r="AE14" i="25"/>
  <c r="AF14" i="25"/>
  <c r="AH14" i="25"/>
  <c r="AI14" i="25"/>
  <c r="AK14" i="25"/>
  <c r="AM14" i="25"/>
  <c r="AO14" i="25"/>
  <c r="AP14" i="25"/>
  <c r="AQ14" i="25"/>
  <c r="AS14" i="25"/>
  <c r="AU14" i="25"/>
  <c r="AV14" i="25"/>
  <c r="AX14" i="25"/>
  <c r="AY14" i="25"/>
  <c r="BA14" i="25"/>
  <c r="BB14" i="25"/>
  <c r="BC14" i="25"/>
  <c r="BD14" i="25"/>
  <c r="BE14" i="25"/>
  <c r="BF14" i="25"/>
  <c r="BG14" i="25"/>
  <c r="BH14" i="25"/>
  <c r="BI14" i="25"/>
  <c r="BL14" i="25"/>
  <c r="BM14" i="25"/>
  <c r="BN14" i="25"/>
  <c r="BO14" i="25"/>
  <c r="BP14" i="25"/>
  <c r="BQ14" i="25"/>
  <c r="BR14" i="25"/>
  <c r="BS14" i="25"/>
  <c r="BT14" i="25"/>
  <c r="BW14" i="25"/>
  <c r="BX14" i="25"/>
  <c r="BY14" i="25"/>
  <c r="BZ14" i="25"/>
  <c r="CA14" i="25"/>
  <c r="CB14" i="25"/>
  <c r="CC14" i="25"/>
  <c r="CE14" i="25"/>
  <c r="CF14" i="25"/>
  <c r="CG14" i="25"/>
  <c r="CI14" i="25"/>
  <c r="CJ14" i="25"/>
  <c r="CL14" i="25"/>
  <c r="CP14" i="25"/>
  <c r="CQ14" i="25"/>
  <c r="CR14" i="25"/>
  <c r="CS14" i="25"/>
  <c r="CX14" i="25"/>
  <c r="DE14" i="25"/>
  <c r="DK14" i="25"/>
  <c r="DN14" i="25"/>
  <c r="DO14" i="25"/>
  <c r="DQ14" i="25"/>
  <c r="DR14" i="25"/>
  <c r="J15" i="25"/>
  <c r="K15" i="25"/>
  <c r="M15" i="25"/>
  <c r="N15" i="25"/>
  <c r="O15" i="25"/>
  <c r="P15" i="25"/>
  <c r="Q15" i="25"/>
  <c r="S15" i="25"/>
  <c r="T15" i="25"/>
  <c r="V15" i="25"/>
  <c r="W15" i="25"/>
  <c r="Y15" i="25"/>
  <c r="Z15" i="25"/>
  <c r="AB15" i="25"/>
  <c r="AC15" i="25"/>
  <c r="AE15" i="25"/>
  <c r="AF15" i="25"/>
  <c r="AH15" i="25"/>
  <c r="AI15" i="25"/>
  <c r="AK15" i="25"/>
  <c r="AM15" i="25"/>
  <c r="AO15" i="25"/>
  <c r="AP15" i="25"/>
  <c r="AQ15" i="25"/>
  <c r="AS15" i="25"/>
  <c r="AU15" i="25"/>
  <c r="AV15" i="25"/>
  <c r="AX15" i="25"/>
  <c r="AY15" i="25"/>
  <c r="BA15" i="25"/>
  <c r="BB15" i="25"/>
  <c r="BC15" i="25"/>
  <c r="BD15" i="25"/>
  <c r="BE15" i="25"/>
  <c r="BF15" i="25"/>
  <c r="BG15" i="25"/>
  <c r="BH15" i="25"/>
  <c r="BI15" i="25"/>
  <c r="BL15" i="25"/>
  <c r="BM15" i="25"/>
  <c r="BN15" i="25"/>
  <c r="BO15" i="25"/>
  <c r="BP15" i="25"/>
  <c r="BQ15" i="25"/>
  <c r="BR15" i="25"/>
  <c r="BS15" i="25"/>
  <c r="BT15" i="25"/>
  <c r="BW15" i="25"/>
  <c r="BX15" i="25"/>
  <c r="BY15" i="25"/>
  <c r="BZ15" i="25"/>
  <c r="CA15" i="25"/>
  <c r="CB15" i="25"/>
  <c r="CC15" i="25"/>
  <c r="CE15" i="25"/>
  <c r="CF15" i="25"/>
  <c r="CG15" i="25"/>
  <c r="CI15" i="25"/>
  <c r="CJ15" i="25"/>
  <c r="CL15" i="25"/>
  <c r="CP15" i="25"/>
  <c r="CQ15" i="25"/>
  <c r="CR15" i="25"/>
  <c r="CS15" i="25"/>
  <c r="CX15" i="25"/>
  <c r="DE15" i="25"/>
  <c r="DK15" i="25"/>
  <c r="DN15" i="25"/>
  <c r="DO15" i="25"/>
  <c r="DQ15" i="25"/>
  <c r="DR15" i="25"/>
  <c r="J16" i="25"/>
  <c r="K16" i="25"/>
  <c r="M16" i="25"/>
  <c r="N16" i="25"/>
  <c r="O16" i="25"/>
  <c r="P16" i="25"/>
  <c r="Q16" i="25"/>
  <c r="S16" i="25"/>
  <c r="T16" i="25"/>
  <c r="V16" i="25"/>
  <c r="W16" i="25"/>
  <c r="Y16" i="25"/>
  <c r="Z16" i="25"/>
  <c r="AB16" i="25"/>
  <c r="AC16" i="25"/>
  <c r="AE16" i="25"/>
  <c r="AF16" i="25"/>
  <c r="AH16" i="25"/>
  <c r="AI16" i="25"/>
  <c r="AK16" i="25"/>
  <c r="AM16" i="25"/>
  <c r="AO16" i="25"/>
  <c r="AP16" i="25"/>
  <c r="AQ16" i="25"/>
  <c r="AS16" i="25"/>
  <c r="AU16" i="25"/>
  <c r="AV16" i="25"/>
  <c r="AX16" i="25"/>
  <c r="AY16" i="25"/>
  <c r="BA16" i="25"/>
  <c r="BB16" i="25"/>
  <c r="BC16" i="25"/>
  <c r="BD16" i="25"/>
  <c r="BE16" i="25"/>
  <c r="BF16" i="25"/>
  <c r="BG16" i="25"/>
  <c r="BH16" i="25"/>
  <c r="BI16" i="25"/>
  <c r="BL16" i="25"/>
  <c r="BM16" i="25"/>
  <c r="BN16" i="25"/>
  <c r="BO16" i="25"/>
  <c r="BP16" i="25"/>
  <c r="BQ16" i="25"/>
  <c r="BR16" i="25"/>
  <c r="BS16" i="25"/>
  <c r="BT16" i="25"/>
  <c r="BW16" i="25"/>
  <c r="BX16" i="25"/>
  <c r="BY16" i="25"/>
  <c r="BZ16" i="25"/>
  <c r="CA16" i="25"/>
  <c r="CB16" i="25"/>
  <c r="CC16" i="25"/>
  <c r="CE16" i="25"/>
  <c r="CF16" i="25"/>
  <c r="CG16" i="25"/>
  <c r="CI16" i="25"/>
  <c r="CJ16" i="25"/>
  <c r="CL16" i="25"/>
  <c r="CP16" i="25"/>
  <c r="CQ16" i="25"/>
  <c r="CR16" i="25"/>
  <c r="CS16" i="25"/>
  <c r="CX16" i="25"/>
  <c r="DE16" i="25"/>
  <c r="DK16" i="25"/>
  <c r="DN16" i="25"/>
  <c r="DO16" i="25"/>
  <c r="DQ16" i="25"/>
  <c r="DR16" i="25"/>
  <c r="J17" i="25"/>
  <c r="K17" i="25"/>
  <c r="M17" i="25"/>
  <c r="N17" i="25"/>
  <c r="O17" i="25"/>
  <c r="P17" i="25"/>
  <c r="Q17" i="25"/>
  <c r="S17" i="25"/>
  <c r="T17" i="25"/>
  <c r="V17" i="25"/>
  <c r="W17" i="25"/>
  <c r="Y17" i="25"/>
  <c r="Z17" i="25"/>
  <c r="AB17" i="25"/>
  <c r="AC17" i="25"/>
  <c r="AE17" i="25"/>
  <c r="AF17" i="25"/>
  <c r="AH17" i="25"/>
  <c r="AI17" i="25"/>
  <c r="AK17" i="25"/>
  <c r="AM17" i="25"/>
  <c r="AO17" i="25"/>
  <c r="AP17" i="25"/>
  <c r="AQ17" i="25"/>
  <c r="AS17" i="25"/>
  <c r="AU17" i="25"/>
  <c r="AV17" i="25"/>
  <c r="AX17" i="25"/>
  <c r="AY17" i="25"/>
  <c r="BA17" i="25"/>
  <c r="BB17" i="25"/>
  <c r="BC17" i="25"/>
  <c r="BD17" i="25"/>
  <c r="BE17" i="25"/>
  <c r="BF17" i="25"/>
  <c r="BG17" i="25"/>
  <c r="BH17" i="25"/>
  <c r="BI17" i="25"/>
  <c r="BL17" i="25"/>
  <c r="BM17" i="25"/>
  <c r="BN17" i="25"/>
  <c r="BO17" i="25"/>
  <c r="BP17" i="25"/>
  <c r="BQ17" i="25"/>
  <c r="BR17" i="25"/>
  <c r="BS17" i="25"/>
  <c r="BT17" i="25"/>
  <c r="BW17" i="25"/>
  <c r="BX17" i="25"/>
  <c r="BY17" i="25"/>
  <c r="BZ17" i="25"/>
  <c r="CA17" i="25"/>
  <c r="CB17" i="25"/>
  <c r="CC17" i="25"/>
  <c r="CE17" i="25"/>
  <c r="CF17" i="25"/>
  <c r="CG17" i="25"/>
  <c r="CI17" i="25"/>
  <c r="CJ17" i="25"/>
  <c r="CL17" i="25"/>
  <c r="CP17" i="25"/>
  <c r="CQ17" i="25"/>
  <c r="CR17" i="25"/>
  <c r="CS17" i="25"/>
  <c r="CX17" i="25"/>
  <c r="DE17" i="25"/>
  <c r="DK17" i="25"/>
  <c r="DN17" i="25"/>
  <c r="DO17" i="25"/>
  <c r="DQ17" i="25"/>
  <c r="DR17" i="25"/>
  <c r="J18" i="25"/>
  <c r="K18" i="25"/>
  <c r="M18" i="25"/>
  <c r="N18" i="25"/>
  <c r="O18" i="25"/>
  <c r="P18" i="25"/>
  <c r="Q18" i="25"/>
  <c r="S18" i="25"/>
  <c r="T18" i="25"/>
  <c r="V18" i="25"/>
  <c r="W18" i="25"/>
  <c r="Y18" i="25"/>
  <c r="Z18" i="25"/>
  <c r="AB18" i="25"/>
  <c r="AC18" i="25"/>
  <c r="AE18" i="25"/>
  <c r="AF18" i="25"/>
  <c r="AH18" i="25"/>
  <c r="AI18" i="25"/>
  <c r="AK18" i="25"/>
  <c r="AM18" i="25"/>
  <c r="AO18" i="25"/>
  <c r="AP18" i="25"/>
  <c r="AQ18" i="25"/>
  <c r="AS18" i="25"/>
  <c r="AU18" i="25"/>
  <c r="AV18" i="25"/>
  <c r="AX18" i="25"/>
  <c r="AY18" i="25"/>
  <c r="BA18" i="25"/>
  <c r="BB18" i="25"/>
  <c r="BC18" i="25"/>
  <c r="BD18" i="25"/>
  <c r="BE18" i="25"/>
  <c r="BF18" i="25"/>
  <c r="BG18" i="25"/>
  <c r="BH18" i="25"/>
  <c r="BI18" i="25"/>
  <c r="BL18" i="25"/>
  <c r="BM18" i="25"/>
  <c r="BN18" i="25"/>
  <c r="BO18" i="25"/>
  <c r="BP18" i="25"/>
  <c r="BQ18" i="25"/>
  <c r="BR18" i="25"/>
  <c r="BS18" i="25"/>
  <c r="BT18" i="25"/>
  <c r="BW18" i="25"/>
  <c r="BX18" i="25"/>
  <c r="BY18" i="25"/>
  <c r="BZ18" i="25"/>
  <c r="CA18" i="25"/>
  <c r="CB18" i="25"/>
  <c r="CC18" i="25"/>
  <c r="CE18" i="25"/>
  <c r="CF18" i="25"/>
  <c r="CG18" i="25"/>
  <c r="CI18" i="25"/>
  <c r="CJ18" i="25"/>
  <c r="CL18" i="25"/>
  <c r="CP18" i="25"/>
  <c r="CQ18" i="25"/>
  <c r="CR18" i="25"/>
  <c r="CS18" i="25"/>
  <c r="CX18" i="25"/>
  <c r="DE18" i="25"/>
  <c r="DK18" i="25"/>
  <c r="DN18" i="25"/>
  <c r="DO18" i="25"/>
  <c r="DQ18" i="25"/>
  <c r="DR18" i="25"/>
  <c r="J19" i="25"/>
  <c r="K19" i="25"/>
  <c r="M19" i="25"/>
  <c r="N19" i="25"/>
  <c r="O19" i="25"/>
  <c r="P19" i="25"/>
  <c r="Q19" i="25"/>
  <c r="S19" i="25"/>
  <c r="T19" i="25"/>
  <c r="V19" i="25"/>
  <c r="W19" i="25"/>
  <c r="Y19" i="25"/>
  <c r="Z19" i="25"/>
  <c r="AB19" i="25"/>
  <c r="AC19" i="25"/>
  <c r="AE19" i="25"/>
  <c r="AF19" i="25"/>
  <c r="AH19" i="25"/>
  <c r="AI19" i="25"/>
  <c r="AK19" i="25"/>
  <c r="AM19" i="25"/>
  <c r="AO19" i="25"/>
  <c r="AP19" i="25"/>
  <c r="AQ19" i="25"/>
  <c r="AS19" i="25"/>
  <c r="AU19" i="25"/>
  <c r="AV19" i="25"/>
  <c r="AX19" i="25"/>
  <c r="AY19" i="25"/>
  <c r="BA19" i="25"/>
  <c r="BB19" i="25"/>
  <c r="BC19" i="25"/>
  <c r="BD19" i="25"/>
  <c r="BE19" i="25"/>
  <c r="BF19" i="25"/>
  <c r="BG19" i="25"/>
  <c r="BH19" i="25"/>
  <c r="BI19" i="25"/>
  <c r="BL19" i="25"/>
  <c r="BM19" i="25"/>
  <c r="BN19" i="25"/>
  <c r="BO19" i="25"/>
  <c r="BP19" i="25"/>
  <c r="BQ19" i="25"/>
  <c r="BR19" i="25"/>
  <c r="BS19" i="25"/>
  <c r="BT19" i="25"/>
  <c r="BW19" i="25"/>
  <c r="BX19" i="25"/>
  <c r="BY19" i="25"/>
  <c r="BZ19" i="25"/>
  <c r="CA19" i="25"/>
  <c r="CB19" i="25"/>
  <c r="CC19" i="25"/>
  <c r="CE19" i="25"/>
  <c r="CF19" i="25"/>
  <c r="CG19" i="25"/>
  <c r="CI19" i="25"/>
  <c r="CJ19" i="25"/>
  <c r="CL19" i="25"/>
  <c r="CP19" i="25"/>
  <c r="CQ19" i="25"/>
  <c r="CR19" i="25"/>
  <c r="CS19" i="25"/>
  <c r="CX19" i="25"/>
  <c r="DE19" i="25"/>
  <c r="DK19" i="25"/>
  <c r="DN19" i="25"/>
  <c r="DO19" i="25"/>
  <c r="DQ19" i="25"/>
  <c r="DR19" i="25"/>
  <c r="J20" i="25"/>
  <c r="K20" i="25"/>
  <c r="M20" i="25"/>
  <c r="N20" i="25"/>
  <c r="O20" i="25"/>
  <c r="P20" i="25"/>
  <c r="Q20" i="25"/>
  <c r="S20" i="25"/>
  <c r="T20" i="25"/>
  <c r="V20" i="25"/>
  <c r="W20" i="25"/>
  <c r="Y20" i="25"/>
  <c r="Z20" i="25"/>
  <c r="AB20" i="25"/>
  <c r="AC20" i="25"/>
  <c r="AE20" i="25"/>
  <c r="AF20" i="25"/>
  <c r="AH20" i="25"/>
  <c r="AI20" i="25"/>
  <c r="AK20" i="25"/>
  <c r="AM20" i="25"/>
  <c r="AO20" i="25"/>
  <c r="AP20" i="25"/>
  <c r="AQ20" i="25"/>
  <c r="AS20" i="25"/>
  <c r="AU20" i="25"/>
  <c r="AV20" i="25"/>
  <c r="AX20" i="25"/>
  <c r="AY20" i="25"/>
  <c r="BA20" i="25"/>
  <c r="BB20" i="25"/>
  <c r="BC20" i="25"/>
  <c r="BD20" i="25"/>
  <c r="BE20" i="25"/>
  <c r="BF20" i="25"/>
  <c r="BG20" i="25"/>
  <c r="BH20" i="25"/>
  <c r="BI20" i="25"/>
  <c r="BL20" i="25"/>
  <c r="BM20" i="25"/>
  <c r="BN20" i="25"/>
  <c r="BO20" i="25"/>
  <c r="BP20" i="25"/>
  <c r="BQ20" i="25"/>
  <c r="BR20" i="25"/>
  <c r="BS20" i="25"/>
  <c r="BT20" i="25"/>
  <c r="BW20" i="25"/>
  <c r="BX20" i="25"/>
  <c r="BY20" i="25"/>
  <c r="BZ20" i="25"/>
  <c r="CA20" i="25"/>
  <c r="CB20" i="25"/>
  <c r="CC20" i="25"/>
  <c r="CE20" i="25"/>
  <c r="CF20" i="25"/>
  <c r="CG20" i="25"/>
  <c r="CI20" i="25"/>
  <c r="CJ20" i="25"/>
  <c r="CL20" i="25"/>
  <c r="CP20" i="25"/>
  <c r="CQ20" i="25"/>
  <c r="CR20" i="25"/>
  <c r="CS20" i="25"/>
  <c r="CX20" i="25"/>
  <c r="DE20" i="25"/>
  <c r="DK20" i="25"/>
  <c r="DN20" i="25"/>
  <c r="DO20" i="25"/>
  <c r="DQ20" i="25"/>
  <c r="DR20" i="25"/>
  <c r="J21" i="25"/>
  <c r="K21" i="25"/>
  <c r="M21" i="25"/>
  <c r="N21" i="25"/>
  <c r="O21" i="25"/>
  <c r="P21" i="25"/>
  <c r="Q21" i="25"/>
  <c r="S21" i="25"/>
  <c r="T21" i="25"/>
  <c r="V21" i="25"/>
  <c r="W21" i="25"/>
  <c r="Y21" i="25"/>
  <c r="Z21" i="25"/>
  <c r="AB21" i="25"/>
  <c r="AC21" i="25"/>
  <c r="AE21" i="25"/>
  <c r="AF21" i="25"/>
  <c r="AH21" i="25"/>
  <c r="AI21" i="25"/>
  <c r="AK21" i="25"/>
  <c r="AM21" i="25"/>
  <c r="AO21" i="25"/>
  <c r="AP21" i="25"/>
  <c r="AQ21" i="25"/>
  <c r="AS21" i="25"/>
  <c r="AU21" i="25"/>
  <c r="AV21" i="25"/>
  <c r="AX21" i="25"/>
  <c r="AY21" i="25"/>
  <c r="BA21" i="25"/>
  <c r="BB21" i="25"/>
  <c r="BC21" i="25"/>
  <c r="BD21" i="25"/>
  <c r="BE21" i="25"/>
  <c r="BF21" i="25"/>
  <c r="BG21" i="25"/>
  <c r="BH21" i="25"/>
  <c r="BI21" i="25"/>
  <c r="BL21" i="25"/>
  <c r="BM21" i="25"/>
  <c r="BN21" i="25"/>
  <c r="BO21" i="25"/>
  <c r="BP21" i="25"/>
  <c r="BQ21" i="25"/>
  <c r="BR21" i="25"/>
  <c r="BS21" i="25"/>
  <c r="BT21" i="25"/>
  <c r="BW21" i="25"/>
  <c r="BX21" i="25"/>
  <c r="BY21" i="25"/>
  <c r="BZ21" i="25"/>
  <c r="CA21" i="25"/>
  <c r="CB21" i="25"/>
  <c r="CC21" i="25"/>
  <c r="CE21" i="25"/>
  <c r="CF21" i="25"/>
  <c r="CG21" i="25"/>
  <c r="CI21" i="25"/>
  <c r="CJ21" i="25"/>
  <c r="CL21" i="25"/>
  <c r="CP21" i="25"/>
  <c r="CQ21" i="25"/>
  <c r="CR21" i="25"/>
  <c r="CS21" i="25"/>
  <c r="CX21" i="25"/>
  <c r="DE21" i="25"/>
  <c r="DK21" i="25"/>
  <c r="DN21" i="25"/>
  <c r="DO21" i="25"/>
  <c r="DQ21" i="25"/>
  <c r="DR21" i="25"/>
  <c r="J22" i="25"/>
  <c r="K22" i="25"/>
  <c r="M22" i="25"/>
  <c r="N22" i="25"/>
  <c r="O22" i="25"/>
  <c r="P22" i="25"/>
  <c r="Q22" i="25"/>
  <c r="S22" i="25"/>
  <c r="T22" i="25"/>
  <c r="V22" i="25"/>
  <c r="W22" i="25"/>
  <c r="Y22" i="25"/>
  <c r="Z22" i="25"/>
  <c r="AB22" i="25"/>
  <c r="AC22" i="25"/>
  <c r="AE22" i="25"/>
  <c r="AF22" i="25"/>
  <c r="AH22" i="25"/>
  <c r="AI22" i="25"/>
  <c r="AK22" i="25"/>
  <c r="AM22" i="25"/>
  <c r="AO22" i="25"/>
  <c r="AP22" i="25"/>
  <c r="AQ22" i="25"/>
  <c r="AS22" i="25"/>
  <c r="AU22" i="25"/>
  <c r="AV22" i="25"/>
  <c r="AX22" i="25"/>
  <c r="AY22" i="25"/>
  <c r="BA22" i="25"/>
  <c r="BB22" i="25"/>
  <c r="BC22" i="25"/>
  <c r="BD22" i="25"/>
  <c r="BE22" i="25"/>
  <c r="BF22" i="25"/>
  <c r="BG22" i="25"/>
  <c r="BH22" i="25"/>
  <c r="BI22" i="25"/>
  <c r="BL22" i="25"/>
  <c r="BM22" i="25"/>
  <c r="BN22" i="25"/>
  <c r="BO22" i="25"/>
  <c r="BP22" i="25"/>
  <c r="BQ22" i="25"/>
  <c r="BR22" i="25"/>
  <c r="BS22" i="25"/>
  <c r="BT22" i="25"/>
  <c r="BW22" i="25"/>
  <c r="BX22" i="25"/>
  <c r="BY22" i="25"/>
  <c r="BZ22" i="25"/>
  <c r="CA22" i="25"/>
  <c r="CB22" i="25"/>
  <c r="CC22" i="25"/>
  <c r="CE22" i="25"/>
  <c r="CF22" i="25"/>
  <c r="CG22" i="25"/>
  <c r="CI22" i="25"/>
  <c r="CJ22" i="25"/>
  <c r="CL22" i="25"/>
  <c r="CP22" i="25"/>
  <c r="CQ22" i="25"/>
  <c r="CR22" i="25"/>
  <c r="CS22" i="25"/>
  <c r="CX22" i="25"/>
  <c r="DE22" i="25"/>
  <c r="DK22" i="25"/>
  <c r="DN22" i="25"/>
  <c r="DO22" i="25"/>
  <c r="DQ22" i="25"/>
  <c r="DR22" i="25"/>
  <c r="J23" i="25"/>
  <c r="K23" i="25"/>
  <c r="M23" i="25"/>
  <c r="N23" i="25"/>
  <c r="O23" i="25"/>
  <c r="P23" i="25"/>
  <c r="Q23" i="25"/>
  <c r="S23" i="25"/>
  <c r="T23" i="25"/>
  <c r="V23" i="25"/>
  <c r="W23" i="25"/>
  <c r="Y23" i="25"/>
  <c r="Z23" i="25"/>
  <c r="AB23" i="25"/>
  <c r="AC23" i="25"/>
  <c r="AE23" i="25"/>
  <c r="AF23" i="25"/>
  <c r="AH23" i="25"/>
  <c r="AI23" i="25"/>
  <c r="AK23" i="25"/>
  <c r="AM23" i="25"/>
  <c r="AO23" i="25"/>
  <c r="AP23" i="25"/>
  <c r="AQ23" i="25"/>
  <c r="AR23" i="25"/>
  <c r="AS23" i="25"/>
  <c r="AT23" i="25"/>
  <c r="AU23" i="25"/>
  <c r="AV23" i="25"/>
  <c r="AX23" i="25"/>
  <c r="AY23" i="25"/>
  <c r="BA23" i="25"/>
  <c r="BB23" i="25"/>
  <c r="BC23" i="25"/>
  <c r="BD23" i="25"/>
  <c r="BE23" i="25"/>
  <c r="BF23" i="25"/>
  <c r="BG23" i="25"/>
  <c r="BH23" i="25"/>
  <c r="BI23" i="25"/>
  <c r="BL23" i="25"/>
  <c r="BM23" i="25"/>
  <c r="BN23" i="25"/>
  <c r="BO23" i="25"/>
  <c r="BP23" i="25"/>
  <c r="BQ23" i="25"/>
  <c r="BR23" i="25"/>
  <c r="BS23" i="25"/>
  <c r="BT23" i="25"/>
  <c r="BW23" i="25"/>
  <c r="BX23" i="25"/>
  <c r="BY23" i="25"/>
  <c r="BZ23" i="25"/>
  <c r="CA23" i="25"/>
  <c r="CB23" i="25"/>
  <c r="CC23" i="25"/>
  <c r="CE23" i="25"/>
  <c r="CF23" i="25"/>
  <c r="CG23" i="25"/>
  <c r="CI23" i="25"/>
  <c r="CJ23" i="25"/>
  <c r="CL23" i="25"/>
  <c r="CP23" i="25"/>
  <c r="CQ23" i="25"/>
  <c r="CR23" i="25"/>
  <c r="CS23" i="25"/>
  <c r="CX23" i="25"/>
  <c r="CY23" i="25"/>
  <c r="DE23" i="25"/>
  <c r="DF23" i="25"/>
  <c r="DK23" i="25"/>
  <c r="DN23" i="25"/>
  <c r="DO23" i="25"/>
  <c r="DQ23" i="25"/>
  <c r="DR23" i="25"/>
  <c r="J24" i="25"/>
  <c r="K24" i="25"/>
  <c r="M24" i="25"/>
  <c r="N24" i="25"/>
  <c r="O24" i="25"/>
  <c r="P24" i="25"/>
  <c r="Q24" i="25"/>
  <c r="S24" i="25"/>
  <c r="T24" i="25"/>
  <c r="V24" i="25"/>
  <c r="W24" i="25"/>
  <c r="Y24" i="25"/>
  <c r="Z24" i="25"/>
  <c r="AB24" i="25"/>
  <c r="AC24" i="25"/>
  <c r="AE24" i="25"/>
  <c r="AF24" i="25"/>
  <c r="AH24" i="25"/>
  <c r="AI24" i="25"/>
  <c r="AK24" i="25"/>
  <c r="AM24" i="25"/>
  <c r="AO24" i="25"/>
  <c r="AP24" i="25"/>
  <c r="AQ24" i="25"/>
  <c r="AS24" i="25"/>
  <c r="AU24" i="25"/>
  <c r="AV24" i="25"/>
  <c r="AX24" i="25"/>
  <c r="AY24" i="25"/>
  <c r="BA24" i="25"/>
  <c r="BB24" i="25"/>
  <c r="BC24" i="25"/>
  <c r="BD24" i="25"/>
  <c r="BE24" i="25"/>
  <c r="BF24" i="25"/>
  <c r="BG24" i="25"/>
  <c r="BH24" i="25"/>
  <c r="BI24" i="25"/>
  <c r="BL24" i="25"/>
  <c r="BM24" i="25"/>
  <c r="BN24" i="25"/>
  <c r="BO24" i="25"/>
  <c r="BP24" i="25"/>
  <c r="BQ24" i="25"/>
  <c r="BR24" i="25"/>
  <c r="BS24" i="25"/>
  <c r="BT24" i="25"/>
  <c r="BW24" i="25"/>
  <c r="BX24" i="25"/>
  <c r="BY24" i="25"/>
  <c r="BZ24" i="25"/>
  <c r="CA24" i="25"/>
  <c r="CB24" i="25"/>
  <c r="CC24" i="25"/>
  <c r="CE24" i="25"/>
  <c r="CF24" i="25"/>
  <c r="CG24" i="25"/>
  <c r="CI24" i="25"/>
  <c r="CJ24" i="25"/>
  <c r="CL24" i="25"/>
  <c r="CP24" i="25"/>
  <c r="CQ24" i="25"/>
  <c r="CR24" i="25"/>
  <c r="CS24" i="25"/>
  <c r="CX24" i="25"/>
  <c r="DE24" i="25"/>
  <c r="DK24" i="25"/>
  <c r="DN24" i="25"/>
  <c r="DO24" i="25"/>
  <c r="DQ24" i="25"/>
  <c r="DR24" i="25"/>
  <c r="J25" i="25"/>
  <c r="K25" i="25"/>
  <c r="M25" i="25"/>
  <c r="N25" i="25"/>
  <c r="O25" i="25"/>
  <c r="P25" i="25"/>
  <c r="Q25" i="25"/>
  <c r="S25" i="25"/>
  <c r="T25" i="25"/>
  <c r="V25" i="25"/>
  <c r="W25" i="25"/>
  <c r="Y25" i="25"/>
  <c r="Z25" i="25"/>
  <c r="AB25" i="25"/>
  <c r="AC25" i="25"/>
  <c r="AE25" i="25"/>
  <c r="AF25" i="25"/>
  <c r="AH25" i="25"/>
  <c r="AI25" i="25"/>
  <c r="AK25" i="25"/>
  <c r="AM25" i="25"/>
  <c r="AO25" i="25"/>
  <c r="AP25" i="25"/>
  <c r="AQ25" i="25"/>
  <c r="AS25" i="25"/>
  <c r="AU25" i="25"/>
  <c r="AV25" i="25"/>
  <c r="AX25" i="25"/>
  <c r="AY25" i="25"/>
  <c r="BA25" i="25"/>
  <c r="BB25" i="25"/>
  <c r="BC25" i="25"/>
  <c r="BD25" i="25"/>
  <c r="BE25" i="25"/>
  <c r="BF25" i="25"/>
  <c r="BG25" i="25"/>
  <c r="BH25" i="25"/>
  <c r="BI25" i="25"/>
  <c r="BL25" i="25"/>
  <c r="BM25" i="25"/>
  <c r="BN25" i="25"/>
  <c r="BO25" i="25"/>
  <c r="BP25" i="25"/>
  <c r="BQ25" i="25"/>
  <c r="BR25" i="25"/>
  <c r="BS25" i="25"/>
  <c r="BT25" i="25"/>
  <c r="BW25" i="25"/>
  <c r="BX25" i="25"/>
  <c r="BY25" i="25"/>
  <c r="BZ25" i="25"/>
  <c r="CA25" i="25"/>
  <c r="CB25" i="25"/>
  <c r="CC25" i="25"/>
  <c r="CE25" i="25"/>
  <c r="CF25" i="25"/>
  <c r="CG25" i="25"/>
  <c r="CI25" i="25"/>
  <c r="CJ25" i="25"/>
  <c r="CL25" i="25"/>
  <c r="CP25" i="25"/>
  <c r="CQ25" i="25"/>
  <c r="CR25" i="25"/>
  <c r="CS25" i="25"/>
  <c r="CX25" i="25"/>
  <c r="DE25" i="25"/>
  <c r="DK25" i="25"/>
  <c r="DN25" i="25"/>
  <c r="DO25" i="25"/>
  <c r="DQ25" i="25"/>
  <c r="DR25" i="25"/>
  <c r="L26" i="25"/>
  <c r="N26" i="25"/>
  <c r="O26" i="25"/>
  <c r="P26" i="25"/>
  <c r="Q26" i="25"/>
  <c r="S26" i="25"/>
  <c r="T26" i="25"/>
  <c r="V26" i="25"/>
  <c r="W26" i="25"/>
  <c r="Y26" i="25"/>
  <c r="Z26" i="25"/>
  <c r="AB26" i="25"/>
  <c r="AC26" i="25"/>
  <c r="AE26" i="25"/>
  <c r="AF26" i="25"/>
  <c r="AH26" i="25"/>
  <c r="AI26" i="25"/>
  <c r="AK26" i="25"/>
  <c r="AM26" i="25"/>
  <c r="AO26" i="25"/>
  <c r="AP26" i="25"/>
  <c r="AQ26" i="25"/>
  <c r="AS26" i="25"/>
  <c r="AU26" i="25"/>
  <c r="AV26" i="25"/>
  <c r="AX26" i="25"/>
  <c r="AY26" i="25"/>
  <c r="BA26" i="25"/>
  <c r="BB26" i="25"/>
  <c r="BC26" i="25"/>
  <c r="BD26" i="25"/>
  <c r="BE26" i="25"/>
  <c r="BF26" i="25"/>
  <c r="BG26" i="25"/>
  <c r="BH26" i="25"/>
  <c r="BI26" i="25"/>
  <c r="BL26" i="25"/>
  <c r="BM26" i="25"/>
  <c r="BN26" i="25"/>
  <c r="BO26" i="25"/>
  <c r="BP26" i="25"/>
  <c r="BQ26" i="25"/>
  <c r="BR26" i="25"/>
  <c r="BS26" i="25"/>
  <c r="BT26" i="25"/>
  <c r="BW26" i="25"/>
  <c r="BX26" i="25"/>
  <c r="BY26" i="25"/>
  <c r="BZ26" i="25"/>
  <c r="CA26" i="25"/>
  <c r="CB26" i="25"/>
  <c r="CC26" i="25"/>
  <c r="CE26" i="25"/>
  <c r="CF26" i="25"/>
  <c r="CG26" i="25"/>
  <c r="CI26" i="25"/>
  <c r="CJ26" i="25"/>
  <c r="CL26" i="25"/>
  <c r="CT26" i="25"/>
  <c r="CU26" i="25"/>
  <c r="CV26" i="25"/>
  <c r="CW26" i="25"/>
  <c r="CX26" i="25"/>
  <c r="DA26" i="25"/>
  <c r="DB26" i="25"/>
  <c r="DC26" i="25"/>
  <c r="DD26" i="25"/>
  <c r="DE26" i="25"/>
  <c r="DL26" i="25"/>
  <c r="DN26" i="25"/>
  <c r="DO26" i="25"/>
  <c r="DQ26" i="25"/>
  <c r="DR26" i="25"/>
  <c r="L27" i="25"/>
  <c r="N27" i="25"/>
  <c r="O27" i="25"/>
  <c r="P27" i="25"/>
  <c r="Q27" i="25"/>
  <c r="S27" i="25"/>
  <c r="T27" i="25"/>
  <c r="V27" i="25"/>
  <c r="W27" i="25"/>
  <c r="Y27" i="25"/>
  <c r="Z27" i="25"/>
  <c r="AB27" i="25"/>
  <c r="AC27" i="25"/>
  <c r="AE27" i="25"/>
  <c r="AF27" i="25"/>
  <c r="AH27" i="25"/>
  <c r="AI27" i="25"/>
  <c r="AK27" i="25"/>
  <c r="AM27" i="25"/>
  <c r="AO27" i="25"/>
  <c r="AP27" i="25"/>
  <c r="AQ27" i="25"/>
  <c r="AS27" i="25"/>
  <c r="AU27" i="25"/>
  <c r="AV27" i="25"/>
  <c r="AX27" i="25"/>
  <c r="AY27" i="25"/>
  <c r="BA27" i="25"/>
  <c r="BB27" i="25"/>
  <c r="BC27" i="25"/>
  <c r="BD27" i="25"/>
  <c r="BE27" i="25"/>
  <c r="BF27" i="25"/>
  <c r="BG27" i="25"/>
  <c r="BH27" i="25"/>
  <c r="BI27" i="25"/>
  <c r="BL27" i="25"/>
  <c r="BM27" i="25"/>
  <c r="BN27" i="25"/>
  <c r="BO27" i="25"/>
  <c r="BP27" i="25"/>
  <c r="BQ27" i="25"/>
  <c r="BR27" i="25"/>
  <c r="BS27" i="25"/>
  <c r="BT27" i="25"/>
  <c r="BW27" i="25"/>
  <c r="BX27" i="25"/>
  <c r="BY27" i="25"/>
  <c r="BZ27" i="25"/>
  <c r="CA27" i="25"/>
  <c r="CB27" i="25"/>
  <c r="CC27" i="25"/>
  <c r="CE27" i="25"/>
  <c r="CF27" i="25"/>
  <c r="CG27" i="25"/>
  <c r="CI27" i="25"/>
  <c r="CJ27" i="25"/>
  <c r="CL27" i="25"/>
  <c r="CT27" i="25"/>
  <c r="CU27" i="25"/>
  <c r="CV27" i="25"/>
  <c r="CW27" i="25"/>
  <c r="CX27" i="25"/>
  <c r="DA27" i="25"/>
  <c r="DB27" i="25"/>
  <c r="DC27" i="25"/>
  <c r="DD27" i="25"/>
  <c r="DE27" i="25"/>
  <c r="DL27" i="25"/>
  <c r="DN27" i="25"/>
  <c r="DO27" i="25"/>
  <c r="DQ27" i="25"/>
  <c r="DR27" i="25"/>
  <c r="L28" i="25"/>
  <c r="N28" i="25"/>
  <c r="O28" i="25"/>
  <c r="P28" i="25"/>
  <c r="Q28" i="25"/>
  <c r="S28" i="25"/>
  <c r="T28" i="25"/>
  <c r="V28" i="25"/>
  <c r="W28" i="25"/>
  <c r="Y28" i="25"/>
  <c r="Z28" i="25"/>
  <c r="AB28" i="25"/>
  <c r="AC28" i="25"/>
  <c r="AE28" i="25"/>
  <c r="AF28" i="25"/>
  <c r="AH28" i="25"/>
  <c r="AI28" i="25"/>
  <c r="AK28" i="25"/>
  <c r="AM28" i="25"/>
  <c r="AO28" i="25"/>
  <c r="AP28" i="25"/>
  <c r="AQ28" i="25"/>
  <c r="AS28" i="25"/>
  <c r="AU28" i="25"/>
  <c r="AV28" i="25"/>
  <c r="AX28" i="25"/>
  <c r="AY28" i="25"/>
  <c r="BA28" i="25"/>
  <c r="BB28" i="25"/>
  <c r="BC28" i="25"/>
  <c r="BD28" i="25"/>
  <c r="BE28" i="25"/>
  <c r="BF28" i="25"/>
  <c r="BG28" i="25"/>
  <c r="BH28" i="25"/>
  <c r="BI28" i="25"/>
  <c r="BL28" i="25"/>
  <c r="BM28" i="25"/>
  <c r="BN28" i="25"/>
  <c r="BO28" i="25"/>
  <c r="BP28" i="25"/>
  <c r="BQ28" i="25"/>
  <c r="BR28" i="25"/>
  <c r="BS28" i="25"/>
  <c r="BT28" i="25"/>
  <c r="BW28" i="25"/>
  <c r="BX28" i="25"/>
  <c r="BY28" i="25"/>
  <c r="BZ28" i="25"/>
  <c r="CA28" i="25"/>
  <c r="CB28" i="25"/>
  <c r="CC28" i="25"/>
  <c r="CE28" i="25"/>
  <c r="CF28" i="25"/>
  <c r="CG28" i="25"/>
  <c r="CI28" i="25"/>
  <c r="CJ28" i="25"/>
  <c r="CL28" i="25"/>
  <c r="CT28" i="25"/>
  <c r="CU28" i="25"/>
  <c r="CV28" i="25"/>
  <c r="CW28" i="25"/>
  <c r="CX28" i="25"/>
  <c r="DA28" i="25"/>
  <c r="DB28" i="25"/>
  <c r="DC28" i="25"/>
  <c r="DD28" i="25"/>
  <c r="DE28" i="25"/>
  <c r="DL28" i="25"/>
  <c r="DN28" i="25"/>
  <c r="DO28" i="25"/>
  <c r="DQ28" i="25"/>
  <c r="DR28" i="25"/>
  <c r="L29" i="25"/>
  <c r="N29" i="25"/>
  <c r="O29" i="25"/>
  <c r="P29" i="25"/>
  <c r="Q29" i="25"/>
  <c r="S29" i="25"/>
  <c r="T29" i="25"/>
  <c r="V29" i="25"/>
  <c r="W29" i="25"/>
  <c r="Y29" i="25"/>
  <c r="Z29" i="25"/>
  <c r="AB29" i="25"/>
  <c r="AC29" i="25"/>
  <c r="AE29" i="25"/>
  <c r="AF29" i="25"/>
  <c r="AH29" i="25"/>
  <c r="AI29" i="25"/>
  <c r="AK29" i="25"/>
  <c r="AM29" i="25"/>
  <c r="AO29" i="25"/>
  <c r="AP29" i="25"/>
  <c r="AQ29" i="25"/>
  <c r="AS29" i="25"/>
  <c r="AU29" i="25"/>
  <c r="AV29" i="25"/>
  <c r="AX29" i="25"/>
  <c r="AY29" i="25"/>
  <c r="BA29" i="25"/>
  <c r="BB29" i="25"/>
  <c r="BC29" i="25"/>
  <c r="BD29" i="25"/>
  <c r="BE29" i="25"/>
  <c r="BF29" i="25"/>
  <c r="BG29" i="25"/>
  <c r="BH29" i="25"/>
  <c r="BI29" i="25"/>
  <c r="BL29" i="25"/>
  <c r="BM29" i="25"/>
  <c r="BN29" i="25"/>
  <c r="BO29" i="25"/>
  <c r="BP29" i="25"/>
  <c r="BQ29" i="25"/>
  <c r="BR29" i="25"/>
  <c r="BS29" i="25"/>
  <c r="BT29" i="25"/>
  <c r="BW29" i="25"/>
  <c r="BX29" i="25"/>
  <c r="BY29" i="25"/>
  <c r="BZ29" i="25"/>
  <c r="CA29" i="25"/>
  <c r="CB29" i="25"/>
  <c r="CC29" i="25"/>
  <c r="CE29" i="25"/>
  <c r="CF29" i="25"/>
  <c r="CG29" i="25"/>
  <c r="CI29" i="25"/>
  <c r="CJ29" i="25"/>
  <c r="CL29" i="25"/>
  <c r="CT29" i="25"/>
  <c r="CU29" i="25"/>
  <c r="CV29" i="25"/>
  <c r="CW29" i="25"/>
  <c r="CX29" i="25"/>
  <c r="DA29" i="25"/>
  <c r="DB29" i="25"/>
  <c r="DC29" i="25"/>
  <c r="DD29" i="25"/>
  <c r="DE29" i="25"/>
  <c r="DL29" i="25"/>
  <c r="DN29" i="25"/>
  <c r="DO29" i="25"/>
  <c r="DQ29" i="25"/>
  <c r="DR29" i="25"/>
  <c r="L30" i="25"/>
  <c r="N30" i="25"/>
  <c r="O30" i="25"/>
  <c r="P30" i="25"/>
  <c r="Q30" i="25"/>
  <c r="S30" i="25"/>
  <c r="T30" i="25"/>
  <c r="V30" i="25"/>
  <c r="W30" i="25"/>
  <c r="Y30" i="25"/>
  <c r="Z30" i="25"/>
  <c r="AB30" i="25"/>
  <c r="AC30" i="25"/>
  <c r="AE30" i="25"/>
  <c r="AF30" i="25"/>
  <c r="AH30" i="25"/>
  <c r="AI30" i="25"/>
  <c r="AK30" i="25"/>
  <c r="AM30" i="25"/>
  <c r="AO30" i="25"/>
  <c r="AP30" i="25"/>
  <c r="AQ30" i="25"/>
  <c r="AS30" i="25"/>
  <c r="AU30" i="25"/>
  <c r="AV30" i="25"/>
  <c r="AX30" i="25"/>
  <c r="AY30" i="25"/>
  <c r="BA30" i="25"/>
  <c r="BB30" i="25"/>
  <c r="BC30" i="25"/>
  <c r="BD30" i="25"/>
  <c r="BE30" i="25"/>
  <c r="BF30" i="25"/>
  <c r="BG30" i="25"/>
  <c r="BH30" i="25"/>
  <c r="BI30" i="25"/>
  <c r="BL30" i="25"/>
  <c r="BM30" i="25"/>
  <c r="BN30" i="25"/>
  <c r="BO30" i="25"/>
  <c r="BP30" i="25"/>
  <c r="BQ30" i="25"/>
  <c r="BR30" i="25"/>
  <c r="BS30" i="25"/>
  <c r="BT30" i="25"/>
  <c r="BW30" i="25"/>
  <c r="BX30" i="25"/>
  <c r="BY30" i="25"/>
  <c r="BZ30" i="25"/>
  <c r="CA30" i="25"/>
  <c r="CB30" i="25"/>
  <c r="CC30" i="25"/>
  <c r="CE30" i="25"/>
  <c r="CF30" i="25"/>
  <c r="CG30" i="25"/>
  <c r="CI30" i="25"/>
  <c r="CJ30" i="25"/>
  <c r="CL30" i="25"/>
  <c r="CT30" i="25"/>
  <c r="CU30" i="25"/>
  <c r="CV30" i="25"/>
  <c r="CW30" i="25"/>
  <c r="CX30" i="25"/>
  <c r="DA30" i="25"/>
  <c r="DB30" i="25"/>
  <c r="DC30" i="25"/>
  <c r="DD30" i="25"/>
  <c r="DE30" i="25"/>
  <c r="DL30" i="25"/>
  <c r="DN30" i="25"/>
  <c r="DO30" i="25"/>
  <c r="DQ30" i="25"/>
  <c r="DR30" i="25"/>
  <c r="L31" i="25"/>
  <c r="N31" i="25"/>
  <c r="O31" i="25"/>
  <c r="P31" i="25"/>
  <c r="Q31" i="25"/>
  <c r="S31" i="25"/>
  <c r="T31" i="25"/>
  <c r="V31" i="25"/>
  <c r="W31" i="25"/>
  <c r="Y31" i="25"/>
  <c r="Z31" i="25"/>
  <c r="AB31" i="25"/>
  <c r="AC31" i="25"/>
  <c r="AE31" i="25"/>
  <c r="AF31" i="25"/>
  <c r="AH31" i="25"/>
  <c r="AI31" i="25"/>
  <c r="AK31" i="25"/>
  <c r="AM31" i="25"/>
  <c r="AO31" i="25"/>
  <c r="AP31" i="25"/>
  <c r="AQ31" i="25"/>
  <c r="AS31" i="25"/>
  <c r="AU31" i="25"/>
  <c r="AV31" i="25"/>
  <c r="AX31" i="25"/>
  <c r="AY31" i="25"/>
  <c r="BA31" i="25"/>
  <c r="BB31" i="25"/>
  <c r="BC31" i="25"/>
  <c r="BD31" i="25"/>
  <c r="BE31" i="25"/>
  <c r="BF31" i="25"/>
  <c r="BG31" i="25"/>
  <c r="BH31" i="25"/>
  <c r="BI31" i="25"/>
  <c r="BL31" i="25"/>
  <c r="BM31" i="25"/>
  <c r="BN31" i="25"/>
  <c r="BO31" i="25"/>
  <c r="BP31" i="25"/>
  <c r="BQ31" i="25"/>
  <c r="BR31" i="25"/>
  <c r="BS31" i="25"/>
  <c r="BT31" i="25"/>
  <c r="BW31" i="25"/>
  <c r="BX31" i="25"/>
  <c r="BY31" i="25"/>
  <c r="BZ31" i="25"/>
  <c r="CA31" i="25"/>
  <c r="CB31" i="25"/>
  <c r="CC31" i="25"/>
  <c r="CE31" i="25"/>
  <c r="CF31" i="25"/>
  <c r="CG31" i="25"/>
  <c r="CI31" i="25"/>
  <c r="CJ31" i="25"/>
  <c r="CL31" i="25"/>
  <c r="CT31" i="25"/>
  <c r="CU31" i="25"/>
  <c r="CV31" i="25"/>
  <c r="CW31" i="25"/>
  <c r="CX31" i="25"/>
  <c r="DA31" i="25"/>
  <c r="DB31" i="25"/>
  <c r="DC31" i="25"/>
  <c r="DD31" i="25"/>
  <c r="DE31" i="25"/>
  <c r="DL31" i="25"/>
  <c r="DN31" i="25"/>
  <c r="DO31" i="25"/>
  <c r="DQ31" i="25"/>
  <c r="DR31" i="25"/>
  <c r="L32" i="25"/>
  <c r="N32" i="25"/>
  <c r="O32" i="25"/>
  <c r="P32" i="25"/>
  <c r="Q32" i="25"/>
  <c r="S32" i="25"/>
  <c r="T32" i="25"/>
  <c r="V32" i="25"/>
  <c r="W32" i="25"/>
  <c r="Y32" i="25"/>
  <c r="Z32" i="25"/>
  <c r="AB32" i="25"/>
  <c r="AC32" i="25"/>
  <c r="AE32" i="25"/>
  <c r="AF32" i="25"/>
  <c r="AH32" i="25"/>
  <c r="AI32" i="25"/>
  <c r="AK32" i="25"/>
  <c r="AM32" i="25"/>
  <c r="AO32" i="25"/>
  <c r="AP32" i="25"/>
  <c r="AQ32" i="25"/>
  <c r="AS32" i="25"/>
  <c r="AU32" i="25"/>
  <c r="AV32" i="25"/>
  <c r="AX32" i="25"/>
  <c r="AY32" i="25"/>
  <c r="BA32" i="25"/>
  <c r="BB32" i="25"/>
  <c r="BC32" i="25"/>
  <c r="BD32" i="25"/>
  <c r="BE32" i="25"/>
  <c r="BF32" i="25"/>
  <c r="BG32" i="25"/>
  <c r="BH32" i="25"/>
  <c r="BI32" i="25"/>
  <c r="BL32" i="25"/>
  <c r="BM32" i="25"/>
  <c r="BN32" i="25"/>
  <c r="BO32" i="25"/>
  <c r="BP32" i="25"/>
  <c r="BQ32" i="25"/>
  <c r="BR32" i="25"/>
  <c r="BS32" i="25"/>
  <c r="BT32" i="25"/>
  <c r="BW32" i="25"/>
  <c r="BX32" i="25"/>
  <c r="BY32" i="25"/>
  <c r="BZ32" i="25"/>
  <c r="CA32" i="25"/>
  <c r="CB32" i="25"/>
  <c r="CC32" i="25"/>
  <c r="CE32" i="25"/>
  <c r="CF32" i="25"/>
  <c r="CG32" i="25"/>
  <c r="CI32" i="25"/>
  <c r="CJ32" i="25"/>
  <c r="CL32" i="25"/>
  <c r="CT32" i="25"/>
  <c r="CU32" i="25"/>
  <c r="CV32" i="25"/>
  <c r="CW32" i="25"/>
  <c r="CX32" i="25"/>
  <c r="DA32" i="25"/>
  <c r="DB32" i="25"/>
  <c r="DC32" i="25"/>
  <c r="DD32" i="25"/>
  <c r="DE32" i="25"/>
  <c r="DL32" i="25"/>
  <c r="DN32" i="25"/>
  <c r="DO32" i="25"/>
  <c r="DQ32" i="25"/>
  <c r="DR32" i="25"/>
  <c r="L33" i="25"/>
  <c r="N33" i="25"/>
  <c r="O33" i="25"/>
  <c r="P33" i="25"/>
  <c r="Q33" i="25"/>
  <c r="S33" i="25"/>
  <c r="T33" i="25"/>
  <c r="V33" i="25"/>
  <c r="W33" i="25"/>
  <c r="Y33" i="25"/>
  <c r="Z33" i="25"/>
  <c r="AB33" i="25"/>
  <c r="AC33" i="25"/>
  <c r="AE33" i="25"/>
  <c r="AF33" i="25"/>
  <c r="AH33" i="25"/>
  <c r="AI33" i="25"/>
  <c r="AK33" i="25"/>
  <c r="AM33" i="25"/>
  <c r="AO33" i="25"/>
  <c r="AP33" i="25"/>
  <c r="AQ33" i="25"/>
  <c r="AS33" i="25"/>
  <c r="AU33" i="25"/>
  <c r="AV33" i="25"/>
  <c r="AX33" i="25"/>
  <c r="AY33" i="25"/>
  <c r="BA33" i="25"/>
  <c r="BB33" i="25"/>
  <c r="BC33" i="25"/>
  <c r="BD33" i="25"/>
  <c r="BE33" i="25"/>
  <c r="BF33" i="25"/>
  <c r="BG33" i="25"/>
  <c r="BH33" i="25"/>
  <c r="BI33" i="25"/>
  <c r="BL33" i="25"/>
  <c r="BM33" i="25"/>
  <c r="BN33" i="25"/>
  <c r="BO33" i="25"/>
  <c r="BP33" i="25"/>
  <c r="BQ33" i="25"/>
  <c r="BR33" i="25"/>
  <c r="BS33" i="25"/>
  <c r="BT33" i="25"/>
  <c r="BW33" i="25"/>
  <c r="BX33" i="25"/>
  <c r="BY33" i="25"/>
  <c r="BZ33" i="25"/>
  <c r="CA33" i="25"/>
  <c r="CB33" i="25"/>
  <c r="CC33" i="25"/>
  <c r="CE33" i="25"/>
  <c r="CF33" i="25"/>
  <c r="CG33" i="25"/>
  <c r="CI33" i="25"/>
  <c r="CJ33" i="25"/>
  <c r="CL33" i="25"/>
  <c r="CT33" i="25"/>
  <c r="CU33" i="25"/>
  <c r="CV33" i="25"/>
  <c r="CW33" i="25"/>
  <c r="CX33" i="25"/>
  <c r="DA33" i="25"/>
  <c r="DB33" i="25"/>
  <c r="DC33" i="25"/>
  <c r="DD33" i="25"/>
  <c r="DE33" i="25"/>
  <c r="DL33" i="25"/>
  <c r="DN33" i="25"/>
  <c r="DO33" i="25"/>
  <c r="DQ33" i="25"/>
  <c r="DR33" i="25"/>
  <c r="L34" i="25"/>
  <c r="N34" i="25"/>
  <c r="O34" i="25"/>
  <c r="P34" i="25"/>
  <c r="Q34" i="25"/>
  <c r="S34" i="25"/>
  <c r="T34" i="25"/>
  <c r="V34" i="25"/>
  <c r="W34" i="25"/>
  <c r="Y34" i="25"/>
  <c r="Z34" i="25"/>
  <c r="AB34" i="25"/>
  <c r="AC34" i="25"/>
  <c r="AE34" i="25"/>
  <c r="AF34" i="25"/>
  <c r="AH34" i="25"/>
  <c r="AI34" i="25"/>
  <c r="AK34" i="25"/>
  <c r="AM34" i="25"/>
  <c r="AO34" i="25"/>
  <c r="AP34" i="25"/>
  <c r="AQ34" i="25"/>
  <c r="AS34" i="25"/>
  <c r="AU34" i="25"/>
  <c r="AV34" i="25"/>
  <c r="AX34" i="25"/>
  <c r="AY34" i="25"/>
  <c r="BA34" i="25"/>
  <c r="BB34" i="25"/>
  <c r="BC34" i="25"/>
  <c r="BD34" i="25"/>
  <c r="BE34" i="25"/>
  <c r="BF34" i="25"/>
  <c r="BG34" i="25"/>
  <c r="BH34" i="25"/>
  <c r="BI34" i="25"/>
  <c r="BL34" i="25"/>
  <c r="BM34" i="25"/>
  <c r="BN34" i="25"/>
  <c r="BO34" i="25"/>
  <c r="BP34" i="25"/>
  <c r="BQ34" i="25"/>
  <c r="BR34" i="25"/>
  <c r="BS34" i="25"/>
  <c r="BT34" i="25"/>
  <c r="BW34" i="25"/>
  <c r="BX34" i="25"/>
  <c r="BY34" i="25"/>
  <c r="BZ34" i="25"/>
  <c r="CA34" i="25"/>
  <c r="CB34" i="25"/>
  <c r="CC34" i="25"/>
  <c r="CE34" i="25"/>
  <c r="CF34" i="25"/>
  <c r="CG34" i="25"/>
  <c r="CI34" i="25"/>
  <c r="CJ34" i="25"/>
  <c r="CL34" i="25"/>
  <c r="CT34" i="25"/>
  <c r="CU34" i="25"/>
  <c r="CV34" i="25"/>
  <c r="CW34" i="25"/>
  <c r="CX34" i="25"/>
  <c r="DA34" i="25"/>
  <c r="DB34" i="25"/>
  <c r="DC34" i="25"/>
  <c r="DD34" i="25"/>
  <c r="DE34" i="25"/>
  <c r="DL34" i="25"/>
  <c r="DN34" i="25"/>
  <c r="DO34" i="25"/>
  <c r="DQ34" i="25"/>
  <c r="DR34" i="25"/>
  <c r="L35" i="25"/>
  <c r="N35" i="25"/>
  <c r="O35" i="25"/>
  <c r="P35" i="25"/>
  <c r="Q35" i="25"/>
  <c r="S35" i="25"/>
  <c r="T35" i="25"/>
  <c r="V35" i="25"/>
  <c r="W35" i="25"/>
  <c r="Y35" i="25"/>
  <c r="Z35" i="25"/>
  <c r="AB35" i="25"/>
  <c r="AC35" i="25"/>
  <c r="AE35" i="25"/>
  <c r="AF35" i="25"/>
  <c r="AH35" i="25"/>
  <c r="AI35" i="25"/>
  <c r="AK35" i="25"/>
  <c r="AM35" i="25"/>
  <c r="AO35" i="25"/>
  <c r="AP35" i="25"/>
  <c r="AQ35" i="25"/>
  <c r="AR35" i="25"/>
  <c r="AS35" i="25"/>
  <c r="AT35" i="25"/>
  <c r="AU35" i="25"/>
  <c r="AV35" i="25"/>
  <c r="AX35" i="25"/>
  <c r="AY35" i="25"/>
  <c r="BA35" i="25"/>
  <c r="BB35" i="25"/>
  <c r="BC35" i="25"/>
  <c r="BD35" i="25"/>
  <c r="BE35" i="25"/>
  <c r="BF35" i="25"/>
  <c r="BG35" i="25"/>
  <c r="BH35" i="25"/>
  <c r="BI35" i="25"/>
  <c r="BL35" i="25"/>
  <c r="BM35" i="25"/>
  <c r="BN35" i="25"/>
  <c r="BO35" i="25"/>
  <c r="BP35" i="25"/>
  <c r="BQ35" i="25"/>
  <c r="BR35" i="25"/>
  <c r="BS35" i="25"/>
  <c r="BT35" i="25"/>
  <c r="BW35" i="25"/>
  <c r="BX35" i="25"/>
  <c r="BY35" i="25"/>
  <c r="BZ35" i="25"/>
  <c r="CA35" i="25"/>
  <c r="CB35" i="25"/>
  <c r="CC35" i="25"/>
  <c r="CE35" i="25"/>
  <c r="CF35" i="25"/>
  <c r="CG35" i="25"/>
  <c r="CI35" i="25"/>
  <c r="CJ35" i="25"/>
  <c r="CL35" i="25"/>
  <c r="CT35" i="25"/>
  <c r="CU35" i="25"/>
  <c r="CV35" i="25"/>
  <c r="CW35" i="25"/>
  <c r="CX35" i="25"/>
  <c r="CY35" i="25"/>
  <c r="DA35" i="25"/>
  <c r="DB35" i="25"/>
  <c r="DC35" i="25"/>
  <c r="DD35" i="25"/>
  <c r="DE35" i="25"/>
  <c r="DF35" i="25"/>
  <c r="DL35" i="25"/>
  <c r="DN35" i="25"/>
  <c r="DO35" i="25"/>
  <c r="DQ35" i="25"/>
  <c r="DR35" i="25"/>
  <c r="L36" i="25"/>
  <c r="N36" i="25"/>
  <c r="O36" i="25"/>
  <c r="P36" i="25"/>
  <c r="Q36" i="25"/>
  <c r="S36" i="25"/>
  <c r="T36" i="25"/>
  <c r="V36" i="25"/>
  <c r="W36" i="25"/>
  <c r="Y36" i="25"/>
  <c r="Z36" i="25"/>
  <c r="AB36" i="25"/>
  <c r="AC36" i="25"/>
  <c r="AE36" i="25"/>
  <c r="AF36" i="25"/>
  <c r="AH36" i="25"/>
  <c r="AI36" i="25"/>
  <c r="AK36" i="25"/>
  <c r="AM36" i="25"/>
  <c r="AO36" i="25"/>
  <c r="AP36" i="25"/>
  <c r="AQ36" i="25"/>
  <c r="AS36" i="25"/>
  <c r="AU36" i="25"/>
  <c r="AV36" i="25"/>
  <c r="AX36" i="25"/>
  <c r="AY36" i="25"/>
  <c r="BA36" i="25"/>
  <c r="BB36" i="25"/>
  <c r="BC36" i="25"/>
  <c r="BD36" i="25"/>
  <c r="BE36" i="25"/>
  <c r="BF36" i="25"/>
  <c r="BG36" i="25"/>
  <c r="BH36" i="25"/>
  <c r="BI36" i="25"/>
  <c r="BL36" i="25"/>
  <c r="BM36" i="25"/>
  <c r="BN36" i="25"/>
  <c r="BO36" i="25"/>
  <c r="BP36" i="25"/>
  <c r="BQ36" i="25"/>
  <c r="BR36" i="25"/>
  <c r="BS36" i="25"/>
  <c r="BT36" i="25"/>
  <c r="BW36" i="25"/>
  <c r="BX36" i="25"/>
  <c r="BY36" i="25"/>
  <c r="BZ36" i="25"/>
  <c r="CA36" i="25"/>
  <c r="CB36" i="25"/>
  <c r="CC36" i="25"/>
  <c r="CE36" i="25"/>
  <c r="CF36" i="25"/>
  <c r="CG36" i="25"/>
  <c r="CI36" i="25"/>
  <c r="CJ36" i="25"/>
  <c r="CL36" i="25"/>
  <c r="CT36" i="25"/>
  <c r="CU36" i="25"/>
  <c r="CV36" i="25"/>
  <c r="CW36" i="25"/>
  <c r="CX36" i="25"/>
  <c r="DA36" i="25"/>
  <c r="DB36" i="25"/>
  <c r="DC36" i="25"/>
  <c r="DD36" i="25"/>
  <c r="DE36" i="25"/>
  <c r="DL36" i="25"/>
  <c r="DN36" i="25"/>
  <c r="DO36" i="25"/>
  <c r="DQ36" i="25"/>
  <c r="DR36" i="25"/>
  <c r="L37" i="25"/>
  <c r="N37" i="25"/>
  <c r="O37" i="25"/>
  <c r="P37" i="25"/>
  <c r="Q37" i="25"/>
  <c r="S37" i="25"/>
  <c r="T37" i="25"/>
  <c r="V37" i="25"/>
  <c r="W37" i="25"/>
  <c r="Y37" i="25"/>
  <c r="Z37" i="25"/>
  <c r="AB37" i="25"/>
  <c r="AC37" i="25"/>
  <c r="AE37" i="25"/>
  <c r="AF37" i="25"/>
  <c r="AH37" i="25"/>
  <c r="AI37" i="25"/>
  <c r="AK37" i="25"/>
  <c r="AM37" i="25"/>
  <c r="AO37" i="25"/>
  <c r="AP37" i="25"/>
  <c r="AQ37" i="25"/>
  <c r="AS37" i="25"/>
  <c r="AU37" i="25"/>
  <c r="AV37" i="25"/>
  <c r="AX37" i="25"/>
  <c r="AY37" i="25"/>
  <c r="BA37" i="25"/>
  <c r="BB37" i="25"/>
  <c r="BC37" i="25"/>
  <c r="BD37" i="25"/>
  <c r="BE37" i="25"/>
  <c r="BF37" i="25"/>
  <c r="BG37" i="25"/>
  <c r="BH37" i="25"/>
  <c r="BI37" i="25"/>
  <c r="BL37" i="25"/>
  <c r="BM37" i="25"/>
  <c r="BN37" i="25"/>
  <c r="BO37" i="25"/>
  <c r="BP37" i="25"/>
  <c r="BQ37" i="25"/>
  <c r="BR37" i="25"/>
  <c r="BS37" i="25"/>
  <c r="BT37" i="25"/>
  <c r="BW37" i="25"/>
  <c r="BX37" i="25"/>
  <c r="BY37" i="25"/>
  <c r="BZ37" i="25"/>
  <c r="CA37" i="25"/>
  <c r="CB37" i="25"/>
  <c r="CC37" i="25"/>
  <c r="CE37" i="25"/>
  <c r="CF37" i="25"/>
  <c r="CG37" i="25"/>
  <c r="CI37" i="25"/>
  <c r="CJ37" i="25"/>
  <c r="CL37" i="25"/>
  <c r="CT37" i="25"/>
  <c r="CU37" i="25"/>
  <c r="CV37" i="25"/>
  <c r="CW37" i="25"/>
  <c r="CX37" i="25"/>
  <c r="DA37" i="25"/>
  <c r="DB37" i="25"/>
  <c r="DC37" i="25"/>
  <c r="DD37" i="25"/>
  <c r="DE37" i="25"/>
  <c r="DL37" i="25"/>
  <c r="DN37" i="25"/>
  <c r="DO37" i="25"/>
  <c r="DQ37" i="25"/>
  <c r="DR37" i="25"/>
  <c r="L38" i="25"/>
  <c r="N38" i="25"/>
  <c r="O38" i="25"/>
  <c r="P38" i="25"/>
  <c r="Q38" i="25"/>
  <c r="S38" i="25"/>
  <c r="T38" i="25"/>
  <c r="V38" i="25"/>
  <c r="W38" i="25"/>
  <c r="Y38" i="25"/>
  <c r="Z38" i="25"/>
  <c r="AB38" i="25"/>
  <c r="AC38" i="25"/>
  <c r="AE38" i="25"/>
  <c r="AF38" i="25"/>
  <c r="AH38" i="25"/>
  <c r="AI38" i="25"/>
  <c r="AK38" i="25"/>
  <c r="AM38" i="25"/>
  <c r="AO38" i="25"/>
  <c r="AP38" i="25"/>
  <c r="AQ38" i="25"/>
  <c r="AS38" i="25"/>
  <c r="AU38" i="25"/>
  <c r="AV38" i="25"/>
  <c r="AX38" i="25"/>
  <c r="AY38" i="25"/>
  <c r="BA38" i="25"/>
  <c r="BB38" i="25"/>
  <c r="BC38" i="25"/>
  <c r="BD38" i="25"/>
  <c r="BE38" i="25"/>
  <c r="BF38" i="25"/>
  <c r="BG38" i="25"/>
  <c r="BH38" i="25"/>
  <c r="BI38" i="25"/>
  <c r="BL38" i="25"/>
  <c r="BM38" i="25"/>
  <c r="BN38" i="25"/>
  <c r="BO38" i="25"/>
  <c r="BP38" i="25"/>
  <c r="BQ38" i="25"/>
  <c r="BR38" i="25"/>
  <c r="BS38" i="25"/>
  <c r="BT38" i="25"/>
  <c r="BW38" i="25"/>
  <c r="BX38" i="25"/>
  <c r="BY38" i="25"/>
  <c r="BZ38" i="25"/>
  <c r="CA38" i="25"/>
  <c r="CB38" i="25"/>
  <c r="CC38" i="25"/>
  <c r="CE38" i="25"/>
  <c r="CF38" i="25"/>
  <c r="CG38" i="25"/>
  <c r="CI38" i="25"/>
  <c r="CJ38" i="25"/>
  <c r="CL38" i="25"/>
  <c r="CT38" i="25"/>
  <c r="CU38" i="25"/>
  <c r="CV38" i="25"/>
  <c r="CW38" i="25"/>
  <c r="CX38" i="25"/>
  <c r="DA38" i="25"/>
  <c r="DB38" i="25"/>
  <c r="DC38" i="25"/>
  <c r="DD38" i="25"/>
  <c r="DE38" i="25"/>
  <c r="DL38" i="25"/>
  <c r="DN38" i="25"/>
  <c r="DO38" i="25"/>
  <c r="DQ38" i="25"/>
  <c r="DR38" i="25"/>
  <c r="L39" i="25"/>
  <c r="N39" i="25"/>
  <c r="O39" i="25"/>
  <c r="P39" i="25"/>
  <c r="Q39" i="25"/>
  <c r="S39" i="25"/>
  <c r="T39" i="25"/>
  <c r="V39" i="25"/>
  <c r="W39" i="25"/>
  <c r="Y39" i="25"/>
  <c r="Z39" i="25"/>
  <c r="AB39" i="25"/>
  <c r="AC39" i="25"/>
  <c r="AE39" i="25"/>
  <c r="AF39" i="25"/>
  <c r="AH39" i="25"/>
  <c r="AI39" i="25"/>
  <c r="AK39" i="25"/>
  <c r="AM39" i="25"/>
  <c r="AO39" i="25"/>
  <c r="AP39" i="25"/>
  <c r="AQ39" i="25"/>
  <c r="AS39" i="25"/>
  <c r="AU39" i="25"/>
  <c r="AV39" i="25"/>
  <c r="AX39" i="25"/>
  <c r="AY39" i="25"/>
  <c r="BA39" i="25"/>
  <c r="BB39" i="25"/>
  <c r="BC39" i="25"/>
  <c r="BD39" i="25"/>
  <c r="BE39" i="25"/>
  <c r="BF39" i="25"/>
  <c r="BG39" i="25"/>
  <c r="BH39" i="25"/>
  <c r="BI39" i="25"/>
  <c r="BL39" i="25"/>
  <c r="BM39" i="25"/>
  <c r="BN39" i="25"/>
  <c r="BO39" i="25"/>
  <c r="BP39" i="25"/>
  <c r="BQ39" i="25"/>
  <c r="BR39" i="25"/>
  <c r="BS39" i="25"/>
  <c r="BT39" i="25"/>
  <c r="BW39" i="25"/>
  <c r="BX39" i="25"/>
  <c r="BY39" i="25"/>
  <c r="BZ39" i="25"/>
  <c r="CA39" i="25"/>
  <c r="CB39" i="25"/>
  <c r="CC39" i="25"/>
  <c r="CE39" i="25"/>
  <c r="CF39" i="25"/>
  <c r="CG39" i="25"/>
  <c r="CI39" i="25"/>
  <c r="CJ39" i="25"/>
  <c r="CL39" i="25"/>
  <c r="CT39" i="25"/>
  <c r="CU39" i="25"/>
  <c r="CV39" i="25"/>
  <c r="CW39" i="25"/>
  <c r="CX39" i="25"/>
  <c r="DA39" i="25"/>
  <c r="DB39" i="25"/>
  <c r="DC39" i="25"/>
  <c r="DD39" i="25"/>
  <c r="DE39" i="25"/>
  <c r="DL39" i="25"/>
  <c r="DN39" i="25"/>
  <c r="DO39" i="25"/>
  <c r="DQ39" i="25"/>
  <c r="DR39" i="25"/>
  <c r="L40" i="25"/>
  <c r="N40" i="25"/>
  <c r="O40" i="25"/>
  <c r="P40" i="25"/>
  <c r="Q40" i="25"/>
  <c r="S40" i="25"/>
  <c r="T40" i="25"/>
  <c r="V40" i="25"/>
  <c r="W40" i="25"/>
  <c r="Y40" i="25"/>
  <c r="Z40" i="25"/>
  <c r="AB40" i="25"/>
  <c r="AC40" i="25"/>
  <c r="AE40" i="25"/>
  <c r="AF40" i="25"/>
  <c r="AH40" i="25"/>
  <c r="AI40" i="25"/>
  <c r="AK40" i="25"/>
  <c r="AM40" i="25"/>
  <c r="AO40" i="25"/>
  <c r="AP40" i="25"/>
  <c r="AQ40" i="25"/>
  <c r="AS40" i="25"/>
  <c r="AU40" i="25"/>
  <c r="AV40" i="25"/>
  <c r="AX40" i="25"/>
  <c r="AY40" i="25"/>
  <c r="BA40" i="25"/>
  <c r="BB40" i="25"/>
  <c r="BC40" i="25"/>
  <c r="BD40" i="25"/>
  <c r="BE40" i="25"/>
  <c r="BF40" i="25"/>
  <c r="BG40" i="25"/>
  <c r="BH40" i="25"/>
  <c r="BI40" i="25"/>
  <c r="BL40" i="25"/>
  <c r="BM40" i="25"/>
  <c r="BN40" i="25"/>
  <c r="BO40" i="25"/>
  <c r="BP40" i="25"/>
  <c r="BQ40" i="25"/>
  <c r="BR40" i="25"/>
  <c r="BS40" i="25"/>
  <c r="BT40" i="25"/>
  <c r="BW40" i="25"/>
  <c r="BX40" i="25"/>
  <c r="BY40" i="25"/>
  <c r="BZ40" i="25"/>
  <c r="CA40" i="25"/>
  <c r="CB40" i="25"/>
  <c r="CC40" i="25"/>
  <c r="CE40" i="25"/>
  <c r="CF40" i="25"/>
  <c r="CG40" i="25"/>
  <c r="CI40" i="25"/>
  <c r="CJ40" i="25"/>
  <c r="CL40" i="25"/>
  <c r="CT40" i="25"/>
  <c r="CU40" i="25"/>
  <c r="CV40" i="25"/>
  <c r="CW40" i="25"/>
  <c r="CX40" i="25"/>
  <c r="DA40" i="25"/>
  <c r="DB40" i="25"/>
  <c r="DC40" i="25"/>
  <c r="DD40" i="25"/>
  <c r="DE40" i="25"/>
  <c r="DL40" i="25"/>
  <c r="DN40" i="25"/>
  <c r="DO40" i="25"/>
  <c r="DQ40" i="25"/>
  <c r="DR40" i="25"/>
  <c r="L41" i="25"/>
  <c r="N41" i="25"/>
  <c r="O41" i="25"/>
  <c r="P41" i="25"/>
  <c r="Q41" i="25"/>
  <c r="S41" i="25"/>
  <c r="T41" i="25"/>
  <c r="V41" i="25"/>
  <c r="W41" i="25"/>
  <c r="Y41" i="25"/>
  <c r="Z41" i="25"/>
  <c r="AB41" i="25"/>
  <c r="AC41" i="25"/>
  <c r="AE41" i="25"/>
  <c r="AF41" i="25"/>
  <c r="AH41" i="25"/>
  <c r="AI41" i="25"/>
  <c r="AK41" i="25"/>
  <c r="AM41" i="25"/>
  <c r="AO41" i="25"/>
  <c r="AP41" i="25"/>
  <c r="AQ41" i="25"/>
  <c r="AS41" i="25"/>
  <c r="AU41" i="25"/>
  <c r="AV41" i="25"/>
  <c r="AX41" i="25"/>
  <c r="AY41" i="25"/>
  <c r="BA41" i="25"/>
  <c r="BB41" i="25"/>
  <c r="BC41" i="25"/>
  <c r="BD41" i="25"/>
  <c r="BE41" i="25"/>
  <c r="BF41" i="25"/>
  <c r="BG41" i="25"/>
  <c r="BH41" i="25"/>
  <c r="BI41" i="25"/>
  <c r="BL41" i="25"/>
  <c r="BM41" i="25"/>
  <c r="BN41" i="25"/>
  <c r="BO41" i="25"/>
  <c r="BP41" i="25"/>
  <c r="BQ41" i="25"/>
  <c r="BR41" i="25"/>
  <c r="BS41" i="25"/>
  <c r="BT41" i="25"/>
  <c r="BW41" i="25"/>
  <c r="BX41" i="25"/>
  <c r="BY41" i="25"/>
  <c r="BZ41" i="25"/>
  <c r="CA41" i="25"/>
  <c r="CB41" i="25"/>
  <c r="CC41" i="25"/>
  <c r="CE41" i="25"/>
  <c r="CF41" i="25"/>
  <c r="CG41" i="25"/>
  <c r="CI41" i="25"/>
  <c r="CJ41" i="25"/>
  <c r="CL41" i="25"/>
  <c r="CT41" i="25"/>
  <c r="CU41" i="25"/>
  <c r="CV41" i="25"/>
  <c r="CW41" i="25"/>
  <c r="CX41" i="25"/>
  <c r="DA41" i="25"/>
  <c r="DB41" i="25"/>
  <c r="DC41" i="25"/>
  <c r="DD41" i="25"/>
  <c r="DE41" i="25"/>
  <c r="DL41" i="25"/>
  <c r="DN41" i="25"/>
  <c r="DO41" i="25"/>
  <c r="DQ41" i="25"/>
  <c r="DR41" i="25"/>
  <c r="L42" i="25"/>
  <c r="N42" i="25"/>
  <c r="O42" i="25"/>
  <c r="P42" i="25"/>
  <c r="Q42" i="25"/>
  <c r="S42" i="25"/>
  <c r="T42" i="25"/>
  <c r="V42" i="25"/>
  <c r="W42" i="25"/>
  <c r="Y42" i="25"/>
  <c r="Z42" i="25"/>
  <c r="AB42" i="25"/>
  <c r="AC42" i="25"/>
  <c r="AE42" i="25"/>
  <c r="AF42" i="25"/>
  <c r="AH42" i="25"/>
  <c r="AI42" i="25"/>
  <c r="AK42" i="25"/>
  <c r="AM42" i="25"/>
  <c r="AO42" i="25"/>
  <c r="AP42" i="25"/>
  <c r="AQ42" i="25"/>
  <c r="AS42" i="25"/>
  <c r="AU42" i="25"/>
  <c r="AV42" i="25"/>
  <c r="AX42" i="25"/>
  <c r="AY42" i="25"/>
  <c r="BA42" i="25"/>
  <c r="BB42" i="25"/>
  <c r="BC42" i="25"/>
  <c r="BD42" i="25"/>
  <c r="BE42" i="25"/>
  <c r="BF42" i="25"/>
  <c r="BG42" i="25"/>
  <c r="BH42" i="25"/>
  <c r="BI42" i="25"/>
  <c r="BL42" i="25"/>
  <c r="BM42" i="25"/>
  <c r="BN42" i="25"/>
  <c r="BO42" i="25"/>
  <c r="BP42" i="25"/>
  <c r="BQ42" i="25"/>
  <c r="BR42" i="25"/>
  <c r="BS42" i="25"/>
  <c r="BT42" i="25"/>
  <c r="BW42" i="25"/>
  <c r="BX42" i="25"/>
  <c r="BY42" i="25"/>
  <c r="BZ42" i="25"/>
  <c r="CA42" i="25"/>
  <c r="CB42" i="25"/>
  <c r="CC42" i="25"/>
  <c r="CE42" i="25"/>
  <c r="CF42" i="25"/>
  <c r="CG42" i="25"/>
  <c r="CI42" i="25"/>
  <c r="CJ42" i="25"/>
  <c r="CL42" i="25"/>
  <c r="CT42" i="25"/>
  <c r="CU42" i="25"/>
  <c r="CV42" i="25"/>
  <c r="CW42" i="25"/>
  <c r="CX42" i="25"/>
  <c r="DA42" i="25"/>
  <c r="DB42" i="25"/>
  <c r="DC42" i="25"/>
  <c r="DD42" i="25"/>
  <c r="DE42" i="25"/>
  <c r="DL42" i="25"/>
  <c r="DN42" i="25"/>
  <c r="DO42" i="25"/>
  <c r="DQ42" i="25"/>
  <c r="DR42" i="25"/>
  <c r="L43" i="25"/>
  <c r="N43" i="25"/>
  <c r="O43" i="25"/>
  <c r="P43" i="25"/>
  <c r="Q43" i="25"/>
  <c r="S43" i="25"/>
  <c r="T43" i="25"/>
  <c r="V43" i="25"/>
  <c r="W43" i="25"/>
  <c r="Y43" i="25"/>
  <c r="Z43" i="25"/>
  <c r="AB43" i="25"/>
  <c r="AC43" i="25"/>
  <c r="AE43" i="25"/>
  <c r="AF43" i="25"/>
  <c r="AH43" i="25"/>
  <c r="AI43" i="25"/>
  <c r="AK43" i="25"/>
  <c r="AM43" i="25"/>
  <c r="AO43" i="25"/>
  <c r="AP43" i="25"/>
  <c r="AQ43" i="25"/>
  <c r="AS43" i="25"/>
  <c r="AU43" i="25"/>
  <c r="AV43" i="25"/>
  <c r="AX43" i="25"/>
  <c r="AY43" i="25"/>
  <c r="BA43" i="25"/>
  <c r="BB43" i="25"/>
  <c r="BC43" i="25"/>
  <c r="BD43" i="25"/>
  <c r="BE43" i="25"/>
  <c r="BF43" i="25"/>
  <c r="BG43" i="25"/>
  <c r="BH43" i="25"/>
  <c r="BI43" i="25"/>
  <c r="BL43" i="25"/>
  <c r="BM43" i="25"/>
  <c r="BN43" i="25"/>
  <c r="BO43" i="25"/>
  <c r="BP43" i="25"/>
  <c r="BQ43" i="25"/>
  <c r="BR43" i="25"/>
  <c r="BS43" i="25"/>
  <c r="BT43" i="25"/>
  <c r="BW43" i="25"/>
  <c r="BX43" i="25"/>
  <c r="BY43" i="25"/>
  <c r="BZ43" i="25"/>
  <c r="CA43" i="25"/>
  <c r="CB43" i="25"/>
  <c r="CC43" i="25"/>
  <c r="CE43" i="25"/>
  <c r="CF43" i="25"/>
  <c r="CG43" i="25"/>
  <c r="CI43" i="25"/>
  <c r="CJ43" i="25"/>
  <c r="CL43" i="25"/>
  <c r="CT43" i="25"/>
  <c r="CU43" i="25"/>
  <c r="CV43" i="25"/>
  <c r="CW43" i="25"/>
  <c r="CX43" i="25"/>
  <c r="DA43" i="25"/>
  <c r="DB43" i="25"/>
  <c r="DC43" i="25"/>
  <c r="DD43" i="25"/>
  <c r="DE43" i="25"/>
  <c r="DL43" i="25"/>
  <c r="DN43" i="25"/>
  <c r="DO43" i="25"/>
  <c r="DQ43" i="25"/>
  <c r="DR43" i="25"/>
  <c r="L44" i="25"/>
  <c r="N44" i="25"/>
  <c r="O44" i="25"/>
  <c r="P44" i="25"/>
  <c r="Q44" i="25"/>
  <c r="S44" i="25"/>
  <c r="T44" i="25"/>
  <c r="V44" i="25"/>
  <c r="W44" i="25"/>
  <c r="Y44" i="25"/>
  <c r="Z44" i="25"/>
  <c r="AB44" i="25"/>
  <c r="AC44" i="25"/>
  <c r="AE44" i="25"/>
  <c r="AF44" i="25"/>
  <c r="AH44" i="25"/>
  <c r="AI44" i="25"/>
  <c r="AK44" i="25"/>
  <c r="AM44" i="25"/>
  <c r="AO44" i="25"/>
  <c r="AP44" i="25"/>
  <c r="AQ44" i="25"/>
  <c r="AS44" i="25"/>
  <c r="AU44" i="25"/>
  <c r="AV44" i="25"/>
  <c r="AX44" i="25"/>
  <c r="AY44" i="25"/>
  <c r="BA44" i="25"/>
  <c r="BB44" i="25"/>
  <c r="BC44" i="25"/>
  <c r="BD44" i="25"/>
  <c r="BE44" i="25"/>
  <c r="BF44" i="25"/>
  <c r="BG44" i="25"/>
  <c r="BH44" i="25"/>
  <c r="BI44" i="25"/>
  <c r="BL44" i="25"/>
  <c r="BM44" i="25"/>
  <c r="BN44" i="25"/>
  <c r="BO44" i="25"/>
  <c r="BP44" i="25"/>
  <c r="BQ44" i="25"/>
  <c r="BR44" i="25"/>
  <c r="BS44" i="25"/>
  <c r="BT44" i="25"/>
  <c r="BW44" i="25"/>
  <c r="BX44" i="25"/>
  <c r="BY44" i="25"/>
  <c r="BZ44" i="25"/>
  <c r="CA44" i="25"/>
  <c r="CB44" i="25"/>
  <c r="CC44" i="25"/>
  <c r="CE44" i="25"/>
  <c r="CF44" i="25"/>
  <c r="CG44" i="25"/>
  <c r="CI44" i="25"/>
  <c r="CJ44" i="25"/>
  <c r="CL44" i="25"/>
  <c r="CT44" i="25"/>
  <c r="CU44" i="25"/>
  <c r="CV44" i="25"/>
  <c r="CW44" i="25"/>
  <c r="CX44" i="25"/>
  <c r="DA44" i="25"/>
  <c r="DB44" i="25"/>
  <c r="DC44" i="25"/>
  <c r="DD44" i="25"/>
  <c r="DE44" i="25"/>
  <c r="DL44" i="25"/>
  <c r="DN44" i="25"/>
  <c r="DO44" i="25"/>
  <c r="DQ44" i="25"/>
  <c r="DR44" i="25"/>
  <c r="L45" i="25"/>
  <c r="N45" i="25"/>
  <c r="O45" i="25"/>
  <c r="P45" i="25"/>
  <c r="Q45" i="25"/>
  <c r="S45" i="25"/>
  <c r="T45" i="25"/>
  <c r="V45" i="25"/>
  <c r="W45" i="25"/>
  <c r="Y45" i="25"/>
  <c r="Z45" i="25"/>
  <c r="AB45" i="25"/>
  <c r="AC45" i="25"/>
  <c r="AE45" i="25"/>
  <c r="AF45" i="25"/>
  <c r="AH45" i="25"/>
  <c r="AI45" i="25"/>
  <c r="AK45" i="25"/>
  <c r="AM45" i="25"/>
  <c r="AO45" i="25"/>
  <c r="AP45" i="25"/>
  <c r="AQ45" i="25"/>
  <c r="AS45" i="25"/>
  <c r="AU45" i="25"/>
  <c r="AV45" i="25"/>
  <c r="AX45" i="25"/>
  <c r="AY45" i="25"/>
  <c r="BA45" i="25"/>
  <c r="BB45" i="25"/>
  <c r="BC45" i="25"/>
  <c r="BD45" i="25"/>
  <c r="BE45" i="25"/>
  <c r="BF45" i="25"/>
  <c r="BG45" i="25"/>
  <c r="BH45" i="25"/>
  <c r="BI45" i="25"/>
  <c r="BL45" i="25"/>
  <c r="BM45" i="25"/>
  <c r="BN45" i="25"/>
  <c r="BO45" i="25"/>
  <c r="BP45" i="25"/>
  <c r="BQ45" i="25"/>
  <c r="BR45" i="25"/>
  <c r="BS45" i="25"/>
  <c r="BT45" i="25"/>
  <c r="BW45" i="25"/>
  <c r="BX45" i="25"/>
  <c r="BY45" i="25"/>
  <c r="BZ45" i="25"/>
  <c r="CA45" i="25"/>
  <c r="CB45" i="25"/>
  <c r="CC45" i="25"/>
  <c r="CE45" i="25"/>
  <c r="CF45" i="25"/>
  <c r="CG45" i="25"/>
  <c r="CI45" i="25"/>
  <c r="CJ45" i="25"/>
  <c r="CL45" i="25"/>
  <c r="CT45" i="25"/>
  <c r="CU45" i="25"/>
  <c r="CV45" i="25"/>
  <c r="CW45" i="25"/>
  <c r="CX45" i="25"/>
  <c r="DA45" i="25"/>
  <c r="DB45" i="25"/>
  <c r="DC45" i="25"/>
  <c r="DD45" i="25"/>
  <c r="DE45" i="25"/>
  <c r="DL45" i="25"/>
  <c r="DN45" i="25"/>
  <c r="DO45" i="25"/>
  <c r="DQ45" i="25"/>
  <c r="DR45" i="25"/>
  <c r="L46" i="25"/>
  <c r="N46" i="25"/>
  <c r="O46" i="25"/>
  <c r="P46" i="25"/>
  <c r="Q46" i="25"/>
  <c r="S46" i="25"/>
  <c r="T46" i="25"/>
  <c r="V46" i="25"/>
  <c r="W46" i="25"/>
  <c r="Y46" i="25"/>
  <c r="Z46" i="25"/>
  <c r="AB46" i="25"/>
  <c r="AC46" i="25"/>
  <c r="AE46" i="25"/>
  <c r="AF46" i="25"/>
  <c r="AH46" i="25"/>
  <c r="AI46" i="25"/>
  <c r="AK46" i="25"/>
  <c r="AM46" i="25"/>
  <c r="AO46" i="25"/>
  <c r="AP46" i="25"/>
  <c r="AQ46" i="25"/>
  <c r="AS46" i="25"/>
  <c r="AU46" i="25"/>
  <c r="AV46" i="25"/>
  <c r="AX46" i="25"/>
  <c r="AY46" i="25"/>
  <c r="BA46" i="25"/>
  <c r="BB46" i="25"/>
  <c r="BC46" i="25"/>
  <c r="BD46" i="25"/>
  <c r="BE46" i="25"/>
  <c r="BF46" i="25"/>
  <c r="BG46" i="25"/>
  <c r="BH46" i="25"/>
  <c r="BI46" i="25"/>
  <c r="BL46" i="25"/>
  <c r="BM46" i="25"/>
  <c r="BN46" i="25"/>
  <c r="BO46" i="25"/>
  <c r="BP46" i="25"/>
  <c r="BQ46" i="25"/>
  <c r="BR46" i="25"/>
  <c r="BS46" i="25"/>
  <c r="BT46" i="25"/>
  <c r="BW46" i="25"/>
  <c r="BX46" i="25"/>
  <c r="BY46" i="25"/>
  <c r="BZ46" i="25"/>
  <c r="CA46" i="25"/>
  <c r="CB46" i="25"/>
  <c r="CC46" i="25"/>
  <c r="CE46" i="25"/>
  <c r="CF46" i="25"/>
  <c r="CG46" i="25"/>
  <c r="CI46" i="25"/>
  <c r="CJ46" i="25"/>
  <c r="CL46" i="25"/>
  <c r="CT46" i="25"/>
  <c r="CU46" i="25"/>
  <c r="CV46" i="25"/>
  <c r="CW46" i="25"/>
  <c r="CX46" i="25"/>
  <c r="DA46" i="25"/>
  <c r="DB46" i="25"/>
  <c r="DC46" i="25"/>
  <c r="DD46" i="25"/>
  <c r="DE46" i="25"/>
  <c r="DL46" i="25"/>
  <c r="DN46" i="25"/>
  <c r="DO46" i="25"/>
  <c r="DQ46" i="25"/>
  <c r="DR46" i="25"/>
  <c r="L47" i="25"/>
  <c r="N47" i="25"/>
  <c r="O47" i="25"/>
  <c r="P47" i="25"/>
  <c r="Q47" i="25"/>
  <c r="S47" i="25"/>
  <c r="T47" i="25"/>
  <c r="V47" i="25"/>
  <c r="W47" i="25"/>
  <c r="Y47" i="25"/>
  <c r="Z47" i="25"/>
  <c r="AB47" i="25"/>
  <c r="AC47" i="25"/>
  <c r="AE47" i="25"/>
  <c r="AF47" i="25"/>
  <c r="AH47" i="25"/>
  <c r="AI47" i="25"/>
  <c r="AK47" i="25"/>
  <c r="AM47" i="25"/>
  <c r="AO47" i="25"/>
  <c r="AP47" i="25"/>
  <c r="AQ47" i="25"/>
  <c r="AR47" i="25"/>
  <c r="AS47" i="25"/>
  <c r="AT47" i="25"/>
  <c r="AU47" i="25"/>
  <c r="AV47" i="25"/>
  <c r="AX47" i="25"/>
  <c r="AY47" i="25"/>
  <c r="BA47" i="25"/>
  <c r="BB47" i="25"/>
  <c r="BC47" i="25"/>
  <c r="BD47" i="25"/>
  <c r="BE47" i="25"/>
  <c r="BF47" i="25"/>
  <c r="BG47" i="25"/>
  <c r="BH47" i="25"/>
  <c r="BI47" i="25"/>
  <c r="BL47" i="25"/>
  <c r="BM47" i="25"/>
  <c r="BN47" i="25"/>
  <c r="BO47" i="25"/>
  <c r="BP47" i="25"/>
  <c r="BQ47" i="25"/>
  <c r="BR47" i="25"/>
  <c r="BS47" i="25"/>
  <c r="BT47" i="25"/>
  <c r="BW47" i="25"/>
  <c r="BX47" i="25"/>
  <c r="BY47" i="25"/>
  <c r="BZ47" i="25"/>
  <c r="CA47" i="25"/>
  <c r="CB47" i="25"/>
  <c r="CC47" i="25"/>
  <c r="CE47" i="25"/>
  <c r="CF47" i="25"/>
  <c r="CG47" i="25"/>
  <c r="CI47" i="25"/>
  <c r="CJ47" i="25"/>
  <c r="CL47" i="25"/>
  <c r="CT47" i="25"/>
  <c r="CU47" i="25"/>
  <c r="CV47" i="25"/>
  <c r="CW47" i="25"/>
  <c r="CX47" i="25"/>
  <c r="CY47" i="25"/>
  <c r="DA47" i="25"/>
  <c r="DB47" i="25"/>
  <c r="DC47" i="25"/>
  <c r="DD47" i="25"/>
  <c r="DE47" i="25"/>
  <c r="DF47" i="25"/>
  <c r="DL47" i="25"/>
  <c r="DN47" i="25"/>
  <c r="DO47" i="25"/>
  <c r="DQ47" i="25"/>
  <c r="DR47" i="25"/>
  <c r="L48" i="25"/>
  <c r="N48" i="25"/>
  <c r="O48" i="25"/>
  <c r="P48" i="25"/>
  <c r="Q48" i="25"/>
  <c r="S48" i="25"/>
  <c r="T48" i="25"/>
  <c r="V48" i="25"/>
  <c r="W48" i="25"/>
  <c r="Y48" i="25"/>
  <c r="Z48" i="25"/>
  <c r="AB48" i="25"/>
  <c r="AC48" i="25"/>
  <c r="AE48" i="25"/>
  <c r="AF48" i="25"/>
  <c r="AH48" i="25"/>
  <c r="AI48" i="25"/>
  <c r="AK48" i="25"/>
  <c r="AM48" i="25"/>
  <c r="AO48" i="25"/>
  <c r="AP48" i="25"/>
  <c r="AQ48" i="25"/>
  <c r="AS48" i="25"/>
  <c r="AU48" i="25"/>
  <c r="AV48" i="25"/>
  <c r="AX48" i="25"/>
  <c r="AY48" i="25"/>
  <c r="BA48" i="25"/>
  <c r="BB48" i="25"/>
  <c r="BC48" i="25"/>
  <c r="BD48" i="25"/>
  <c r="BE48" i="25"/>
  <c r="BF48" i="25"/>
  <c r="BG48" i="25"/>
  <c r="BH48" i="25"/>
  <c r="BI48" i="25"/>
  <c r="BL48" i="25"/>
  <c r="BM48" i="25"/>
  <c r="BN48" i="25"/>
  <c r="BO48" i="25"/>
  <c r="BP48" i="25"/>
  <c r="BQ48" i="25"/>
  <c r="BR48" i="25"/>
  <c r="BS48" i="25"/>
  <c r="BT48" i="25"/>
  <c r="BW48" i="25"/>
  <c r="BX48" i="25"/>
  <c r="BY48" i="25"/>
  <c r="BZ48" i="25"/>
  <c r="CA48" i="25"/>
  <c r="CB48" i="25"/>
  <c r="CC48" i="25"/>
  <c r="CE48" i="25"/>
  <c r="CF48" i="25"/>
  <c r="CG48" i="25"/>
  <c r="CI48" i="25"/>
  <c r="CJ48" i="25"/>
  <c r="CL48" i="25"/>
  <c r="CT48" i="25"/>
  <c r="CU48" i="25"/>
  <c r="CV48" i="25"/>
  <c r="CW48" i="25"/>
  <c r="CX48" i="25"/>
  <c r="DA48" i="25"/>
  <c r="DB48" i="25"/>
  <c r="DC48" i="25"/>
  <c r="DD48" i="25"/>
  <c r="DE48" i="25"/>
  <c r="DL48" i="25"/>
  <c r="DN48" i="25"/>
  <c r="DO48" i="25"/>
  <c r="DQ48" i="25"/>
  <c r="DR48" i="25"/>
  <c r="L49" i="25"/>
  <c r="N49" i="25"/>
  <c r="O49" i="25"/>
  <c r="P49" i="25"/>
  <c r="Q49" i="25"/>
  <c r="S49" i="25"/>
  <c r="T49" i="25"/>
  <c r="V49" i="25"/>
  <c r="W49" i="25"/>
  <c r="Y49" i="25"/>
  <c r="Z49" i="25"/>
  <c r="AB49" i="25"/>
  <c r="AC49" i="25"/>
  <c r="AE49" i="25"/>
  <c r="AF49" i="25"/>
  <c r="AH49" i="25"/>
  <c r="AI49" i="25"/>
  <c r="AK49" i="25"/>
  <c r="AM49" i="25"/>
  <c r="AO49" i="25"/>
  <c r="AP49" i="25"/>
  <c r="AQ49" i="25"/>
  <c r="AS49" i="25"/>
  <c r="AU49" i="25"/>
  <c r="AV49" i="25"/>
  <c r="AX49" i="25"/>
  <c r="AY49" i="25"/>
  <c r="BA49" i="25"/>
  <c r="BB49" i="25"/>
  <c r="BC49" i="25"/>
  <c r="BD49" i="25"/>
  <c r="BE49" i="25"/>
  <c r="BF49" i="25"/>
  <c r="BG49" i="25"/>
  <c r="BH49" i="25"/>
  <c r="BI49" i="25"/>
  <c r="BL49" i="25"/>
  <c r="BM49" i="25"/>
  <c r="BN49" i="25"/>
  <c r="BO49" i="25"/>
  <c r="BP49" i="25"/>
  <c r="BQ49" i="25"/>
  <c r="BR49" i="25"/>
  <c r="BS49" i="25"/>
  <c r="BT49" i="25"/>
  <c r="BW49" i="25"/>
  <c r="BX49" i="25"/>
  <c r="BY49" i="25"/>
  <c r="BZ49" i="25"/>
  <c r="CA49" i="25"/>
  <c r="CB49" i="25"/>
  <c r="CC49" i="25"/>
  <c r="CE49" i="25"/>
  <c r="CF49" i="25"/>
  <c r="CG49" i="25"/>
  <c r="CI49" i="25"/>
  <c r="CJ49" i="25"/>
  <c r="CL49" i="25"/>
  <c r="CT49" i="25"/>
  <c r="CU49" i="25"/>
  <c r="CV49" i="25"/>
  <c r="CW49" i="25"/>
  <c r="CX49" i="25"/>
  <c r="DA49" i="25"/>
  <c r="DB49" i="25"/>
  <c r="DC49" i="25"/>
  <c r="DD49" i="25"/>
  <c r="DE49" i="25"/>
  <c r="DL49" i="25"/>
  <c r="DN49" i="25"/>
  <c r="DO49" i="25"/>
  <c r="DQ49" i="25"/>
  <c r="DR49" i="25"/>
  <c r="L50" i="25"/>
  <c r="N50" i="25"/>
  <c r="O50" i="25"/>
  <c r="P50" i="25"/>
  <c r="Q50" i="25"/>
  <c r="S50" i="25"/>
  <c r="T50" i="25"/>
  <c r="V50" i="25"/>
  <c r="W50" i="25"/>
  <c r="Y50" i="25"/>
  <c r="Z50" i="25"/>
  <c r="AB50" i="25"/>
  <c r="AC50" i="25"/>
  <c r="AE50" i="25"/>
  <c r="AF50" i="25"/>
  <c r="AH50" i="25"/>
  <c r="AI50" i="25"/>
  <c r="AK50" i="25"/>
  <c r="AM50" i="25"/>
  <c r="AO50" i="25"/>
  <c r="AP50" i="25"/>
  <c r="AQ50" i="25"/>
  <c r="AS50" i="25"/>
  <c r="AU50" i="25"/>
  <c r="AV50" i="25"/>
  <c r="AX50" i="25"/>
  <c r="AY50" i="25"/>
  <c r="BA50" i="25"/>
  <c r="BB50" i="25"/>
  <c r="BC50" i="25"/>
  <c r="BD50" i="25"/>
  <c r="BE50" i="25"/>
  <c r="BF50" i="25"/>
  <c r="BG50" i="25"/>
  <c r="BH50" i="25"/>
  <c r="BI50" i="25"/>
  <c r="BL50" i="25"/>
  <c r="BM50" i="25"/>
  <c r="BN50" i="25"/>
  <c r="BO50" i="25"/>
  <c r="BP50" i="25"/>
  <c r="BQ50" i="25"/>
  <c r="BR50" i="25"/>
  <c r="BS50" i="25"/>
  <c r="BT50" i="25"/>
  <c r="BW50" i="25"/>
  <c r="BX50" i="25"/>
  <c r="BY50" i="25"/>
  <c r="BZ50" i="25"/>
  <c r="CA50" i="25"/>
  <c r="CB50" i="25"/>
  <c r="CC50" i="25"/>
  <c r="CE50" i="25"/>
  <c r="CF50" i="25"/>
  <c r="CG50" i="25"/>
  <c r="CI50" i="25"/>
  <c r="CJ50" i="25"/>
  <c r="CL50" i="25"/>
  <c r="CT50" i="25"/>
  <c r="CU50" i="25"/>
  <c r="CV50" i="25"/>
  <c r="CW50" i="25"/>
  <c r="CX50" i="25"/>
  <c r="DA50" i="25"/>
  <c r="DB50" i="25"/>
  <c r="DC50" i="25"/>
  <c r="DD50" i="25"/>
  <c r="DE50" i="25"/>
  <c r="DL50" i="25"/>
  <c r="DN50" i="25"/>
  <c r="DO50" i="25"/>
  <c r="DQ50" i="25"/>
  <c r="DR50" i="25"/>
  <c r="L51" i="25"/>
  <c r="N51" i="25"/>
  <c r="O51" i="25"/>
  <c r="P51" i="25"/>
  <c r="Q51" i="25"/>
  <c r="S51" i="25"/>
  <c r="T51" i="25"/>
  <c r="V51" i="25"/>
  <c r="W51" i="25"/>
  <c r="Y51" i="25"/>
  <c r="Z51" i="25"/>
  <c r="AB51" i="25"/>
  <c r="AC51" i="25"/>
  <c r="AE51" i="25"/>
  <c r="AF51" i="25"/>
  <c r="AH51" i="25"/>
  <c r="AI51" i="25"/>
  <c r="AK51" i="25"/>
  <c r="AM51" i="25"/>
  <c r="AO51" i="25"/>
  <c r="AP51" i="25"/>
  <c r="AQ51" i="25"/>
  <c r="AS51" i="25"/>
  <c r="AU51" i="25"/>
  <c r="AV51" i="25"/>
  <c r="AX51" i="25"/>
  <c r="AY51" i="25"/>
  <c r="BA51" i="25"/>
  <c r="BB51" i="25"/>
  <c r="BC51" i="25"/>
  <c r="BD51" i="25"/>
  <c r="BE51" i="25"/>
  <c r="BF51" i="25"/>
  <c r="BG51" i="25"/>
  <c r="BH51" i="25"/>
  <c r="BI51" i="25"/>
  <c r="BL51" i="25"/>
  <c r="BM51" i="25"/>
  <c r="BN51" i="25"/>
  <c r="BO51" i="25"/>
  <c r="BP51" i="25"/>
  <c r="BQ51" i="25"/>
  <c r="BR51" i="25"/>
  <c r="BS51" i="25"/>
  <c r="BT51" i="25"/>
  <c r="BW51" i="25"/>
  <c r="BX51" i="25"/>
  <c r="BY51" i="25"/>
  <c r="BZ51" i="25"/>
  <c r="CA51" i="25"/>
  <c r="CB51" i="25"/>
  <c r="CC51" i="25"/>
  <c r="CE51" i="25"/>
  <c r="CF51" i="25"/>
  <c r="CG51" i="25"/>
  <c r="CI51" i="25"/>
  <c r="CJ51" i="25"/>
  <c r="CL51" i="25"/>
  <c r="CT51" i="25"/>
  <c r="CU51" i="25"/>
  <c r="CV51" i="25"/>
  <c r="CW51" i="25"/>
  <c r="CX51" i="25"/>
  <c r="DA51" i="25"/>
  <c r="DB51" i="25"/>
  <c r="DC51" i="25"/>
  <c r="DD51" i="25"/>
  <c r="DE51" i="25"/>
  <c r="DL51" i="25"/>
  <c r="DN51" i="25"/>
  <c r="DO51" i="25"/>
  <c r="DQ51" i="25"/>
  <c r="DR51" i="25"/>
  <c r="L52" i="25"/>
  <c r="N52" i="25"/>
  <c r="O52" i="25"/>
  <c r="P52" i="25"/>
  <c r="Q52" i="25"/>
  <c r="S52" i="25"/>
  <c r="T52" i="25"/>
  <c r="V52" i="25"/>
  <c r="W52" i="25"/>
  <c r="Y52" i="25"/>
  <c r="Z52" i="25"/>
  <c r="AB52" i="25"/>
  <c r="AC52" i="25"/>
  <c r="AE52" i="25"/>
  <c r="AF52" i="25"/>
  <c r="AH52" i="25"/>
  <c r="AI52" i="25"/>
  <c r="AK52" i="25"/>
  <c r="AM52" i="25"/>
  <c r="AO52" i="25"/>
  <c r="AP52" i="25"/>
  <c r="AQ52" i="25"/>
  <c r="AS52" i="25"/>
  <c r="AU52" i="25"/>
  <c r="AV52" i="25"/>
  <c r="AX52" i="25"/>
  <c r="AY52" i="25"/>
  <c r="BA52" i="25"/>
  <c r="BB52" i="25"/>
  <c r="BC52" i="25"/>
  <c r="BD52" i="25"/>
  <c r="BE52" i="25"/>
  <c r="BF52" i="25"/>
  <c r="BG52" i="25"/>
  <c r="BH52" i="25"/>
  <c r="BI52" i="25"/>
  <c r="BL52" i="25"/>
  <c r="BM52" i="25"/>
  <c r="BN52" i="25"/>
  <c r="BO52" i="25"/>
  <c r="BP52" i="25"/>
  <c r="BQ52" i="25"/>
  <c r="BR52" i="25"/>
  <c r="BS52" i="25"/>
  <c r="BT52" i="25"/>
  <c r="BW52" i="25"/>
  <c r="BX52" i="25"/>
  <c r="BY52" i="25"/>
  <c r="BZ52" i="25"/>
  <c r="CA52" i="25"/>
  <c r="CB52" i="25"/>
  <c r="CC52" i="25"/>
  <c r="CE52" i="25"/>
  <c r="CF52" i="25"/>
  <c r="CG52" i="25"/>
  <c r="CI52" i="25"/>
  <c r="CJ52" i="25"/>
  <c r="CL52" i="25"/>
  <c r="CT52" i="25"/>
  <c r="CU52" i="25"/>
  <c r="CV52" i="25"/>
  <c r="CW52" i="25"/>
  <c r="CX52" i="25"/>
  <c r="DA52" i="25"/>
  <c r="DB52" i="25"/>
  <c r="DC52" i="25"/>
  <c r="DD52" i="25"/>
  <c r="DE52" i="25"/>
  <c r="DL52" i="25"/>
  <c r="DN52" i="25"/>
  <c r="DO52" i="25"/>
  <c r="DQ52" i="25"/>
  <c r="DR52" i="25"/>
  <c r="L53" i="25"/>
  <c r="N53" i="25"/>
  <c r="O53" i="25"/>
  <c r="P53" i="25"/>
  <c r="Q53" i="25"/>
  <c r="S53" i="25"/>
  <c r="T53" i="25"/>
  <c r="V53" i="25"/>
  <c r="W53" i="25"/>
  <c r="Y53" i="25"/>
  <c r="Z53" i="25"/>
  <c r="AB53" i="25"/>
  <c r="AC53" i="25"/>
  <c r="AE53" i="25"/>
  <c r="AF53" i="25"/>
  <c r="AH53" i="25"/>
  <c r="AI53" i="25"/>
  <c r="AK53" i="25"/>
  <c r="AM53" i="25"/>
  <c r="AO53" i="25"/>
  <c r="AP53" i="25"/>
  <c r="AQ53" i="25"/>
  <c r="AS53" i="25"/>
  <c r="AU53" i="25"/>
  <c r="AV53" i="25"/>
  <c r="AX53" i="25"/>
  <c r="AY53" i="25"/>
  <c r="BA53" i="25"/>
  <c r="BB53" i="25"/>
  <c r="BC53" i="25"/>
  <c r="BD53" i="25"/>
  <c r="BE53" i="25"/>
  <c r="BF53" i="25"/>
  <c r="BG53" i="25"/>
  <c r="BH53" i="25"/>
  <c r="BI53" i="25"/>
  <c r="BL53" i="25"/>
  <c r="BM53" i="25"/>
  <c r="BN53" i="25"/>
  <c r="BO53" i="25"/>
  <c r="BP53" i="25"/>
  <c r="BQ53" i="25"/>
  <c r="BR53" i="25"/>
  <c r="BS53" i="25"/>
  <c r="BT53" i="25"/>
  <c r="BW53" i="25"/>
  <c r="BX53" i="25"/>
  <c r="BY53" i="25"/>
  <c r="BZ53" i="25"/>
  <c r="CA53" i="25"/>
  <c r="CB53" i="25"/>
  <c r="CC53" i="25"/>
  <c r="CE53" i="25"/>
  <c r="CF53" i="25"/>
  <c r="CG53" i="25"/>
  <c r="CI53" i="25"/>
  <c r="CJ53" i="25"/>
  <c r="CL53" i="25"/>
  <c r="CT53" i="25"/>
  <c r="CU53" i="25"/>
  <c r="CV53" i="25"/>
  <c r="CW53" i="25"/>
  <c r="CX53" i="25"/>
  <c r="DA53" i="25"/>
  <c r="DB53" i="25"/>
  <c r="DC53" i="25"/>
  <c r="DD53" i="25"/>
  <c r="DE53" i="25"/>
  <c r="DL53" i="25"/>
  <c r="DN53" i="25"/>
  <c r="DO53" i="25"/>
  <c r="DQ53" i="25"/>
  <c r="DR53" i="25"/>
  <c r="L54" i="25"/>
  <c r="N54" i="25"/>
  <c r="O54" i="25"/>
  <c r="P54" i="25"/>
  <c r="Q54" i="25"/>
  <c r="S54" i="25"/>
  <c r="T54" i="25"/>
  <c r="V54" i="25"/>
  <c r="W54" i="25"/>
  <c r="Y54" i="25"/>
  <c r="Z54" i="25"/>
  <c r="AB54" i="25"/>
  <c r="AC54" i="25"/>
  <c r="AE54" i="25"/>
  <c r="AF54" i="25"/>
  <c r="AH54" i="25"/>
  <c r="AI54" i="25"/>
  <c r="AK54" i="25"/>
  <c r="AM54" i="25"/>
  <c r="AO54" i="25"/>
  <c r="AP54" i="25"/>
  <c r="AQ54" i="25"/>
  <c r="AS54" i="25"/>
  <c r="AU54" i="25"/>
  <c r="AV54" i="25"/>
  <c r="AX54" i="25"/>
  <c r="AY54" i="25"/>
  <c r="BA54" i="25"/>
  <c r="BB54" i="25"/>
  <c r="BC54" i="25"/>
  <c r="BD54" i="25"/>
  <c r="BE54" i="25"/>
  <c r="BF54" i="25"/>
  <c r="BG54" i="25"/>
  <c r="BH54" i="25"/>
  <c r="BI54" i="25"/>
  <c r="BL54" i="25"/>
  <c r="BM54" i="25"/>
  <c r="BN54" i="25"/>
  <c r="BO54" i="25"/>
  <c r="BP54" i="25"/>
  <c r="BQ54" i="25"/>
  <c r="BR54" i="25"/>
  <c r="BS54" i="25"/>
  <c r="BT54" i="25"/>
  <c r="BW54" i="25"/>
  <c r="BX54" i="25"/>
  <c r="BY54" i="25"/>
  <c r="BZ54" i="25"/>
  <c r="CA54" i="25"/>
  <c r="CB54" i="25"/>
  <c r="CC54" i="25"/>
  <c r="CE54" i="25"/>
  <c r="CF54" i="25"/>
  <c r="CG54" i="25"/>
  <c r="CI54" i="25"/>
  <c r="CJ54" i="25"/>
  <c r="CL54" i="25"/>
  <c r="CT54" i="25"/>
  <c r="CU54" i="25"/>
  <c r="CV54" i="25"/>
  <c r="CW54" i="25"/>
  <c r="CX54" i="25"/>
  <c r="DA54" i="25"/>
  <c r="DB54" i="25"/>
  <c r="DC54" i="25"/>
  <c r="DD54" i="25"/>
  <c r="DE54" i="25"/>
  <c r="DL54" i="25"/>
  <c r="DN54" i="25"/>
  <c r="DO54" i="25"/>
  <c r="DQ54" i="25"/>
  <c r="DR54" i="25"/>
  <c r="L55" i="25"/>
  <c r="N55" i="25"/>
  <c r="O55" i="25"/>
  <c r="P55" i="25"/>
  <c r="Q55" i="25"/>
  <c r="S55" i="25"/>
  <c r="T55" i="25"/>
  <c r="V55" i="25"/>
  <c r="W55" i="25"/>
  <c r="Y55" i="25"/>
  <c r="Z55" i="25"/>
  <c r="AB55" i="25"/>
  <c r="AC55" i="25"/>
  <c r="AE55" i="25"/>
  <c r="AF55" i="25"/>
  <c r="AH55" i="25"/>
  <c r="AI55" i="25"/>
  <c r="AK55" i="25"/>
  <c r="AM55" i="25"/>
  <c r="AO55" i="25"/>
  <c r="AP55" i="25"/>
  <c r="AQ55" i="25"/>
  <c r="AS55" i="25"/>
  <c r="AU55" i="25"/>
  <c r="AV55" i="25"/>
  <c r="AX55" i="25"/>
  <c r="AY55" i="25"/>
  <c r="BA55" i="25"/>
  <c r="BB55" i="25"/>
  <c r="BC55" i="25"/>
  <c r="BD55" i="25"/>
  <c r="BE55" i="25"/>
  <c r="BF55" i="25"/>
  <c r="BG55" i="25"/>
  <c r="BH55" i="25"/>
  <c r="BI55" i="25"/>
  <c r="BL55" i="25"/>
  <c r="BM55" i="25"/>
  <c r="BN55" i="25"/>
  <c r="BO55" i="25"/>
  <c r="BP55" i="25"/>
  <c r="BQ55" i="25"/>
  <c r="BR55" i="25"/>
  <c r="BS55" i="25"/>
  <c r="BT55" i="25"/>
  <c r="BW55" i="25"/>
  <c r="BX55" i="25"/>
  <c r="BY55" i="25"/>
  <c r="BZ55" i="25"/>
  <c r="CA55" i="25"/>
  <c r="CB55" i="25"/>
  <c r="CC55" i="25"/>
  <c r="CE55" i="25"/>
  <c r="CF55" i="25"/>
  <c r="CG55" i="25"/>
  <c r="CI55" i="25"/>
  <c r="CJ55" i="25"/>
  <c r="CL55" i="25"/>
  <c r="CT55" i="25"/>
  <c r="CU55" i="25"/>
  <c r="CV55" i="25"/>
  <c r="CW55" i="25"/>
  <c r="CX55" i="25"/>
  <c r="DA55" i="25"/>
  <c r="DB55" i="25"/>
  <c r="DC55" i="25"/>
  <c r="DD55" i="25"/>
  <c r="DE55" i="25"/>
  <c r="DL55" i="25"/>
  <c r="DN55" i="25"/>
  <c r="DO55" i="25"/>
  <c r="DQ55" i="25"/>
  <c r="DR55" i="25"/>
  <c r="L56" i="25"/>
  <c r="N56" i="25"/>
  <c r="O56" i="25"/>
  <c r="P56" i="25"/>
  <c r="Q56" i="25"/>
  <c r="S56" i="25"/>
  <c r="T56" i="25"/>
  <c r="V56" i="25"/>
  <c r="W56" i="25"/>
  <c r="Y56" i="25"/>
  <c r="Z56" i="25"/>
  <c r="AB56" i="25"/>
  <c r="AC56" i="25"/>
  <c r="AE56" i="25"/>
  <c r="AF56" i="25"/>
  <c r="AH56" i="25"/>
  <c r="AI56" i="25"/>
  <c r="AK56" i="25"/>
  <c r="AM56" i="25"/>
  <c r="AO56" i="25"/>
  <c r="AP56" i="25"/>
  <c r="AQ56" i="25"/>
  <c r="AS56" i="25"/>
  <c r="AU56" i="25"/>
  <c r="AV56" i="25"/>
  <c r="AX56" i="25"/>
  <c r="AY56" i="25"/>
  <c r="BA56" i="25"/>
  <c r="BB56" i="25"/>
  <c r="BC56" i="25"/>
  <c r="BD56" i="25"/>
  <c r="BE56" i="25"/>
  <c r="BF56" i="25"/>
  <c r="BG56" i="25"/>
  <c r="BH56" i="25"/>
  <c r="BI56" i="25"/>
  <c r="BL56" i="25"/>
  <c r="BM56" i="25"/>
  <c r="BN56" i="25"/>
  <c r="BO56" i="25"/>
  <c r="BP56" i="25"/>
  <c r="BQ56" i="25"/>
  <c r="BR56" i="25"/>
  <c r="BS56" i="25"/>
  <c r="BT56" i="25"/>
  <c r="BW56" i="25"/>
  <c r="BX56" i="25"/>
  <c r="BY56" i="25"/>
  <c r="BZ56" i="25"/>
  <c r="CA56" i="25"/>
  <c r="CB56" i="25"/>
  <c r="CC56" i="25"/>
  <c r="CE56" i="25"/>
  <c r="CF56" i="25"/>
  <c r="CG56" i="25"/>
  <c r="CI56" i="25"/>
  <c r="CJ56" i="25"/>
  <c r="CL56" i="25"/>
  <c r="CT56" i="25"/>
  <c r="CU56" i="25"/>
  <c r="CV56" i="25"/>
  <c r="CW56" i="25"/>
  <c r="CX56" i="25"/>
  <c r="DA56" i="25"/>
  <c r="DB56" i="25"/>
  <c r="DC56" i="25"/>
  <c r="DD56" i="25"/>
  <c r="DE56" i="25"/>
  <c r="DL56" i="25"/>
  <c r="DN56" i="25"/>
  <c r="DO56" i="25"/>
  <c r="DQ56" i="25"/>
  <c r="DR56" i="25"/>
  <c r="L57" i="25"/>
  <c r="N57" i="25"/>
  <c r="O57" i="25"/>
  <c r="P57" i="25"/>
  <c r="Q57" i="25"/>
  <c r="S57" i="25"/>
  <c r="T57" i="25"/>
  <c r="V57" i="25"/>
  <c r="W57" i="25"/>
  <c r="Y57" i="25"/>
  <c r="Z57" i="25"/>
  <c r="AB57" i="25"/>
  <c r="AC57" i="25"/>
  <c r="AE57" i="25"/>
  <c r="AF57" i="25"/>
  <c r="AH57" i="25"/>
  <c r="AI57" i="25"/>
  <c r="AK57" i="25"/>
  <c r="AM57" i="25"/>
  <c r="AO57" i="25"/>
  <c r="AP57" i="25"/>
  <c r="AQ57" i="25"/>
  <c r="AS57" i="25"/>
  <c r="AU57" i="25"/>
  <c r="AV57" i="25"/>
  <c r="AX57" i="25"/>
  <c r="AY57" i="25"/>
  <c r="BA57" i="25"/>
  <c r="BB57" i="25"/>
  <c r="BC57" i="25"/>
  <c r="BD57" i="25"/>
  <c r="BE57" i="25"/>
  <c r="BF57" i="25"/>
  <c r="BG57" i="25"/>
  <c r="BH57" i="25"/>
  <c r="BI57" i="25"/>
  <c r="BL57" i="25"/>
  <c r="BM57" i="25"/>
  <c r="BN57" i="25"/>
  <c r="BO57" i="25"/>
  <c r="BP57" i="25"/>
  <c r="BQ57" i="25"/>
  <c r="BR57" i="25"/>
  <c r="BS57" i="25"/>
  <c r="BT57" i="25"/>
  <c r="BW57" i="25"/>
  <c r="BX57" i="25"/>
  <c r="BY57" i="25"/>
  <c r="BZ57" i="25"/>
  <c r="CA57" i="25"/>
  <c r="CB57" i="25"/>
  <c r="CC57" i="25"/>
  <c r="CE57" i="25"/>
  <c r="CF57" i="25"/>
  <c r="CG57" i="25"/>
  <c r="CI57" i="25"/>
  <c r="CJ57" i="25"/>
  <c r="CL57" i="25"/>
  <c r="CT57" i="25"/>
  <c r="CU57" i="25"/>
  <c r="CV57" i="25"/>
  <c r="CW57" i="25"/>
  <c r="CX57" i="25"/>
  <c r="DA57" i="25"/>
  <c r="DB57" i="25"/>
  <c r="DC57" i="25"/>
  <c r="DD57" i="25"/>
  <c r="DE57" i="25"/>
  <c r="DL57" i="25"/>
  <c r="DN57" i="25"/>
  <c r="DO57" i="25"/>
  <c r="DQ57" i="25"/>
  <c r="DR57" i="25"/>
  <c r="L58" i="25"/>
  <c r="N58" i="25"/>
  <c r="O58" i="25"/>
  <c r="P58" i="25"/>
  <c r="Q58" i="25"/>
  <c r="S58" i="25"/>
  <c r="T58" i="25"/>
  <c r="V58" i="25"/>
  <c r="W58" i="25"/>
  <c r="Y58" i="25"/>
  <c r="Z58" i="25"/>
  <c r="AB58" i="25"/>
  <c r="AC58" i="25"/>
  <c r="AE58" i="25"/>
  <c r="AF58" i="25"/>
  <c r="AH58" i="25"/>
  <c r="AI58" i="25"/>
  <c r="AK58" i="25"/>
  <c r="AM58" i="25"/>
  <c r="AO58" i="25"/>
  <c r="AP58" i="25"/>
  <c r="AQ58" i="25"/>
  <c r="AS58" i="25"/>
  <c r="AU58" i="25"/>
  <c r="AV58" i="25"/>
  <c r="AX58" i="25"/>
  <c r="AY58" i="25"/>
  <c r="BA58" i="25"/>
  <c r="BB58" i="25"/>
  <c r="BC58" i="25"/>
  <c r="BD58" i="25"/>
  <c r="BE58" i="25"/>
  <c r="BF58" i="25"/>
  <c r="BG58" i="25"/>
  <c r="BH58" i="25"/>
  <c r="BI58" i="25"/>
  <c r="BL58" i="25"/>
  <c r="BM58" i="25"/>
  <c r="BN58" i="25"/>
  <c r="BO58" i="25"/>
  <c r="BP58" i="25"/>
  <c r="BQ58" i="25"/>
  <c r="BR58" i="25"/>
  <c r="BS58" i="25"/>
  <c r="BT58" i="25"/>
  <c r="BW58" i="25"/>
  <c r="BX58" i="25"/>
  <c r="BY58" i="25"/>
  <c r="BZ58" i="25"/>
  <c r="CA58" i="25"/>
  <c r="CB58" i="25"/>
  <c r="CC58" i="25"/>
  <c r="CE58" i="25"/>
  <c r="CF58" i="25"/>
  <c r="CG58" i="25"/>
  <c r="CI58" i="25"/>
  <c r="CJ58" i="25"/>
  <c r="CL58" i="25"/>
  <c r="CT58" i="25"/>
  <c r="CU58" i="25"/>
  <c r="CV58" i="25"/>
  <c r="CW58" i="25"/>
  <c r="CX58" i="25"/>
  <c r="DA58" i="25"/>
  <c r="DB58" i="25"/>
  <c r="DC58" i="25"/>
  <c r="DD58" i="25"/>
  <c r="DE58" i="25"/>
  <c r="DL58" i="25"/>
  <c r="DN58" i="25"/>
  <c r="DO58" i="25"/>
  <c r="DQ58" i="25"/>
  <c r="DR58" i="25"/>
  <c r="L59" i="25"/>
  <c r="N59" i="25"/>
  <c r="O59" i="25"/>
  <c r="P59" i="25"/>
  <c r="Q59" i="25"/>
  <c r="S59" i="25"/>
  <c r="T59" i="25"/>
  <c r="V59" i="25"/>
  <c r="W59" i="25"/>
  <c r="Y59" i="25"/>
  <c r="Z59" i="25"/>
  <c r="AB59" i="25"/>
  <c r="AC59" i="25"/>
  <c r="AE59" i="25"/>
  <c r="AF59" i="25"/>
  <c r="AH59" i="25"/>
  <c r="AI59" i="25"/>
  <c r="AK59" i="25"/>
  <c r="AM59" i="25"/>
  <c r="AO59" i="25"/>
  <c r="AP59" i="25"/>
  <c r="AQ59" i="25"/>
  <c r="AR59" i="25"/>
  <c r="AS59" i="25"/>
  <c r="AT59" i="25"/>
  <c r="AU59" i="25"/>
  <c r="AV59" i="25"/>
  <c r="AX59" i="25"/>
  <c r="AY59" i="25"/>
  <c r="BA59" i="25"/>
  <c r="BB59" i="25"/>
  <c r="BC59" i="25"/>
  <c r="BD59" i="25"/>
  <c r="BE59" i="25"/>
  <c r="BF59" i="25"/>
  <c r="BG59" i="25"/>
  <c r="BH59" i="25"/>
  <c r="BI59" i="25"/>
  <c r="BL59" i="25"/>
  <c r="BM59" i="25"/>
  <c r="BN59" i="25"/>
  <c r="BO59" i="25"/>
  <c r="BP59" i="25"/>
  <c r="BQ59" i="25"/>
  <c r="BR59" i="25"/>
  <c r="BS59" i="25"/>
  <c r="BT59" i="25"/>
  <c r="BW59" i="25"/>
  <c r="BX59" i="25"/>
  <c r="BY59" i="25"/>
  <c r="BZ59" i="25"/>
  <c r="CA59" i="25"/>
  <c r="CB59" i="25"/>
  <c r="CC59" i="25"/>
  <c r="CE59" i="25"/>
  <c r="CF59" i="25"/>
  <c r="CG59" i="25"/>
  <c r="CI59" i="25"/>
  <c r="CJ59" i="25"/>
  <c r="CL59" i="25"/>
  <c r="CT59" i="25"/>
  <c r="CU59" i="25"/>
  <c r="CV59" i="25"/>
  <c r="CW59" i="25"/>
  <c r="CX59" i="25"/>
  <c r="CY59" i="25"/>
  <c r="DA59" i="25"/>
  <c r="DB59" i="25"/>
  <c r="DC59" i="25"/>
  <c r="DD59" i="25"/>
  <c r="DE59" i="25"/>
  <c r="DF59" i="25"/>
  <c r="DL59" i="25"/>
  <c r="DN59" i="25"/>
  <c r="DO59" i="25"/>
  <c r="DQ59" i="25"/>
  <c r="DR59" i="25"/>
  <c r="L60" i="25"/>
  <c r="N60" i="25"/>
  <c r="O60" i="25"/>
  <c r="P60" i="25"/>
  <c r="Q60" i="25"/>
  <c r="S60" i="25"/>
  <c r="T60" i="25"/>
  <c r="V60" i="25"/>
  <c r="W60" i="25"/>
  <c r="Y60" i="25"/>
  <c r="Z60" i="25"/>
  <c r="AB60" i="25"/>
  <c r="AC60" i="25"/>
  <c r="AE60" i="25"/>
  <c r="AF60" i="25"/>
  <c r="AH60" i="25"/>
  <c r="AI60" i="25"/>
  <c r="AK60" i="25"/>
  <c r="AM60" i="25"/>
  <c r="AO60" i="25"/>
  <c r="AP60" i="25"/>
  <c r="AQ60" i="25"/>
  <c r="AS60" i="25"/>
  <c r="AU60" i="25"/>
  <c r="AV60" i="25"/>
  <c r="AX60" i="25"/>
  <c r="AY60" i="25"/>
  <c r="BA60" i="25"/>
  <c r="BB60" i="25"/>
  <c r="BC60" i="25"/>
  <c r="BD60" i="25"/>
  <c r="BE60" i="25"/>
  <c r="BF60" i="25"/>
  <c r="BG60" i="25"/>
  <c r="BH60" i="25"/>
  <c r="BI60" i="25"/>
  <c r="BL60" i="25"/>
  <c r="BM60" i="25"/>
  <c r="BN60" i="25"/>
  <c r="BO60" i="25"/>
  <c r="BP60" i="25"/>
  <c r="BQ60" i="25"/>
  <c r="BR60" i="25"/>
  <c r="BS60" i="25"/>
  <c r="BT60" i="25"/>
  <c r="BW60" i="25"/>
  <c r="BX60" i="25"/>
  <c r="BY60" i="25"/>
  <c r="BZ60" i="25"/>
  <c r="CA60" i="25"/>
  <c r="CB60" i="25"/>
  <c r="CC60" i="25"/>
  <c r="CE60" i="25"/>
  <c r="CF60" i="25"/>
  <c r="CG60" i="25"/>
  <c r="CI60" i="25"/>
  <c r="CJ60" i="25"/>
  <c r="CL60" i="25"/>
  <c r="CT60" i="25"/>
  <c r="CU60" i="25"/>
  <c r="CV60" i="25"/>
  <c r="CW60" i="25"/>
  <c r="CX60" i="25"/>
  <c r="DA60" i="25"/>
  <c r="DB60" i="25"/>
  <c r="DC60" i="25"/>
  <c r="DD60" i="25"/>
  <c r="DE60" i="25"/>
  <c r="DL60" i="25"/>
  <c r="DN60" i="25"/>
  <c r="DO60" i="25"/>
  <c r="DQ60" i="25"/>
  <c r="DR60" i="25"/>
  <c r="L61" i="25"/>
  <c r="N61" i="25"/>
  <c r="O61" i="25"/>
  <c r="P61" i="25"/>
  <c r="Q61" i="25"/>
  <c r="S61" i="25"/>
  <c r="T61" i="25"/>
  <c r="V61" i="25"/>
  <c r="W61" i="25"/>
  <c r="Y61" i="25"/>
  <c r="Z61" i="25"/>
  <c r="AB61" i="25"/>
  <c r="AC61" i="25"/>
  <c r="AE61" i="25"/>
  <c r="AF61" i="25"/>
  <c r="AH61" i="25"/>
  <c r="AI61" i="25"/>
  <c r="AK61" i="25"/>
  <c r="AM61" i="25"/>
  <c r="AO61" i="25"/>
  <c r="AP61" i="25"/>
  <c r="AQ61" i="25"/>
  <c r="AS61" i="25"/>
  <c r="AU61" i="25"/>
  <c r="AV61" i="25"/>
  <c r="AX61" i="25"/>
  <c r="AY61" i="25"/>
  <c r="BA61" i="25"/>
  <c r="BB61" i="25"/>
  <c r="BC61" i="25"/>
  <c r="BD61" i="25"/>
  <c r="BE61" i="25"/>
  <c r="BF61" i="25"/>
  <c r="BG61" i="25"/>
  <c r="BH61" i="25"/>
  <c r="BI61" i="25"/>
  <c r="BL61" i="25"/>
  <c r="BM61" i="25"/>
  <c r="BN61" i="25"/>
  <c r="BO61" i="25"/>
  <c r="BP61" i="25"/>
  <c r="BQ61" i="25"/>
  <c r="BR61" i="25"/>
  <c r="BS61" i="25"/>
  <c r="BT61" i="25"/>
  <c r="BW61" i="25"/>
  <c r="BX61" i="25"/>
  <c r="BY61" i="25"/>
  <c r="BZ61" i="25"/>
  <c r="CA61" i="25"/>
  <c r="CB61" i="25"/>
  <c r="CC61" i="25"/>
  <c r="CE61" i="25"/>
  <c r="CF61" i="25"/>
  <c r="CG61" i="25"/>
  <c r="CI61" i="25"/>
  <c r="CJ61" i="25"/>
  <c r="CL61" i="25"/>
  <c r="CT61" i="25"/>
  <c r="CU61" i="25"/>
  <c r="CV61" i="25"/>
  <c r="CW61" i="25"/>
  <c r="CX61" i="25"/>
  <c r="DA61" i="25"/>
  <c r="DB61" i="25"/>
  <c r="DC61" i="25"/>
  <c r="DD61" i="25"/>
  <c r="DE61" i="25"/>
  <c r="DL61" i="25"/>
  <c r="DN61" i="25"/>
  <c r="DO61" i="25"/>
  <c r="DQ61" i="25"/>
  <c r="DR61" i="25"/>
  <c r="L62" i="25"/>
  <c r="N62" i="25"/>
  <c r="O62" i="25"/>
  <c r="P62" i="25"/>
  <c r="Q62" i="25"/>
  <c r="S62" i="25"/>
  <c r="T62" i="25"/>
  <c r="V62" i="25"/>
  <c r="W62" i="25"/>
  <c r="Y62" i="25"/>
  <c r="Z62" i="25"/>
  <c r="AB62" i="25"/>
  <c r="AC62" i="25"/>
  <c r="AE62" i="25"/>
  <c r="AF62" i="25"/>
  <c r="AH62" i="25"/>
  <c r="AI62" i="25"/>
  <c r="AK62" i="25"/>
  <c r="AM62" i="25"/>
  <c r="AO62" i="25"/>
  <c r="AP62" i="25"/>
  <c r="AQ62" i="25"/>
  <c r="AS62" i="25"/>
  <c r="AU62" i="25"/>
  <c r="AV62" i="25"/>
  <c r="AX62" i="25"/>
  <c r="AY62" i="25"/>
  <c r="BA62" i="25"/>
  <c r="BB62" i="25"/>
  <c r="BC62" i="25"/>
  <c r="BD62" i="25"/>
  <c r="BE62" i="25"/>
  <c r="BF62" i="25"/>
  <c r="BG62" i="25"/>
  <c r="BH62" i="25"/>
  <c r="BI62" i="25"/>
  <c r="BL62" i="25"/>
  <c r="BM62" i="25"/>
  <c r="BN62" i="25"/>
  <c r="BO62" i="25"/>
  <c r="BP62" i="25"/>
  <c r="BQ62" i="25"/>
  <c r="BR62" i="25"/>
  <c r="BS62" i="25"/>
  <c r="BT62" i="25"/>
  <c r="BW62" i="25"/>
  <c r="BX62" i="25"/>
  <c r="BY62" i="25"/>
  <c r="BZ62" i="25"/>
  <c r="CA62" i="25"/>
  <c r="CB62" i="25"/>
  <c r="CC62" i="25"/>
  <c r="CE62" i="25"/>
  <c r="CF62" i="25"/>
  <c r="CG62" i="25"/>
  <c r="CI62" i="25"/>
  <c r="CJ62" i="25"/>
  <c r="CL62" i="25"/>
  <c r="CT62" i="25"/>
  <c r="CU62" i="25"/>
  <c r="CV62" i="25"/>
  <c r="CW62" i="25"/>
  <c r="CX62" i="25"/>
  <c r="DA62" i="25"/>
  <c r="DB62" i="25"/>
  <c r="DC62" i="25"/>
  <c r="DD62" i="25"/>
  <c r="DE62" i="25"/>
  <c r="DL62" i="25"/>
  <c r="DN62" i="25"/>
  <c r="DO62" i="25"/>
  <c r="DQ62" i="25"/>
  <c r="DR62" i="25"/>
  <c r="L63" i="25"/>
  <c r="N63" i="25"/>
  <c r="O63" i="25"/>
  <c r="P63" i="25"/>
  <c r="Q63" i="25"/>
  <c r="S63" i="25"/>
  <c r="T63" i="25"/>
  <c r="V63" i="25"/>
  <c r="W63" i="25"/>
  <c r="Y63" i="25"/>
  <c r="Z63" i="25"/>
  <c r="AB63" i="25"/>
  <c r="AC63" i="25"/>
  <c r="AE63" i="25"/>
  <c r="AF63" i="25"/>
  <c r="AH63" i="25"/>
  <c r="AI63" i="25"/>
  <c r="AK63" i="25"/>
  <c r="AM63" i="25"/>
  <c r="AO63" i="25"/>
  <c r="AP63" i="25"/>
  <c r="AQ63" i="25"/>
  <c r="AS63" i="25"/>
  <c r="AU63" i="25"/>
  <c r="AV63" i="25"/>
  <c r="AX63" i="25"/>
  <c r="AY63" i="25"/>
  <c r="BA63" i="25"/>
  <c r="BB63" i="25"/>
  <c r="BC63" i="25"/>
  <c r="BD63" i="25"/>
  <c r="BE63" i="25"/>
  <c r="BF63" i="25"/>
  <c r="BG63" i="25"/>
  <c r="BH63" i="25"/>
  <c r="BI63" i="25"/>
  <c r="BL63" i="25"/>
  <c r="BM63" i="25"/>
  <c r="BN63" i="25"/>
  <c r="BO63" i="25"/>
  <c r="BP63" i="25"/>
  <c r="BQ63" i="25"/>
  <c r="BR63" i="25"/>
  <c r="BS63" i="25"/>
  <c r="BT63" i="25"/>
  <c r="BW63" i="25"/>
  <c r="BX63" i="25"/>
  <c r="BY63" i="25"/>
  <c r="BZ63" i="25"/>
  <c r="CA63" i="25"/>
  <c r="CB63" i="25"/>
  <c r="CC63" i="25"/>
  <c r="CE63" i="25"/>
  <c r="CF63" i="25"/>
  <c r="CG63" i="25"/>
  <c r="CI63" i="25"/>
  <c r="CJ63" i="25"/>
  <c r="CL63" i="25"/>
  <c r="CT63" i="25"/>
  <c r="CU63" i="25"/>
  <c r="CV63" i="25"/>
  <c r="CW63" i="25"/>
  <c r="CX63" i="25"/>
  <c r="DA63" i="25"/>
  <c r="DB63" i="25"/>
  <c r="DC63" i="25"/>
  <c r="DD63" i="25"/>
  <c r="DE63" i="25"/>
  <c r="DL63" i="25"/>
  <c r="DN63" i="25"/>
  <c r="DO63" i="25"/>
  <c r="DQ63" i="25"/>
  <c r="DR63" i="25"/>
  <c r="L64" i="25"/>
  <c r="N64" i="25"/>
  <c r="O64" i="25"/>
  <c r="P64" i="25"/>
  <c r="Q64" i="25"/>
  <c r="S64" i="25"/>
  <c r="T64" i="25"/>
  <c r="V64" i="25"/>
  <c r="W64" i="25"/>
  <c r="Y64" i="25"/>
  <c r="Z64" i="25"/>
  <c r="AB64" i="25"/>
  <c r="AC64" i="25"/>
  <c r="AE64" i="25"/>
  <c r="AF64" i="25"/>
  <c r="AH64" i="25"/>
  <c r="AI64" i="25"/>
  <c r="AK64" i="25"/>
  <c r="AM64" i="25"/>
  <c r="AO64" i="25"/>
  <c r="AP64" i="25"/>
  <c r="AQ64" i="25"/>
  <c r="AS64" i="25"/>
  <c r="AU64" i="25"/>
  <c r="AV64" i="25"/>
  <c r="AX64" i="25"/>
  <c r="AY64" i="25"/>
  <c r="BA64" i="25"/>
  <c r="BB64" i="25"/>
  <c r="BC64" i="25"/>
  <c r="BD64" i="25"/>
  <c r="BE64" i="25"/>
  <c r="BF64" i="25"/>
  <c r="BG64" i="25"/>
  <c r="BH64" i="25"/>
  <c r="BI64" i="25"/>
  <c r="BL64" i="25"/>
  <c r="BM64" i="25"/>
  <c r="BN64" i="25"/>
  <c r="BO64" i="25"/>
  <c r="BP64" i="25"/>
  <c r="BQ64" i="25"/>
  <c r="BR64" i="25"/>
  <c r="BS64" i="25"/>
  <c r="BT64" i="25"/>
  <c r="BW64" i="25"/>
  <c r="BX64" i="25"/>
  <c r="BY64" i="25"/>
  <c r="BZ64" i="25"/>
  <c r="CA64" i="25"/>
  <c r="CB64" i="25"/>
  <c r="CC64" i="25"/>
  <c r="CE64" i="25"/>
  <c r="CF64" i="25"/>
  <c r="CG64" i="25"/>
  <c r="CI64" i="25"/>
  <c r="CJ64" i="25"/>
  <c r="CL64" i="25"/>
  <c r="CT64" i="25"/>
  <c r="CU64" i="25"/>
  <c r="CV64" i="25"/>
  <c r="CW64" i="25"/>
  <c r="CX64" i="25"/>
  <c r="DA64" i="25"/>
  <c r="DB64" i="25"/>
  <c r="DC64" i="25"/>
  <c r="DD64" i="25"/>
  <c r="DE64" i="25"/>
  <c r="DL64" i="25"/>
  <c r="DN64" i="25"/>
  <c r="DO64" i="25"/>
  <c r="DQ64" i="25"/>
  <c r="DR64" i="25"/>
  <c r="L65" i="25"/>
  <c r="N65" i="25"/>
  <c r="O65" i="25"/>
  <c r="P65" i="25"/>
  <c r="Q65" i="25"/>
  <c r="S65" i="25"/>
  <c r="T65" i="25"/>
  <c r="V65" i="25"/>
  <c r="W65" i="25"/>
  <c r="Y65" i="25"/>
  <c r="Z65" i="25"/>
  <c r="AB65" i="25"/>
  <c r="AC65" i="25"/>
  <c r="AE65" i="25"/>
  <c r="AF65" i="25"/>
  <c r="AH65" i="25"/>
  <c r="AI65" i="25"/>
  <c r="AK65" i="25"/>
  <c r="AM65" i="25"/>
  <c r="AO65" i="25"/>
  <c r="AP65" i="25"/>
  <c r="AQ65" i="25"/>
  <c r="AS65" i="25"/>
  <c r="AU65" i="25"/>
  <c r="AV65" i="25"/>
  <c r="AX65" i="25"/>
  <c r="AY65" i="25"/>
  <c r="BA65" i="25"/>
  <c r="BB65" i="25"/>
  <c r="BC65" i="25"/>
  <c r="BD65" i="25"/>
  <c r="BE65" i="25"/>
  <c r="BF65" i="25"/>
  <c r="BG65" i="25"/>
  <c r="BH65" i="25"/>
  <c r="BI65" i="25"/>
  <c r="BL65" i="25"/>
  <c r="BM65" i="25"/>
  <c r="BN65" i="25"/>
  <c r="BO65" i="25"/>
  <c r="BP65" i="25"/>
  <c r="BQ65" i="25"/>
  <c r="BR65" i="25"/>
  <c r="BS65" i="25"/>
  <c r="BT65" i="25"/>
  <c r="BW65" i="25"/>
  <c r="BX65" i="25"/>
  <c r="BY65" i="25"/>
  <c r="BZ65" i="25"/>
  <c r="CA65" i="25"/>
  <c r="CB65" i="25"/>
  <c r="CC65" i="25"/>
  <c r="CE65" i="25"/>
  <c r="CF65" i="25"/>
  <c r="CG65" i="25"/>
  <c r="CI65" i="25"/>
  <c r="CJ65" i="25"/>
  <c r="CL65" i="25"/>
  <c r="CT65" i="25"/>
  <c r="CU65" i="25"/>
  <c r="CV65" i="25"/>
  <c r="CW65" i="25"/>
  <c r="CX65" i="25"/>
  <c r="DA65" i="25"/>
  <c r="DB65" i="25"/>
  <c r="DC65" i="25"/>
  <c r="DD65" i="25"/>
  <c r="DE65" i="25"/>
  <c r="DL65" i="25"/>
  <c r="DN65" i="25"/>
  <c r="DO65" i="25"/>
  <c r="DQ65" i="25"/>
  <c r="DR65" i="25"/>
  <c r="L66" i="25"/>
  <c r="N66" i="25"/>
  <c r="O66" i="25"/>
  <c r="P66" i="25"/>
  <c r="Q66" i="25"/>
  <c r="S66" i="25"/>
  <c r="T66" i="25"/>
  <c r="V66" i="25"/>
  <c r="W66" i="25"/>
  <c r="Y66" i="25"/>
  <c r="Z66" i="25"/>
  <c r="AB66" i="25"/>
  <c r="AC66" i="25"/>
  <c r="AE66" i="25"/>
  <c r="AF66" i="25"/>
  <c r="AH66" i="25"/>
  <c r="AI66" i="25"/>
  <c r="AK66" i="25"/>
  <c r="AM66" i="25"/>
  <c r="AO66" i="25"/>
  <c r="AP66" i="25"/>
  <c r="AQ66" i="25"/>
  <c r="AS66" i="25"/>
  <c r="AU66" i="25"/>
  <c r="AV66" i="25"/>
  <c r="AX66" i="25"/>
  <c r="AY66" i="25"/>
  <c r="BA66" i="25"/>
  <c r="BB66" i="25"/>
  <c r="BC66" i="25"/>
  <c r="BD66" i="25"/>
  <c r="BE66" i="25"/>
  <c r="BF66" i="25"/>
  <c r="BG66" i="25"/>
  <c r="BH66" i="25"/>
  <c r="BI66" i="25"/>
  <c r="BL66" i="25"/>
  <c r="BM66" i="25"/>
  <c r="BN66" i="25"/>
  <c r="BO66" i="25"/>
  <c r="BP66" i="25"/>
  <c r="BQ66" i="25"/>
  <c r="BR66" i="25"/>
  <c r="BS66" i="25"/>
  <c r="BT66" i="25"/>
  <c r="BW66" i="25"/>
  <c r="BX66" i="25"/>
  <c r="BY66" i="25"/>
  <c r="BZ66" i="25"/>
  <c r="CA66" i="25"/>
  <c r="CB66" i="25"/>
  <c r="CC66" i="25"/>
  <c r="CE66" i="25"/>
  <c r="CF66" i="25"/>
  <c r="CG66" i="25"/>
  <c r="CI66" i="25"/>
  <c r="CJ66" i="25"/>
  <c r="CL66" i="25"/>
  <c r="CT66" i="25"/>
  <c r="CU66" i="25"/>
  <c r="CV66" i="25"/>
  <c r="CW66" i="25"/>
  <c r="CX66" i="25"/>
  <c r="DA66" i="25"/>
  <c r="DB66" i="25"/>
  <c r="DC66" i="25"/>
  <c r="DD66" i="25"/>
  <c r="DE66" i="25"/>
  <c r="DL66" i="25"/>
  <c r="DN66" i="25"/>
  <c r="DO66" i="25"/>
  <c r="DQ66" i="25"/>
  <c r="DR66" i="25"/>
  <c r="L67" i="25"/>
  <c r="N67" i="25"/>
  <c r="O67" i="25"/>
  <c r="P67" i="25"/>
  <c r="Q67" i="25"/>
  <c r="S67" i="25"/>
  <c r="T67" i="25"/>
  <c r="V67" i="25"/>
  <c r="W67" i="25"/>
  <c r="Y67" i="25"/>
  <c r="Z67" i="25"/>
  <c r="AB67" i="25"/>
  <c r="AC67" i="25"/>
  <c r="AE67" i="25"/>
  <c r="AF67" i="25"/>
  <c r="AH67" i="25"/>
  <c r="AI67" i="25"/>
  <c r="AK67" i="25"/>
  <c r="AM67" i="25"/>
  <c r="AO67" i="25"/>
  <c r="AP67" i="25"/>
  <c r="AQ67" i="25"/>
  <c r="AS67" i="25"/>
  <c r="AU67" i="25"/>
  <c r="AV67" i="25"/>
  <c r="AX67" i="25"/>
  <c r="AY67" i="25"/>
  <c r="BA67" i="25"/>
  <c r="BB67" i="25"/>
  <c r="BC67" i="25"/>
  <c r="BD67" i="25"/>
  <c r="BE67" i="25"/>
  <c r="BF67" i="25"/>
  <c r="BG67" i="25"/>
  <c r="BH67" i="25"/>
  <c r="BI67" i="25"/>
  <c r="BL67" i="25"/>
  <c r="BM67" i="25"/>
  <c r="BN67" i="25"/>
  <c r="BO67" i="25"/>
  <c r="BP67" i="25"/>
  <c r="BQ67" i="25"/>
  <c r="BR67" i="25"/>
  <c r="BS67" i="25"/>
  <c r="BT67" i="25"/>
  <c r="BW67" i="25"/>
  <c r="BX67" i="25"/>
  <c r="BY67" i="25"/>
  <c r="BZ67" i="25"/>
  <c r="CA67" i="25"/>
  <c r="CB67" i="25"/>
  <c r="CC67" i="25"/>
  <c r="CE67" i="25"/>
  <c r="CF67" i="25"/>
  <c r="CG67" i="25"/>
  <c r="CI67" i="25"/>
  <c r="CJ67" i="25"/>
  <c r="CL67" i="25"/>
  <c r="CT67" i="25"/>
  <c r="CU67" i="25"/>
  <c r="CV67" i="25"/>
  <c r="CW67" i="25"/>
  <c r="CX67" i="25"/>
  <c r="DA67" i="25"/>
  <c r="DB67" i="25"/>
  <c r="DC67" i="25"/>
  <c r="DD67" i="25"/>
  <c r="DE67" i="25"/>
  <c r="DL67" i="25"/>
  <c r="DN67" i="25"/>
  <c r="DO67" i="25"/>
  <c r="DQ67" i="25"/>
  <c r="DR67" i="25"/>
  <c r="L68" i="25"/>
  <c r="N68" i="25"/>
  <c r="O68" i="25"/>
  <c r="P68" i="25"/>
  <c r="Q68" i="25"/>
  <c r="S68" i="25"/>
  <c r="T68" i="25"/>
  <c r="V68" i="25"/>
  <c r="W68" i="25"/>
  <c r="Y68" i="25"/>
  <c r="Z68" i="25"/>
  <c r="AB68" i="25"/>
  <c r="AC68" i="25"/>
  <c r="AE68" i="25"/>
  <c r="AF68" i="25"/>
  <c r="AH68" i="25"/>
  <c r="AI68" i="25"/>
  <c r="AK68" i="25"/>
  <c r="AM68" i="25"/>
  <c r="AO68" i="25"/>
  <c r="AP68" i="25"/>
  <c r="AQ68" i="25"/>
  <c r="AS68" i="25"/>
  <c r="AU68" i="25"/>
  <c r="AV68" i="25"/>
  <c r="AX68" i="25"/>
  <c r="AY68" i="25"/>
  <c r="BA68" i="25"/>
  <c r="BB68" i="25"/>
  <c r="BC68" i="25"/>
  <c r="BD68" i="25"/>
  <c r="BE68" i="25"/>
  <c r="BF68" i="25"/>
  <c r="BG68" i="25"/>
  <c r="BH68" i="25"/>
  <c r="BI68" i="25"/>
  <c r="BL68" i="25"/>
  <c r="BM68" i="25"/>
  <c r="BN68" i="25"/>
  <c r="BO68" i="25"/>
  <c r="BP68" i="25"/>
  <c r="BQ68" i="25"/>
  <c r="BR68" i="25"/>
  <c r="BS68" i="25"/>
  <c r="BT68" i="25"/>
  <c r="BW68" i="25"/>
  <c r="BX68" i="25"/>
  <c r="BY68" i="25"/>
  <c r="BZ68" i="25"/>
  <c r="CA68" i="25"/>
  <c r="CB68" i="25"/>
  <c r="CC68" i="25"/>
  <c r="CE68" i="25"/>
  <c r="CF68" i="25"/>
  <c r="CG68" i="25"/>
  <c r="CI68" i="25"/>
  <c r="CJ68" i="25"/>
  <c r="CL68" i="25"/>
  <c r="CT68" i="25"/>
  <c r="CU68" i="25"/>
  <c r="CV68" i="25"/>
  <c r="CW68" i="25"/>
  <c r="CX68" i="25"/>
  <c r="DA68" i="25"/>
  <c r="DB68" i="25"/>
  <c r="DC68" i="25"/>
  <c r="DD68" i="25"/>
  <c r="DE68" i="25"/>
  <c r="DL68" i="25"/>
  <c r="DN68" i="25"/>
  <c r="DO68" i="25"/>
  <c r="DQ68" i="25"/>
  <c r="DR68" i="25"/>
  <c r="L69" i="25"/>
  <c r="N69" i="25"/>
  <c r="O69" i="25"/>
  <c r="P69" i="25"/>
  <c r="Q69" i="25"/>
  <c r="S69" i="25"/>
  <c r="T69" i="25"/>
  <c r="V69" i="25"/>
  <c r="W69" i="25"/>
  <c r="Y69" i="25"/>
  <c r="Z69" i="25"/>
  <c r="AB69" i="25"/>
  <c r="AC69" i="25"/>
  <c r="AE69" i="25"/>
  <c r="AF69" i="25"/>
  <c r="AH69" i="25"/>
  <c r="AI69" i="25"/>
  <c r="AK69" i="25"/>
  <c r="AM69" i="25"/>
  <c r="AO69" i="25"/>
  <c r="AP69" i="25"/>
  <c r="AQ69" i="25"/>
  <c r="AS69" i="25"/>
  <c r="AU69" i="25"/>
  <c r="AV69" i="25"/>
  <c r="AX69" i="25"/>
  <c r="AY69" i="25"/>
  <c r="BA69" i="25"/>
  <c r="BB69" i="25"/>
  <c r="BC69" i="25"/>
  <c r="BD69" i="25"/>
  <c r="BE69" i="25"/>
  <c r="BF69" i="25"/>
  <c r="BG69" i="25"/>
  <c r="BH69" i="25"/>
  <c r="BI69" i="25"/>
  <c r="BL69" i="25"/>
  <c r="BM69" i="25"/>
  <c r="BN69" i="25"/>
  <c r="BO69" i="25"/>
  <c r="BP69" i="25"/>
  <c r="BQ69" i="25"/>
  <c r="BR69" i="25"/>
  <c r="BS69" i="25"/>
  <c r="BT69" i="25"/>
  <c r="BW69" i="25"/>
  <c r="BX69" i="25"/>
  <c r="BY69" i="25"/>
  <c r="BZ69" i="25"/>
  <c r="CA69" i="25"/>
  <c r="CB69" i="25"/>
  <c r="CC69" i="25"/>
  <c r="CE69" i="25"/>
  <c r="CF69" i="25"/>
  <c r="CG69" i="25"/>
  <c r="CI69" i="25"/>
  <c r="CJ69" i="25"/>
  <c r="CL69" i="25"/>
  <c r="CT69" i="25"/>
  <c r="CU69" i="25"/>
  <c r="CV69" i="25"/>
  <c r="CW69" i="25"/>
  <c r="CX69" i="25"/>
  <c r="DA69" i="25"/>
  <c r="DB69" i="25"/>
  <c r="DC69" i="25"/>
  <c r="DD69" i="25"/>
  <c r="DE69" i="25"/>
  <c r="DL69" i="25"/>
  <c r="DN69" i="25"/>
  <c r="DO69" i="25"/>
  <c r="DQ69" i="25"/>
  <c r="DR69" i="25"/>
  <c r="L70" i="25"/>
  <c r="N70" i="25"/>
  <c r="O70" i="25"/>
  <c r="P70" i="25"/>
  <c r="Q70" i="25"/>
  <c r="S70" i="25"/>
  <c r="T70" i="25"/>
  <c r="V70" i="25"/>
  <c r="W70" i="25"/>
  <c r="Y70" i="25"/>
  <c r="Z70" i="25"/>
  <c r="AB70" i="25"/>
  <c r="AC70" i="25"/>
  <c r="AE70" i="25"/>
  <c r="AF70" i="25"/>
  <c r="AH70" i="25"/>
  <c r="AI70" i="25"/>
  <c r="AK70" i="25"/>
  <c r="AM70" i="25"/>
  <c r="AO70" i="25"/>
  <c r="AP70" i="25"/>
  <c r="AQ70" i="25"/>
  <c r="AS70" i="25"/>
  <c r="AU70" i="25"/>
  <c r="AV70" i="25"/>
  <c r="AX70" i="25"/>
  <c r="AY70" i="25"/>
  <c r="BA70" i="25"/>
  <c r="BB70" i="25"/>
  <c r="BC70" i="25"/>
  <c r="BD70" i="25"/>
  <c r="BE70" i="25"/>
  <c r="BF70" i="25"/>
  <c r="BG70" i="25"/>
  <c r="BH70" i="25"/>
  <c r="BI70" i="25"/>
  <c r="BL70" i="25"/>
  <c r="BM70" i="25"/>
  <c r="BN70" i="25"/>
  <c r="BO70" i="25"/>
  <c r="BP70" i="25"/>
  <c r="BQ70" i="25"/>
  <c r="BR70" i="25"/>
  <c r="BS70" i="25"/>
  <c r="BT70" i="25"/>
  <c r="BW70" i="25"/>
  <c r="BX70" i="25"/>
  <c r="BY70" i="25"/>
  <c r="BZ70" i="25"/>
  <c r="CA70" i="25"/>
  <c r="CB70" i="25"/>
  <c r="CC70" i="25"/>
  <c r="CE70" i="25"/>
  <c r="CF70" i="25"/>
  <c r="CG70" i="25"/>
  <c r="CI70" i="25"/>
  <c r="CJ70" i="25"/>
  <c r="CL70" i="25"/>
  <c r="CT70" i="25"/>
  <c r="CU70" i="25"/>
  <c r="CV70" i="25"/>
  <c r="CW70" i="25"/>
  <c r="CX70" i="25"/>
  <c r="DA70" i="25"/>
  <c r="DB70" i="25"/>
  <c r="DC70" i="25"/>
  <c r="DD70" i="25"/>
  <c r="DE70" i="25"/>
  <c r="DL70" i="25"/>
  <c r="DN70" i="25"/>
  <c r="DO70" i="25"/>
  <c r="DQ70" i="25"/>
  <c r="DR70" i="25"/>
  <c r="L71" i="25"/>
  <c r="N71" i="25"/>
  <c r="O71" i="25"/>
  <c r="P71" i="25"/>
  <c r="Q71" i="25"/>
  <c r="S71" i="25"/>
  <c r="T71" i="25"/>
  <c r="V71" i="25"/>
  <c r="W71" i="25"/>
  <c r="Y71" i="25"/>
  <c r="Z71" i="25"/>
  <c r="AB71" i="25"/>
  <c r="AC71" i="25"/>
  <c r="AE71" i="25"/>
  <c r="AF71" i="25"/>
  <c r="AH71" i="25"/>
  <c r="AI71" i="25"/>
  <c r="AK71" i="25"/>
  <c r="AM71" i="25"/>
  <c r="AO71" i="25"/>
  <c r="AP71" i="25"/>
  <c r="AQ71" i="25"/>
  <c r="AR71" i="25"/>
  <c r="AS71" i="25"/>
  <c r="AT71" i="25"/>
  <c r="AU71" i="25"/>
  <c r="AV71" i="25"/>
  <c r="AX71" i="25"/>
  <c r="AY71" i="25"/>
  <c r="BA71" i="25"/>
  <c r="BB71" i="25"/>
  <c r="BC71" i="25"/>
  <c r="BD71" i="25"/>
  <c r="BE71" i="25"/>
  <c r="BF71" i="25"/>
  <c r="BG71" i="25"/>
  <c r="BH71" i="25"/>
  <c r="BI71" i="25"/>
  <c r="BL71" i="25"/>
  <c r="BM71" i="25"/>
  <c r="BN71" i="25"/>
  <c r="BO71" i="25"/>
  <c r="BP71" i="25"/>
  <c r="BQ71" i="25"/>
  <c r="BR71" i="25"/>
  <c r="BS71" i="25"/>
  <c r="BT71" i="25"/>
  <c r="BW71" i="25"/>
  <c r="BX71" i="25"/>
  <c r="BY71" i="25"/>
  <c r="BZ71" i="25"/>
  <c r="CA71" i="25"/>
  <c r="CB71" i="25"/>
  <c r="CC71" i="25"/>
  <c r="CE71" i="25"/>
  <c r="CF71" i="25"/>
  <c r="CG71" i="25"/>
  <c r="CI71" i="25"/>
  <c r="CJ71" i="25"/>
  <c r="CL71" i="25"/>
  <c r="CT71" i="25"/>
  <c r="CU71" i="25"/>
  <c r="CV71" i="25"/>
  <c r="CW71" i="25"/>
  <c r="CX71" i="25"/>
  <c r="CY71" i="25"/>
  <c r="DA71" i="25"/>
  <c r="DB71" i="25"/>
  <c r="DC71" i="25"/>
  <c r="DD71" i="25"/>
  <c r="DE71" i="25"/>
  <c r="DF71" i="25"/>
  <c r="DL71" i="25"/>
  <c r="DN71" i="25"/>
  <c r="DO71" i="25"/>
  <c r="DQ71" i="25"/>
  <c r="DR71" i="25"/>
  <c r="L72" i="25"/>
  <c r="N72" i="25"/>
  <c r="O72" i="25"/>
  <c r="P72" i="25"/>
  <c r="Q72" i="25"/>
  <c r="S72" i="25"/>
  <c r="T72" i="25"/>
  <c r="V72" i="25"/>
  <c r="W72" i="25"/>
  <c r="Y72" i="25"/>
  <c r="Z72" i="25"/>
  <c r="AB72" i="25"/>
  <c r="AC72" i="25"/>
  <c r="AE72" i="25"/>
  <c r="AF72" i="25"/>
  <c r="AH72" i="25"/>
  <c r="AI72" i="25"/>
  <c r="AK72" i="25"/>
  <c r="AM72" i="25"/>
  <c r="AO72" i="25"/>
  <c r="AP72" i="25"/>
  <c r="AQ72" i="25"/>
  <c r="AS72" i="25"/>
  <c r="AU72" i="25"/>
  <c r="AV72" i="25"/>
  <c r="AX72" i="25"/>
  <c r="AY72" i="25"/>
  <c r="BA72" i="25"/>
  <c r="BB72" i="25"/>
  <c r="BC72" i="25"/>
  <c r="BD72" i="25"/>
  <c r="BE72" i="25"/>
  <c r="BF72" i="25"/>
  <c r="BG72" i="25"/>
  <c r="BH72" i="25"/>
  <c r="BI72" i="25"/>
  <c r="BL72" i="25"/>
  <c r="BM72" i="25"/>
  <c r="BN72" i="25"/>
  <c r="BO72" i="25"/>
  <c r="BP72" i="25"/>
  <c r="BQ72" i="25"/>
  <c r="BR72" i="25"/>
  <c r="BS72" i="25"/>
  <c r="BT72" i="25"/>
  <c r="BW72" i="25"/>
  <c r="BX72" i="25"/>
  <c r="BY72" i="25"/>
  <c r="BZ72" i="25"/>
  <c r="CA72" i="25"/>
  <c r="CB72" i="25"/>
  <c r="CC72" i="25"/>
  <c r="CE72" i="25"/>
  <c r="CF72" i="25"/>
  <c r="CG72" i="25"/>
  <c r="CI72" i="25"/>
  <c r="CJ72" i="25"/>
  <c r="CL72" i="25"/>
  <c r="CT72" i="25"/>
  <c r="CU72" i="25"/>
  <c r="CV72" i="25"/>
  <c r="CW72" i="25"/>
  <c r="CX72" i="25"/>
  <c r="DA72" i="25"/>
  <c r="DB72" i="25"/>
  <c r="DC72" i="25"/>
  <c r="DD72" i="25"/>
  <c r="DE72" i="25"/>
  <c r="DL72" i="25"/>
  <c r="DN72" i="25"/>
  <c r="DO72" i="25"/>
  <c r="DQ72" i="25"/>
  <c r="DR72" i="25"/>
  <c r="L73" i="25"/>
  <c r="N73" i="25"/>
  <c r="O73" i="25"/>
  <c r="P73" i="25"/>
  <c r="Q73" i="25"/>
  <c r="S73" i="25"/>
  <c r="T73" i="25"/>
  <c r="V73" i="25"/>
  <c r="W73" i="25"/>
  <c r="Y73" i="25"/>
  <c r="Z73" i="25"/>
  <c r="AB73" i="25"/>
  <c r="AC73" i="25"/>
  <c r="AE73" i="25"/>
  <c r="AF73" i="25"/>
  <c r="AH73" i="25"/>
  <c r="AI73" i="25"/>
  <c r="AK73" i="25"/>
  <c r="AM73" i="25"/>
  <c r="AO73" i="25"/>
  <c r="AP73" i="25"/>
  <c r="AQ73" i="25"/>
  <c r="AS73" i="25"/>
  <c r="AU73" i="25"/>
  <c r="AV73" i="25"/>
  <c r="AX73" i="25"/>
  <c r="AY73" i="25"/>
  <c r="BA73" i="25"/>
  <c r="BB73" i="25"/>
  <c r="BC73" i="25"/>
  <c r="BD73" i="25"/>
  <c r="BE73" i="25"/>
  <c r="BF73" i="25"/>
  <c r="BG73" i="25"/>
  <c r="BH73" i="25"/>
  <c r="BI73" i="25"/>
  <c r="BL73" i="25"/>
  <c r="BM73" i="25"/>
  <c r="BN73" i="25"/>
  <c r="BO73" i="25"/>
  <c r="BP73" i="25"/>
  <c r="BQ73" i="25"/>
  <c r="BR73" i="25"/>
  <c r="BS73" i="25"/>
  <c r="BT73" i="25"/>
  <c r="BW73" i="25"/>
  <c r="BX73" i="25"/>
  <c r="BY73" i="25"/>
  <c r="BZ73" i="25"/>
  <c r="CA73" i="25"/>
  <c r="CB73" i="25"/>
  <c r="CC73" i="25"/>
  <c r="CE73" i="25"/>
  <c r="CF73" i="25"/>
  <c r="CG73" i="25"/>
  <c r="CI73" i="25"/>
  <c r="CJ73" i="25"/>
  <c r="CL73" i="25"/>
  <c r="CT73" i="25"/>
  <c r="CU73" i="25"/>
  <c r="CV73" i="25"/>
  <c r="CW73" i="25"/>
  <c r="CX73" i="25"/>
  <c r="DA73" i="25"/>
  <c r="DB73" i="25"/>
  <c r="DC73" i="25"/>
  <c r="DD73" i="25"/>
  <c r="DE73" i="25"/>
  <c r="DL73" i="25"/>
  <c r="DN73" i="25"/>
  <c r="DO73" i="25"/>
  <c r="DQ73" i="25"/>
  <c r="DR73" i="25"/>
  <c r="L74" i="25"/>
  <c r="N74" i="25"/>
  <c r="O74" i="25"/>
  <c r="P74" i="25"/>
  <c r="Q74" i="25"/>
  <c r="S74" i="25"/>
  <c r="T74" i="25"/>
  <c r="V74" i="25"/>
  <c r="W74" i="25"/>
  <c r="Y74" i="25"/>
  <c r="Z74" i="25"/>
  <c r="AB74" i="25"/>
  <c r="AC74" i="25"/>
  <c r="AE74" i="25"/>
  <c r="AF74" i="25"/>
  <c r="AH74" i="25"/>
  <c r="AI74" i="25"/>
  <c r="AK74" i="25"/>
  <c r="AM74" i="25"/>
  <c r="AO74" i="25"/>
  <c r="AP74" i="25"/>
  <c r="AQ74" i="25"/>
  <c r="AS74" i="25"/>
  <c r="AU74" i="25"/>
  <c r="AV74" i="25"/>
  <c r="AX74" i="25"/>
  <c r="AY74" i="25"/>
  <c r="BA74" i="25"/>
  <c r="BB74" i="25"/>
  <c r="BC74" i="25"/>
  <c r="BD74" i="25"/>
  <c r="BE74" i="25"/>
  <c r="BF74" i="25"/>
  <c r="BG74" i="25"/>
  <c r="BH74" i="25"/>
  <c r="BI74" i="25"/>
  <c r="BL74" i="25"/>
  <c r="BM74" i="25"/>
  <c r="BN74" i="25"/>
  <c r="BO74" i="25"/>
  <c r="BP74" i="25"/>
  <c r="BQ74" i="25"/>
  <c r="BR74" i="25"/>
  <c r="BS74" i="25"/>
  <c r="BT74" i="25"/>
  <c r="BW74" i="25"/>
  <c r="BX74" i="25"/>
  <c r="BY74" i="25"/>
  <c r="BZ74" i="25"/>
  <c r="CA74" i="25"/>
  <c r="CB74" i="25"/>
  <c r="CC74" i="25"/>
  <c r="CE74" i="25"/>
  <c r="CF74" i="25"/>
  <c r="CG74" i="25"/>
  <c r="CI74" i="25"/>
  <c r="CJ74" i="25"/>
  <c r="CL74" i="25"/>
  <c r="CT74" i="25"/>
  <c r="CU74" i="25"/>
  <c r="CV74" i="25"/>
  <c r="CW74" i="25"/>
  <c r="CX74" i="25"/>
  <c r="DA74" i="25"/>
  <c r="DB74" i="25"/>
  <c r="DC74" i="25"/>
  <c r="DD74" i="25"/>
  <c r="DE74" i="25"/>
  <c r="DL74" i="25"/>
  <c r="DN74" i="25"/>
  <c r="DO74" i="25"/>
  <c r="DQ74" i="25"/>
  <c r="DR74" i="25"/>
  <c r="L75" i="25"/>
  <c r="N75" i="25"/>
  <c r="O75" i="25"/>
  <c r="P75" i="25"/>
  <c r="Q75" i="25"/>
  <c r="S75" i="25"/>
  <c r="T75" i="25"/>
  <c r="V75" i="25"/>
  <c r="W75" i="25"/>
  <c r="Y75" i="25"/>
  <c r="Z75" i="25"/>
  <c r="AB75" i="25"/>
  <c r="AC75" i="25"/>
  <c r="AE75" i="25"/>
  <c r="AF75" i="25"/>
  <c r="AH75" i="25"/>
  <c r="AI75" i="25"/>
  <c r="AK75" i="25"/>
  <c r="AM75" i="25"/>
  <c r="AO75" i="25"/>
  <c r="AP75" i="25"/>
  <c r="AQ75" i="25"/>
  <c r="AS75" i="25"/>
  <c r="AU75" i="25"/>
  <c r="AV75" i="25"/>
  <c r="AX75" i="25"/>
  <c r="AY75" i="25"/>
  <c r="BA75" i="25"/>
  <c r="BB75" i="25"/>
  <c r="BC75" i="25"/>
  <c r="BD75" i="25"/>
  <c r="BE75" i="25"/>
  <c r="BF75" i="25"/>
  <c r="BG75" i="25"/>
  <c r="BH75" i="25"/>
  <c r="BI75" i="25"/>
  <c r="BL75" i="25"/>
  <c r="BM75" i="25"/>
  <c r="BN75" i="25"/>
  <c r="BO75" i="25"/>
  <c r="BP75" i="25"/>
  <c r="BQ75" i="25"/>
  <c r="BR75" i="25"/>
  <c r="BS75" i="25"/>
  <c r="BT75" i="25"/>
  <c r="BW75" i="25"/>
  <c r="BX75" i="25"/>
  <c r="BY75" i="25"/>
  <c r="BZ75" i="25"/>
  <c r="CA75" i="25"/>
  <c r="CB75" i="25"/>
  <c r="CC75" i="25"/>
  <c r="CE75" i="25"/>
  <c r="CF75" i="25"/>
  <c r="CG75" i="25"/>
  <c r="CI75" i="25"/>
  <c r="CJ75" i="25"/>
  <c r="CL75" i="25"/>
  <c r="CT75" i="25"/>
  <c r="CU75" i="25"/>
  <c r="CV75" i="25"/>
  <c r="CW75" i="25"/>
  <c r="CX75" i="25"/>
  <c r="DA75" i="25"/>
  <c r="DB75" i="25"/>
  <c r="DC75" i="25"/>
  <c r="DD75" i="25"/>
  <c r="DE75" i="25"/>
  <c r="DL75" i="25"/>
  <c r="DN75" i="25"/>
  <c r="DO75" i="25"/>
  <c r="DQ75" i="25"/>
  <c r="DR75" i="25"/>
  <c r="L76" i="25"/>
  <c r="N76" i="25"/>
  <c r="O76" i="25"/>
  <c r="P76" i="25"/>
  <c r="Q76" i="25"/>
  <c r="S76" i="25"/>
  <c r="T76" i="25"/>
  <c r="V76" i="25"/>
  <c r="W76" i="25"/>
  <c r="Y76" i="25"/>
  <c r="Z76" i="25"/>
  <c r="AB76" i="25"/>
  <c r="AC76" i="25"/>
  <c r="AE76" i="25"/>
  <c r="AF76" i="25"/>
  <c r="AH76" i="25"/>
  <c r="AI76" i="25"/>
  <c r="AK76" i="25"/>
  <c r="AM76" i="25"/>
  <c r="AO76" i="25"/>
  <c r="AP76" i="25"/>
  <c r="AQ76" i="25"/>
  <c r="AS76" i="25"/>
  <c r="AU76" i="25"/>
  <c r="AV76" i="25"/>
  <c r="AX76" i="25"/>
  <c r="AY76" i="25"/>
  <c r="BA76" i="25"/>
  <c r="BB76" i="25"/>
  <c r="BC76" i="25"/>
  <c r="BD76" i="25"/>
  <c r="BE76" i="25"/>
  <c r="BF76" i="25"/>
  <c r="BG76" i="25"/>
  <c r="BH76" i="25"/>
  <c r="BI76" i="25"/>
  <c r="BL76" i="25"/>
  <c r="BM76" i="25"/>
  <c r="BN76" i="25"/>
  <c r="BO76" i="25"/>
  <c r="BP76" i="25"/>
  <c r="BQ76" i="25"/>
  <c r="BR76" i="25"/>
  <c r="BS76" i="25"/>
  <c r="BT76" i="25"/>
  <c r="BW76" i="25"/>
  <c r="BX76" i="25"/>
  <c r="BY76" i="25"/>
  <c r="BZ76" i="25"/>
  <c r="CA76" i="25"/>
  <c r="CB76" i="25"/>
  <c r="CC76" i="25"/>
  <c r="CE76" i="25"/>
  <c r="CF76" i="25"/>
  <c r="CG76" i="25"/>
  <c r="CI76" i="25"/>
  <c r="CJ76" i="25"/>
  <c r="CL76" i="25"/>
  <c r="CT76" i="25"/>
  <c r="CU76" i="25"/>
  <c r="CV76" i="25"/>
  <c r="CW76" i="25"/>
  <c r="CX76" i="25"/>
  <c r="DA76" i="25"/>
  <c r="DB76" i="25"/>
  <c r="DC76" i="25"/>
  <c r="DD76" i="25"/>
  <c r="DE76" i="25"/>
  <c r="DL76" i="25"/>
  <c r="DN76" i="25"/>
  <c r="DO76" i="25"/>
  <c r="DQ76" i="25"/>
  <c r="DR76" i="25"/>
  <c r="L77" i="25"/>
  <c r="N77" i="25"/>
  <c r="O77" i="25"/>
  <c r="P77" i="25"/>
  <c r="Q77" i="25"/>
  <c r="S77" i="25"/>
  <c r="T77" i="25"/>
  <c r="V77" i="25"/>
  <c r="W77" i="25"/>
  <c r="Y77" i="25"/>
  <c r="Z77" i="25"/>
  <c r="AB77" i="25"/>
  <c r="AC77" i="25"/>
  <c r="AE77" i="25"/>
  <c r="AF77" i="25"/>
  <c r="AH77" i="25"/>
  <c r="AI77" i="25"/>
  <c r="AK77" i="25"/>
  <c r="AM77" i="25"/>
  <c r="AO77" i="25"/>
  <c r="AP77" i="25"/>
  <c r="AQ77" i="25"/>
  <c r="AS77" i="25"/>
  <c r="AU77" i="25"/>
  <c r="AV77" i="25"/>
  <c r="AX77" i="25"/>
  <c r="AY77" i="25"/>
  <c r="BA77" i="25"/>
  <c r="BB77" i="25"/>
  <c r="BC77" i="25"/>
  <c r="BD77" i="25"/>
  <c r="BE77" i="25"/>
  <c r="BF77" i="25"/>
  <c r="BG77" i="25"/>
  <c r="BH77" i="25"/>
  <c r="BI77" i="25"/>
  <c r="BL77" i="25"/>
  <c r="BM77" i="25"/>
  <c r="BN77" i="25"/>
  <c r="BO77" i="25"/>
  <c r="BP77" i="25"/>
  <c r="BQ77" i="25"/>
  <c r="BR77" i="25"/>
  <c r="BS77" i="25"/>
  <c r="BT77" i="25"/>
  <c r="BW77" i="25"/>
  <c r="BX77" i="25"/>
  <c r="BY77" i="25"/>
  <c r="BZ77" i="25"/>
  <c r="CA77" i="25"/>
  <c r="CB77" i="25"/>
  <c r="CC77" i="25"/>
  <c r="CE77" i="25"/>
  <c r="CF77" i="25"/>
  <c r="CG77" i="25"/>
  <c r="CI77" i="25"/>
  <c r="CJ77" i="25"/>
  <c r="CL77" i="25"/>
  <c r="CT77" i="25"/>
  <c r="CU77" i="25"/>
  <c r="CV77" i="25"/>
  <c r="CW77" i="25"/>
  <c r="CX77" i="25"/>
  <c r="DA77" i="25"/>
  <c r="DB77" i="25"/>
  <c r="DC77" i="25"/>
  <c r="DD77" i="25"/>
  <c r="DE77" i="25"/>
  <c r="DL77" i="25"/>
  <c r="DN77" i="25"/>
  <c r="DO77" i="25"/>
  <c r="DQ77" i="25"/>
  <c r="DR77" i="25"/>
  <c r="L78" i="25"/>
  <c r="N78" i="25"/>
  <c r="O78" i="25"/>
  <c r="P78" i="25"/>
  <c r="Q78" i="25"/>
  <c r="S78" i="25"/>
  <c r="T78" i="25"/>
  <c r="V78" i="25"/>
  <c r="W78" i="25"/>
  <c r="Y78" i="25"/>
  <c r="Z78" i="25"/>
  <c r="AB78" i="25"/>
  <c r="AC78" i="25"/>
  <c r="AE78" i="25"/>
  <c r="AF78" i="25"/>
  <c r="AH78" i="25"/>
  <c r="AI78" i="25"/>
  <c r="AK78" i="25"/>
  <c r="AM78" i="25"/>
  <c r="AO78" i="25"/>
  <c r="AP78" i="25"/>
  <c r="AQ78" i="25"/>
  <c r="AS78" i="25"/>
  <c r="AU78" i="25"/>
  <c r="AV78" i="25"/>
  <c r="AX78" i="25"/>
  <c r="AY78" i="25"/>
  <c r="BA78" i="25"/>
  <c r="BB78" i="25"/>
  <c r="BC78" i="25"/>
  <c r="BD78" i="25"/>
  <c r="BE78" i="25"/>
  <c r="BF78" i="25"/>
  <c r="BG78" i="25"/>
  <c r="BH78" i="25"/>
  <c r="BI78" i="25"/>
  <c r="BL78" i="25"/>
  <c r="BM78" i="25"/>
  <c r="BN78" i="25"/>
  <c r="BO78" i="25"/>
  <c r="BP78" i="25"/>
  <c r="BQ78" i="25"/>
  <c r="BR78" i="25"/>
  <c r="BS78" i="25"/>
  <c r="BT78" i="25"/>
  <c r="BW78" i="25"/>
  <c r="BX78" i="25"/>
  <c r="BY78" i="25"/>
  <c r="BZ78" i="25"/>
  <c r="CA78" i="25"/>
  <c r="CB78" i="25"/>
  <c r="CC78" i="25"/>
  <c r="CE78" i="25"/>
  <c r="CF78" i="25"/>
  <c r="CG78" i="25"/>
  <c r="CI78" i="25"/>
  <c r="CJ78" i="25"/>
  <c r="CL78" i="25"/>
  <c r="CT78" i="25"/>
  <c r="CU78" i="25"/>
  <c r="CV78" i="25"/>
  <c r="CW78" i="25"/>
  <c r="CX78" i="25"/>
  <c r="DA78" i="25"/>
  <c r="DB78" i="25"/>
  <c r="DC78" i="25"/>
  <c r="DD78" i="25"/>
  <c r="DE78" i="25"/>
  <c r="DL78" i="25"/>
  <c r="DN78" i="25"/>
  <c r="DO78" i="25"/>
  <c r="DQ78" i="25"/>
  <c r="DR78" i="25"/>
  <c r="L79" i="25"/>
  <c r="N79" i="25"/>
  <c r="O79" i="25"/>
  <c r="P79" i="25"/>
  <c r="Q79" i="25"/>
  <c r="S79" i="25"/>
  <c r="T79" i="25"/>
  <c r="V79" i="25"/>
  <c r="W79" i="25"/>
  <c r="Y79" i="25"/>
  <c r="Z79" i="25"/>
  <c r="AB79" i="25"/>
  <c r="AC79" i="25"/>
  <c r="AE79" i="25"/>
  <c r="AF79" i="25"/>
  <c r="AH79" i="25"/>
  <c r="AI79" i="25"/>
  <c r="AK79" i="25"/>
  <c r="AM79" i="25"/>
  <c r="AO79" i="25"/>
  <c r="AP79" i="25"/>
  <c r="AQ79" i="25"/>
  <c r="AS79" i="25"/>
  <c r="AU79" i="25"/>
  <c r="AV79" i="25"/>
  <c r="AX79" i="25"/>
  <c r="AY79" i="25"/>
  <c r="BA79" i="25"/>
  <c r="BB79" i="25"/>
  <c r="BC79" i="25"/>
  <c r="BD79" i="25"/>
  <c r="BE79" i="25"/>
  <c r="BF79" i="25"/>
  <c r="BG79" i="25"/>
  <c r="BH79" i="25"/>
  <c r="BI79" i="25"/>
  <c r="BL79" i="25"/>
  <c r="BM79" i="25"/>
  <c r="BN79" i="25"/>
  <c r="BO79" i="25"/>
  <c r="BP79" i="25"/>
  <c r="BQ79" i="25"/>
  <c r="BR79" i="25"/>
  <c r="BS79" i="25"/>
  <c r="BT79" i="25"/>
  <c r="BW79" i="25"/>
  <c r="BX79" i="25"/>
  <c r="BY79" i="25"/>
  <c r="BZ79" i="25"/>
  <c r="CA79" i="25"/>
  <c r="CB79" i="25"/>
  <c r="CC79" i="25"/>
  <c r="CE79" i="25"/>
  <c r="CF79" i="25"/>
  <c r="CG79" i="25"/>
  <c r="CI79" i="25"/>
  <c r="CJ79" i="25"/>
  <c r="CL79" i="25"/>
  <c r="CT79" i="25"/>
  <c r="CU79" i="25"/>
  <c r="CV79" i="25"/>
  <c r="CW79" i="25"/>
  <c r="CX79" i="25"/>
  <c r="DA79" i="25"/>
  <c r="DB79" i="25"/>
  <c r="DC79" i="25"/>
  <c r="DD79" i="25"/>
  <c r="DE79" i="25"/>
  <c r="DL79" i="25"/>
  <c r="DN79" i="25"/>
  <c r="DO79" i="25"/>
  <c r="DQ79" i="25"/>
  <c r="DR79" i="25"/>
  <c r="L80" i="25"/>
  <c r="N80" i="25"/>
  <c r="O80" i="25"/>
  <c r="P80" i="25"/>
  <c r="Q80" i="25"/>
  <c r="S80" i="25"/>
  <c r="T80" i="25"/>
  <c r="V80" i="25"/>
  <c r="W80" i="25"/>
  <c r="Y80" i="25"/>
  <c r="Z80" i="25"/>
  <c r="AB80" i="25"/>
  <c r="AC80" i="25"/>
  <c r="AE80" i="25"/>
  <c r="AF80" i="25"/>
  <c r="AH80" i="25"/>
  <c r="AI80" i="25"/>
  <c r="AK80" i="25"/>
  <c r="AM80" i="25"/>
  <c r="AO80" i="25"/>
  <c r="AP80" i="25"/>
  <c r="AQ80" i="25"/>
  <c r="AS80" i="25"/>
  <c r="AU80" i="25"/>
  <c r="AV80" i="25"/>
  <c r="AX80" i="25"/>
  <c r="AY80" i="25"/>
  <c r="BA80" i="25"/>
  <c r="BB80" i="25"/>
  <c r="BC80" i="25"/>
  <c r="BD80" i="25"/>
  <c r="BE80" i="25"/>
  <c r="BF80" i="25"/>
  <c r="BG80" i="25"/>
  <c r="BH80" i="25"/>
  <c r="BI80" i="25"/>
  <c r="BL80" i="25"/>
  <c r="BM80" i="25"/>
  <c r="BN80" i="25"/>
  <c r="BO80" i="25"/>
  <c r="BP80" i="25"/>
  <c r="BQ80" i="25"/>
  <c r="BR80" i="25"/>
  <c r="BS80" i="25"/>
  <c r="BT80" i="25"/>
  <c r="BW80" i="25"/>
  <c r="BX80" i="25"/>
  <c r="BY80" i="25"/>
  <c r="BZ80" i="25"/>
  <c r="CA80" i="25"/>
  <c r="CB80" i="25"/>
  <c r="CC80" i="25"/>
  <c r="CE80" i="25"/>
  <c r="CF80" i="25"/>
  <c r="CG80" i="25"/>
  <c r="CI80" i="25"/>
  <c r="CJ80" i="25"/>
  <c r="CL80" i="25"/>
  <c r="CT80" i="25"/>
  <c r="CU80" i="25"/>
  <c r="CV80" i="25"/>
  <c r="CW80" i="25"/>
  <c r="CX80" i="25"/>
  <c r="DA80" i="25"/>
  <c r="DB80" i="25"/>
  <c r="DC80" i="25"/>
  <c r="DD80" i="25"/>
  <c r="DE80" i="25"/>
  <c r="DL80" i="25"/>
  <c r="DN80" i="25"/>
  <c r="DO80" i="25"/>
  <c r="DQ80" i="25"/>
  <c r="DR80" i="25"/>
  <c r="L81" i="25"/>
  <c r="N81" i="25"/>
  <c r="O81" i="25"/>
  <c r="P81" i="25"/>
  <c r="Q81" i="25"/>
  <c r="S81" i="25"/>
  <c r="T81" i="25"/>
  <c r="V81" i="25"/>
  <c r="W81" i="25"/>
  <c r="Y81" i="25"/>
  <c r="Z81" i="25"/>
  <c r="AB81" i="25"/>
  <c r="AC81" i="25"/>
  <c r="AE81" i="25"/>
  <c r="AF81" i="25"/>
  <c r="AH81" i="25"/>
  <c r="AI81" i="25"/>
  <c r="AK81" i="25"/>
  <c r="AM81" i="25"/>
  <c r="AO81" i="25"/>
  <c r="AP81" i="25"/>
  <c r="AQ81" i="25"/>
  <c r="AS81" i="25"/>
  <c r="AU81" i="25"/>
  <c r="AV81" i="25"/>
  <c r="AX81" i="25"/>
  <c r="AY81" i="25"/>
  <c r="BA81" i="25"/>
  <c r="BB81" i="25"/>
  <c r="BC81" i="25"/>
  <c r="BD81" i="25"/>
  <c r="BE81" i="25"/>
  <c r="BF81" i="25"/>
  <c r="BG81" i="25"/>
  <c r="BH81" i="25"/>
  <c r="BI81" i="25"/>
  <c r="BL81" i="25"/>
  <c r="BM81" i="25"/>
  <c r="BN81" i="25"/>
  <c r="BO81" i="25"/>
  <c r="BP81" i="25"/>
  <c r="BQ81" i="25"/>
  <c r="BR81" i="25"/>
  <c r="BS81" i="25"/>
  <c r="BT81" i="25"/>
  <c r="BW81" i="25"/>
  <c r="BX81" i="25"/>
  <c r="BY81" i="25"/>
  <c r="BZ81" i="25"/>
  <c r="CA81" i="25"/>
  <c r="CB81" i="25"/>
  <c r="CC81" i="25"/>
  <c r="CE81" i="25"/>
  <c r="CF81" i="25"/>
  <c r="CG81" i="25"/>
  <c r="CI81" i="25"/>
  <c r="CJ81" i="25"/>
  <c r="CL81" i="25"/>
  <c r="CT81" i="25"/>
  <c r="CU81" i="25"/>
  <c r="CV81" i="25"/>
  <c r="CW81" i="25"/>
  <c r="CX81" i="25"/>
  <c r="DA81" i="25"/>
  <c r="DB81" i="25"/>
  <c r="DC81" i="25"/>
  <c r="DD81" i="25"/>
  <c r="DE81" i="25"/>
  <c r="DL81" i="25"/>
  <c r="DN81" i="25"/>
  <c r="DO81" i="25"/>
  <c r="DQ81" i="25"/>
  <c r="DR81" i="25"/>
  <c r="L82" i="25"/>
  <c r="N82" i="25"/>
  <c r="O82" i="25"/>
  <c r="P82" i="25"/>
  <c r="Q82" i="25"/>
  <c r="S82" i="25"/>
  <c r="T82" i="25"/>
  <c r="V82" i="25"/>
  <c r="W82" i="25"/>
  <c r="Y82" i="25"/>
  <c r="Z82" i="25"/>
  <c r="AB82" i="25"/>
  <c r="AC82" i="25"/>
  <c r="AE82" i="25"/>
  <c r="AF82" i="25"/>
  <c r="AH82" i="25"/>
  <c r="AI82" i="25"/>
  <c r="AK82" i="25"/>
  <c r="AM82" i="25"/>
  <c r="AO82" i="25"/>
  <c r="AP82" i="25"/>
  <c r="AQ82" i="25"/>
  <c r="AS82" i="25"/>
  <c r="AU82" i="25"/>
  <c r="AV82" i="25"/>
  <c r="AX82" i="25"/>
  <c r="AY82" i="25"/>
  <c r="BA82" i="25"/>
  <c r="BB82" i="25"/>
  <c r="BC82" i="25"/>
  <c r="BD82" i="25"/>
  <c r="BE82" i="25"/>
  <c r="BF82" i="25"/>
  <c r="BG82" i="25"/>
  <c r="BH82" i="25"/>
  <c r="BI82" i="25"/>
  <c r="BL82" i="25"/>
  <c r="BM82" i="25"/>
  <c r="BN82" i="25"/>
  <c r="BO82" i="25"/>
  <c r="BP82" i="25"/>
  <c r="BQ82" i="25"/>
  <c r="BR82" i="25"/>
  <c r="BS82" i="25"/>
  <c r="BT82" i="25"/>
  <c r="BW82" i="25"/>
  <c r="BX82" i="25"/>
  <c r="BY82" i="25"/>
  <c r="BZ82" i="25"/>
  <c r="CA82" i="25"/>
  <c r="CB82" i="25"/>
  <c r="CC82" i="25"/>
  <c r="CE82" i="25"/>
  <c r="CF82" i="25"/>
  <c r="CG82" i="25"/>
  <c r="CI82" i="25"/>
  <c r="CJ82" i="25"/>
  <c r="CL82" i="25"/>
  <c r="CT82" i="25"/>
  <c r="CU82" i="25"/>
  <c r="CV82" i="25"/>
  <c r="CW82" i="25"/>
  <c r="CX82" i="25"/>
  <c r="DA82" i="25"/>
  <c r="DB82" i="25"/>
  <c r="DC82" i="25"/>
  <c r="DD82" i="25"/>
  <c r="DE82" i="25"/>
  <c r="DL82" i="25"/>
  <c r="DN82" i="25"/>
  <c r="DO82" i="25"/>
  <c r="DQ82" i="25"/>
  <c r="DR82" i="25"/>
  <c r="L83" i="25"/>
  <c r="N83" i="25"/>
  <c r="O83" i="25"/>
  <c r="P83" i="25"/>
  <c r="Q83" i="25"/>
  <c r="S83" i="25"/>
  <c r="T83" i="25"/>
  <c r="V83" i="25"/>
  <c r="W83" i="25"/>
  <c r="Y83" i="25"/>
  <c r="Z83" i="25"/>
  <c r="AB83" i="25"/>
  <c r="AC83" i="25"/>
  <c r="AE83" i="25"/>
  <c r="AF83" i="25"/>
  <c r="AH83" i="25"/>
  <c r="AI83" i="25"/>
  <c r="AK83" i="25"/>
  <c r="AM83" i="25"/>
  <c r="AO83" i="25"/>
  <c r="AP83" i="25"/>
  <c r="AQ83" i="25"/>
  <c r="AR83" i="25"/>
  <c r="AS83" i="25"/>
  <c r="AT83" i="25"/>
  <c r="AU83" i="25"/>
  <c r="AV83" i="25"/>
  <c r="AX83" i="25"/>
  <c r="AY83" i="25"/>
  <c r="BA83" i="25"/>
  <c r="BB83" i="25"/>
  <c r="BC83" i="25"/>
  <c r="BD83" i="25"/>
  <c r="BE83" i="25"/>
  <c r="BF83" i="25"/>
  <c r="BG83" i="25"/>
  <c r="BH83" i="25"/>
  <c r="BI83" i="25"/>
  <c r="BL83" i="25"/>
  <c r="BM83" i="25"/>
  <c r="BN83" i="25"/>
  <c r="BO83" i="25"/>
  <c r="BP83" i="25"/>
  <c r="BQ83" i="25"/>
  <c r="BR83" i="25"/>
  <c r="BS83" i="25"/>
  <c r="BT83" i="25"/>
  <c r="BW83" i="25"/>
  <c r="BX83" i="25"/>
  <c r="BY83" i="25"/>
  <c r="BZ83" i="25"/>
  <c r="CA83" i="25"/>
  <c r="CB83" i="25"/>
  <c r="CC83" i="25"/>
  <c r="CE83" i="25"/>
  <c r="CF83" i="25"/>
  <c r="CG83" i="25"/>
  <c r="CI83" i="25"/>
  <c r="CJ83" i="25"/>
  <c r="CL83" i="25"/>
  <c r="CT83" i="25"/>
  <c r="CU83" i="25"/>
  <c r="CV83" i="25"/>
  <c r="CW83" i="25"/>
  <c r="CX83" i="25"/>
  <c r="CY83" i="25"/>
  <c r="DA83" i="25"/>
  <c r="DB83" i="25"/>
  <c r="DC83" i="25"/>
  <c r="DD83" i="25"/>
  <c r="DE83" i="25"/>
  <c r="DF83" i="25"/>
  <c r="DL83" i="25"/>
  <c r="DN83" i="25"/>
  <c r="DO83" i="25"/>
  <c r="DQ83" i="25"/>
  <c r="DR83" i="25"/>
  <c r="L84" i="25"/>
  <c r="N84" i="25"/>
  <c r="O84" i="25"/>
  <c r="P84" i="25"/>
  <c r="Q84" i="25"/>
  <c r="S84" i="25"/>
  <c r="T84" i="25"/>
  <c r="V84" i="25"/>
  <c r="W84" i="25"/>
  <c r="Y84" i="25"/>
  <c r="Z84" i="25"/>
  <c r="AB84" i="25"/>
  <c r="AC84" i="25"/>
  <c r="AE84" i="25"/>
  <c r="AF84" i="25"/>
  <c r="AH84" i="25"/>
  <c r="AI84" i="25"/>
  <c r="AK84" i="25"/>
  <c r="AM84" i="25"/>
  <c r="AO84" i="25"/>
  <c r="AP84" i="25"/>
  <c r="AQ84" i="25"/>
  <c r="AS84" i="25"/>
  <c r="AU84" i="25"/>
  <c r="AV84" i="25"/>
  <c r="AX84" i="25"/>
  <c r="AY84" i="25"/>
  <c r="BA84" i="25"/>
  <c r="BB84" i="25"/>
  <c r="BC84" i="25"/>
  <c r="BD84" i="25"/>
  <c r="BE84" i="25"/>
  <c r="BF84" i="25"/>
  <c r="BG84" i="25"/>
  <c r="BH84" i="25"/>
  <c r="BI84" i="25"/>
  <c r="BL84" i="25"/>
  <c r="BM84" i="25"/>
  <c r="BN84" i="25"/>
  <c r="BO84" i="25"/>
  <c r="BP84" i="25"/>
  <c r="BQ84" i="25"/>
  <c r="BR84" i="25"/>
  <c r="BS84" i="25"/>
  <c r="BT84" i="25"/>
  <c r="BW84" i="25"/>
  <c r="BX84" i="25"/>
  <c r="BY84" i="25"/>
  <c r="BZ84" i="25"/>
  <c r="CA84" i="25"/>
  <c r="CB84" i="25"/>
  <c r="CC84" i="25"/>
  <c r="CE84" i="25"/>
  <c r="CF84" i="25"/>
  <c r="CG84" i="25"/>
  <c r="CI84" i="25"/>
  <c r="CJ84" i="25"/>
  <c r="CL84" i="25"/>
  <c r="CT84" i="25"/>
  <c r="CU84" i="25"/>
  <c r="CV84" i="25"/>
  <c r="CW84" i="25"/>
  <c r="CX84" i="25"/>
  <c r="DA84" i="25"/>
  <c r="DB84" i="25"/>
  <c r="DC84" i="25"/>
  <c r="DD84" i="25"/>
  <c r="DE84" i="25"/>
  <c r="DL84" i="25"/>
  <c r="DN84" i="25"/>
  <c r="DO84" i="25"/>
  <c r="DQ84" i="25"/>
  <c r="DR84" i="25"/>
  <c r="L85" i="25"/>
  <c r="N85" i="25"/>
  <c r="O85" i="25"/>
  <c r="P85" i="25"/>
  <c r="Q85" i="25"/>
  <c r="S85" i="25"/>
  <c r="T85" i="25"/>
  <c r="V85" i="25"/>
  <c r="W85" i="25"/>
  <c r="Y85" i="25"/>
  <c r="Z85" i="25"/>
  <c r="AB85" i="25"/>
  <c r="AC85" i="25"/>
  <c r="AE85" i="25"/>
  <c r="AF85" i="25"/>
  <c r="AH85" i="25"/>
  <c r="AI85" i="25"/>
  <c r="AK85" i="25"/>
  <c r="AM85" i="25"/>
  <c r="AO85" i="25"/>
  <c r="AP85" i="25"/>
  <c r="AQ85" i="25"/>
  <c r="AS85" i="25"/>
  <c r="AU85" i="25"/>
  <c r="AV85" i="25"/>
  <c r="AX85" i="25"/>
  <c r="AY85" i="25"/>
  <c r="BA85" i="25"/>
  <c r="BB85" i="25"/>
  <c r="BC85" i="25"/>
  <c r="BD85" i="25"/>
  <c r="BE85" i="25"/>
  <c r="BF85" i="25"/>
  <c r="BG85" i="25"/>
  <c r="BH85" i="25"/>
  <c r="BI85" i="25"/>
  <c r="BL85" i="25"/>
  <c r="BM85" i="25"/>
  <c r="BN85" i="25"/>
  <c r="BO85" i="25"/>
  <c r="BP85" i="25"/>
  <c r="BQ85" i="25"/>
  <c r="BR85" i="25"/>
  <c r="BS85" i="25"/>
  <c r="BT85" i="25"/>
  <c r="BW85" i="25"/>
  <c r="BX85" i="25"/>
  <c r="BY85" i="25"/>
  <c r="BZ85" i="25"/>
  <c r="CA85" i="25"/>
  <c r="CB85" i="25"/>
  <c r="CC85" i="25"/>
  <c r="CE85" i="25"/>
  <c r="CF85" i="25"/>
  <c r="CG85" i="25"/>
  <c r="CI85" i="25"/>
  <c r="CJ85" i="25"/>
  <c r="CL85" i="25"/>
  <c r="CT85" i="25"/>
  <c r="CU85" i="25"/>
  <c r="CV85" i="25"/>
  <c r="CW85" i="25"/>
  <c r="CX85" i="25"/>
  <c r="DA85" i="25"/>
  <c r="DB85" i="25"/>
  <c r="DC85" i="25"/>
  <c r="DD85" i="25"/>
  <c r="DE85" i="25"/>
  <c r="DL85" i="25"/>
  <c r="DN85" i="25"/>
  <c r="DO85" i="25"/>
  <c r="DQ85" i="25"/>
  <c r="DR85" i="25"/>
  <c r="L86" i="25"/>
  <c r="N86" i="25"/>
  <c r="O86" i="25"/>
  <c r="P86" i="25"/>
  <c r="Q86" i="25"/>
  <c r="S86" i="25"/>
  <c r="T86" i="25"/>
  <c r="V86" i="25"/>
  <c r="W86" i="25"/>
  <c r="Y86" i="25"/>
  <c r="Z86" i="25"/>
  <c r="AB86" i="25"/>
  <c r="AC86" i="25"/>
  <c r="AE86" i="25"/>
  <c r="AF86" i="25"/>
  <c r="AH86" i="25"/>
  <c r="AI86" i="25"/>
  <c r="AK86" i="25"/>
  <c r="AM86" i="25"/>
  <c r="AO86" i="25"/>
  <c r="AP86" i="25"/>
  <c r="AQ86" i="25"/>
  <c r="AS86" i="25"/>
  <c r="AU86" i="25"/>
  <c r="AV86" i="25"/>
  <c r="AX86" i="25"/>
  <c r="AY86" i="25"/>
  <c r="BA86" i="25"/>
  <c r="BB86" i="25"/>
  <c r="BC86" i="25"/>
  <c r="BD86" i="25"/>
  <c r="BE86" i="25"/>
  <c r="BF86" i="25"/>
  <c r="BG86" i="25"/>
  <c r="BH86" i="25"/>
  <c r="BI86" i="25"/>
  <c r="BL86" i="25"/>
  <c r="BM86" i="25"/>
  <c r="BN86" i="25"/>
  <c r="BO86" i="25"/>
  <c r="BP86" i="25"/>
  <c r="BQ86" i="25"/>
  <c r="BR86" i="25"/>
  <c r="BS86" i="25"/>
  <c r="BT86" i="25"/>
  <c r="BW86" i="25"/>
  <c r="BX86" i="25"/>
  <c r="BY86" i="25"/>
  <c r="BZ86" i="25"/>
  <c r="CA86" i="25"/>
  <c r="CB86" i="25"/>
  <c r="CC86" i="25"/>
  <c r="CE86" i="25"/>
  <c r="CF86" i="25"/>
  <c r="CG86" i="25"/>
  <c r="CI86" i="25"/>
  <c r="CJ86" i="25"/>
  <c r="CL86" i="25"/>
  <c r="CT86" i="25"/>
  <c r="CU86" i="25"/>
  <c r="CV86" i="25"/>
  <c r="CW86" i="25"/>
  <c r="CX86" i="25"/>
  <c r="DA86" i="25"/>
  <c r="DB86" i="25"/>
  <c r="DC86" i="25"/>
  <c r="DD86" i="25"/>
  <c r="DE86" i="25"/>
  <c r="DL86" i="25"/>
  <c r="DN86" i="25"/>
  <c r="DO86" i="25"/>
  <c r="DQ86" i="25"/>
  <c r="DR86" i="25"/>
  <c r="L87" i="25"/>
  <c r="N87" i="25"/>
  <c r="O87" i="25"/>
  <c r="P87" i="25"/>
  <c r="Q87" i="25"/>
  <c r="S87" i="25"/>
  <c r="T87" i="25"/>
  <c r="V87" i="25"/>
  <c r="W87" i="25"/>
  <c r="Y87" i="25"/>
  <c r="Z87" i="25"/>
  <c r="AB87" i="25"/>
  <c r="AC87" i="25"/>
  <c r="AE87" i="25"/>
  <c r="AF87" i="25"/>
  <c r="AH87" i="25"/>
  <c r="AI87" i="25"/>
  <c r="AK87" i="25"/>
  <c r="AM87" i="25"/>
  <c r="AO87" i="25"/>
  <c r="AP87" i="25"/>
  <c r="AQ87" i="25"/>
  <c r="AS87" i="25"/>
  <c r="AU87" i="25"/>
  <c r="AV87" i="25"/>
  <c r="AX87" i="25"/>
  <c r="AY87" i="25"/>
  <c r="BA87" i="25"/>
  <c r="BB87" i="25"/>
  <c r="BC87" i="25"/>
  <c r="BD87" i="25"/>
  <c r="BE87" i="25"/>
  <c r="BF87" i="25"/>
  <c r="BG87" i="25"/>
  <c r="BH87" i="25"/>
  <c r="BI87" i="25"/>
  <c r="BL87" i="25"/>
  <c r="BM87" i="25"/>
  <c r="BN87" i="25"/>
  <c r="BO87" i="25"/>
  <c r="BP87" i="25"/>
  <c r="BQ87" i="25"/>
  <c r="BR87" i="25"/>
  <c r="BS87" i="25"/>
  <c r="BT87" i="25"/>
  <c r="BW87" i="25"/>
  <c r="BX87" i="25"/>
  <c r="BY87" i="25"/>
  <c r="BZ87" i="25"/>
  <c r="CA87" i="25"/>
  <c r="CB87" i="25"/>
  <c r="CC87" i="25"/>
  <c r="CE87" i="25"/>
  <c r="CF87" i="25"/>
  <c r="CG87" i="25"/>
  <c r="CI87" i="25"/>
  <c r="CJ87" i="25"/>
  <c r="CL87" i="25"/>
  <c r="CT87" i="25"/>
  <c r="CU87" i="25"/>
  <c r="CV87" i="25"/>
  <c r="CW87" i="25"/>
  <c r="CX87" i="25"/>
  <c r="DA87" i="25"/>
  <c r="DB87" i="25"/>
  <c r="DC87" i="25"/>
  <c r="DD87" i="25"/>
  <c r="DE87" i="25"/>
  <c r="DL87" i="25"/>
  <c r="DN87" i="25"/>
  <c r="DO87" i="25"/>
  <c r="DQ87" i="25"/>
  <c r="DR87" i="25"/>
  <c r="L88" i="25"/>
  <c r="N88" i="25"/>
  <c r="O88" i="25"/>
  <c r="P88" i="25"/>
  <c r="Q88" i="25"/>
  <c r="S88" i="25"/>
  <c r="T88" i="25"/>
  <c r="V88" i="25"/>
  <c r="W88" i="25"/>
  <c r="Y88" i="25"/>
  <c r="Z88" i="25"/>
  <c r="AB88" i="25"/>
  <c r="AC88" i="25"/>
  <c r="AE88" i="25"/>
  <c r="AF88" i="25"/>
  <c r="AH88" i="25"/>
  <c r="AI88" i="25"/>
  <c r="AK88" i="25"/>
  <c r="AM88" i="25"/>
  <c r="AO88" i="25"/>
  <c r="AP88" i="25"/>
  <c r="AQ88" i="25"/>
  <c r="AS88" i="25"/>
  <c r="AU88" i="25"/>
  <c r="AV88" i="25"/>
  <c r="AX88" i="25"/>
  <c r="AY88" i="25"/>
  <c r="BA88" i="25"/>
  <c r="BB88" i="25"/>
  <c r="BC88" i="25"/>
  <c r="BD88" i="25"/>
  <c r="BE88" i="25"/>
  <c r="BF88" i="25"/>
  <c r="BG88" i="25"/>
  <c r="BH88" i="25"/>
  <c r="BI88" i="25"/>
  <c r="BL88" i="25"/>
  <c r="BM88" i="25"/>
  <c r="BN88" i="25"/>
  <c r="BO88" i="25"/>
  <c r="BP88" i="25"/>
  <c r="BQ88" i="25"/>
  <c r="BR88" i="25"/>
  <c r="BS88" i="25"/>
  <c r="BT88" i="25"/>
  <c r="BW88" i="25"/>
  <c r="BX88" i="25"/>
  <c r="BY88" i="25"/>
  <c r="BZ88" i="25"/>
  <c r="CA88" i="25"/>
  <c r="CB88" i="25"/>
  <c r="CC88" i="25"/>
  <c r="CE88" i="25"/>
  <c r="CF88" i="25"/>
  <c r="CG88" i="25"/>
  <c r="CI88" i="25"/>
  <c r="CJ88" i="25"/>
  <c r="CL88" i="25"/>
  <c r="CT88" i="25"/>
  <c r="CU88" i="25"/>
  <c r="CV88" i="25"/>
  <c r="CW88" i="25"/>
  <c r="CX88" i="25"/>
  <c r="DA88" i="25"/>
  <c r="DB88" i="25"/>
  <c r="DC88" i="25"/>
  <c r="DD88" i="25"/>
  <c r="DE88" i="25"/>
  <c r="DL88" i="25"/>
  <c r="DN88" i="25"/>
  <c r="DO88" i="25"/>
  <c r="DQ88" i="25"/>
  <c r="DR88" i="25"/>
  <c r="L89" i="25"/>
  <c r="N89" i="25"/>
  <c r="O89" i="25"/>
  <c r="P89" i="25"/>
  <c r="Q89" i="25"/>
  <c r="S89" i="25"/>
  <c r="T89" i="25"/>
  <c r="V89" i="25"/>
  <c r="W89" i="25"/>
  <c r="Y89" i="25"/>
  <c r="Z89" i="25"/>
  <c r="AB89" i="25"/>
  <c r="AC89" i="25"/>
  <c r="AE89" i="25"/>
  <c r="AF89" i="25"/>
  <c r="AH89" i="25"/>
  <c r="AI89" i="25"/>
  <c r="AK89" i="25"/>
  <c r="AM89" i="25"/>
  <c r="AO89" i="25"/>
  <c r="AP89" i="25"/>
  <c r="AQ89" i="25"/>
  <c r="AS89" i="25"/>
  <c r="AU89" i="25"/>
  <c r="AV89" i="25"/>
  <c r="AX89" i="25"/>
  <c r="AY89" i="25"/>
  <c r="BA89" i="25"/>
  <c r="BB89" i="25"/>
  <c r="BC89" i="25"/>
  <c r="BD89" i="25"/>
  <c r="BE89" i="25"/>
  <c r="BF89" i="25"/>
  <c r="BG89" i="25"/>
  <c r="BH89" i="25"/>
  <c r="BI89" i="25"/>
  <c r="BL89" i="25"/>
  <c r="BM89" i="25"/>
  <c r="BN89" i="25"/>
  <c r="BO89" i="25"/>
  <c r="BP89" i="25"/>
  <c r="BQ89" i="25"/>
  <c r="BR89" i="25"/>
  <c r="BS89" i="25"/>
  <c r="BT89" i="25"/>
  <c r="BW89" i="25"/>
  <c r="BX89" i="25"/>
  <c r="BY89" i="25"/>
  <c r="BZ89" i="25"/>
  <c r="CA89" i="25"/>
  <c r="CB89" i="25"/>
  <c r="CC89" i="25"/>
  <c r="CE89" i="25"/>
  <c r="CF89" i="25"/>
  <c r="CG89" i="25"/>
  <c r="CI89" i="25"/>
  <c r="CJ89" i="25"/>
  <c r="CL89" i="25"/>
  <c r="CT89" i="25"/>
  <c r="CU89" i="25"/>
  <c r="CV89" i="25"/>
  <c r="CW89" i="25"/>
  <c r="CX89" i="25"/>
  <c r="DA89" i="25"/>
  <c r="DB89" i="25"/>
  <c r="DC89" i="25"/>
  <c r="DD89" i="25"/>
  <c r="DE89" i="25"/>
  <c r="DL89" i="25"/>
  <c r="DN89" i="25"/>
  <c r="DO89" i="25"/>
  <c r="DQ89" i="25"/>
  <c r="DR89" i="25"/>
  <c r="L90" i="25"/>
  <c r="N90" i="25"/>
  <c r="O90" i="25"/>
  <c r="P90" i="25"/>
  <c r="Q90" i="25"/>
  <c r="S90" i="25"/>
  <c r="T90" i="25"/>
  <c r="V90" i="25"/>
  <c r="W90" i="25"/>
  <c r="Y90" i="25"/>
  <c r="Z90" i="25"/>
  <c r="AB90" i="25"/>
  <c r="AC90" i="25"/>
  <c r="AE90" i="25"/>
  <c r="AF90" i="25"/>
  <c r="AH90" i="25"/>
  <c r="AI90" i="25"/>
  <c r="AK90" i="25"/>
  <c r="AM90" i="25"/>
  <c r="AO90" i="25"/>
  <c r="AP90" i="25"/>
  <c r="AQ90" i="25"/>
  <c r="AS90" i="25"/>
  <c r="AU90" i="25"/>
  <c r="AV90" i="25"/>
  <c r="AX90" i="25"/>
  <c r="AY90" i="25"/>
  <c r="BA90" i="25"/>
  <c r="BB90" i="25"/>
  <c r="BC90" i="25"/>
  <c r="BD90" i="25"/>
  <c r="BE90" i="25"/>
  <c r="BF90" i="25"/>
  <c r="BG90" i="25"/>
  <c r="BH90" i="25"/>
  <c r="BI90" i="25"/>
  <c r="BL90" i="25"/>
  <c r="BM90" i="25"/>
  <c r="BN90" i="25"/>
  <c r="BO90" i="25"/>
  <c r="BP90" i="25"/>
  <c r="BQ90" i="25"/>
  <c r="BR90" i="25"/>
  <c r="BS90" i="25"/>
  <c r="BT90" i="25"/>
  <c r="BW90" i="25"/>
  <c r="BX90" i="25"/>
  <c r="BY90" i="25"/>
  <c r="BZ90" i="25"/>
  <c r="CA90" i="25"/>
  <c r="CB90" i="25"/>
  <c r="CC90" i="25"/>
  <c r="CE90" i="25"/>
  <c r="CF90" i="25"/>
  <c r="CG90" i="25"/>
  <c r="CI90" i="25"/>
  <c r="CJ90" i="25"/>
  <c r="CL90" i="25"/>
  <c r="CT90" i="25"/>
  <c r="CU90" i="25"/>
  <c r="CV90" i="25"/>
  <c r="CW90" i="25"/>
  <c r="CX90" i="25"/>
  <c r="DA90" i="25"/>
  <c r="DB90" i="25"/>
  <c r="DC90" i="25"/>
  <c r="DD90" i="25"/>
  <c r="DE90" i="25"/>
  <c r="DL90" i="25"/>
  <c r="DN90" i="25"/>
  <c r="DO90" i="25"/>
  <c r="DQ90" i="25"/>
  <c r="DR90" i="25"/>
  <c r="L91" i="25"/>
  <c r="N91" i="25"/>
  <c r="O91" i="25"/>
  <c r="P91" i="25"/>
  <c r="Q91" i="25"/>
  <c r="S91" i="25"/>
  <c r="T91" i="25"/>
  <c r="V91" i="25"/>
  <c r="W91" i="25"/>
  <c r="Y91" i="25"/>
  <c r="Z91" i="25"/>
  <c r="AB91" i="25"/>
  <c r="AC91" i="25"/>
  <c r="AE91" i="25"/>
  <c r="AF91" i="25"/>
  <c r="AH91" i="25"/>
  <c r="AI91" i="25"/>
  <c r="AK91" i="25"/>
  <c r="AM91" i="25"/>
  <c r="AO91" i="25"/>
  <c r="AP91" i="25"/>
  <c r="AQ91" i="25"/>
  <c r="AS91" i="25"/>
  <c r="AU91" i="25"/>
  <c r="AV91" i="25"/>
  <c r="AX91" i="25"/>
  <c r="AY91" i="25"/>
  <c r="BA91" i="25"/>
  <c r="BB91" i="25"/>
  <c r="BC91" i="25"/>
  <c r="BD91" i="25"/>
  <c r="BE91" i="25"/>
  <c r="BF91" i="25"/>
  <c r="BG91" i="25"/>
  <c r="BH91" i="25"/>
  <c r="BI91" i="25"/>
  <c r="BL91" i="25"/>
  <c r="BM91" i="25"/>
  <c r="BN91" i="25"/>
  <c r="BO91" i="25"/>
  <c r="BP91" i="25"/>
  <c r="BQ91" i="25"/>
  <c r="BR91" i="25"/>
  <c r="BS91" i="25"/>
  <c r="BT91" i="25"/>
  <c r="BW91" i="25"/>
  <c r="BX91" i="25"/>
  <c r="BY91" i="25"/>
  <c r="BZ91" i="25"/>
  <c r="CA91" i="25"/>
  <c r="CB91" i="25"/>
  <c r="CC91" i="25"/>
  <c r="CE91" i="25"/>
  <c r="CF91" i="25"/>
  <c r="CG91" i="25"/>
  <c r="CI91" i="25"/>
  <c r="CJ91" i="25"/>
  <c r="CL91" i="25"/>
  <c r="CT91" i="25"/>
  <c r="CU91" i="25"/>
  <c r="CV91" i="25"/>
  <c r="CW91" i="25"/>
  <c r="CX91" i="25"/>
  <c r="DA91" i="25"/>
  <c r="DB91" i="25"/>
  <c r="DC91" i="25"/>
  <c r="DD91" i="25"/>
  <c r="DE91" i="25"/>
  <c r="DL91" i="25"/>
  <c r="DN91" i="25"/>
  <c r="DO91" i="25"/>
  <c r="DQ91" i="25"/>
  <c r="DR91" i="25"/>
  <c r="L92" i="25"/>
  <c r="N92" i="25"/>
  <c r="O92" i="25"/>
  <c r="P92" i="25"/>
  <c r="Q92" i="25"/>
  <c r="S92" i="25"/>
  <c r="T92" i="25"/>
  <c r="V92" i="25"/>
  <c r="W92" i="25"/>
  <c r="Y92" i="25"/>
  <c r="Z92" i="25"/>
  <c r="AB92" i="25"/>
  <c r="AC92" i="25"/>
  <c r="AE92" i="25"/>
  <c r="AF92" i="25"/>
  <c r="AH92" i="25"/>
  <c r="AI92" i="25"/>
  <c r="AK92" i="25"/>
  <c r="AM92" i="25"/>
  <c r="AO92" i="25"/>
  <c r="AP92" i="25"/>
  <c r="AQ92" i="25"/>
  <c r="AS92" i="25"/>
  <c r="AU92" i="25"/>
  <c r="AV92" i="25"/>
  <c r="AX92" i="25"/>
  <c r="AY92" i="25"/>
  <c r="BA92" i="25"/>
  <c r="BB92" i="25"/>
  <c r="BC92" i="25"/>
  <c r="BD92" i="25"/>
  <c r="BE92" i="25"/>
  <c r="BF92" i="25"/>
  <c r="BG92" i="25"/>
  <c r="BH92" i="25"/>
  <c r="BI92" i="25"/>
  <c r="BL92" i="25"/>
  <c r="BM92" i="25"/>
  <c r="BN92" i="25"/>
  <c r="BO92" i="25"/>
  <c r="BP92" i="25"/>
  <c r="BQ92" i="25"/>
  <c r="BR92" i="25"/>
  <c r="BS92" i="25"/>
  <c r="BT92" i="25"/>
  <c r="BW92" i="25"/>
  <c r="BX92" i="25"/>
  <c r="BY92" i="25"/>
  <c r="BZ92" i="25"/>
  <c r="CA92" i="25"/>
  <c r="CB92" i="25"/>
  <c r="CC92" i="25"/>
  <c r="CE92" i="25"/>
  <c r="CF92" i="25"/>
  <c r="CG92" i="25"/>
  <c r="CI92" i="25"/>
  <c r="CJ92" i="25"/>
  <c r="CL92" i="25"/>
  <c r="CT92" i="25"/>
  <c r="CU92" i="25"/>
  <c r="CV92" i="25"/>
  <c r="CW92" i="25"/>
  <c r="CX92" i="25"/>
  <c r="DA92" i="25"/>
  <c r="DB92" i="25"/>
  <c r="DC92" i="25"/>
  <c r="DD92" i="25"/>
  <c r="DE92" i="25"/>
  <c r="DL92" i="25"/>
  <c r="DN92" i="25"/>
  <c r="DO92" i="25"/>
  <c r="DQ92" i="25"/>
  <c r="DR92" i="25"/>
  <c r="L93" i="25"/>
  <c r="N93" i="25"/>
  <c r="O93" i="25"/>
  <c r="P93" i="25"/>
  <c r="Q93" i="25"/>
  <c r="S93" i="25"/>
  <c r="T93" i="25"/>
  <c r="V93" i="25"/>
  <c r="W93" i="25"/>
  <c r="Y93" i="25"/>
  <c r="Z93" i="25"/>
  <c r="AB93" i="25"/>
  <c r="AC93" i="25"/>
  <c r="AE93" i="25"/>
  <c r="AF93" i="25"/>
  <c r="AH93" i="25"/>
  <c r="AI93" i="25"/>
  <c r="AK93" i="25"/>
  <c r="AM93" i="25"/>
  <c r="AO93" i="25"/>
  <c r="AP93" i="25"/>
  <c r="AQ93" i="25"/>
  <c r="AS93" i="25"/>
  <c r="AU93" i="25"/>
  <c r="AV93" i="25"/>
  <c r="AX93" i="25"/>
  <c r="AY93" i="25"/>
  <c r="BA93" i="25"/>
  <c r="BB93" i="25"/>
  <c r="BC93" i="25"/>
  <c r="BD93" i="25"/>
  <c r="BE93" i="25"/>
  <c r="BF93" i="25"/>
  <c r="BG93" i="25"/>
  <c r="BH93" i="25"/>
  <c r="BI93" i="25"/>
  <c r="BL93" i="25"/>
  <c r="BM93" i="25"/>
  <c r="BN93" i="25"/>
  <c r="BO93" i="25"/>
  <c r="BP93" i="25"/>
  <c r="BQ93" i="25"/>
  <c r="BR93" i="25"/>
  <c r="BS93" i="25"/>
  <c r="BT93" i="25"/>
  <c r="BW93" i="25"/>
  <c r="BX93" i="25"/>
  <c r="BY93" i="25"/>
  <c r="BZ93" i="25"/>
  <c r="CA93" i="25"/>
  <c r="CB93" i="25"/>
  <c r="CC93" i="25"/>
  <c r="CE93" i="25"/>
  <c r="CF93" i="25"/>
  <c r="CG93" i="25"/>
  <c r="CI93" i="25"/>
  <c r="CJ93" i="25"/>
  <c r="CL93" i="25"/>
  <c r="CT93" i="25"/>
  <c r="CU93" i="25"/>
  <c r="CV93" i="25"/>
  <c r="CW93" i="25"/>
  <c r="CX93" i="25"/>
  <c r="DA93" i="25"/>
  <c r="DB93" i="25"/>
  <c r="DC93" i="25"/>
  <c r="DD93" i="25"/>
  <c r="DE93" i="25"/>
  <c r="DL93" i="25"/>
  <c r="DN93" i="25"/>
  <c r="DO93" i="25"/>
  <c r="DQ93" i="25"/>
  <c r="DR93" i="25"/>
  <c r="L94" i="25"/>
  <c r="N94" i="25"/>
  <c r="O94" i="25"/>
  <c r="P94" i="25"/>
  <c r="Q94" i="25"/>
  <c r="S94" i="25"/>
  <c r="T94" i="25"/>
  <c r="V94" i="25"/>
  <c r="W94" i="25"/>
  <c r="Y94" i="25"/>
  <c r="Z94" i="25"/>
  <c r="AB94" i="25"/>
  <c r="AC94" i="25"/>
  <c r="AE94" i="25"/>
  <c r="AF94" i="25"/>
  <c r="AH94" i="25"/>
  <c r="AI94" i="25"/>
  <c r="AK94" i="25"/>
  <c r="AM94" i="25"/>
  <c r="AO94" i="25"/>
  <c r="AP94" i="25"/>
  <c r="AQ94" i="25"/>
  <c r="AS94" i="25"/>
  <c r="AU94" i="25"/>
  <c r="AV94" i="25"/>
  <c r="AX94" i="25"/>
  <c r="AY94" i="25"/>
  <c r="BA94" i="25"/>
  <c r="BB94" i="25"/>
  <c r="BC94" i="25"/>
  <c r="BD94" i="25"/>
  <c r="BE94" i="25"/>
  <c r="BF94" i="25"/>
  <c r="BG94" i="25"/>
  <c r="BH94" i="25"/>
  <c r="BI94" i="25"/>
  <c r="BL94" i="25"/>
  <c r="BM94" i="25"/>
  <c r="BN94" i="25"/>
  <c r="BO94" i="25"/>
  <c r="BP94" i="25"/>
  <c r="BQ94" i="25"/>
  <c r="BR94" i="25"/>
  <c r="BS94" i="25"/>
  <c r="BT94" i="25"/>
  <c r="BW94" i="25"/>
  <c r="BX94" i="25"/>
  <c r="BY94" i="25"/>
  <c r="BZ94" i="25"/>
  <c r="CA94" i="25"/>
  <c r="CB94" i="25"/>
  <c r="CC94" i="25"/>
  <c r="CE94" i="25"/>
  <c r="CF94" i="25"/>
  <c r="CG94" i="25"/>
  <c r="CI94" i="25"/>
  <c r="CJ94" i="25"/>
  <c r="CL94" i="25"/>
  <c r="CT94" i="25"/>
  <c r="CU94" i="25"/>
  <c r="CV94" i="25"/>
  <c r="CW94" i="25"/>
  <c r="CX94" i="25"/>
  <c r="DA94" i="25"/>
  <c r="DB94" i="25"/>
  <c r="DC94" i="25"/>
  <c r="DD94" i="25"/>
  <c r="DE94" i="25"/>
  <c r="DL94" i="25"/>
  <c r="DN94" i="25"/>
  <c r="DO94" i="25"/>
  <c r="DQ94" i="25"/>
  <c r="DR94" i="25"/>
  <c r="L95" i="25"/>
  <c r="N95" i="25"/>
  <c r="O95" i="25"/>
  <c r="P95" i="25"/>
  <c r="Q95" i="25"/>
  <c r="S95" i="25"/>
  <c r="T95" i="25"/>
  <c r="V95" i="25"/>
  <c r="W95" i="25"/>
  <c r="Y95" i="25"/>
  <c r="Z95" i="25"/>
  <c r="AB95" i="25"/>
  <c r="AC95" i="25"/>
  <c r="AE95" i="25"/>
  <c r="AF95" i="25"/>
  <c r="AH95" i="25"/>
  <c r="AI95" i="25"/>
  <c r="AK95" i="25"/>
  <c r="AM95" i="25"/>
  <c r="AO95" i="25"/>
  <c r="AP95" i="25"/>
  <c r="AQ95" i="25"/>
  <c r="AR95" i="25"/>
  <c r="AS95" i="25"/>
  <c r="AT95" i="25"/>
  <c r="AU95" i="25"/>
  <c r="AV95" i="25"/>
  <c r="AX95" i="25"/>
  <c r="AY95" i="25"/>
  <c r="BA95" i="25"/>
  <c r="BB95" i="25"/>
  <c r="BC95" i="25"/>
  <c r="BD95" i="25"/>
  <c r="BE95" i="25"/>
  <c r="BF95" i="25"/>
  <c r="BG95" i="25"/>
  <c r="BH95" i="25"/>
  <c r="BI95" i="25"/>
  <c r="BL95" i="25"/>
  <c r="BM95" i="25"/>
  <c r="BN95" i="25"/>
  <c r="BO95" i="25"/>
  <c r="BP95" i="25"/>
  <c r="BQ95" i="25"/>
  <c r="BR95" i="25"/>
  <c r="BS95" i="25"/>
  <c r="BT95" i="25"/>
  <c r="BW95" i="25"/>
  <c r="BX95" i="25"/>
  <c r="BY95" i="25"/>
  <c r="BZ95" i="25"/>
  <c r="CA95" i="25"/>
  <c r="CB95" i="25"/>
  <c r="CC95" i="25"/>
  <c r="CE95" i="25"/>
  <c r="CF95" i="25"/>
  <c r="CG95" i="25"/>
  <c r="CI95" i="25"/>
  <c r="CJ95" i="25"/>
  <c r="CL95" i="25"/>
  <c r="CT95" i="25"/>
  <c r="CU95" i="25"/>
  <c r="CV95" i="25"/>
  <c r="CW95" i="25"/>
  <c r="CX95" i="25"/>
  <c r="CY95" i="25"/>
  <c r="DA95" i="25"/>
  <c r="DB95" i="25"/>
  <c r="DC95" i="25"/>
  <c r="DD95" i="25"/>
  <c r="DE95" i="25"/>
  <c r="DF95" i="25"/>
  <c r="DL95" i="25"/>
  <c r="DN95" i="25"/>
  <c r="DO95" i="25"/>
  <c r="DQ95" i="25"/>
  <c r="DR95" i="25"/>
  <c r="L96" i="25"/>
  <c r="N96" i="25"/>
  <c r="O96" i="25"/>
  <c r="P96" i="25"/>
  <c r="Q96" i="25"/>
  <c r="S96" i="25"/>
  <c r="T96" i="25"/>
  <c r="V96" i="25"/>
  <c r="W96" i="25"/>
  <c r="Y96" i="25"/>
  <c r="Z96" i="25"/>
  <c r="AB96" i="25"/>
  <c r="AC96" i="25"/>
  <c r="AE96" i="25"/>
  <c r="AF96" i="25"/>
  <c r="AH96" i="25"/>
  <c r="AI96" i="25"/>
  <c r="AK96" i="25"/>
  <c r="AM96" i="25"/>
  <c r="AO96" i="25"/>
  <c r="AP96" i="25"/>
  <c r="AQ96" i="25"/>
  <c r="AS96" i="25"/>
  <c r="AU96" i="25"/>
  <c r="AV96" i="25"/>
  <c r="AX96" i="25"/>
  <c r="AY96" i="25"/>
  <c r="BA96" i="25"/>
  <c r="BB96" i="25"/>
  <c r="BC96" i="25"/>
  <c r="BD96" i="25"/>
  <c r="BE96" i="25"/>
  <c r="BF96" i="25"/>
  <c r="BG96" i="25"/>
  <c r="BH96" i="25"/>
  <c r="BI96" i="25"/>
  <c r="BL96" i="25"/>
  <c r="BM96" i="25"/>
  <c r="BN96" i="25"/>
  <c r="BO96" i="25"/>
  <c r="BP96" i="25"/>
  <c r="BQ96" i="25"/>
  <c r="BR96" i="25"/>
  <c r="BS96" i="25"/>
  <c r="BT96" i="25"/>
  <c r="BW96" i="25"/>
  <c r="BX96" i="25"/>
  <c r="BY96" i="25"/>
  <c r="BZ96" i="25"/>
  <c r="CA96" i="25"/>
  <c r="CB96" i="25"/>
  <c r="CC96" i="25"/>
  <c r="CE96" i="25"/>
  <c r="CF96" i="25"/>
  <c r="CG96" i="25"/>
  <c r="CI96" i="25"/>
  <c r="CJ96" i="25"/>
  <c r="CL96" i="25"/>
  <c r="CT96" i="25"/>
  <c r="CU96" i="25"/>
  <c r="CV96" i="25"/>
  <c r="CW96" i="25"/>
  <c r="CX96" i="25"/>
  <c r="DA96" i="25"/>
  <c r="DB96" i="25"/>
  <c r="DC96" i="25"/>
  <c r="DD96" i="25"/>
  <c r="DE96" i="25"/>
  <c r="DL96" i="25"/>
  <c r="DN96" i="25"/>
  <c r="DO96" i="25"/>
  <c r="DQ96" i="25"/>
  <c r="DR96" i="25"/>
  <c r="L97" i="25"/>
  <c r="N97" i="25"/>
  <c r="O97" i="25"/>
  <c r="P97" i="25"/>
  <c r="Q97" i="25"/>
  <c r="S97" i="25"/>
  <c r="T97" i="25"/>
  <c r="V97" i="25"/>
  <c r="W97" i="25"/>
  <c r="Y97" i="25"/>
  <c r="Z97" i="25"/>
  <c r="AB97" i="25"/>
  <c r="AC97" i="25"/>
  <c r="AE97" i="25"/>
  <c r="AF97" i="25"/>
  <c r="AH97" i="25"/>
  <c r="AI97" i="25"/>
  <c r="AK97" i="25"/>
  <c r="AM97" i="25"/>
  <c r="AO97" i="25"/>
  <c r="AP97" i="25"/>
  <c r="AQ97" i="25"/>
  <c r="AS97" i="25"/>
  <c r="AU97" i="25"/>
  <c r="AV97" i="25"/>
  <c r="AX97" i="25"/>
  <c r="AY97" i="25"/>
  <c r="BA97" i="25"/>
  <c r="BB97" i="25"/>
  <c r="BC97" i="25"/>
  <c r="BD97" i="25"/>
  <c r="BE97" i="25"/>
  <c r="BF97" i="25"/>
  <c r="BG97" i="25"/>
  <c r="BH97" i="25"/>
  <c r="BI97" i="25"/>
  <c r="BL97" i="25"/>
  <c r="BM97" i="25"/>
  <c r="BN97" i="25"/>
  <c r="BO97" i="25"/>
  <c r="BP97" i="25"/>
  <c r="BQ97" i="25"/>
  <c r="BR97" i="25"/>
  <c r="BS97" i="25"/>
  <c r="BT97" i="25"/>
  <c r="BW97" i="25"/>
  <c r="BX97" i="25"/>
  <c r="BY97" i="25"/>
  <c r="BZ97" i="25"/>
  <c r="CA97" i="25"/>
  <c r="CB97" i="25"/>
  <c r="CC97" i="25"/>
  <c r="CE97" i="25"/>
  <c r="CF97" i="25"/>
  <c r="CG97" i="25"/>
  <c r="CI97" i="25"/>
  <c r="CJ97" i="25"/>
  <c r="CL97" i="25"/>
  <c r="CT97" i="25"/>
  <c r="CU97" i="25"/>
  <c r="CV97" i="25"/>
  <c r="CW97" i="25"/>
  <c r="CX97" i="25"/>
  <c r="DA97" i="25"/>
  <c r="DB97" i="25"/>
  <c r="DC97" i="25"/>
  <c r="DD97" i="25"/>
  <c r="DE97" i="25"/>
  <c r="DL97" i="25"/>
  <c r="DN97" i="25"/>
  <c r="DO97" i="25"/>
  <c r="DQ97" i="25"/>
  <c r="DR97" i="25"/>
  <c r="L98" i="25"/>
  <c r="N98" i="25"/>
  <c r="O98" i="25"/>
  <c r="P98" i="25"/>
  <c r="Q98" i="25"/>
  <c r="S98" i="25"/>
  <c r="T98" i="25"/>
  <c r="V98" i="25"/>
  <c r="W98" i="25"/>
  <c r="Y98" i="25"/>
  <c r="Z98" i="25"/>
  <c r="AB98" i="25"/>
  <c r="AC98" i="25"/>
  <c r="AE98" i="25"/>
  <c r="AF98" i="25"/>
  <c r="AH98" i="25"/>
  <c r="AI98" i="25"/>
  <c r="AK98" i="25"/>
  <c r="AM98" i="25"/>
  <c r="AO98" i="25"/>
  <c r="AP98" i="25"/>
  <c r="AQ98" i="25"/>
  <c r="AS98" i="25"/>
  <c r="AU98" i="25"/>
  <c r="AV98" i="25"/>
  <c r="AX98" i="25"/>
  <c r="AY98" i="25"/>
  <c r="BA98" i="25"/>
  <c r="BB98" i="25"/>
  <c r="BC98" i="25"/>
  <c r="BD98" i="25"/>
  <c r="BE98" i="25"/>
  <c r="BF98" i="25"/>
  <c r="BG98" i="25"/>
  <c r="BH98" i="25"/>
  <c r="BI98" i="25"/>
  <c r="BL98" i="25"/>
  <c r="BM98" i="25"/>
  <c r="BN98" i="25"/>
  <c r="BO98" i="25"/>
  <c r="BP98" i="25"/>
  <c r="BQ98" i="25"/>
  <c r="BR98" i="25"/>
  <c r="BS98" i="25"/>
  <c r="BT98" i="25"/>
  <c r="BW98" i="25"/>
  <c r="BX98" i="25"/>
  <c r="BY98" i="25"/>
  <c r="BZ98" i="25"/>
  <c r="CA98" i="25"/>
  <c r="CB98" i="25"/>
  <c r="CC98" i="25"/>
  <c r="CE98" i="25"/>
  <c r="CF98" i="25"/>
  <c r="CG98" i="25"/>
  <c r="CI98" i="25"/>
  <c r="CJ98" i="25"/>
  <c r="CL98" i="25"/>
  <c r="CT98" i="25"/>
  <c r="CU98" i="25"/>
  <c r="CV98" i="25"/>
  <c r="CW98" i="25"/>
  <c r="CX98" i="25"/>
  <c r="DA98" i="25"/>
  <c r="DB98" i="25"/>
  <c r="DC98" i="25"/>
  <c r="DD98" i="25"/>
  <c r="DE98" i="25"/>
  <c r="DL98" i="25"/>
  <c r="DN98" i="25"/>
  <c r="DO98" i="25"/>
  <c r="DQ98" i="25"/>
  <c r="DR98" i="25"/>
  <c r="L99" i="25"/>
  <c r="N99" i="25"/>
  <c r="O99" i="25"/>
  <c r="P99" i="25"/>
  <c r="Q99" i="25"/>
  <c r="S99" i="25"/>
  <c r="T99" i="25"/>
  <c r="V99" i="25"/>
  <c r="W99" i="25"/>
  <c r="Y99" i="25"/>
  <c r="Z99" i="25"/>
  <c r="AB99" i="25"/>
  <c r="AC99" i="25"/>
  <c r="AE99" i="25"/>
  <c r="AF99" i="25"/>
  <c r="AH99" i="25"/>
  <c r="AI99" i="25"/>
  <c r="AK99" i="25"/>
  <c r="AM99" i="25"/>
  <c r="AO99" i="25"/>
  <c r="AP99" i="25"/>
  <c r="AQ99" i="25"/>
  <c r="AS99" i="25"/>
  <c r="AU99" i="25"/>
  <c r="AV99" i="25"/>
  <c r="AX99" i="25"/>
  <c r="AY99" i="25"/>
  <c r="BA99" i="25"/>
  <c r="BB99" i="25"/>
  <c r="BC99" i="25"/>
  <c r="BD99" i="25"/>
  <c r="BE99" i="25"/>
  <c r="BF99" i="25"/>
  <c r="BG99" i="25"/>
  <c r="BH99" i="25"/>
  <c r="BI99" i="25"/>
  <c r="BL99" i="25"/>
  <c r="BM99" i="25"/>
  <c r="BN99" i="25"/>
  <c r="BO99" i="25"/>
  <c r="BP99" i="25"/>
  <c r="BQ99" i="25"/>
  <c r="BR99" i="25"/>
  <c r="BS99" i="25"/>
  <c r="BT99" i="25"/>
  <c r="BW99" i="25"/>
  <c r="BX99" i="25"/>
  <c r="BY99" i="25"/>
  <c r="BZ99" i="25"/>
  <c r="CA99" i="25"/>
  <c r="CB99" i="25"/>
  <c r="CC99" i="25"/>
  <c r="CE99" i="25"/>
  <c r="CF99" i="25"/>
  <c r="CG99" i="25"/>
  <c r="CI99" i="25"/>
  <c r="CJ99" i="25"/>
  <c r="CL99" i="25"/>
  <c r="CT99" i="25"/>
  <c r="CU99" i="25"/>
  <c r="CV99" i="25"/>
  <c r="CW99" i="25"/>
  <c r="CX99" i="25"/>
  <c r="DA99" i="25"/>
  <c r="DB99" i="25"/>
  <c r="DC99" i="25"/>
  <c r="DD99" i="25"/>
  <c r="DE99" i="25"/>
  <c r="DL99" i="25"/>
  <c r="DN99" i="25"/>
  <c r="DO99" i="25"/>
  <c r="DQ99" i="25"/>
  <c r="DR99" i="25"/>
  <c r="L100" i="25"/>
  <c r="N100" i="25"/>
  <c r="O100" i="25"/>
  <c r="P100" i="25"/>
  <c r="Q100" i="25"/>
  <c r="S100" i="25"/>
  <c r="T100" i="25"/>
  <c r="V100" i="25"/>
  <c r="W100" i="25"/>
  <c r="Y100" i="25"/>
  <c r="Z100" i="25"/>
  <c r="AB100" i="25"/>
  <c r="AC100" i="25"/>
  <c r="AE100" i="25"/>
  <c r="AF100" i="25"/>
  <c r="AH100" i="25"/>
  <c r="AI100" i="25"/>
  <c r="AK100" i="25"/>
  <c r="AM100" i="25"/>
  <c r="AO100" i="25"/>
  <c r="AP100" i="25"/>
  <c r="AQ100" i="25"/>
  <c r="AS100" i="25"/>
  <c r="AU100" i="25"/>
  <c r="AV100" i="25"/>
  <c r="AX100" i="25"/>
  <c r="AY100" i="25"/>
  <c r="BA100" i="25"/>
  <c r="BB100" i="25"/>
  <c r="BC100" i="25"/>
  <c r="BD100" i="25"/>
  <c r="BE100" i="25"/>
  <c r="BF100" i="25"/>
  <c r="BG100" i="25"/>
  <c r="BH100" i="25"/>
  <c r="BI100" i="25"/>
  <c r="BL100" i="25"/>
  <c r="BM100" i="25"/>
  <c r="BN100" i="25"/>
  <c r="BO100" i="25"/>
  <c r="BP100" i="25"/>
  <c r="BQ100" i="25"/>
  <c r="BR100" i="25"/>
  <c r="BS100" i="25"/>
  <c r="BT100" i="25"/>
  <c r="BW100" i="25"/>
  <c r="BX100" i="25"/>
  <c r="BY100" i="25"/>
  <c r="BZ100" i="25"/>
  <c r="CA100" i="25"/>
  <c r="CB100" i="25"/>
  <c r="CC100" i="25"/>
  <c r="CE100" i="25"/>
  <c r="CF100" i="25"/>
  <c r="CG100" i="25"/>
  <c r="CI100" i="25"/>
  <c r="CJ100" i="25"/>
  <c r="CL100" i="25"/>
  <c r="CT100" i="25"/>
  <c r="CU100" i="25"/>
  <c r="CV100" i="25"/>
  <c r="CW100" i="25"/>
  <c r="CX100" i="25"/>
  <c r="DA100" i="25"/>
  <c r="DB100" i="25"/>
  <c r="DC100" i="25"/>
  <c r="DD100" i="25"/>
  <c r="DE100" i="25"/>
  <c r="DL100" i="25"/>
  <c r="DN100" i="25"/>
  <c r="DO100" i="25"/>
  <c r="DQ100" i="25"/>
  <c r="DR100" i="25"/>
  <c r="L101" i="25"/>
  <c r="N101" i="25"/>
  <c r="O101" i="25"/>
  <c r="P101" i="25"/>
  <c r="Q101" i="25"/>
  <c r="S101" i="25"/>
  <c r="T101" i="25"/>
  <c r="V101" i="25"/>
  <c r="W101" i="25"/>
  <c r="Y101" i="25"/>
  <c r="Z101" i="25"/>
  <c r="AB101" i="25"/>
  <c r="AC101" i="25"/>
  <c r="AE101" i="25"/>
  <c r="AF101" i="25"/>
  <c r="AH101" i="25"/>
  <c r="AI101" i="25"/>
  <c r="AK101" i="25"/>
  <c r="AM101" i="25"/>
  <c r="AO101" i="25"/>
  <c r="AP101" i="25"/>
  <c r="AQ101" i="25"/>
  <c r="AS101" i="25"/>
  <c r="AU101" i="25"/>
  <c r="AV101" i="25"/>
  <c r="AX101" i="25"/>
  <c r="AY101" i="25"/>
  <c r="BA101" i="25"/>
  <c r="BB101" i="25"/>
  <c r="BC101" i="25"/>
  <c r="BD101" i="25"/>
  <c r="BE101" i="25"/>
  <c r="BF101" i="25"/>
  <c r="BG101" i="25"/>
  <c r="BH101" i="25"/>
  <c r="BI101" i="25"/>
  <c r="BL101" i="25"/>
  <c r="BM101" i="25"/>
  <c r="BN101" i="25"/>
  <c r="BO101" i="25"/>
  <c r="BP101" i="25"/>
  <c r="BQ101" i="25"/>
  <c r="BR101" i="25"/>
  <c r="BS101" i="25"/>
  <c r="BT101" i="25"/>
  <c r="BW101" i="25"/>
  <c r="BX101" i="25"/>
  <c r="BY101" i="25"/>
  <c r="BZ101" i="25"/>
  <c r="CA101" i="25"/>
  <c r="CB101" i="25"/>
  <c r="CC101" i="25"/>
  <c r="CE101" i="25"/>
  <c r="CF101" i="25"/>
  <c r="CG101" i="25"/>
  <c r="CI101" i="25"/>
  <c r="CJ101" i="25"/>
  <c r="CL101" i="25"/>
  <c r="CT101" i="25"/>
  <c r="CU101" i="25"/>
  <c r="CV101" i="25"/>
  <c r="CW101" i="25"/>
  <c r="CX101" i="25"/>
  <c r="DA101" i="25"/>
  <c r="DB101" i="25"/>
  <c r="DC101" i="25"/>
  <c r="DD101" i="25"/>
  <c r="DE101" i="25"/>
  <c r="DL101" i="25"/>
  <c r="DN101" i="25"/>
  <c r="DO101" i="25"/>
  <c r="DQ101" i="25"/>
  <c r="DR101" i="25"/>
  <c r="L102" i="25"/>
  <c r="N102" i="25"/>
  <c r="O102" i="25"/>
  <c r="P102" i="25"/>
  <c r="Q102" i="25"/>
  <c r="S102" i="25"/>
  <c r="T102" i="25"/>
  <c r="V102" i="25"/>
  <c r="W102" i="25"/>
  <c r="Y102" i="25"/>
  <c r="Z102" i="25"/>
  <c r="AB102" i="25"/>
  <c r="AC102" i="25"/>
  <c r="AE102" i="25"/>
  <c r="AF102" i="25"/>
  <c r="AH102" i="25"/>
  <c r="AI102" i="25"/>
  <c r="AK102" i="25"/>
  <c r="AM102" i="25"/>
  <c r="AO102" i="25"/>
  <c r="AP102" i="25"/>
  <c r="AQ102" i="25"/>
  <c r="AS102" i="25"/>
  <c r="AU102" i="25"/>
  <c r="AV102" i="25"/>
  <c r="AX102" i="25"/>
  <c r="AY102" i="25"/>
  <c r="BA102" i="25"/>
  <c r="BB102" i="25"/>
  <c r="BC102" i="25"/>
  <c r="BD102" i="25"/>
  <c r="BE102" i="25"/>
  <c r="BF102" i="25"/>
  <c r="BG102" i="25"/>
  <c r="BH102" i="25"/>
  <c r="BI102" i="25"/>
  <c r="BL102" i="25"/>
  <c r="BM102" i="25"/>
  <c r="BN102" i="25"/>
  <c r="BO102" i="25"/>
  <c r="BP102" i="25"/>
  <c r="BQ102" i="25"/>
  <c r="BR102" i="25"/>
  <c r="BS102" i="25"/>
  <c r="BT102" i="25"/>
  <c r="BW102" i="25"/>
  <c r="BX102" i="25"/>
  <c r="BY102" i="25"/>
  <c r="BZ102" i="25"/>
  <c r="CA102" i="25"/>
  <c r="CB102" i="25"/>
  <c r="CC102" i="25"/>
  <c r="CE102" i="25"/>
  <c r="CF102" i="25"/>
  <c r="CG102" i="25"/>
  <c r="CI102" i="25"/>
  <c r="CJ102" i="25"/>
  <c r="CL102" i="25"/>
  <c r="CT102" i="25"/>
  <c r="CU102" i="25"/>
  <c r="CV102" i="25"/>
  <c r="CW102" i="25"/>
  <c r="CX102" i="25"/>
  <c r="DA102" i="25"/>
  <c r="DB102" i="25"/>
  <c r="DC102" i="25"/>
  <c r="DD102" i="25"/>
  <c r="DE102" i="25"/>
  <c r="DL102" i="25"/>
  <c r="DN102" i="25"/>
  <c r="DO102" i="25"/>
  <c r="DQ102" i="25"/>
  <c r="DR102" i="25"/>
  <c r="L103" i="25"/>
  <c r="N103" i="25"/>
  <c r="O103" i="25"/>
  <c r="P103" i="25"/>
  <c r="Q103" i="25"/>
  <c r="S103" i="25"/>
  <c r="T103" i="25"/>
  <c r="V103" i="25"/>
  <c r="W103" i="25"/>
  <c r="Y103" i="25"/>
  <c r="Z103" i="25"/>
  <c r="AB103" i="25"/>
  <c r="AC103" i="25"/>
  <c r="AE103" i="25"/>
  <c r="AF103" i="25"/>
  <c r="AH103" i="25"/>
  <c r="AI103" i="25"/>
  <c r="AK103" i="25"/>
  <c r="AM103" i="25"/>
  <c r="AO103" i="25"/>
  <c r="AP103" i="25"/>
  <c r="AQ103" i="25"/>
  <c r="AS103" i="25"/>
  <c r="AU103" i="25"/>
  <c r="AV103" i="25"/>
  <c r="AX103" i="25"/>
  <c r="AY103" i="25"/>
  <c r="BA103" i="25"/>
  <c r="BB103" i="25"/>
  <c r="BC103" i="25"/>
  <c r="BD103" i="25"/>
  <c r="BE103" i="25"/>
  <c r="BF103" i="25"/>
  <c r="BG103" i="25"/>
  <c r="BH103" i="25"/>
  <c r="BI103" i="25"/>
  <c r="BL103" i="25"/>
  <c r="BM103" i="25"/>
  <c r="BN103" i="25"/>
  <c r="BO103" i="25"/>
  <c r="BP103" i="25"/>
  <c r="BQ103" i="25"/>
  <c r="BR103" i="25"/>
  <c r="BS103" i="25"/>
  <c r="BT103" i="25"/>
  <c r="BW103" i="25"/>
  <c r="BX103" i="25"/>
  <c r="BY103" i="25"/>
  <c r="BZ103" i="25"/>
  <c r="CA103" i="25"/>
  <c r="CB103" i="25"/>
  <c r="CC103" i="25"/>
  <c r="CE103" i="25"/>
  <c r="CF103" i="25"/>
  <c r="CG103" i="25"/>
  <c r="CI103" i="25"/>
  <c r="CJ103" i="25"/>
  <c r="CL103" i="25"/>
  <c r="CT103" i="25"/>
  <c r="CU103" i="25"/>
  <c r="CV103" i="25"/>
  <c r="CW103" i="25"/>
  <c r="CX103" i="25"/>
  <c r="DA103" i="25"/>
  <c r="DB103" i="25"/>
  <c r="DC103" i="25"/>
  <c r="DD103" i="25"/>
  <c r="DE103" i="25"/>
  <c r="DL103" i="25"/>
  <c r="DN103" i="25"/>
  <c r="DO103" i="25"/>
  <c r="DQ103" i="25"/>
  <c r="DR103" i="25"/>
  <c r="L104" i="25"/>
  <c r="N104" i="25"/>
  <c r="O104" i="25"/>
  <c r="P104" i="25"/>
  <c r="Q104" i="25"/>
  <c r="S104" i="25"/>
  <c r="T104" i="25"/>
  <c r="V104" i="25"/>
  <c r="W104" i="25"/>
  <c r="Y104" i="25"/>
  <c r="Z104" i="25"/>
  <c r="AB104" i="25"/>
  <c r="AC104" i="25"/>
  <c r="AE104" i="25"/>
  <c r="AF104" i="25"/>
  <c r="AH104" i="25"/>
  <c r="AI104" i="25"/>
  <c r="AK104" i="25"/>
  <c r="AM104" i="25"/>
  <c r="AO104" i="25"/>
  <c r="AP104" i="25"/>
  <c r="AQ104" i="25"/>
  <c r="AS104" i="25"/>
  <c r="AU104" i="25"/>
  <c r="AV104" i="25"/>
  <c r="AX104" i="25"/>
  <c r="AY104" i="25"/>
  <c r="BA104" i="25"/>
  <c r="BB104" i="25"/>
  <c r="BC104" i="25"/>
  <c r="BD104" i="25"/>
  <c r="BE104" i="25"/>
  <c r="BF104" i="25"/>
  <c r="BG104" i="25"/>
  <c r="BH104" i="25"/>
  <c r="BI104" i="25"/>
  <c r="BL104" i="25"/>
  <c r="BM104" i="25"/>
  <c r="BN104" i="25"/>
  <c r="BO104" i="25"/>
  <c r="BP104" i="25"/>
  <c r="BQ104" i="25"/>
  <c r="BR104" i="25"/>
  <c r="BS104" i="25"/>
  <c r="BT104" i="25"/>
  <c r="BW104" i="25"/>
  <c r="BX104" i="25"/>
  <c r="BY104" i="25"/>
  <c r="BZ104" i="25"/>
  <c r="CA104" i="25"/>
  <c r="CB104" i="25"/>
  <c r="CC104" i="25"/>
  <c r="CE104" i="25"/>
  <c r="CF104" i="25"/>
  <c r="CG104" i="25"/>
  <c r="CI104" i="25"/>
  <c r="CJ104" i="25"/>
  <c r="CL104" i="25"/>
  <c r="CT104" i="25"/>
  <c r="CU104" i="25"/>
  <c r="CV104" i="25"/>
  <c r="CW104" i="25"/>
  <c r="CX104" i="25"/>
  <c r="DA104" i="25"/>
  <c r="DB104" i="25"/>
  <c r="DC104" i="25"/>
  <c r="DD104" i="25"/>
  <c r="DE104" i="25"/>
  <c r="DL104" i="25"/>
  <c r="DN104" i="25"/>
  <c r="DO104" i="25"/>
  <c r="DQ104" i="25"/>
  <c r="DR104" i="25"/>
  <c r="L105" i="25"/>
  <c r="N105" i="25"/>
  <c r="O105" i="25"/>
  <c r="P105" i="25"/>
  <c r="Q105" i="25"/>
  <c r="S105" i="25"/>
  <c r="T105" i="25"/>
  <c r="V105" i="25"/>
  <c r="W105" i="25"/>
  <c r="Y105" i="25"/>
  <c r="Z105" i="25"/>
  <c r="AB105" i="25"/>
  <c r="AC105" i="25"/>
  <c r="AE105" i="25"/>
  <c r="AF105" i="25"/>
  <c r="AH105" i="25"/>
  <c r="AI105" i="25"/>
  <c r="AK105" i="25"/>
  <c r="AM105" i="25"/>
  <c r="AO105" i="25"/>
  <c r="AP105" i="25"/>
  <c r="AQ105" i="25"/>
  <c r="AS105" i="25"/>
  <c r="AU105" i="25"/>
  <c r="AV105" i="25"/>
  <c r="AX105" i="25"/>
  <c r="AY105" i="25"/>
  <c r="BA105" i="25"/>
  <c r="BB105" i="25"/>
  <c r="BC105" i="25"/>
  <c r="BD105" i="25"/>
  <c r="BE105" i="25"/>
  <c r="BF105" i="25"/>
  <c r="BG105" i="25"/>
  <c r="BH105" i="25"/>
  <c r="BI105" i="25"/>
  <c r="BL105" i="25"/>
  <c r="BM105" i="25"/>
  <c r="BN105" i="25"/>
  <c r="BO105" i="25"/>
  <c r="BP105" i="25"/>
  <c r="BQ105" i="25"/>
  <c r="BR105" i="25"/>
  <c r="BS105" i="25"/>
  <c r="BT105" i="25"/>
  <c r="BW105" i="25"/>
  <c r="BX105" i="25"/>
  <c r="BY105" i="25"/>
  <c r="BZ105" i="25"/>
  <c r="CA105" i="25"/>
  <c r="CB105" i="25"/>
  <c r="CC105" i="25"/>
  <c r="CE105" i="25"/>
  <c r="CF105" i="25"/>
  <c r="CG105" i="25"/>
  <c r="CI105" i="25"/>
  <c r="CJ105" i="25"/>
  <c r="CL105" i="25"/>
  <c r="CT105" i="25"/>
  <c r="CU105" i="25"/>
  <c r="CV105" i="25"/>
  <c r="CW105" i="25"/>
  <c r="CX105" i="25"/>
  <c r="DA105" i="25"/>
  <c r="DB105" i="25"/>
  <c r="DC105" i="25"/>
  <c r="DD105" i="25"/>
  <c r="DE105" i="25"/>
  <c r="DL105" i="25"/>
  <c r="DN105" i="25"/>
  <c r="DO105" i="25"/>
  <c r="DQ105" i="25"/>
  <c r="DR105" i="25"/>
  <c r="L106" i="25"/>
  <c r="N106" i="25"/>
  <c r="O106" i="25"/>
  <c r="P106" i="25"/>
  <c r="Q106" i="25"/>
  <c r="S106" i="25"/>
  <c r="T106" i="25"/>
  <c r="V106" i="25"/>
  <c r="W106" i="25"/>
  <c r="Y106" i="25"/>
  <c r="Z106" i="25"/>
  <c r="AB106" i="25"/>
  <c r="AC106" i="25"/>
  <c r="AE106" i="25"/>
  <c r="AF106" i="25"/>
  <c r="AH106" i="25"/>
  <c r="AI106" i="25"/>
  <c r="AK106" i="25"/>
  <c r="AM106" i="25"/>
  <c r="AO106" i="25"/>
  <c r="AP106" i="25"/>
  <c r="AQ106" i="25"/>
  <c r="AS106" i="25"/>
  <c r="AU106" i="25"/>
  <c r="AV106" i="25"/>
  <c r="AX106" i="25"/>
  <c r="AY106" i="25"/>
  <c r="BA106" i="25"/>
  <c r="BB106" i="25"/>
  <c r="BC106" i="25"/>
  <c r="BD106" i="25"/>
  <c r="BE106" i="25"/>
  <c r="BF106" i="25"/>
  <c r="BG106" i="25"/>
  <c r="BH106" i="25"/>
  <c r="BI106" i="25"/>
  <c r="BL106" i="25"/>
  <c r="BM106" i="25"/>
  <c r="BN106" i="25"/>
  <c r="BO106" i="25"/>
  <c r="BP106" i="25"/>
  <c r="BQ106" i="25"/>
  <c r="BR106" i="25"/>
  <c r="BS106" i="25"/>
  <c r="BT106" i="25"/>
  <c r="BW106" i="25"/>
  <c r="BX106" i="25"/>
  <c r="BY106" i="25"/>
  <c r="BZ106" i="25"/>
  <c r="CA106" i="25"/>
  <c r="CB106" i="25"/>
  <c r="CC106" i="25"/>
  <c r="CE106" i="25"/>
  <c r="CF106" i="25"/>
  <c r="CG106" i="25"/>
  <c r="CI106" i="25"/>
  <c r="CJ106" i="25"/>
  <c r="CL106" i="25"/>
  <c r="CT106" i="25"/>
  <c r="CU106" i="25"/>
  <c r="CV106" i="25"/>
  <c r="CW106" i="25"/>
  <c r="CX106" i="25"/>
  <c r="DA106" i="25"/>
  <c r="DB106" i="25"/>
  <c r="DC106" i="25"/>
  <c r="DD106" i="25"/>
  <c r="DE106" i="25"/>
  <c r="DL106" i="25"/>
  <c r="DN106" i="25"/>
  <c r="DO106" i="25"/>
  <c r="DQ106" i="25"/>
  <c r="DR106" i="25"/>
  <c r="L107" i="25"/>
  <c r="N107" i="25"/>
  <c r="O107" i="25"/>
  <c r="P107" i="25"/>
  <c r="Q107" i="25"/>
  <c r="S107" i="25"/>
  <c r="T107" i="25"/>
  <c r="V107" i="25"/>
  <c r="W107" i="25"/>
  <c r="Y107" i="25"/>
  <c r="Z107" i="25"/>
  <c r="AB107" i="25"/>
  <c r="AC107" i="25"/>
  <c r="AE107" i="25"/>
  <c r="AF107" i="25"/>
  <c r="AH107" i="25"/>
  <c r="AI107" i="25"/>
  <c r="AK107" i="25"/>
  <c r="AM107" i="25"/>
  <c r="AO107" i="25"/>
  <c r="AP107" i="25"/>
  <c r="AQ107" i="25"/>
  <c r="AR107" i="25"/>
  <c r="AS107" i="25"/>
  <c r="AT107" i="25"/>
  <c r="AU107" i="25"/>
  <c r="AV107" i="25"/>
  <c r="AX107" i="25"/>
  <c r="AY107" i="25"/>
  <c r="BA107" i="25"/>
  <c r="BB107" i="25"/>
  <c r="BC107" i="25"/>
  <c r="BD107" i="25"/>
  <c r="BE107" i="25"/>
  <c r="BF107" i="25"/>
  <c r="BG107" i="25"/>
  <c r="BH107" i="25"/>
  <c r="BI107" i="25"/>
  <c r="BL107" i="25"/>
  <c r="BM107" i="25"/>
  <c r="BN107" i="25"/>
  <c r="BO107" i="25"/>
  <c r="BP107" i="25"/>
  <c r="BQ107" i="25"/>
  <c r="BR107" i="25"/>
  <c r="BS107" i="25"/>
  <c r="BT107" i="25"/>
  <c r="BW107" i="25"/>
  <c r="BX107" i="25"/>
  <c r="BY107" i="25"/>
  <c r="BZ107" i="25"/>
  <c r="CA107" i="25"/>
  <c r="CB107" i="25"/>
  <c r="CC107" i="25"/>
  <c r="CE107" i="25"/>
  <c r="CF107" i="25"/>
  <c r="CG107" i="25"/>
  <c r="CI107" i="25"/>
  <c r="CJ107" i="25"/>
  <c r="CL107" i="25"/>
  <c r="CT107" i="25"/>
  <c r="CU107" i="25"/>
  <c r="CV107" i="25"/>
  <c r="CW107" i="25"/>
  <c r="CX107" i="25"/>
  <c r="CY107" i="25"/>
  <c r="DA107" i="25"/>
  <c r="DB107" i="25"/>
  <c r="DC107" i="25"/>
  <c r="DD107" i="25"/>
  <c r="DE107" i="25"/>
  <c r="DF107" i="25"/>
  <c r="DL107" i="25"/>
  <c r="DN107" i="25"/>
  <c r="DO107" i="25"/>
  <c r="DQ107" i="25"/>
  <c r="DR107" i="25"/>
  <c r="L108" i="25"/>
  <c r="N108" i="25"/>
  <c r="O108" i="25"/>
  <c r="P108" i="25"/>
  <c r="Q108" i="25"/>
  <c r="S108" i="25"/>
  <c r="T108" i="25"/>
  <c r="V108" i="25"/>
  <c r="W108" i="25"/>
  <c r="Y108" i="25"/>
  <c r="Z108" i="25"/>
  <c r="AB108" i="25"/>
  <c r="AC108" i="25"/>
  <c r="AE108" i="25"/>
  <c r="AF108" i="25"/>
  <c r="AH108" i="25"/>
  <c r="AI108" i="25"/>
  <c r="AK108" i="25"/>
  <c r="AM108" i="25"/>
  <c r="AO108" i="25"/>
  <c r="AP108" i="25"/>
  <c r="AQ108" i="25"/>
  <c r="AS108" i="25"/>
  <c r="AU108" i="25"/>
  <c r="AV108" i="25"/>
  <c r="AX108" i="25"/>
  <c r="AY108" i="25"/>
  <c r="BA108" i="25"/>
  <c r="BB108" i="25"/>
  <c r="BC108" i="25"/>
  <c r="BD108" i="25"/>
  <c r="BE108" i="25"/>
  <c r="BF108" i="25"/>
  <c r="BG108" i="25"/>
  <c r="BH108" i="25"/>
  <c r="BI108" i="25"/>
  <c r="BL108" i="25"/>
  <c r="BM108" i="25"/>
  <c r="BN108" i="25"/>
  <c r="BO108" i="25"/>
  <c r="BP108" i="25"/>
  <c r="BQ108" i="25"/>
  <c r="BR108" i="25"/>
  <c r="BS108" i="25"/>
  <c r="BT108" i="25"/>
  <c r="BW108" i="25"/>
  <c r="BX108" i="25"/>
  <c r="BY108" i="25"/>
  <c r="BZ108" i="25"/>
  <c r="CA108" i="25"/>
  <c r="CB108" i="25"/>
  <c r="CC108" i="25"/>
  <c r="CE108" i="25"/>
  <c r="CF108" i="25"/>
  <c r="CG108" i="25"/>
  <c r="CI108" i="25"/>
  <c r="CJ108" i="25"/>
  <c r="CL108" i="25"/>
  <c r="CT108" i="25"/>
  <c r="CU108" i="25"/>
  <c r="CV108" i="25"/>
  <c r="CW108" i="25"/>
  <c r="CX108" i="25"/>
  <c r="DA108" i="25"/>
  <c r="DB108" i="25"/>
  <c r="DC108" i="25"/>
  <c r="DD108" i="25"/>
  <c r="DE108" i="25"/>
  <c r="DL108" i="25"/>
  <c r="DN108" i="25"/>
  <c r="DO108" i="25"/>
  <c r="DQ108" i="25"/>
  <c r="DR108" i="25"/>
  <c r="L109" i="25"/>
  <c r="N109" i="25"/>
  <c r="O109" i="25"/>
  <c r="P109" i="25"/>
  <c r="Q109" i="25"/>
  <c r="S109" i="25"/>
  <c r="T109" i="25"/>
  <c r="V109" i="25"/>
  <c r="W109" i="25"/>
  <c r="Y109" i="25"/>
  <c r="Z109" i="25"/>
  <c r="AB109" i="25"/>
  <c r="AC109" i="25"/>
  <c r="AE109" i="25"/>
  <c r="AF109" i="25"/>
  <c r="AH109" i="25"/>
  <c r="AI109" i="25"/>
  <c r="AK109" i="25"/>
  <c r="AM109" i="25"/>
  <c r="AO109" i="25"/>
  <c r="AP109" i="25"/>
  <c r="AQ109" i="25"/>
  <c r="AS109" i="25"/>
  <c r="AU109" i="25"/>
  <c r="AV109" i="25"/>
  <c r="AX109" i="25"/>
  <c r="AY109" i="25"/>
  <c r="BA109" i="25"/>
  <c r="BB109" i="25"/>
  <c r="BC109" i="25"/>
  <c r="BD109" i="25"/>
  <c r="BE109" i="25"/>
  <c r="BF109" i="25"/>
  <c r="BG109" i="25"/>
  <c r="BH109" i="25"/>
  <c r="BI109" i="25"/>
  <c r="BL109" i="25"/>
  <c r="BM109" i="25"/>
  <c r="BN109" i="25"/>
  <c r="BO109" i="25"/>
  <c r="BP109" i="25"/>
  <c r="BQ109" i="25"/>
  <c r="BR109" i="25"/>
  <c r="BS109" i="25"/>
  <c r="BT109" i="25"/>
  <c r="BW109" i="25"/>
  <c r="BX109" i="25"/>
  <c r="BY109" i="25"/>
  <c r="BZ109" i="25"/>
  <c r="CA109" i="25"/>
  <c r="CB109" i="25"/>
  <c r="CC109" i="25"/>
  <c r="CE109" i="25"/>
  <c r="CF109" i="25"/>
  <c r="CG109" i="25"/>
  <c r="CI109" i="25"/>
  <c r="CJ109" i="25"/>
  <c r="CL109" i="25"/>
  <c r="CT109" i="25"/>
  <c r="CU109" i="25"/>
  <c r="CV109" i="25"/>
  <c r="CW109" i="25"/>
  <c r="CX109" i="25"/>
  <c r="DA109" i="25"/>
  <c r="DB109" i="25"/>
  <c r="DC109" i="25"/>
  <c r="DD109" i="25"/>
  <c r="DE109" i="25"/>
  <c r="DL109" i="25"/>
  <c r="DN109" i="25"/>
  <c r="DO109" i="25"/>
  <c r="DQ109" i="25"/>
  <c r="DR109" i="25"/>
  <c r="L110" i="25"/>
  <c r="N110" i="25"/>
  <c r="O110" i="25"/>
  <c r="P110" i="25"/>
  <c r="Q110" i="25"/>
  <c r="S110" i="25"/>
  <c r="T110" i="25"/>
  <c r="V110" i="25"/>
  <c r="W110" i="25"/>
  <c r="Y110" i="25"/>
  <c r="Z110" i="25"/>
  <c r="AB110" i="25"/>
  <c r="AC110" i="25"/>
  <c r="AE110" i="25"/>
  <c r="AF110" i="25"/>
  <c r="AH110" i="25"/>
  <c r="AI110" i="25"/>
  <c r="AK110" i="25"/>
  <c r="AM110" i="25"/>
  <c r="AO110" i="25"/>
  <c r="AP110" i="25"/>
  <c r="AQ110" i="25"/>
  <c r="AS110" i="25"/>
  <c r="AU110" i="25"/>
  <c r="AV110" i="25"/>
  <c r="AX110" i="25"/>
  <c r="AY110" i="25"/>
  <c r="BA110" i="25"/>
  <c r="BB110" i="25"/>
  <c r="BC110" i="25"/>
  <c r="BD110" i="25"/>
  <c r="BE110" i="25"/>
  <c r="BF110" i="25"/>
  <c r="BG110" i="25"/>
  <c r="BH110" i="25"/>
  <c r="BI110" i="25"/>
  <c r="BL110" i="25"/>
  <c r="BM110" i="25"/>
  <c r="BN110" i="25"/>
  <c r="BO110" i="25"/>
  <c r="BP110" i="25"/>
  <c r="BQ110" i="25"/>
  <c r="BR110" i="25"/>
  <c r="BS110" i="25"/>
  <c r="BT110" i="25"/>
  <c r="BW110" i="25"/>
  <c r="BX110" i="25"/>
  <c r="BY110" i="25"/>
  <c r="BZ110" i="25"/>
  <c r="CA110" i="25"/>
  <c r="CB110" i="25"/>
  <c r="CC110" i="25"/>
  <c r="CE110" i="25"/>
  <c r="CF110" i="25"/>
  <c r="CG110" i="25"/>
  <c r="CI110" i="25"/>
  <c r="CJ110" i="25"/>
  <c r="CL110" i="25"/>
  <c r="CT110" i="25"/>
  <c r="CU110" i="25"/>
  <c r="CV110" i="25"/>
  <c r="CW110" i="25"/>
  <c r="CX110" i="25"/>
  <c r="DA110" i="25"/>
  <c r="DB110" i="25"/>
  <c r="DC110" i="25"/>
  <c r="DD110" i="25"/>
  <c r="DE110" i="25"/>
  <c r="DL110" i="25"/>
  <c r="DN110" i="25"/>
  <c r="DO110" i="25"/>
  <c r="DQ110" i="25"/>
  <c r="DR110" i="25"/>
  <c r="L111" i="25"/>
  <c r="N111" i="25"/>
  <c r="O111" i="25"/>
  <c r="P111" i="25"/>
  <c r="Q111" i="25"/>
  <c r="S111" i="25"/>
  <c r="T111" i="25"/>
  <c r="V111" i="25"/>
  <c r="W111" i="25"/>
  <c r="Y111" i="25"/>
  <c r="Z111" i="25"/>
  <c r="AB111" i="25"/>
  <c r="AC111" i="25"/>
  <c r="AE111" i="25"/>
  <c r="AF111" i="25"/>
  <c r="AH111" i="25"/>
  <c r="AI111" i="25"/>
  <c r="AK111" i="25"/>
  <c r="AM111" i="25"/>
  <c r="AO111" i="25"/>
  <c r="AP111" i="25"/>
  <c r="AQ111" i="25"/>
  <c r="AS111" i="25"/>
  <c r="AU111" i="25"/>
  <c r="AV111" i="25"/>
  <c r="AX111" i="25"/>
  <c r="AY111" i="25"/>
  <c r="BA111" i="25"/>
  <c r="BB111" i="25"/>
  <c r="BC111" i="25"/>
  <c r="BD111" i="25"/>
  <c r="BE111" i="25"/>
  <c r="BF111" i="25"/>
  <c r="BG111" i="25"/>
  <c r="BH111" i="25"/>
  <c r="BI111" i="25"/>
  <c r="BL111" i="25"/>
  <c r="BM111" i="25"/>
  <c r="BN111" i="25"/>
  <c r="BO111" i="25"/>
  <c r="BP111" i="25"/>
  <c r="BQ111" i="25"/>
  <c r="BR111" i="25"/>
  <c r="BS111" i="25"/>
  <c r="BT111" i="25"/>
  <c r="BW111" i="25"/>
  <c r="BX111" i="25"/>
  <c r="BY111" i="25"/>
  <c r="BZ111" i="25"/>
  <c r="CA111" i="25"/>
  <c r="CB111" i="25"/>
  <c r="CC111" i="25"/>
  <c r="CE111" i="25"/>
  <c r="CF111" i="25"/>
  <c r="CG111" i="25"/>
  <c r="CI111" i="25"/>
  <c r="CJ111" i="25"/>
  <c r="CL111" i="25"/>
  <c r="CT111" i="25"/>
  <c r="CU111" i="25"/>
  <c r="CV111" i="25"/>
  <c r="CW111" i="25"/>
  <c r="CX111" i="25"/>
  <c r="DA111" i="25"/>
  <c r="DB111" i="25"/>
  <c r="DC111" i="25"/>
  <c r="DD111" i="25"/>
  <c r="DE111" i="25"/>
  <c r="DL111" i="25"/>
  <c r="DN111" i="25"/>
  <c r="DO111" i="25"/>
  <c r="DQ111" i="25"/>
  <c r="DR111" i="25"/>
  <c r="L112" i="25"/>
  <c r="N112" i="25"/>
  <c r="O112" i="25"/>
  <c r="P112" i="25"/>
  <c r="Q112" i="25"/>
  <c r="S112" i="25"/>
  <c r="T112" i="25"/>
  <c r="V112" i="25"/>
  <c r="W112" i="25"/>
  <c r="Y112" i="25"/>
  <c r="Z112" i="25"/>
  <c r="AB112" i="25"/>
  <c r="AC112" i="25"/>
  <c r="AE112" i="25"/>
  <c r="AF112" i="25"/>
  <c r="AH112" i="25"/>
  <c r="AI112" i="25"/>
  <c r="AK112" i="25"/>
  <c r="AM112" i="25"/>
  <c r="AO112" i="25"/>
  <c r="AP112" i="25"/>
  <c r="AQ112" i="25"/>
  <c r="AS112" i="25"/>
  <c r="AU112" i="25"/>
  <c r="AV112" i="25"/>
  <c r="AX112" i="25"/>
  <c r="AY112" i="25"/>
  <c r="BA112" i="25"/>
  <c r="BB112" i="25"/>
  <c r="BC112" i="25"/>
  <c r="BD112" i="25"/>
  <c r="BE112" i="25"/>
  <c r="BF112" i="25"/>
  <c r="BG112" i="25"/>
  <c r="BH112" i="25"/>
  <c r="BI112" i="25"/>
  <c r="BL112" i="25"/>
  <c r="BM112" i="25"/>
  <c r="BN112" i="25"/>
  <c r="BO112" i="25"/>
  <c r="BP112" i="25"/>
  <c r="BQ112" i="25"/>
  <c r="BR112" i="25"/>
  <c r="BS112" i="25"/>
  <c r="BT112" i="25"/>
  <c r="BW112" i="25"/>
  <c r="BX112" i="25"/>
  <c r="BY112" i="25"/>
  <c r="BZ112" i="25"/>
  <c r="CA112" i="25"/>
  <c r="CB112" i="25"/>
  <c r="CC112" i="25"/>
  <c r="CE112" i="25"/>
  <c r="CF112" i="25"/>
  <c r="CG112" i="25"/>
  <c r="CI112" i="25"/>
  <c r="CJ112" i="25"/>
  <c r="CL112" i="25"/>
  <c r="CT112" i="25"/>
  <c r="CU112" i="25"/>
  <c r="CV112" i="25"/>
  <c r="CW112" i="25"/>
  <c r="CX112" i="25"/>
  <c r="DA112" i="25"/>
  <c r="DB112" i="25"/>
  <c r="DC112" i="25"/>
  <c r="DD112" i="25"/>
  <c r="DE112" i="25"/>
  <c r="DL112" i="25"/>
  <c r="DN112" i="25"/>
  <c r="DO112" i="25"/>
  <c r="DQ112" i="25"/>
  <c r="DR112" i="25"/>
  <c r="L113" i="25"/>
  <c r="N113" i="25"/>
  <c r="O113" i="25"/>
  <c r="P113" i="25"/>
  <c r="Q113" i="25"/>
  <c r="S113" i="25"/>
  <c r="T113" i="25"/>
  <c r="V113" i="25"/>
  <c r="W113" i="25"/>
  <c r="Y113" i="25"/>
  <c r="Z113" i="25"/>
  <c r="AB113" i="25"/>
  <c r="AC113" i="25"/>
  <c r="AE113" i="25"/>
  <c r="AF113" i="25"/>
  <c r="AH113" i="25"/>
  <c r="AI113" i="25"/>
  <c r="AK113" i="25"/>
  <c r="AM113" i="25"/>
  <c r="AO113" i="25"/>
  <c r="AP113" i="25"/>
  <c r="AQ113" i="25"/>
  <c r="AS113" i="25"/>
  <c r="AU113" i="25"/>
  <c r="AV113" i="25"/>
  <c r="AX113" i="25"/>
  <c r="AY113" i="25"/>
  <c r="BA113" i="25"/>
  <c r="BB113" i="25"/>
  <c r="BC113" i="25"/>
  <c r="BD113" i="25"/>
  <c r="BE113" i="25"/>
  <c r="BF113" i="25"/>
  <c r="BG113" i="25"/>
  <c r="BH113" i="25"/>
  <c r="BI113" i="25"/>
  <c r="BL113" i="25"/>
  <c r="BM113" i="25"/>
  <c r="BN113" i="25"/>
  <c r="BO113" i="25"/>
  <c r="BP113" i="25"/>
  <c r="BQ113" i="25"/>
  <c r="BR113" i="25"/>
  <c r="BS113" i="25"/>
  <c r="BT113" i="25"/>
  <c r="BW113" i="25"/>
  <c r="BX113" i="25"/>
  <c r="BY113" i="25"/>
  <c r="BZ113" i="25"/>
  <c r="CA113" i="25"/>
  <c r="CB113" i="25"/>
  <c r="CC113" i="25"/>
  <c r="CE113" i="25"/>
  <c r="CF113" i="25"/>
  <c r="CG113" i="25"/>
  <c r="CI113" i="25"/>
  <c r="CJ113" i="25"/>
  <c r="CL113" i="25"/>
  <c r="CT113" i="25"/>
  <c r="CU113" i="25"/>
  <c r="CV113" i="25"/>
  <c r="CW113" i="25"/>
  <c r="CX113" i="25"/>
  <c r="DA113" i="25"/>
  <c r="DB113" i="25"/>
  <c r="DC113" i="25"/>
  <c r="DD113" i="25"/>
  <c r="DE113" i="25"/>
  <c r="DL113" i="25"/>
  <c r="DN113" i="25"/>
  <c r="DO113" i="25"/>
  <c r="DQ113" i="25"/>
  <c r="DR113" i="25"/>
  <c r="L114" i="25"/>
  <c r="N114" i="25"/>
  <c r="O114" i="25"/>
  <c r="P114" i="25"/>
  <c r="Q114" i="25"/>
  <c r="S114" i="25"/>
  <c r="T114" i="25"/>
  <c r="V114" i="25"/>
  <c r="W114" i="25"/>
  <c r="Y114" i="25"/>
  <c r="Z114" i="25"/>
  <c r="AB114" i="25"/>
  <c r="AC114" i="25"/>
  <c r="AE114" i="25"/>
  <c r="AF114" i="25"/>
  <c r="AH114" i="25"/>
  <c r="AI114" i="25"/>
  <c r="AK114" i="25"/>
  <c r="AM114" i="25"/>
  <c r="AO114" i="25"/>
  <c r="AP114" i="25"/>
  <c r="AQ114" i="25"/>
  <c r="AS114" i="25"/>
  <c r="AU114" i="25"/>
  <c r="AV114" i="25"/>
  <c r="AX114" i="25"/>
  <c r="AY114" i="25"/>
  <c r="BA114" i="25"/>
  <c r="BB114" i="25"/>
  <c r="BC114" i="25"/>
  <c r="BD114" i="25"/>
  <c r="BE114" i="25"/>
  <c r="BF114" i="25"/>
  <c r="BG114" i="25"/>
  <c r="BH114" i="25"/>
  <c r="BI114" i="25"/>
  <c r="BL114" i="25"/>
  <c r="BM114" i="25"/>
  <c r="BN114" i="25"/>
  <c r="BO114" i="25"/>
  <c r="BP114" i="25"/>
  <c r="BQ114" i="25"/>
  <c r="BR114" i="25"/>
  <c r="BS114" i="25"/>
  <c r="BT114" i="25"/>
  <c r="BW114" i="25"/>
  <c r="BX114" i="25"/>
  <c r="BY114" i="25"/>
  <c r="BZ114" i="25"/>
  <c r="CA114" i="25"/>
  <c r="CB114" i="25"/>
  <c r="CC114" i="25"/>
  <c r="CE114" i="25"/>
  <c r="CF114" i="25"/>
  <c r="CG114" i="25"/>
  <c r="CI114" i="25"/>
  <c r="CJ114" i="25"/>
  <c r="CL114" i="25"/>
  <c r="CT114" i="25"/>
  <c r="CU114" i="25"/>
  <c r="CV114" i="25"/>
  <c r="CW114" i="25"/>
  <c r="CX114" i="25"/>
  <c r="DA114" i="25"/>
  <c r="DB114" i="25"/>
  <c r="DC114" i="25"/>
  <c r="DD114" i="25"/>
  <c r="DE114" i="25"/>
  <c r="DL114" i="25"/>
  <c r="DN114" i="25"/>
  <c r="DO114" i="25"/>
  <c r="DQ114" i="25"/>
  <c r="DR114" i="25"/>
  <c r="L115" i="25"/>
  <c r="N115" i="25"/>
  <c r="O115" i="25"/>
  <c r="P115" i="25"/>
  <c r="Q115" i="25"/>
  <c r="S115" i="25"/>
  <c r="T115" i="25"/>
  <c r="V115" i="25"/>
  <c r="W115" i="25"/>
  <c r="Y115" i="25"/>
  <c r="Z115" i="25"/>
  <c r="AB115" i="25"/>
  <c r="AC115" i="25"/>
  <c r="AE115" i="25"/>
  <c r="AF115" i="25"/>
  <c r="AH115" i="25"/>
  <c r="AI115" i="25"/>
  <c r="AK115" i="25"/>
  <c r="AM115" i="25"/>
  <c r="AO115" i="25"/>
  <c r="AP115" i="25"/>
  <c r="AQ115" i="25"/>
  <c r="AS115" i="25"/>
  <c r="AU115" i="25"/>
  <c r="AV115" i="25"/>
  <c r="AX115" i="25"/>
  <c r="AY115" i="25"/>
  <c r="BA115" i="25"/>
  <c r="BB115" i="25"/>
  <c r="BC115" i="25"/>
  <c r="BD115" i="25"/>
  <c r="BE115" i="25"/>
  <c r="BF115" i="25"/>
  <c r="BG115" i="25"/>
  <c r="BH115" i="25"/>
  <c r="BI115" i="25"/>
  <c r="BL115" i="25"/>
  <c r="BM115" i="25"/>
  <c r="BN115" i="25"/>
  <c r="BO115" i="25"/>
  <c r="BP115" i="25"/>
  <c r="BQ115" i="25"/>
  <c r="BR115" i="25"/>
  <c r="BS115" i="25"/>
  <c r="BT115" i="25"/>
  <c r="BW115" i="25"/>
  <c r="BX115" i="25"/>
  <c r="BY115" i="25"/>
  <c r="BZ115" i="25"/>
  <c r="CA115" i="25"/>
  <c r="CB115" i="25"/>
  <c r="CC115" i="25"/>
  <c r="CE115" i="25"/>
  <c r="CF115" i="25"/>
  <c r="CG115" i="25"/>
  <c r="CI115" i="25"/>
  <c r="CJ115" i="25"/>
  <c r="CL115" i="25"/>
  <c r="CT115" i="25"/>
  <c r="CU115" i="25"/>
  <c r="CV115" i="25"/>
  <c r="CW115" i="25"/>
  <c r="CX115" i="25"/>
  <c r="DA115" i="25"/>
  <c r="DB115" i="25"/>
  <c r="DC115" i="25"/>
  <c r="DD115" i="25"/>
  <c r="DE115" i="25"/>
  <c r="DL115" i="25"/>
  <c r="DN115" i="25"/>
  <c r="DO115" i="25"/>
  <c r="DQ115" i="25"/>
  <c r="DR115" i="25"/>
  <c r="L116" i="25"/>
  <c r="N116" i="25"/>
  <c r="O116" i="25"/>
  <c r="P116" i="25"/>
  <c r="Q116" i="25"/>
  <c r="S116" i="25"/>
  <c r="T116" i="25"/>
  <c r="V116" i="25"/>
  <c r="W116" i="25"/>
  <c r="Y116" i="25"/>
  <c r="Z116" i="25"/>
  <c r="AB116" i="25"/>
  <c r="AC116" i="25"/>
  <c r="AE116" i="25"/>
  <c r="AF116" i="25"/>
  <c r="AH116" i="25"/>
  <c r="AI116" i="25"/>
  <c r="AK116" i="25"/>
  <c r="AM116" i="25"/>
  <c r="AO116" i="25"/>
  <c r="AP116" i="25"/>
  <c r="AQ116" i="25"/>
  <c r="AS116" i="25"/>
  <c r="AU116" i="25"/>
  <c r="AV116" i="25"/>
  <c r="AX116" i="25"/>
  <c r="AY116" i="25"/>
  <c r="BA116" i="25"/>
  <c r="BB116" i="25"/>
  <c r="BC116" i="25"/>
  <c r="BD116" i="25"/>
  <c r="BE116" i="25"/>
  <c r="BF116" i="25"/>
  <c r="BG116" i="25"/>
  <c r="BH116" i="25"/>
  <c r="BI116" i="25"/>
  <c r="BL116" i="25"/>
  <c r="BM116" i="25"/>
  <c r="BN116" i="25"/>
  <c r="BO116" i="25"/>
  <c r="BP116" i="25"/>
  <c r="BQ116" i="25"/>
  <c r="BR116" i="25"/>
  <c r="BS116" i="25"/>
  <c r="BT116" i="25"/>
  <c r="BW116" i="25"/>
  <c r="BX116" i="25"/>
  <c r="BY116" i="25"/>
  <c r="BZ116" i="25"/>
  <c r="CA116" i="25"/>
  <c r="CB116" i="25"/>
  <c r="CC116" i="25"/>
  <c r="CE116" i="25"/>
  <c r="CF116" i="25"/>
  <c r="CG116" i="25"/>
  <c r="CI116" i="25"/>
  <c r="CJ116" i="25"/>
  <c r="CL116" i="25"/>
  <c r="CT116" i="25"/>
  <c r="CU116" i="25"/>
  <c r="CV116" i="25"/>
  <c r="CW116" i="25"/>
  <c r="CX116" i="25"/>
  <c r="DA116" i="25"/>
  <c r="DB116" i="25"/>
  <c r="DC116" i="25"/>
  <c r="DD116" i="25"/>
  <c r="DE116" i="25"/>
  <c r="DL116" i="25"/>
  <c r="DN116" i="25"/>
  <c r="DO116" i="25"/>
  <c r="DQ116" i="25"/>
  <c r="DR116" i="25"/>
  <c r="L117" i="25"/>
  <c r="N117" i="25"/>
  <c r="O117" i="25"/>
  <c r="P117" i="25"/>
  <c r="Q117" i="25"/>
  <c r="S117" i="25"/>
  <c r="T117" i="25"/>
  <c r="V117" i="25"/>
  <c r="W117" i="25"/>
  <c r="Y117" i="25"/>
  <c r="Z117" i="25"/>
  <c r="AB117" i="25"/>
  <c r="AC117" i="25"/>
  <c r="AE117" i="25"/>
  <c r="AF117" i="25"/>
  <c r="AH117" i="25"/>
  <c r="AI117" i="25"/>
  <c r="AK117" i="25"/>
  <c r="AM117" i="25"/>
  <c r="AO117" i="25"/>
  <c r="AP117" i="25"/>
  <c r="AQ117" i="25"/>
  <c r="AS117" i="25"/>
  <c r="AU117" i="25"/>
  <c r="AV117" i="25"/>
  <c r="AX117" i="25"/>
  <c r="AY117" i="25"/>
  <c r="BA117" i="25"/>
  <c r="BB117" i="25"/>
  <c r="BC117" i="25"/>
  <c r="BD117" i="25"/>
  <c r="BE117" i="25"/>
  <c r="BF117" i="25"/>
  <c r="BG117" i="25"/>
  <c r="BH117" i="25"/>
  <c r="BI117" i="25"/>
  <c r="BL117" i="25"/>
  <c r="BM117" i="25"/>
  <c r="BN117" i="25"/>
  <c r="BO117" i="25"/>
  <c r="BP117" i="25"/>
  <c r="BQ117" i="25"/>
  <c r="BR117" i="25"/>
  <c r="BS117" i="25"/>
  <c r="BT117" i="25"/>
  <c r="BW117" i="25"/>
  <c r="BX117" i="25"/>
  <c r="BY117" i="25"/>
  <c r="BZ117" i="25"/>
  <c r="CA117" i="25"/>
  <c r="CB117" i="25"/>
  <c r="CC117" i="25"/>
  <c r="CE117" i="25"/>
  <c r="CF117" i="25"/>
  <c r="CG117" i="25"/>
  <c r="CI117" i="25"/>
  <c r="CJ117" i="25"/>
  <c r="CL117" i="25"/>
  <c r="CT117" i="25"/>
  <c r="CU117" i="25"/>
  <c r="CV117" i="25"/>
  <c r="CW117" i="25"/>
  <c r="CX117" i="25"/>
  <c r="DA117" i="25"/>
  <c r="DB117" i="25"/>
  <c r="DC117" i="25"/>
  <c r="DD117" i="25"/>
  <c r="DE117" i="25"/>
  <c r="DL117" i="25"/>
  <c r="DN117" i="25"/>
  <c r="DO117" i="25"/>
  <c r="DQ117" i="25"/>
  <c r="DR117" i="25"/>
  <c r="L118" i="25"/>
  <c r="N118" i="25"/>
  <c r="O118" i="25"/>
  <c r="P118" i="25"/>
  <c r="Q118" i="25"/>
  <c r="S118" i="25"/>
  <c r="T118" i="25"/>
  <c r="V118" i="25"/>
  <c r="W118" i="25"/>
  <c r="Y118" i="25"/>
  <c r="Z118" i="25"/>
  <c r="AB118" i="25"/>
  <c r="AC118" i="25"/>
  <c r="AE118" i="25"/>
  <c r="AF118" i="25"/>
  <c r="AH118" i="25"/>
  <c r="AI118" i="25"/>
  <c r="AK118" i="25"/>
  <c r="AM118" i="25"/>
  <c r="AO118" i="25"/>
  <c r="AP118" i="25"/>
  <c r="AQ118" i="25"/>
  <c r="AS118" i="25"/>
  <c r="AU118" i="25"/>
  <c r="AV118" i="25"/>
  <c r="AX118" i="25"/>
  <c r="AY118" i="25"/>
  <c r="BA118" i="25"/>
  <c r="BB118" i="25"/>
  <c r="BC118" i="25"/>
  <c r="BD118" i="25"/>
  <c r="BE118" i="25"/>
  <c r="BF118" i="25"/>
  <c r="BG118" i="25"/>
  <c r="BH118" i="25"/>
  <c r="BI118" i="25"/>
  <c r="BL118" i="25"/>
  <c r="BM118" i="25"/>
  <c r="BN118" i="25"/>
  <c r="BO118" i="25"/>
  <c r="BP118" i="25"/>
  <c r="BQ118" i="25"/>
  <c r="BR118" i="25"/>
  <c r="BS118" i="25"/>
  <c r="BT118" i="25"/>
  <c r="BW118" i="25"/>
  <c r="BX118" i="25"/>
  <c r="BY118" i="25"/>
  <c r="BZ118" i="25"/>
  <c r="CA118" i="25"/>
  <c r="CB118" i="25"/>
  <c r="CC118" i="25"/>
  <c r="CE118" i="25"/>
  <c r="CF118" i="25"/>
  <c r="CG118" i="25"/>
  <c r="CI118" i="25"/>
  <c r="CJ118" i="25"/>
  <c r="CL118" i="25"/>
  <c r="CT118" i="25"/>
  <c r="CU118" i="25"/>
  <c r="CV118" i="25"/>
  <c r="CW118" i="25"/>
  <c r="CX118" i="25"/>
  <c r="DA118" i="25"/>
  <c r="DB118" i="25"/>
  <c r="DC118" i="25"/>
  <c r="DD118" i="25"/>
  <c r="DE118" i="25"/>
  <c r="DL118" i="25"/>
  <c r="DN118" i="25"/>
  <c r="DO118" i="25"/>
  <c r="DQ118" i="25"/>
  <c r="DR118" i="25"/>
  <c r="L119" i="25"/>
  <c r="N119" i="25"/>
  <c r="O119" i="25"/>
  <c r="P119" i="25"/>
  <c r="Q119" i="25"/>
  <c r="S119" i="25"/>
  <c r="T119" i="25"/>
  <c r="V119" i="25"/>
  <c r="W119" i="25"/>
  <c r="Y119" i="25"/>
  <c r="Z119" i="25"/>
  <c r="AB119" i="25"/>
  <c r="AC119" i="25"/>
  <c r="AE119" i="25"/>
  <c r="AF119" i="25"/>
  <c r="AH119" i="25"/>
  <c r="AI119" i="25"/>
  <c r="AK119" i="25"/>
  <c r="AM119" i="25"/>
  <c r="AO119" i="25"/>
  <c r="AP119" i="25"/>
  <c r="AQ119" i="25"/>
  <c r="AR119" i="25"/>
  <c r="AS119" i="25"/>
  <c r="AT119" i="25"/>
  <c r="AU119" i="25"/>
  <c r="AV119" i="25"/>
  <c r="AX119" i="25"/>
  <c r="AY119" i="25"/>
  <c r="BA119" i="25"/>
  <c r="BB119" i="25"/>
  <c r="BC119" i="25"/>
  <c r="BD119" i="25"/>
  <c r="BE119" i="25"/>
  <c r="BF119" i="25"/>
  <c r="BG119" i="25"/>
  <c r="BH119" i="25"/>
  <c r="BI119" i="25"/>
  <c r="BL119" i="25"/>
  <c r="BM119" i="25"/>
  <c r="BN119" i="25"/>
  <c r="BO119" i="25"/>
  <c r="BP119" i="25"/>
  <c r="BQ119" i="25"/>
  <c r="BR119" i="25"/>
  <c r="BS119" i="25"/>
  <c r="BT119" i="25"/>
  <c r="BW119" i="25"/>
  <c r="BX119" i="25"/>
  <c r="BY119" i="25"/>
  <c r="BZ119" i="25"/>
  <c r="CA119" i="25"/>
  <c r="CB119" i="25"/>
  <c r="CC119" i="25"/>
  <c r="CE119" i="25"/>
  <c r="CF119" i="25"/>
  <c r="CG119" i="25"/>
  <c r="CI119" i="25"/>
  <c r="CJ119" i="25"/>
  <c r="CL119" i="25"/>
  <c r="CT119" i="25"/>
  <c r="CU119" i="25"/>
  <c r="CV119" i="25"/>
  <c r="CW119" i="25"/>
  <c r="CX119" i="25"/>
  <c r="CY119" i="25"/>
  <c r="DA119" i="25"/>
  <c r="DB119" i="25"/>
  <c r="DC119" i="25"/>
  <c r="DD119" i="25"/>
  <c r="DE119" i="25"/>
  <c r="DF119" i="25"/>
  <c r="DL119" i="25"/>
  <c r="DN119" i="25"/>
  <c r="DO119" i="25"/>
  <c r="DQ119" i="25"/>
  <c r="DR119" i="25"/>
  <c r="L120" i="25"/>
  <c r="N120" i="25"/>
  <c r="O120" i="25"/>
  <c r="P120" i="25"/>
  <c r="Q120" i="25"/>
  <c r="S120" i="25"/>
  <c r="T120" i="25"/>
  <c r="V120" i="25"/>
  <c r="W120" i="25"/>
  <c r="Y120" i="25"/>
  <c r="Z120" i="25"/>
  <c r="AB120" i="25"/>
  <c r="AC120" i="25"/>
  <c r="AE120" i="25"/>
  <c r="AF120" i="25"/>
  <c r="AH120" i="25"/>
  <c r="AI120" i="25"/>
  <c r="AK120" i="25"/>
  <c r="AM120" i="25"/>
  <c r="AO120" i="25"/>
  <c r="AP120" i="25"/>
  <c r="AQ120" i="25"/>
  <c r="AS120" i="25"/>
  <c r="AU120" i="25"/>
  <c r="AV120" i="25"/>
  <c r="AX120" i="25"/>
  <c r="AY120" i="25"/>
  <c r="BA120" i="25"/>
  <c r="BB120" i="25"/>
  <c r="BC120" i="25"/>
  <c r="BD120" i="25"/>
  <c r="BE120" i="25"/>
  <c r="BF120" i="25"/>
  <c r="BG120" i="25"/>
  <c r="BH120" i="25"/>
  <c r="BI120" i="25"/>
  <c r="BL120" i="25"/>
  <c r="BM120" i="25"/>
  <c r="BN120" i="25"/>
  <c r="BO120" i="25"/>
  <c r="BP120" i="25"/>
  <c r="BQ120" i="25"/>
  <c r="BR120" i="25"/>
  <c r="BS120" i="25"/>
  <c r="BT120" i="25"/>
  <c r="BW120" i="25"/>
  <c r="BX120" i="25"/>
  <c r="BY120" i="25"/>
  <c r="BZ120" i="25"/>
  <c r="CA120" i="25"/>
  <c r="CB120" i="25"/>
  <c r="CC120" i="25"/>
  <c r="CE120" i="25"/>
  <c r="CF120" i="25"/>
  <c r="CG120" i="25"/>
  <c r="CI120" i="25"/>
  <c r="CJ120" i="25"/>
  <c r="CL120" i="25"/>
  <c r="CT120" i="25"/>
  <c r="CU120" i="25"/>
  <c r="CV120" i="25"/>
  <c r="CW120" i="25"/>
  <c r="CX120" i="25"/>
  <c r="DA120" i="25"/>
  <c r="DB120" i="25"/>
  <c r="DC120" i="25"/>
  <c r="DD120" i="25"/>
  <c r="DE120" i="25"/>
  <c r="DL120" i="25"/>
  <c r="DN120" i="25"/>
  <c r="DO120" i="25"/>
  <c r="DQ120" i="25"/>
  <c r="DR120" i="25"/>
  <c r="L121" i="25"/>
  <c r="N121" i="25"/>
  <c r="O121" i="25"/>
  <c r="P121" i="25"/>
  <c r="Q121" i="25"/>
  <c r="S121" i="25"/>
  <c r="T121" i="25"/>
  <c r="V121" i="25"/>
  <c r="W121" i="25"/>
  <c r="Y121" i="25"/>
  <c r="Z121" i="25"/>
  <c r="AB121" i="25"/>
  <c r="AC121" i="25"/>
  <c r="AE121" i="25"/>
  <c r="AF121" i="25"/>
  <c r="AH121" i="25"/>
  <c r="AI121" i="25"/>
  <c r="AK121" i="25"/>
  <c r="AM121" i="25"/>
  <c r="AO121" i="25"/>
  <c r="AP121" i="25"/>
  <c r="AQ121" i="25"/>
  <c r="AS121" i="25"/>
  <c r="AU121" i="25"/>
  <c r="AV121" i="25"/>
  <c r="AX121" i="25"/>
  <c r="AY121" i="25"/>
  <c r="BA121" i="25"/>
  <c r="BB121" i="25"/>
  <c r="BC121" i="25"/>
  <c r="BD121" i="25"/>
  <c r="BE121" i="25"/>
  <c r="BF121" i="25"/>
  <c r="BG121" i="25"/>
  <c r="BH121" i="25"/>
  <c r="BI121" i="25"/>
  <c r="BL121" i="25"/>
  <c r="BM121" i="25"/>
  <c r="BN121" i="25"/>
  <c r="BO121" i="25"/>
  <c r="BP121" i="25"/>
  <c r="BQ121" i="25"/>
  <c r="BR121" i="25"/>
  <c r="BS121" i="25"/>
  <c r="BT121" i="25"/>
  <c r="BW121" i="25"/>
  <c r="BX121" i="25"/>
  <c r="BY121" i="25"/>
  <c r="BZ121" i="25"/>
  <c r="CA121" i="25"/>
  <c r="CB121" i="25"/>
  <c r="CC121" i="25"/>
  <c r="CE121" i="25"/>
  <c r="CF121" i="25"/>
  <c r="CG121" i="25"/>
  <c r="CI121" i="25"/>
  <c r="CJ121" i="25"/>
  <c r="CL121" i="25"/>
  <c r="CT121" i="25"/>
  <c r="CU121" i="25"/>
  <c r="CV121" i="25"/>
  <c r="CW121" i="25"/>
  <c r="CX121" i="25"/>
  <c r="DA121" i="25"/>
  <c r="DB121" i="25"/>
  <c r="DC121" i="25"/>
  <c r="DD121" i="25"/>
  <c r="DE121" i="25"/>
  <c r="DL121" i="25"/>
  <c r="DN121" i="25"/>
  <c r="DO121" i="25"/>
  <c r="DQ121" i="25"/>
  <c r="DR121" i="25"/>
  <c r="L122" i="25"/>
  <c r="N122" i="25"/>
  <c r="O122" i="25"/>
  <c r="P122" i="25"/>
  <c r="Q122" i="25"/>
  <c r="S122" i="25"/>
  <c r="T122" i="25"/>
  <c r="V122" i="25"/>
  <c r="W122" i="25"/>
  <c r="Y122" i="25"/>
  <c r="Z122" i="25"/>
  <c r="AB122" i="25"/>
  <c r="AC122" i="25"/>
  <c r="AE122" i="25"/>
  <c r="AF122" i="25"/>
  <c r="AH122" i="25"/>
  <c r="AI122" i="25"/>
  <c r="AK122" i="25"/>
  <c r="AM122" i="25"/>
  <c r="AO122" i="25"/>
  <c r="AP122" i="25"/>
  <c r="AQ122" i="25"/>
  <c r="AS122" i="25"/>
  <c r="AU122" i="25"/>
  <c r="AV122" i="25"/>
  <c r="AX122" i="25"/>
  <c r="AY122" i="25"/>
  <c r="BA122" i="25"/>
  <c r="BB122" i="25"/>
  <c r="BC122" i="25"/>
  <c r="BD122" i="25"/>
  <c r="BE122" i="25"/>
  <c r="BF122" i="25"/>
  <c r="BG122" i="25"/>
  <c r="BH122" i="25"/>
  <c r="BI122" i="25"/>
  <c r="BL122" i="25"/>
  <c r="BM122" i="25"/>
  <c r="BN122" i="25"/>
  <c r="BO122" i="25"/>
  <c r="BP122" i="25"/>
  <c r="BQ122" i="25"/>
  <c r="BR122" i="25"/>
  <c r="BS122" i="25"/>
  <c r="BT122" i="25"/>
  <c r="BW122" i="25"/>
  <c r="BX122" i="25"/>
  <c r="BY122" i="25"/>
  <c r="BZ122" i="25"/>
  <c r="CA122" i="25"/>
  <c r="CB122" i="25"/>
  <c r="CC122" i="25"/>
  <c r="CE122" i="25"/>
  <c r="CF122" i="25"/>
  <c r="CG122" i="25"/>
  <c r="CI122" i="25"/>
  <c r="CJ122" i="25"/>
  <c r="CL122" i="25"/>
  <c r="CT122" i="25"/>
  <c r="CU122" i="25"/>
  <c r="CV122" i="25"/>
  <c r="CW122" i="25"/>
  <c r="CX122" i="25"/>
  <c r="DA122" i="25"/>
  <c r="DB122" i="25"/>
  <c r="DC122" i="25"/>
  <c r="DD122" i="25"/>
  <c r="DE122" i="25"/>
  <c r="DL122" i="25"/>
  <c r="DN122" i="25"/>
  <c r="DO122" i="25"/>
  <c r="DQ122" i="25"/>
  <c r="DR122" i="25"/>
  <c r="L123" i="25"/>
  <c r="N123" i="25"/>
  <c r="O123" i="25"/>
  <c r="P123" i="25"/>
  <c r="Q123" i="25"/>
  <c r="S123" i="25"/>
  <c r="T123" i="25"/>
  <c r="V123" i="25"/>
  <c r="W123" i="25"/>
  <c r="Y123" i="25"/>
  <c r="Z123" i="25"/>
  <c r="AB123" i="25"/>
  <c r="AC123" i="25"/>
  <c r="AE123" i="25"/>
  <c r="AF123" i="25"/>
  <c r="AH123" i="25"/>
  <c r="AI123" i="25"/>
  <c r="AK123" i="25"/>
  <c r="AM123" i="25"/>
  <c r="AO123" i="25"/>
  <c r="AP123" i="25"/>
  <c r="AQ123" i="25"/>
  <c r="AS123" i="25"/>
  <c r="AU123" i="25"/>
  <c r="AV123" i="25"/>
  <c r="AX123" i="25"/>
  <c r="AY123" i="25"/>
  <c r="BA123" i="25"/>
  <c r="BB123" i="25"/>
  <c r="BC123" i="25"/>
  <c r="BD123" i="25"/>
  <c r="BE123" i="25"/>
  <c r="BF123" i="25"/>
  <c r="BG123" i="25"/>
  <c r="BH123" i="25"/>
  <c r="BI123" i="25"/>
  <c r="BL123" i="25"/>
  <c r="BM123" i="25"/>
  <c r="BN123" i="25"/>
  <c r="BO123" i="25"/>
  <c r="BP123" i="25"/>
  <c r="BQ123" i="25"/>
  <c r="BR123" i="25"/>
  <c r="BS123" i="25"/>
  <c r="BT123" i="25"/>
  <c r="BW123" i="25"/>
  <c r="BX123" i="25"/>
  <c r="BY123" i="25"/>
  <c r="BZ123" i="25"/>
  <c r="CA123" i="25"/>
  <c r="CB123" i="25"/>
  <c r="CC123" i="25"/>
  <c r="CE123" i="25"/>
  <c r="CF123" i="25"/>
  <c r="CG123" i="25"/>
  <c r="CI123" i="25"/>
  <c r="CJ123" i="25"/>
  <c r="CL123" i="25"/>
  <c r="CT123" i="25"/>
  <c r="CU123" i="25"/>
  <c r="CV123" i="25"/>
  <c r="CW123" i="25"/>
  <c r="CX123" i="25"/>
  <c r="DA123" i="25"/>
  <c r="DB123" i="25"/>
  <c r="DC123" i="25"/>
  <c r="DD123" i="25"/>
  <c r="DE123" i="25"/>
  <c r="DL123" i="25"/>
  <c r="DN123" i="25"/>
  <c r="DO123" i="25"/>
  <c r="DQ123" i="25"/>
  <c r="DR123" i="25"/>
  <c r="L124" i="25"/>
  <c r="N124" i="25"/>
  <c r="O124" i="25"/>
  <c r="P124" i="25"/>
  <c r="Q124" i="25"/>
  <c r="S124" i="25"/>
  <c r="T124" i="25"/>
  <c r="V124" i="25"/>
  <c r="W124" i="25"/>
  <c r="Y124" i="25"/>
  <c r="Z124" i="25"/>
  <c r="AB124" i="25"/>
  <c r="AC124" i="25"/>
  <c r="AE124" i="25"/>
  <c r="AF124" i="25"/>
  <c r="AH124" i="25"/>
  <c r="AI124" i="25"/>
  <c r="AK124" i="25"/>
  <c r="AM124" i="25"/>
  <c r="AO124" i="25"/>
  <c r="AP124" i="25"/>
  <c r="AQ124" i="25"/>
  <c r="AS124" i="25"/>
  <c r="AU124" i="25"/>
  <c r="AV124" i="25"/>
  <c r="AX124" i="25"/>
  <c r="AY124" i="25"/>
  <c r="BA124" i="25"/>
  <c r="BB124" i="25"/>
  <c r="BC124" i="25"/>
  <c r="BD124" i="25"/>
  <c r="BE124" i="25"/>
  <c r="BF124" i="25"/>
  <c r="BG124" i="25"/>
  <c r="BH124" i="25"/>
  <c r="BI124" i="25"/>
  <c r="BL124" i="25"/>
  <c r="BM124" i="25"/>
  <c r="BN124" i="25"/>
  <c r="BO124" i="25"/>
  <c r="BP124" i="25"/>
  <c r="BQ124" i="25"/>
  <c r="BR124" i="25"/>
  <c r="BS124" i="25"/>
  <c r="BT124" i="25"/>
  <c r="BW124" i="25"/>
  <c r="BX124" i="25"/>
  <c r="BY124" i="25"/>
  <c r="BZ124" i="25"/>
  <c r="CA124" i="25"/>
  <c r="CB124" i="25"/>
  <c r="CC124" i="25"/>
  <c r="CE124" i="25"/>
  <c r="CF124" i="25"/>
  <c r="CG124" i="25"/>
  <c r="CI124" i="25"/>
  <c r="CJ124" i="25"/>
  <c r="CL124" i="25"/>
  <c r="CT124" i="25"/>
  <c r="CU124" i="25"/>
  <c r="CV124" i="25"/>
  <c r="CW124" i="25"/>
  <c r="CX124" i="25"/>
  <c r="DA124" i="25"/>
  <c r="DB124" i="25"/>
  <c r="DC124" i="25"/>
  <c r="DD124" i="25"/>
  <c r="DE124" i="25"/>
  <c r="DL124" i="25"/>
  <c r="DN124" i="25"/>
  <c r="DO124" i="25"/>
  <c r="DQ124" i="25"/>
  <c r="DR124" i="25"/>
  <c r="L125" i="25"/>
  <c r="N125" i="25"/>
  <c r="O125" i="25"/>
  <c r="P125" i="25"/>
  <c r="Q125" i="25"/>
  <c r="S125" i="25"/>
  <c r="T125" i="25"/>
  <c r="V125" i="25"/>
  <c r="W125" i="25"/>
  <c r="Y125" i="25"/>
  <c r="Z125" i="25"/>
  <c r="AB125" i="25"/>
  <c r="AC125" i="25"/>
  <c r="AE125" i="25"/>
  <c r="AF125" i="25"/>
  <c r="AH125" i="25"/>
  <c r="AI125" i="25"/>
  <c r="AK125" i="25"/>
  <c r="AM125" i="25"/>
  <c r="AO125" i="25"/>
  <c r="AP125" i="25"/>
  <c r="AQ125" i="25"/>
  <c r="AS125" i="25"/>
  <c r="AU125" i="25"/>
  <c r="AV125" i="25"/>
  <c r="AX125" i="25"/>
  <c r="AY125" i="25"/>
  <c r="BA125" i="25"/>
  <c r="BB125" i="25"/>
  <c r="BC125" i="25"/>
  <c r="BD125" i="25"/>
  <c r="BE125" i="25"/>
  <c r="BF125" i="25"/>
  <c r="BG125" i="25"/>
  <c r="BH125" i="25"/>
  <c r="BI125" i="25"/>
  <c r="BL125" i="25"/>
  <c r="BM125" i="25"/>
  <c r="BN125" i="25"/>
  <c r="BO125" i="25"/>
  <c r="BP125" i="25"/>
  <c r="BQ125" i="25"/>
  <c r="BR125" i="25"/>
  <c r="BS125" i="25"/>
  <c r="BT125" i="25"/>
  <c r="BW125" i="25"/>
  <c r="BX125" i="25"/>
  <c r="BY125" i="25"/>
  <c r="BZ125" i="25"/>
  <c r="CA125" i="25"/>
  <c r="CB125" i="25"/>
  <c r="CC125" i="25"/>
  <c r="CE125" i="25"/>
  <c r="CF125" i="25"/>
  <c r="CG125" i="25"/>
  <c r="CI125" i="25"/>
  <c r="CJ125" i="25"/>
  <c r="CL125" i="25"/>
  <c r="CT125" i="25"/>
  <c r="CU125" i="25"/>
  <c r="CV125" i="25"/>
  <c r="CW125" i="25"/>
  <c r="CX125" i="25"/>
  <c r="DA125" i="25"/>
  <c r="DB125" i="25"/>
  <c r="DC125" i="25"/>
  <c r="DD125" i="25"/>
  <c r="DE125" i="25"/>
  <c r="DL125" i="25"/>
  <c r="DN125" i="25"/>
  <c r="DO125" i="25"/>
  <c r="DQ125" i="25"/>
  <c r="DR125" i="25"/>
  <c r="L126" i="25"/>
  <c r="N126" i="25"/>
  <c r="O126" i="25"/>
  <c r="P126" i="25"/>
  <c r="Q126" i="25"/>
  <c r="S126" i="25"/>
  <c r="T126" i="25"/>
  <c r="V126" i="25"/>
  <c r="W126" i="25"/>
  <c r="Y126" i="25"/>
  <c r="Z126" i="25"/>
  <c r="AB126" i="25"/>
  <c r="AC126" i="25"/>
  <c r="AE126" i="25"/>
  <c r="AF126" i="25"/>
  <c r="AH126" i="25"/>
  <c r="AI126" i="25"/>
  <c r="AK126" i="25"/>
  <c r="AM126" i="25"/>
  <c r="AO126" i="25"/>
  <c r="AP126" i="25"/>
  <c r="AQ126" i="25"/>
  <c r="AS126" i="25"/>
  <c r="AU126" i="25"/>
  <c r="AV126" i="25"/>
  <c r="AX126" i="25"/>
  <c r="AY126" i="25"/>
  <c r="BA126" i="25"/>
  <c r="BB126" i="25"/>
  <c r="BC126" i="25"/>
  <c r="BD126" i="25"/>
  <c r="BE126" i="25"/>
  <c r="BF126" i="25"/>
  <c r="BG126" i="25"/>
  <c r="BH126" i="25"/>
  <c r="BI126" i="25"/>
  <c r="BL126" i="25"/>
  <c r="BM126" i="25"/>
  <c r="BN126" i="25"/>
  <c r="BO126" i="25"/>
  <c r="BP126" i="25"/>
  <c r="BQ126" i="25"/>
  <c r="BR126" i="25"/>
  <c r="BS126" i="25"/>
  <c r="BT126" i="25"/>
  <c r="BW126" i="25"/>
  <c r="BX126" i="25"/>
  <c r="BY126" i="25"/>
  <c r="BZ126" i="25"/>
  <c r="CA126" i="25"/>
  <c r="CB126" i="25"/>
  <c r="CC126" i="25"/>
  <c r="CE126" i="25"/>
  <c r="CF126" i="25"/>
  <c r="CG126" i="25"/>
  <c r="CI126" i="25"/>
  <c r="CJ126" i="25"/>
  <c r="CL126" i="25"/>
  <c r="CT126" i="25"/>
  <c r="CU126" i="25"/>
  <c r="CV126" i="25"/>
  <c r="CW126" i="25"/>
  <c r="CX126" i="25"/>
  <c r="DA126" i="25"/>
  <c r="DB126" i="25"/>
  <c r="DC126" i="25"/>
  <c r="DD126" i="25"/>
  <c r="DE126" i="25"/>
  <c r="DL126" i="25"/>
  <c r="DN126" i="25"/>
  <c r="DO126" i="25"/>
  <c r="DQ126" i="25"/>
  <c r="DR126" i="25"/>
  <c r="L127" i="25"/>
  <c r="N127" i="25"/>
  <c r="O127" i="25"/>
  <c r="P127" i="25"/>
  <c r="Q127" i="25"/>
  <c r="S127" i="25"/>
  <c r="T127" i="25"/>
  <c r="V127" i="25"/>
  <c r="W127" i="25"/>
  <c r="Y127" i="25"/>
  <c r="Z127" i="25"/>
  <c r="AB127" i="25"/>
  <c r="AC127" i="25"/>
  <c r="AE127" i="25"/>
  <c r="AF127" i="25"/>
  <c r="AH127" i="25"/>
  <c r="AI127" i="25"/>
  <c r="AK127" i="25"/>
  <c r="AM127" i="25"/>
  <c r="AO127" i="25"/>
  <c r="AP127" i="25"/>
  <c r="AQ127" i="25"/>
  <c r="AS127" i="25"/>
  <c r="AU127" i="25"/>
  <c r="AV127" i="25"/>
  <c r="AX127" i="25"/>
  <c r="AY127" i="25"/>
  <c r="BA127" i="25"/>
  <c r="BB127" i="25"/>
  <c r="BC127" i="25"/>
  <c r="BD127" i="25"/>
  <c r="BE127" i="25"/>
  <c r="BF127" i="25"/>
  <c r="BG127" i="25"/>
  <c r="BH127" i="25"/>
  <c r="BI127" i="25"/>
  <c r="BL127" i="25"/>
  <c r="BM127" i="25"/>
  <c r="BN127" i="25"/>
  <c r="BO127" i="25"/>
  <c r="BP127" i="25"/>
  <c r="BQ127" i="25"/>
  <c r="BR127" i="25"/>
  <c r="BS127" i="25"/>
  <c r="BT127" i="25"/>
  <c r="BW127" i="25"/>
  <c r="BX127" i="25"/>
  <c r="BY127" i="25"/>
  <c r="BZ127" i="25"/>
  <c r="CA127" i="25"/>
  <c r="CB127" i="25"/>
  <c r="CC127" i="25"/>
  <c r="CE127" i="25"/>
  <c r="CF127" i="25"/>
  <c r="CG127" i="25"/>
  <c r="CI127" i="25"/>
  <c r="CJ127" i="25"/>
  <c r="CL127" i="25"/>
  <c r="CT127" i="25"/>
  <c r="CU127" i="25"/>
  <c r="CV127" i="25"/>
  <c r="CW127" i="25"/>
  <c r="CX127" i="25"/>
  <c r="DA127" i="25"/>
  <c r="DB127" i="25"/>
  <c r="DC127" i="25"/>
  <c r="DD127" i="25"/>
  <c r="DE127" i="25"/>
  <c r="DL127" i="25"/>
  <c r="DN127" i="25"/>
  <c r="DO127" i="25"/>
  <c r="DQ127" i="25"/>
  <c r="DR127" i="25"/>
  <c r="L128" i="25"/>
  <c r="N128" i="25"/>
  <c r="O128" i="25"/>
  <c r="P128" i="25"/>
  <c r="Q128" i="25"/>
  <c r="S128" i="25"/>
  <c r="T128" i="25"/>
  <c r="V128" i="25"/>
  <c r="W128" i="25"/>
  <c r="Y128" i="25"/>
  <c r="Z128" i="25"/>
  <c r="AB128" i="25"/>
  <c r="AC128" i="25"/>
  <c r="AE128" i="25"/>
  <c r="AF128" i="25"/>
  <c r="AH128" i="25"/>
  <c r="AI128" i="25"/>
  <c r="AK128" i="25"/>
  <c r="AM128" i="25"/>
  <c r="AO128" i="25"/>
  <c r="AP128" i="25"/>
  <c r="AQ128" i="25"/>
  <c r="AS128" i="25"/>
  <c r="AU128" i="25"/>
  <c r="AV128" i="25"/>
  <c r="AX128" i="25"/>
  <c r="AY128" i="25"/>
  <c r="BA128" i="25"/>
  <c r="BB128" i="25"/>
  <c r="BC128" i="25"/>
  <c r="BD128" i="25"/>
  <c r="BE128" i="25"/>
  <c r="BF128" i="25"/>
  <c r="BG128" i="25"/>
  <c r="BH128" i="25"/>
  <c r="BI128" i="25"/>
  <c r="BL128" i="25"/>
  <c r="BM128" i="25"/>
  <c r="BN128" i="25"/>
  <c r="BO128" i="25"/>
  <c r="BP128" i="25"/>
  <c r="BQ128" i="25"/>
  <c r="BR128" i="25"/>
  <c r="BS128" i="25"/>
  <c r="BT128" i="25"/>
  <c r="BW128" i="25"/>
  <c r="BX128" i="25"/>
  <c r="BY128" i="25"/>
  <c r="BZ128" i="25"/>
  <c r="CA128" i="25"/>
  <c r="CB128" i="25"/>
  <c r="CC128" i="25"/>
  <c r="CE128" i="25"/>
  <c r="CF128" i="25"/>
  <c r="CG128" i="25"/>
  <c r="CI128" i="25"/>
  <c r="CJ128" i="25"/>
  <c r="CL128" i="25"/>
  <c r="CT128" i="25"/>
  <c r="CU128" i="25"/>
  <c r="CV128" i="25"/>
  <c r="CW128" i="25"/>
  <c r="CX128" i="25"/>
  <c r="DA128" i="25"/>
  <c r="DB128" i="25"/>
  <c r="DC128" i="25"/>
  <c r="DD128" i="25"/>
  <c r="DE128" i="25"/>
  <c r="DL128" i="25"/>
  <c r="DN128" i="25"/>
  <c r="DO128" i="25"/>
  <c r="DQ128" i="25"/>
  <c r="DR128" i="25"/>
  <c r="L129" i="25"/>
  <c r="N129" i="25"/>
  <c r="O129" i="25"/>
  <c r="P129" i="25"/>
  <c r="Q129" i="25"/>
  <c r="S129" i="25"/>
  <c r="T129" i="25"/>
  <c r="V129" i="25"/>
  <c r="W129" i="25"/>
  <c r="Y129" i="25"/>
  <c r="Z129" i="25"/>
  <c r="AB129" i="25"/>
  <c r="AC129" i="25"/>
  <c r="AE129" i="25"/>
  <c r="AF129" i="25"/>
  <c r="AH129" i="25"/>
  <c r="AI129" i="25"/>
  <c r="AK129" i="25"/>
  <c r="AM129" i="25"/>
  <c r="AO129" i="25"/>
  <c r="AP129" i="25"/>
  <c r="AQ129" i="25"/>
  <c r="AS129" i="25"/>
  <c r="AU129" i="25"/>
  <c r="AV129" i="25"/>
  <c r="AX129" i="25"/>
  <c r="AY129" i="25"/>
  <c r="BA129" i="25"/>
  <c r="BB129" i="25"/>
  <c r="BC129" i="25"/>
  <c r="BD129" i="25"/>
  <c r="BE129" i="25"/>
  <c r="BF129" i="25"/>
  <c r="BG129" i="25"/>
  <c r="BH129" i="25"/>
  <c r="BI129" i="25"/>
  <c r="BL129" i="25"/>
  <c r="BM129" i="25"/>
  <c r="BN129" i="25"/>
  <c r="BO129" i="25"/>
  <c r="BP129" i="25"/>
  <c r="BQ129" i="25"/>
  <c r="BR129" i="25"/>
  <c r="BS129" i="25"/>
  <c r="BT129" i="25"/>
  <c r="BW129" i="25"/>
  <c r="BX129" i="25"/>
  <c r="BY129" i="25"/>
  <c r="BZ129" i="25"/>
  <c r="CA129" i="25"/>
  <c r="CB129" i="25"/>
  <c r="CC129" i="25"/>
  <c r="CE129" i="25"/>
  <c r="CF129" i="25"/>
  <c r="CG129" i="25"/>
  <c r="CI129" i="25"/>
  <c r="CJ129" i="25"/>
  <c r="CL129" i="25"/>
  <c r="CT129" i="25"/>
  <c r="CU129" i="25"/>
  <c r="CV129" i="25"/>
  <c r="CW129" i="25"/>
  <c r="CX129" i="25"/>
  <c r="DA129" i="25"/>
  <c r="DB129" i="25"/>
  <c r="DC129" i="25"/>
  <c r="DD129" i="25"/>
  <c r="DE129" i="25"/>
  <c r="DL129" i="25"/>
  <c r="DN129" i="25"/>
  <c r="DO129" i="25"/>
  <c r="DQ129" i="25"/>
  <c r="DR129" i="25"/>
  <c r="L130" i="25"/>
  <c r="N130" i="25"/>
  <c r="O130" i="25"/>
  <c r="P130" i="25"/>
  <c r="Q130" i="25"/>
  <c r="S130" i="25"/>
  <c r="T130" i="25"/>
  <c r="V130" i="25"/>
  <c r="W130" i="25"/>
  <c r="Y130" i="25"/>
  <c r="Z130" i="25"/>
  <c r="AB130" i="25"/>
  <c r="AC130" i="25"/>
  <c r="AE130" i="25"/>
  <c r="AF130" i="25"/>
  <c r="AH130" i="25"/>
  <c r="AI130" i="25"/>
  <c r="AK130" i="25"/>
  <c r="AM130" i="25"/>
  <c r="AO130" i="25"/>
  <c r="AP130" i="25"/>
  <c r="AQ130" i="25"/>
  <c r="AS130" i="25"/>
  <c r="AU130" i="25"/>
  <c r="AV130" i="25"/>
  <c r="AX130" i="25"/>
  <c r="AY130" i="25"/>
  <c r="BA130" i="25"/>
  <c r="BB130" i="25"/>
  <c r="BC130" i="25"/>
  <c r="BD130" i="25"/>
  <c r="BE130" i="25"/>
  <c r="BF130" i="25"/>
  <c r="BG130" i="25"/>
  <c r="BH130" i="25"/>
  <c r="BI130" i="25"/>
  <c r="BL130" i="25"/>
  <c r="BM130" i="25"/>
  <c r="BN130" i="25"/>
  <c r="BO130" i="25"/>
  <c r="BP130" i="25"/>
  <c r="BQ130" i="25"/>
  <c r="BR130" i="25"/>
  <c r="BS130" i="25"/>
  <c r="BT130" i="25"/>
  <c r="BW130" i="25"/>
  <c r="BX130" i="25"/>
  <c r="BY130" i="25"/>
  <c r="BZ130" i="25"/>
  <c r="CA130" i="25"/>
  <c r="CB130" i="25"/>
  <c r="CC130" i="25"/>
  <c r="CE130" i="25"/>
  <c r="CF130" i="25"/>
  <c r="CG130" i="25"/>
  <c r="CI130" i="25"/>
  <c r="CJ130" i="25"/>
  <c r="CL130" i="25"/>
  <c r="CT130" i="25"/>
  <c r="CU130" i="25"/>
  <c r="CV130" i="25"/>
  <c r="CW130" i="25"/>
  <c r="CX130" i="25"/>
  <c r="DA130" i="25"/>
  <c r="DB130" i="25"/>
  <c r="DC130" i="25"/>
  <c r="DD130" i="25"/>
  <c r="DE130" i="25"/>
  <c r="DL130" i="25"/>
  <c r="DN130" i="25"/>
  <c r="DO130" i="25"/>
  <c r="DQ130" i="25"/>
  <c r="DR130" i="25"/>
  <c r="L131" i="25"/>
  <c r="N131" i="25"/>
  <c r="O131" i="25"/>
  <c r="P131" i="25"/>
  <c r="Q131" i="25"/>
  <c r="S131" i="25"/>
  <c r="T131" i="25"/>
  <c r="V131" i="25"/>
  <c r="W131" i="25"/>
  <c r="Y131" i="25"/>
  <c r="Z131" i="25"/>
  <c r="AB131" i="25"/>
  <c r="AC131" i="25"/>
  <c r="AE131" i="25"/>
  <c r="AF131" i="25"/>
  <c r="AH131" i="25"/>
  <c r="AI131" i="25"/>
  <c r="AK131" i="25"/>
  <c r="AM131" i="25"/>
  <c r="AO131" i="25"/>
  <c r="AP131" i="25"/>
  <c r="AQ131" i="25"/>
  <c r="AR131" i="25"/>
  <c r="AS131" i="25"/>
  <c r="AT131" i="25"/>
  <c r="AU131" i="25"/>
  <c r="AV131" i="25"/>
  <c r="AX131" i="25"/>
  <c r="AY131" i="25"/>
  <c r="BA131" i="25"/>
  <c r="BB131" i="25"/>
  <c r="BC131" i="25"/>
  <c r="BD131" i="25"/>
  <c r="BE131" i="25"/>
  <c r="BF131" i="25"/>
  <c r="BG131" i="25"/>
  <c r="BH131" i="25"/>
  <c r="BI131" i="25"/>
  <c r="BL131" i="25"/>
  <c r="BM131" i="25"/>
  <c r="BN131" i="25"/>
  <c r="BO131" i="25"/>
  <c r="BP131" i="25"/>
  <c r="BQ131" i="25"/>
  <c r="BR131" i="25"/>
  <c r="BS131" i="25"/>
  <c r="BT131" i="25"/>
  <c r="BW131" i="25"/>
  <c r="BX131" i="25"/>
  <c r="BY131" i="25"/>
  <c r="BZ131" i="25"/>
  <c r="CA131" i="25"/>
  <c r="CB131" i="25"/>
  <c r="CC131" i="25"/>
  <c r="CE131" i="25"/>
  <c r="CF131" i="25"/>
  <c r="CG131" i="25"/>
  <c r="CI131" i="25"/>
  <c r="CJ131" i="25"/>
  <c r="CL131" i="25"/>
  <c r="CT131" i="25"/>
  <c r="CU131" i="25"/>
  <c r="CV131" i="25"/>
  <c r="CW131" i="25"/>
  <c r="CX131" i="25"/>
  <c r="CY131" i="25"/>
  <c r="DA131" i="25"/>
  <c r="DB131" i="25"/>
  <c r="DC131" i="25"/>
  <c r="DD131" i="25"/>
  <c r="DE131" i="25"/>
  <c r="DF131" i="25"/>
  <c r="DL131" i="25"/>
  <c r="DN131" i="25"/>
  <c r="DO131" i="25"/>
  <c r="DQ131" i="25"/>
  <c r="DR131" i="25"/>
  <c r="P132" i="25"/>
  <c r="S132" i="25"/>
  <c r="V132" i="25"/>
  <c r="P133" i="25"/>
  <c r="S133" i="25"/>
  <c r="V133" i="25"/>
  <c r="P134" i="25"/>
  <c r="S134" i="25"/>
  <c r="V134" i="25"/>
  <c r="P135" i="25"/>
  <c r="S135" i="25"/>
  <c r="V135" i="25"/>
  <c r="P136" i="25"/>
  <c r="S136" i="25"/>
  <c r="V136" i="25"/>
  <c r="P137" i="25"/>
  <c r="S137" i="25"/>
  <c r="V137" i="25"/>
  <c r="P138" i="25"/>
  <c r="S138" i="25"/>
  <c r="V138" i="25"/>
  <c r="P139" i="25"/>
  <c r="S139" i="25"/>
  <c r="V139" i="25"/>
  <c r="P140" i="25"/>
  <c r="S140" i="25"/>
  <c r="V140" i="25"/>
  <c r="P141" i="25"/>
  <c r="S141" i="25"/>
  <c r="V141" i="25"/>
  <c r="P142" i="25"/>
  <c r="S142" i="25"/>
  <c r="V142" i="25"/>
  <c r="P143" i="25"/>
  <c r="S143" i="25"/>
  <c r="V143" i="25"/>
  <c r="P144" i="25"/>
  <c r="S144" i="25"/>
  <c r="V144" i="25"/>
  <c r="P145" i="25"/>
  <c r="S145" i="25"/>
  <c r="V145" i="25"/>
  <c r="P146" i="25"/>
  <c r="S146" i="25"/>
  <c r="V146" i="25"/>
  <c r="P147" i="25"/>
  <c r="S147" i="25"/>
  <c r="V147" i="25"/>
  <c r="P148" i="25"/>
  <c r="S148" i="25"/>
  <c r="V148" i="25"/>
  <c r="P149" i="25"/>
  <c r="S149" i="25"/>
  <c r="V149" i="25"/>
  <c r="P150" i="25"/>
  <c r="S150" i="25"/>
  <c r="V150" i="25"/>
  <c r="P151" i="25"/>
  <c r="S151" i="25"/>
  <c r="V151" i="25"/>
  <c r="P152" i="25"/>
  <c r="S152" i="25"/>
  <c r="V152" i="25"/>
  <c r="P153" i="25"/>
  <c r="S153" i="25"/>
  <c r="V153" i="25"/>
  <c r="P154" i="25"/>
  <c r="S154" i="25"/>
  <c r="V154" i="25"/>
  <c r="P155" i="25"/>
  <c r="S155" i="25"/>
  <c r="V155" i="25"/>
  <c r="P156" i="25"/>
  <c r="S156" i="25"/>
  <c r="V156" i="25"/>
  <c r="P157" i="25"/>
  <c r="S157" i="25"/>
  <c r="V157" i="25"/>
  <c r="P158" i="25"/>
  <c r="S158" i="25"/>
  <c r="V158" i="25"/>
  <c r="P159" i="25"/>
  <c r="S159" i="25"/>
  <c r="V159" i="25"/>
  <c r="P160" i="25"/>
  <c r="S160" i="25"/>
  <c r="V160" i="25"/>
  <c r="P161" i="25"/>
  <c r="S161" i="25"/>
  <c r="V161" i="25"/>
  <c r="P162" i="25"/>
  <c r="S162" i="25"/>
  <c r="V162" i="25"/>
  <c r="P163" i="25"/>
  <c r="S163" i="25"/>
  <c r="V163" i="25"/>
  <c r="P164" i="25"/>
  <c r="S164" i="25"/>
  <c r="V164" i="25"/>
  <c r="P165" i="25"/>
  <c r="S165" i="25"/>
  <c r="V165" i="25"/>
  <c r="P166" i="25"/>
  <c r="S166" i="25"/>
  <c r="V166" i="25"/>
  <c r="P167" i="25"/>
  <c r="S167" i="25"/>
  <c r="V167" i="25"/>
  <c r="P168" i="25"/>
  <c r="S168" i="25"/>
  <c r="V168" i="25"/>
  <c r="P169" i="25"/>
  <c r="S169" i="25"/>
  <c r="V169" i="25"/>
  <c r="P170" i="25"/>
  <c r="S170" i="25"/>
  <c r="V170" i="25"/>
  <c r="P171" i="25"/>
  <c r="S171" i="25"/>
  <c r="V171" i="25"/>
  <c r="P172" i="25"/>
  <c r="S172" i="25"/>
  <c r="V172" i="25"/>
  <c r="P173" i="25"/>
  <c r="S173" i="25"/>
  <c r="V173" i="25"/>
  <c r="P174" i="25"/>
  <c r="S174" i="25"/>
  <c r="V174" i="25"/>
  <c r="P175" i="25"/>
  <c r="S175" i="25"/>
  <c r="V175" i="25"/>
  <c r="P176" i="25"/>
  <c r="S176" i="25"/>
  <c r="V176" i="25"/>
  <c r="P177" i="25"/>
  <c r="S177" i="25"/>
  <c r="V177" i="25"/>
  <c r="P178" i="25"/>
  <c r="S178" i="25"/>
  <c r="V178" i="25"/>
  <c r="P179" i="25"/>
  <c r="S179" i="25"/>
  <c r="V179" i="25"/>
  <c r="P180" i="25"/>
  <c r="S180" i="25"/>
  <c r="V180" i="25"/>
  <c r="P181" i="25"/>
  <c r="S181" i="25"/>
  <c r="V181" i="25"/>
  <c r="P182" i="25"/>
  <c r="S182" i="25"/>
  <c r="V182" i="25"/>
  <c r="P183" i="25"/>
  <c r="S183" i="25"/>
  <c r="V183" i="25"/>
  <c r="P184" i="25"/>
  <c r="S184" i="25"/>
  <c r="V184" i="25"/>
  <c r="P185" i="25"/>
  <c r="S185" i="25"/>
  <c r="V185" i="25"/>
  <c r="P186" i="25"/>
  <c r="S186" i="25"/>
  <c r="V186" i="25"/>
  <c r="P187" i="25"/>
  <c r="S187" i="25"/>
  <c r="V187" i="25"/>
  <c r="P188" i="25"/>
  <c r="S188" i="25"/>
  <c r="V188" i="25"/>
  <c r="P189" i="25"/>
  <c r="S189" i="25"/>
  <c r="V189" i="25"/>
  <c r="P190" i="25"/>
  <c r="S190" i="25"/>
  <c r="V190" i="25"/>
  <c r="P191" i="25"/>
  <c r="S191" i="25"/>
  <c r="V191" i="25"/>
  <c r="P192" i="25"/>
  <c r="S192" i="25"/>
  <c r="V192" i="25"/>
  <c r="P193" i="25"/>
  <c r="S193" i="25"/>
  <c r="V193" i="25"/>
  <c r="P194" i="25"/>
  <c r="S194" i="25"/>
  <c r="V194" i="25"/>
  <c r="P195" i="25"/>
  <c r="S195" i="25"/>
  <c r="V195" i="25"/>
  <c r="P196" i="25"/>
  <c r="S196" i="25"/>
  <c r="V196" i="25"/>
  <c r="P197" i="25"/>
  <c r="S197" i="25"/>
  <c r="V197" i="25"/>
  <c r="P198" i="25"/>
  <c r="S198" i="25"/>
  <c r="V198" i="25"/>
  <c r="P199" i="25"/>
  <c r="S199" i="25"/>
  <c r="V199" i="25"/>
  <c r="P200" i="25"/>
  <c r="S200" i="25"/>
  <c r="V200" i="25"/>
  <c r="P201" i="25"/>
  <c r="S201" i="25"/>
  <c r="V201" i="25"/>
  <c r="P202" i="25"/>
  <c r="S202" i="25"/>
  <c r="V202" i="25"/>
  <c r="P203" i="25"/>
  <c r="S203" i="25"/>
  <c r="V203" i="25"/>
  <c r="P204" i="25"/>
  <c r="S204" i="25"/>
  <c r="V204" i="25"/>
  <c r="P205" i="25"/>
  <c r="S205" i="25"/>
  <c r="V205" i="25"/>
  <c r="P206" i="25"/>
  <c r="S206" i="25"/>
  <c r="V206" i="25"/>
  <c r="P207" i="25"/>
  <c r="S207" i="25"/>
  <c r="V207" i="25"/>
  <c r="P208" i="25"/>
  <c r="S208" i="25"/>
  <c r="V208" i="25"/>
  <c r="P209" i="25"/>
  <c r="S209" i="25"/>
  <c r="V209" i="25"/>
  <c r="P210" i="25"/>
  <c r="S210" i="25"/>
  <c r="V210" i="25"/>
  <c r="P211" i="25"/>
  <c r="S211" i="25"/>
  <c r="V211" i="25"/>
  <c r="P212" i="25"/>
  <c r="S212" i="25"/>
  <c r="V212" i="25"/>
  <c r="P213" i="25"/>
  <c r="S213" i="25"/>
  <c r="V213" i="25"/>
  <c r="P214" i="25"/>
  <c r="S214" i="25"/>
  <c r="V214" i="25"/>
  <c r="P215" i="25"/>
  <c r="S215" i="25"/>
  <c r="V215" i="25"/>
  <c r="P216" i="25"/>
  <c r="S216" i="25"/>
  <c r="V216" i="25"/>
  <c r="P217" i="25"/>
  <c r="S217" i="25"/>
  <c r="V217" i="25"/>
  <c r="P218" i="25"/>
  <c r="S218" i="25"/>
  <c r="V218" i="25"/>
  <c r="P219" i="25"/>
  <c r="S219" i="25"/>
  <c r="V219" i="25"/>
  <c r="P220" i="25"/>
  <c r="S220" i="25"/>
  <c r="V220" i="25"/>
  <c r="P221" i="25"/>
  <c r="S221" i="25"/>
  <c r="V221" i="25"/>
  <c r="P222" i="25"/>
  <c r="S222" i="25"/>
  <c r="V222" i="25"/>
  <c r="P223" i="25"/>
  <c r="S223" i="25"/>
  <c r="V223" i="25"/>
  <c r="P224" i="25"/>
  <c r="S224" i="25"/>
  <c r="V224" i="25"/>
  <c r="P225" i="25"/>
  <c r="S225" i="25"/>
  <c r="V225" i="25"/>
  <c r="P226" i="25"/>
  <c r="S226" i="25"/>
  <c r="V226" i="25"/>
  <c r="P227" i="25"/>
  <c r="S227" i="25"/>
  <c r="V227" i="25"/>
  <c r="P228" i="25"/>
  <c r="S228" i="25"/>
  <c r="V228" i="25"/>
  <c r="P229" i="25"/>
  <c r="S229" i="25"/>
  <c r="V229" i="25"/>
  <c r="P230" i="25"/>
  <c r="S230" i="25"/>
  <c r="V230" i="25"/>
  <c r="P231" i="25"/>
  <c r="S231" i="25"/>
  <c r="V231" i="25"/>
  <c r="P232" i="25"/>
  <c r="S232" i="25"/>
  <c r="V232" i="25"/>
  <c r="P233" i="25"/>
  <c r="S233" i="25"/>
  <c r="V233" i="25"/>
  <c r="P234" i="25"/>
  <c r="S234" i="25"/>
  <c r="V234" i="25"/>
  <c r="P235" i="25"/>
  <c r="S235" i="25"/>
  <c r="V235" i="25"/>
  <c r="P236" i="25"/>
  <c r="S236" i="25"/>
  <c r="V236" i="25"/>
  <c r="P237" i="25"/>
  <c r="S237" i="25"/>
  <c r="V237" i="25"/>
  <c r="P238" i="25"/>
  <c r="S238" i="25"/>
  <c r="V238" i="25"/>
  <c r="P239" i="25"/>
  <c r="S239" i="25"/>
  <c r="V239" i="25"/>
  <c r="P240" i="25"/>
  <c r="S240" i="25"/>
  <c r="V240" i="25"/>
  <c r="P241" i="25"/>
  <c r="S241" i="25"/>
  <c r="V241" i="25"/>
  <c r="P242" i="25"/>
  <c r="S242" i="25"/>
  <c r="V242" i="25"/>
  <c r="P243" i="25"/>
  <c r="S243" i="25"/>
  <c r="V243" i="25"/>
  <c r="P244" i="25"/>
  <c r="S244" i="25"/>
  <c r="V244" i="25"/>
  <c r="P245" i="25"/>
  <c r="S245" i="25"/>
  <c r="V245" i="25"/>
  <c r="P246" i="25"/>
  <c r="S246" i="25"/>
  <c r="V246" i="25"/>
  <c r="P247" i="25"/>
  <c r="S247" i="25"/>
  <c r="V247" i="25"/>
  <c r="P248" i="25"/>
  <c r="S248" i="25"/>
  <c r="V248" i="25"/>
  <c r="P249" i="25"/>
  <c r="S249" i="25"/>
  <c r="V249" i="25"/>
  <c r="P250" i="25"/>
  <c r="S250" i="25"/>
  <c r="V250" i="25"/>
  <c r="P251" i="25"/>
  <c r="S251" i="25"/>
  <c r="V251" i="25"/>
  <c r="B12" i="4"/>
  <c r="C12" i="4"/>
  <c r="D12" i="4"/>
  <c r="E12" i="4"/>
  <c r="F12" i="4"/>
  <c r="G12" i="4"/>
  <c r="B13" i="4"/>
  <c r="C13" i="4"/>
  <c r="D13" i="4"/>
  <c r="E13" i="4"/>
  <c r="F13" i="4"/>
  <c r="G13" i="4"/>
  <c r="B14" i="4"/>
  <c r="C14" i="4"/>
  <c r="D14" i="4"/>
  <c r="E14" i="4"/>
  <c r="F14" i="4"/>
  <c r="G14" i="4"/>
  <c r="B16" i="4"/>
  <c r="C16" i="4"/>
  <c r="D16" i="4"/>
  <c r="E16" i="4"/>
  <c r="F16" i="4"/>
  <c r="B19" i="4"/>
  <c r="C19" i="4"/>
  <c r="D19" i="4"/>
  <c r="E19" i="4"/>
  <c r="F19" i="4"/>
  <c r="B20" i="4"/>
  <c r="C20" i="4"/>
  <c r="D20" i="4"/>
  <c r="E20" i="4"/>
  <c r="F20" i="4"/>
  <c r="F23" i="4"/>
  <c r="F25" i="4"/>
  <c r="F27" i="4"/>
  <c r="B29" i="4"/>
  <c r="C29" i="4"/>
  <c r="D29" i="4"/>
  <c r="E29" i="4"/>
  <c r="F29" i="4"/>
  <c r="B35" i="4"/>
  <c r="C35" i="4"/>
  <c r="D35" i="4"/>
  <c r="E35" i="4"/>
  <c r="F35" i="4"/>
  <c r="B36" i="4"/>
  <c r="C36" i="4"/>
  <c r="D36" i="4"/>
  <c r="E36" i="4"/>
  <c r="F36" i="4"/>
  <c r="B37" i="4"/>
  <c r="C37" i="4"/>
  <c r="D37" i="4"/>
  <c r="E37" i="4"/>
  <c r="F37" i="4"/>
  <c r="B39" i="4"/>
  <c r="C39" i="4"/>
  <c r="D39" i="4"/>
  <c r="E39" i="4"/>
  <c r="F39" i="4"/>
  <c r="B42" i="4"/>
  <c r="C42" i="4"/>
  <c r="D42" i="4"/>
  <c r="E42" i="4"/>
  <c r="F42" i="4"/>
  <c r="B43" i="4"/>
  <c r="C43" i="4"/>
  <c r="D43" i="4"/>
  <c r="E43" i="4"/>
  <c r="F43" i="4"/>
  <c r="F46" i="4"/>
  <c r="F48" i="4"/>
  <c r="F50" i="4"/>
  <c r="B52" i="4"/>
  <c r="C52" i="4"/>
  <c r="D52" i="4"/>
  <c r="E52" i="4"/>
  <c r="F52" i="4"/>
  <c r="E6" i="14"/>
  <c r="F6" i="14"/>
  <c r="G6" i="14"/>
  <c r="H6" i="14"/>
  <c r="I6" i="14"/>
  <c r="J6" i="14"/>
  <c r="N6" i="14"/>
  <c r="B7" i="14"/>
  <c r="E7" i="14"/>
  <c r="F7" i="14"/>
  <c r="G7" i="14"/>
  <c r="H7" i="14"/>
  <c r="I7" i="14"/>
  <c r="J7" i="14"/>
  <c r="N7" i="14"/>
  <c r="B8" i="14"/>
  <c r="E8" i="14"/>
  <c r="F8" i="14"/>
  <c r="G8" i="14"/>
  <c r="H8" i="14"/>
  <c r="I8" i="14"/>
  <c r="J8" i="14"/>
  <c r="N8" i="14"/>
  <c r="N10" i="14"/>
  <c r="B13" i="14"/>
  <c r="C13" i="14"/>
  <c r="D13" i="14"/>
  <c r="E13" i="14"/>
  <c r="F13" i="14"/>
  <c r="G13" i="14"/>
  <c r="H13" i="14"/>
  <c r="I13" i="14"/>
  <c r="J13" i="14"/>
  <c r="K13" i="14"/>
  <c r="B16" i="14"/>
  <c r="C16" i="14"/>
  <c r="D16" i="14"/>
  <c r="E16" i="14"/>
  <c r="F16" i="14"/>
  <c r="G16" i="14"/>
  <c r="H16" i="14"/>
  <c r="I16" i="14"/>
  <c r="J16" i="14"/>
  <c r="K16" i="14"/>
  <c r="B17" i="14"/>
  <c r="C17" i="14"/>
  <c r="D17" i="14"/>
  <c r="E17" i="14"/>
  <c r="F17" i="14"/>
  <c r="G17" i="14"/>
  <c r="H17" i="14"/>
  <c r="I17" i="14"/>
  <c r="J17" i="14"/>
  <c r="K17" i="14"/>
  <c r="B18" i="14"/>
  <c r="C18" i="14"/>
  <c r="D18" i="14"/>
  <c r="E18" i="14"/>
  <c r="F18" i="14"/>
  <c r="G18" i="14"/>
  <c r="H18" i="14"/>
  <c r="I18" i="14"/>
  <c r="J18" i="14"/>
  <c r="K18" i="14"/>
  <c r="B19" i="14"/>
  <c r="C19" i="14"/>
  <c r="D19" i="14"/>
  <c r="E19" i="14"/>
  <c r="F19" i="14"/>
  <c r="G19" i="14"/>
  <c r="H19" i="14"/>
  <c r="I19" i="14"/>
  <c r="J19" i="14"/>
  <c r="K19" i="14"/>
  <c r="B20" i="14"/>
  <c r="C20" i="14"/>
  <c r="D20" i="14"/>
  <c r="E20" i="14"/>
  <c r="F20" i="14"/>
  <c r="G20" i="14"/>
  <c r="H20" i="14"/>
  <c r="I20" i="14"/>
  <c r="J20" i="14"/>
  <c r="K20" i="14"/>
  <c r="B21" i="14"/>
  <c r="C21" i="14"/>
  <c r="D21" i="14"/>
  <c r="E21" i="14"/>
  <c r="F21" i="14"/>
  <c r="G21" i="14"/>
  <c r="H21" i="14"/>
  <c r="I21" i="14"/>
  <c r="J21" i="14"/>
  <c r="K21" i="14"/>
  <c r="B22" i="14"/>
  <c r="C22" i="14"/>
  <c r="D22" i="14"/>
  <c r="E22" i="14"/>
  <c r="F22" i="14"/>
  <c r="G22" i="14"/>
  <c r="H22" i="14"/>
  <c r="I22" i="14"/>
  <c r="J22" i="14"/>
  <c r="K22" i="14"/>
  <c r="B23" i="14"/>
  <c r="C23" i="14"/>
  <c r="D23" i="14"/>
  <c r="E23" i="14"/>
  <c r="F23" i="14"/>
  <c r="G23" i="14"/>
  <c r="H23" i="14"/>
  <c r="I23" i="14"/>
  <c r="J23" i="14"/>
  <c r="K23" i="14"/>
  <c r="B24" i="14"/>
  <c r="C24" i="14"/>
  <c r="D24" i="14"/>
  <c r="E24" i="14"/>
  <c r="F24" i="14"/>
  <c r="G24" i="14"/>
  <c r="H24" i="14"/>
  <c r="I24" i="14"/>
  <c r="J24" i="14"/>
  <c r="K24" i="14"/>
  <c r="B25" i="14"/>
  <c r="C25" i="14"/>
  <c r="D25" i="14"/>
  <c r="E25" i="14"/>
  <c r="F25" i="14"/>
  <c r="G25" i="14"/>
  <c r="H25" i="14"/>
  <c r="I25" i="14"/>
  <c r="J25" i="14"/>
  <c r="K25" i="14"/>
  <c r="B26" i="14"/>
  <c r="C26" i="14"/>
  <c r="D26" i="14"/>
  <c r="E26" i="14"/>
  <c r="F26" i="14"/>
  <c r="G26" i="14"/>
  <c r="H26" i="14"/>
  <c r="I26" i="14"/>
  <c r="J26" i="14"/>
  <c r="K26" i="14"/>
  <c r="B28" i="14"/>
  <c r="C28" i="14"/>
  <c r="D28" i="14"/>
  <c r="E28" i="14"/>
  <c r="F28" i="14"/>
  <c r="G28" i="14"/>
  <c r="H28" i="14"/>
  <c r="I28" i="14"/>
  <c r="J28" i="14"/>
  <c r="K28" i="14"/>
  <c r="B30" i="14"/>
  <c r="C30" i="14"/>
  <c r="D30" i="14"/>
  <c r="E30" i="14"/>
  <c r="F30" i="14"/>
  <c r="G30" i="14"/>
  <c r="H30" i="14"/>
  <c r="I30" i="14"/>
  <c r="J30" i="14"/>
  <c r="K30" i="14"/>
  <c r="B31" i="14"/>
  <c r="C31" i="14"/>
  <c r="D31" i="14"/>
  <c r="E31" i="14"/>
  <c r="F31" i="14"/>
  <c r="G31" i="14"/>
  <c r="H31" i="14"/>
  <c r="I31" i="14"/>
  <c r="J31" i="14"/>
  <c r="K31" i="14"/>
  <c r="B32" i="14"/>
  <c r="C32" i="14"/>
  <c r="D32" i="14"/>
  <c r="E32" i="14"/>
  <c r="F32" i="14"/>
  <c r="G32" i="14"/>
  <c r="H32" i="14"/>
  <c r="I32" i="14"/>
  <c r="J32" i="14"/>
  <c r="K32" i="14"/>
  <c r="H35" i="14"/>
  <c r="I35" i="14"/>
  <c r="J35" i="14"/>
  <c r="K35" i="14"/>
  <c r="B36" i="14"/>
  <c r="C36" i="14"/>
  <c r="D36" i="14"/>
  <c r="E36" i="14"/>
  <c r="F36" i="14"/>
  <c r="G36" i="14"/>
  <c r="H36" i="14"/>
  <c r="I36" i="14"/>
  <c r="J36" i="14"/>
  <c r="K36" i="14"/>
  <c r="B41" i="14"/>
  <c r="C41" i="14"/>
  <c r="D41" i="14"/>
  <c r="E41" i="14"/>
  <c r="F41" i="14"/>
  <c r="G41" i="14"/>
  <c r="H41" i="14"/>
  <c r="I41" i="14"/>
  <c r="J41" i="14"/>
  <c r="K41" i="14"/>
  <c r="B43" i="14"/>
  <c r="C43" i="14"/>
  <c r="D43" i="14"/>
  <c r="E43" i="14"/>
  <c r="F43" i="14"/>
  <c r="G43" i="14"/>
  <c r="H43" i="14"/>
  <c r="I43" i="14"/>
  <c r="J43" i="14"/>
  <c r="K43" i="14"/>
  <c r="B45" i="14"/>
  <c r="C45" i="14"/>
  <c r="D45" i="14"/>
  <c r="E45" i="14"/>
  <c r="F45" i="14"/>
  <c r="G45" i="14"/>
  <c r="H45" i="14"/>
  <c r="I45" i="14"/>
  <c r="J45" i="14"/>
  <c r="K45" i="14"/>
  <c r="B50" i="14"/>
  <c r="C50" i="14"/>
  <c r="D50" i="14"/>
  <c r="E50" i="14"/>
  <c r="F50" i="14"/>
  <c r="G50" i="14"/>
  <c r="H50" i="14"/>
  <c r="I50" i="14"/>
  <c r="J50" i="14"/>
  <c r="B51" i="14"/>
  <c r="C51" i="14"/>
  <c r="D51" i="14"/>
  <c r="E51" i="14"/>
  <c r="F51" i="14"/>
  <c r="G51" i="14"/>
  <c r="H51" i="14"/>
  <c r="I51" i="14"/>
  <c r="J51" i="14"/>
  <c r="K51" i="14"/>
  <c r="B57" i="14"/>
  <c r="C57" i="14"/>
  <c r="D57" i="14"/>
  <c r="E57" i="14"/>
  <c r="F57" i="14"/>
  <c r="G57" i="14"/>
  <c r="H57" i="14"/>
  <c r="I57" i="14"/>
  <c r="J57" i="14"/>
  <c r="K57" i="14"/>
  <c r="B58" i="14"/>
  <c r="C58" i="14"/>
  <c r="D58" i="14"/>
  <c r="E58" i="14"/>
  <c r="F58" i="14"/>
  <c r="G58" i="14"/>
  <c r="H58" i="14"/>
  <c r="I58" i="14"/>
  <c r="J58" i="14"/>
  <c r="K58" i="14"/>
  <c r="B60" i="14"/>
  <c r="C60" i="14"/>
  <c r="D60" i="14"/>
  <c r="E60" i="14"/>
  <c r="F60" i="14"/>
  <c r="G60" i="14"/>
  <c r="H60" i="14"/>
  <c r="I60" i="14"/>
  <c r="J60" i="14"/>
  <c r="K60" i="14"/>
  <c r="B61" i="14"/>
  <c r="C61" i="14"/>
  <c r="D61" i="14"/>
  <c r="E61" i="14"/>
  <c r="F61" i="14"/>
  <c r="G61" i="14"/>
  <c r="H61" i="14"/>
  <c r="I61" i="14"/>
  <c r="J61" i="14"/>
  <c r="K61" i="14"/>
  <c r="B63" i="14"/>
  <c r="C63" i="14"/>
  <c r="D63" i="14"/>
  <c r="E63" i="14"/>
  <c r="F63" i="14"/>
  <c r="G63" i="14"/>
  <c r="H63" i="14"/>
  <c r="I63" i="14"/>
  <c r="J63" i="14"/>
  <c r="K63" i="14"/>
  <c r="B64" i="14"/>
  <c r="C64" i="14"/>
  <c r="D64" i="14"/>
  <c r="E64" i="14"/>
  <c r="F64" i="14"/>
  <c r="G64" i="14"/>
  <c r="H64" i="14"/>
  <c r="I64" i="14"/>
  <c r="J64" i="14"/>
  <c r="B66" i="14"/>
  <c r="C66" i="14"/>
  <c r="D66" i="14"/>
  <c r="E66" i="14"/>
  <c r="F66" i="14"/>
  <c r="G66" i="14"/>
  <c r="H66" i="14"/>
  <c r="I66" i="14"/>
  <c r="J66" i="14"/>
  <c r="B68" i="14"/>
  <c r="C68" i="14"/>
  <c r="D68" i="14"/>
  <c r="E68" i="14"/>
  <c r="F68" i="14"/>
  <c r="G68" i="14"/>
  <c r="H68" i="14"/>
  <c r="I68" i="14"/>
  <c r="J68" i="14"/>
  <c r="E2" i="3"/>
  <c r="G2" i="3"/>
  <c r="T2" i="3"/>
  <c r="AP2" i="3"/>
  <c r="AQ2" i="3"/>
  <c r="E3" i="3"/>
  <c r="G3" i="3"/>
  <c r="T3" i="3"/>
  <c r="AP3" i="3"/>
  <c r="AQ3" i="3"/>
  <c r="E4" i="3"/>
  <c r="G4" i="3"/>
  <c r="T4" i="3"/>
  <c r="AP4" i="3"/>
  <c r="AQ4" i="3"/>
  <c r="E5" i="3"/>
  <c r="G5" i="3"/>
  <c r="T5" i="3"/>
  <c r="AP5" i="3"/>
  <c r="AQ5" i="3"/>
  <c r="E6" i="3"/>
  <c r="G6" i="3"/>
  <c r="T6" i="3"/>
  <c r="AP6" i="3"/>
  <c r="AQ6" i="3"/>
  <c r="E7" i="3"/>
  <c r="G7" i="3"/>
  <c r="T7" i="3"/>
  <c r="AP7" i="3"/>
  <c r="AQ7" i="3"/>
  <c r="E8" i="3"/>
  <c r="G8" i="3"/>
  <c r="T8" i="3"/>
  <c r="AP8" i="3"/>
  <c r="AQ8" i="3"/>
  <c r="E9" i="3"/>
  <c r="G9" i="3"/>
  <c r="T9" i="3"/>
  <c r="AP9" i="3"/>
  <c r="AQ9" i="3"/>
  <c r="E10" i="3"/>
  <c r="G10" i="3"/>
  <c r="T10" i="3"/>
  <c r="AP10" i="3"/>
  <c r="AQ10" i="3"/>
  <c r="E11" i="3"/>
  <c r="G11" i="3"/>
  <c r="T11" i="3"/>
  <c r="AP11" i="3"/>
  <c r="AQ11" i="3"/>
  <c r="E12" i="3"/>
  <c r="G12" i="3"/>
  <c r="T12" i="3"/>
  <c r="AP12" i="3"/>
  <c r="AQ12" i="3"/>
  <c r="E13" i="3"/>
  <c r="G13" i="3"/>
  <c r="T13" i="3"/>
  <c r="AP13" i="3"/>
  <c r="AQ13" i="3"/>
  <c r="E14" i="3"/>
  <c r="G14" i="3"/>
  <c r="T14" i="3"/>
  <c r="AP14" i="3"/>
  <c r="AQ14" i="3"/>
  <c r="E15" i="3"/>
  <c r="G15" i="3"/>
  <c r="T15" i="3"/>
  <c r="AQ15" i="3"/>
  <c r="E16" i="3"/>
  <c r="G16" i="3"/>
  <c r="T16" i="3"/>
  <c r="AP16" i="3"/>
  <c r="AQ16" i="3"/>
  <c r="E17" i="3"/>
  <c r="G17" i="3"/>
  <c r="T17" i="3"/>
  <c r="AP17" i="3"/>
  <c r="AQ17" i="3"/>
  <c r="E18" i="3"/>
  <c r="G18" i="3"/>
  <c r="T18" i="3"/>
  <c r="AP18" i="3"/>
  <c r="AQ18" i="3"/>
  <c r="E19" i="3"/>
  <c r="G19" i="3"/>
  <c r="T19" i="3"/>
  <c r="AP19" i="3"/>
  <c r="AQ19" i="3"/>
  <c r="E20" i="3"/>
  <c r="G20" i="3"/>
  <c r="T20" i="3"/>
  <c r="AP20" i="3"/>
  <c r="AQ20" i="3"/>
  <c r="E21" i="3"/>
  <c r="G21" i="3"/>
  <c r="T21" i="3"/>
  <c r="AP21" i="3"/>
  <c r="AQ21" i="3"/>
  <c r="E22" i="3"/>
  <c r="G22" i="3"/>
  <c r="T22" i="3"/>
  <c r="AP22" i="3"/>
  <c r="AQ22" i="3"/>
  <c r="E23" i="3"/>
  <c r="G23" i="3"/>
  <c r="T23" i="3"/>
  <c r="AP23" i="3"/>
  <c r="AQ23" i="3"/>
  <c r="E24" i="3"/>
  <c r="G24" i="3"/>
  <c r="T24" i="3"/>
  <c r="AP24" i="3"/>
  <c r="AQ24" i="3"/>
  <c r="E25" i="3"/>
  <c r="G25" i="3"/>
  <c r="T25" i="3"/>
  <c r="AP25" i="3"/>
  <c r="AQ25" i="3"/>
  <c r="E26" i="3"/>
  <c r="G26" i="3"/>
  <c r="T26" i="3"/>
  <c r="AP26" i="3"/>
  <c r="AQ26" i="3"/>
  <c r="E27" i="3"/>
  <c r="G27" i="3"/>
  <c r="T27" i="3"/>
  <c r="AP27" i="3"/>
  <c r="AQ27" i="3"/>
  <c r="E28" i="3"/>
  <c r="G28" i="3"/>
  <c r="T28" i="3"/>
  <c r="AP28" i="3"/>
  <c r="AQ28" i="3"/>
  <c r="E29" i="3"/>
  <c r="G29" i="3"/>
  <c r="T29" i="3"/>
  <c r="AP29" i="3"/>
  <c r="AQ29" i="3"/>
  <c r="E30" i="3"/>
  <c r="G30" i="3"/>
  <c r="T30" i="3"/>
  <c r="AP30" i="3"/>
  <c r="AQ30" i="3"/>
  <c r="E31" i="3"/>
  <c r="G31" i="3"/>
  <c r="T31" i="3"/>
  <c r="AP31" i="3"/>
  <c r="AQ31" i="3"/>
  <c r="E32" i="3"/>
  <c r="G32" i="3"/>
  <c r="T32" i="3"/>
  <c r="AP32" i="3"/>
  <c r="AQ32" i="3"/>
  <c r="E33" i="3"/>
  <c r="G33" i="3"/>
  <c r="T33" i="3"/>
  <c r="AP33" i="3"/>
  <c r="AQ33" i="3"/>
  <c r="E34" i="3"/>
  <c r="G34" i="3"/>
  <c r="T34" i="3"/>
  <c r="AP34" i="3"/>
  <c r="AQ34" i="3"/>
  <c r="E35" i="3"/>
  <c r="G35" i="3"/>
  <c r="T35" i="3"/>
  <c r="AP35" i="3"/>
  <c r="AQ35" i="3"/>
  <c r="E36" i="3"/>
  <c r="G36" i="3"/>
  <c r="T36" i="3"/>
  <c r="AP36" i="3"/>
  <c r="AQ36" i="3"/>
  <c r="E37" i="3"/>
  <c r="G37" i="3"/>
  <c r="T37" i="3"/>
  <c r="AP37" i="3"/>
  <c r="AQ37" i="3"/>
  <c r="E38" i="3"/>
  <c r="G38" i="3"/>
  <c r="T38" i="3"/>
  <c r="AP38" i="3"/>
  <c r="AQ38" i="3"/>
  <c r="E39" i="3"/>
  <c r="G39" i="3"/>
  <c r="T39" i="3"/>
  <c r="AQ39" i="3"/>
  <c r="E40" i="3"/>
  <c r="G40" i="3"/>
  <c r="T40" i="3"/>
  <c r="AP40" i="3"/>
  <c r="AQ40" i="3"/>
  <c r="E41" i="3"/>
  <c r="G41" i="3"/>
  <c r="T41" i="3"/>
  <c r="AP41" i="3"/>
  <c r="AQ41" i="3"/>
  <c r="E42" i="3"/>
  <c r="G42" i="3"/>
  <c r="T42" i="3"/>
  <c r="AP42" i="3"/>
  <c r="AQ42" i="3"/>
  <c r="E43" i="3"/>
  <c r="G43" i="3"/>
  <c r="T43" i="3"/>
  <c r="AP43" i="3"/>
  <c r="AQ43" i="3"/>
  <c r="E44" i="3"/>
  <c r="G44" i="3"/>
  <c r="T44" i="3"/>
  <c r="AP44" i="3"/>
  <c r="AQ44" i="3"/>
  <c r="E45" i="3"/>
  <c r="G45" i="3"/>
  <c r="T45" i="3"/>
  <c r="AP45" i="3"/>
  <c r="AQ45" i="3"/>
  <c r="E46" i="3"/>
  <c r="G46" i="3"/>
  <c r="T46" i="3"/>
  <c r="AP46" i="3"/>
  <c r="AQ46" i="3"/>
  <c r="E47" i="3"/>
  <c r="G47" i="3"/>
  <c r="T47" i="3"/>
  <c r="AP47" i="3"/>
  <c r="AQ47" i="3"/>
  <c r="E48" i="3"/>
  <c r="G48" i="3"/>
  <c r="T48" i="3"/>
  <c r="AP48" i="3"/>
  <c r="AQ48" i="3"/>
  <c r="E49" i="3"/>
  <c r="G49" i="3"/>
  <c r="T49" i="3"/>
  <c r="AP49" i="3"/>
  <c r="AQ49" i="3"/>
  <c r="E50" i="3"/>
  <c r="G50" i="3"/>
  <c r="T50" i="3"/>
  <c r="AP50" i="3"/>
  <c r="AQ50" i="3"/>
  <c r="E51" i="3"/>
  <c r="G51" i="3"/>
  <c r="T51" i="3"/>
  <c r="AP51" i="3"/>
  <c r="AQ51" i="3"/>
  <c r="E52" i="3"/>
  <c r="G52" i="3"/>
  <c r="T52" i="3"/>
  <c r="AP52" i="3"/>
  <c r="AQ52" i="3"/>
  <c r="E53" i="3"/>
  <c r="G53" i="3"/>
  <c r="T53" i="3"/>
  <c r="AP53" i="3"/>
  <c r="AQ53" i="3"/>
  <c r="E54" i="3"/>
  <c r="G54" i="3"/>
  <c r="T54" i="3"/>
  <c r="AP54" i="3"/>
  <c r="AQ54" i="3"/>
  <c r="E55" i="3"/>
  <c r="G55" i="3"/>
  <c r="T55" i="3"/>
  <c r="AP55" i="3"/>
  <c r="AQ55" i="3"/>
  <c r="E56" i="3"/>
  <c r="G56" i="3"/>
  <c r="T56" i="3"/>
  <c r="AP56" i="3"/>
  <c r="AQ56" i="3"/>
  <c r="E57" i="3"/>
  <c r="G57" i="3"/>
  <c r="T57" i="3"/>
  <c r="AP57" i="3"/>
  <c r="AQ57" i="3"/>
  <c r="E58" i="3"/>
  <c r="G58" i="3"/>
  <c r="T58" i="3"/>
  <c r="AP58" i="3"/>
  <c r="AQ58" i="3"/>
  <c r="E59" i="3"/>
  <c r="G59" i="3"/>
  <c r="T59" i="3"/>
  <c r="AP59" i="3"/>
  <c r="AQ59" i="3"/>
  <c r="E60" i="3"/>
  <c r="G60" i="3"/>
  <c r="T60" i="3"/>
  <c r="AP60" i="3"/>
  <c r="AQ60" i="3"/>
  <c r="E61" i="3"/>
  <c r="G61" i="3"/>
  <c r="T61" i="3"/>
  <c r="AP61" i="3"/>
  <c r="AQ61" i="3"/>
  <c r="E62" i="3"/>
  <c r="G62" i="3"/>
  <c r="T62" i="3"/>
  <c r="AP62" i="3"/>
  <c r="AQ62" i="3"/>
  <c r="E63" i="3"/>
  <c r="G63" i="3"/>
  <c r="T63" i="3"/>
  <c r="AP63" i="3"/>
  <c r="AQ63" i="3"/>
  <c r="E64" i="3"/>
  <c r="G64" i="3"/>
  <c r="T64" i="3"/>
  <c r="AP64" i="3"/>
  <c r="AQ64" i="3"/>
  <c r="E65" i="3"/>
  <c r="G65" i="3"/>
  <c r="T65" i="3"/>
  <c r="AP65" i="3"/>
  <c r="AQ65" i="3"/>
  <c r="E66" i="3"/>
  <c r="G66" i="3"/>
  <c r="T66" i="3"/>
  <c r="AP66" i="3"/>
  <c r="AQ66" i="3"/>
  <c r="E67" i="3"/>
  <c r="G67" i="3"/>
  <c r="T67" i="3"/>
  <c r="AP67" i="3"/>
  <c r="AQ67" i="3"/>
  <c r="E68" i="3"/>
  <c r="G68" i="3"/>
  <c r="T68" i="3"/>
  <c r="AP68" i="3"/>
  <c r="AQ68" i="3"/>
  <c r="E69" i="3"/>
  <c r="G69" i="3"/>
  <c r="T69" i="3"/>
  <c r="AP69" i="3"/>
  <c r="AQ69" i="3"/>
  <c r="E70" i="3"/>
  <c r="G70" i="3"/>
  <c r="T70" i="3"/>
  <c r="AP70" i="3"/>
  <c r="AQ70" i="3"/>
  <c r="E71" i="3"/>
  <c r="G71" i="3"/>
  <c r="T71" i="3"/>
  <c r="AP71" i="3"/>
  <c r="AQ71" i="3"/>
  <c r="E72" i="3"/>
  <c r="G72" i="3"/>
  <c r="T72" i="3"/>
  <c r="AP72" i="3"/>
  <c r="AQ72" i="3"/>
  <c r="E73" i="3"/>
  <c r="G73" i="3"/>
  <c r="T73" i="3"/>
  <c r="AQ73" i="3"/>
  <c r="E74" i="3"/>
  <c r="G74" i="3"/>
  <c r="T74" i="3"/>
  <c r="AP74" i="3"/>
  <c r="AQ74" i="3"/>
  <c r="E75" i="3"/>
  <c r="G75" i="3"/>
  <c r="T75" i="3"/>
  <c r="AP75" i="3"/>
  <c r="AQ75" i="3"/>
  <c r="E76" i="3"/>
  <c r="G76" i="3"/>
  <c r="T76" i="3"/>
  <c r="AP76" i="3"/>
  <c r="AQ76" i="3"/>
  <c r="E77" i="3"/>
  <c r="G77" i="3"/>
  <c r="T77" i="3"/>
  <c r="AQ77" i="3"/>
  <c r="E78" i="3"/>
  <c r="G78" i="3"/>
  <c r="T78" i="3"/>
  <c r="AP78" i="3"/>
  <c r="AQ78" i="3"/>
  <c r="E79" i="3"/>
  <c r="G79" i="3"/>
  <c r="T79" i="3"/>
  <c r="AP79" i="3"/>
  <c r="AQ79" i="3"/>
  <c r="E80" i="3"/>
  <c r="G80" i="3"/>
  <c r="T80" i="3"/>
  <c r="AP80" i="3"/>
  <c r="AQ80" i="3"/>
  <c r="E81" i="3"/>
  <c r="G81" i="3"/>
  <c r="T81" i="3"/>
  <c r="AP81" i="3"/>
  <c r="AQ81" i="3"/>
  <c r="E82" i="3"/>
  <c r="G82" i="3"/>
  <c r="T82" i="3"/>
  <c r="AP82" i="3"/>
  <c r="AQ82" i="3"/>
  <c r="E83" i="3"/>
  <c r="G83" i="3"/>
  <c r="T83" i="3"/>
  <c r="AP83" i="3"/>
  <c r="AQ83" i="3"/>
  <c r="E84" i="3"/>
  <c r="G84" i="3"/>
  <c r="T84" i="3"/>
  <c r="AP84" i="3"/>
  <c r="AQ84" i="3"/>
  <c r="E85" i="3"/>
  <c r="G85" i="3"/>
  <c r="T85" i="3"/>
  <c r="AP85" i="3"/>
  <c r="AQ85" i="3"/>
  <c r="E86" i="3"/>
  <c r="G86" i="3"/>
  <c r="T86" i="3"/>
  <c r="AP86" i="3"/>
  <c r="AQ86" i="3"/>
  <c r="E87" i="3"/>
  <c r="G87" i="3"/>
  <c r="T87" i="3"/>
  <c r="AP87" i="3"/>
  <c r="AQ87" i="3"/>
  <c r="E88" i="3"/>
  <c r="G88" i="3"/>
  <c r="T88" i="3"/>
  <c r="AP88" i="3"/>
  <c r="AQ88" i="3"/>
  <c r="E89" i="3"/>
  <c r="G89" i="3"/>
  <c r="T89" i="3"/>
  <c r="AP89" i="3"/>
  <c r="AQ89" i="3"/>
  <c r="E90" i="3"/>
  <c r="G90" i="3"/>
  <c r="T90" i="3"/>
  <c r="AP90" i="3"/>
  <c r="AQ90" i="3"/>
  <c r="E91" i="3"/>
  <c r="G91" i="3"/>
  <c r="T91" i="3"/>
  <c r="AP91" i="3"/>
  <c r="AQ91" i="3"/>
  <c r="E92" i="3"/>
  <c r="G92" i="3"/>
  <c r="T92" i="3"/>
  <c r="AP92" i="3"/>
  <c r="AQ92" i="3"/>
  <c r="E93" i="3"/>
  <c r="G93" i="3"/>
  <c r="T93" i="3"/>
  <c r="AP93" i="3"/>
  <c r="AQ93" i="3"/>
  <c r="E94" i="3"/>
  <c r="G94" i="3"/>
  <c r="T94" i="3"/>
  <c r="AP94" i="3"/>
  <c r="AQ94" i="3"/>
  <c r="E95" i="3"/>
  <c r="G95" i="3"/>
  <c r="T95" i="3"/>
  <c r="AQ95" i="3"/>
  <c r="E96" i="3"/>
  <c r="G96" i="3"/>
  <c r="T96" i="3"/>
  <c r="AP96" i="3"/>
  <c r="AQ96" i="3"/>
  <c r="E97" i="3"/>
  <c r="G97" i="3"/>
  <c r="T97" i="3"/>
  <c r="AP97" i="3"/>
  <c r="AQ97" i="3"/>
  <c r="E98" i="3"/>
  <c r="G98" i="3"/>
  <c r="T98" i="3"/>
  <c r="AP98" i="3"/>
  <c r="AQ98" i="3"/>
  <c r="E99" i="3"/>
  <c r="G99" i="3"/>
  <c r="T99" i="3"/>
  <c r="AP99" i="3"/>
  <c r="AQ99" i="3"/>
  <c r="E100" i="3"/>
  <c r="G100" i="3"/>
  <c r="T100" i="3"/>
  <c r="AP100" i="3"/>
  <c r="AQ100" i="3"/>
  <c r="E101" i="3"/>
  <c r="G101" i="3"/>
  <c r="T101" i="3"/>
  <c r="AP101" i="3"/>
  <c r="AQ101" i="3"/>
  <c r="E102" i="3"/>
  <c r="G102" i="3"/>
  <c r="T102" i="3"/>
  <c r="AQ102" i="3"/>
  <c r="E103" i="3"/>
  <c r="G103" i="3"/>
  <c r="T103" i="3"/>
  <c r="AP103" i="3"/>
  <c r="AQ103" i="3"/>
  <c r="E104" i="3"/>
  <c r="G104" i="3"/>
  <c r="T104" i="3"/>
  <c r="AP104" i="3"/>
  <c r="AQ104" i="3"/>
  <c r="E105" i="3"/>
  <c r="G105" i="3"/>
  <c r="T105" i="3"/>
  <c r="AP105" i="3"/>
  <c r="AQ105" i="3"/>
  <c r="E106" i="3"/>
  <c r="G106" i="3"/>
  <c r="T106" i="3"/>
  <c r="AP106" i="3"/>
  <c r="AQ106" i="3"/>
  <c r="E107" i="3"/>
  <c r="G107" i="3"/>
  <c r="T107" i="3"/>
  <c r="AQ107" i="3"/>
  <c r="E108" i="3"/>
  <c r="G108" i="3"/>
  <c r="T108" i="3"/>
  <c r="AP108" i="3"/>
  <c r="AQ108" i="3"/>
  <c r="E109" i="3"/>
  <c r="G109" i="3"/>
  <c r="T109" i="3"/>
  <c r="AP109" i="3"/>
  <c r="AQ109" i="3"/>
  <c r="E110" i="3"/>
  <c r="G110" i="3"/>
  <c r="T110" i="3"/>
  <c r="AP110" i="3"/>
  <c r="AQ110" i="3"/>
  <c r="E111" i="3"/>
  <c r="G111" i="3"/>
  <c r="T111" i="3"/>
  <c r="AP111" i="3"/>
  <c r="AQ111" i="3"/>
  <c r="E112" i="3"/>
  <c r="G112" i="3"/>
  <c r="T112" i="3"/>
  <c r="AP112" i="3"/>
  <c r="AQ112" i="3"/>
  <c r="E113" i="3"/>
  <c r="G113" i="3"/>
  <c r="T113" i="3"/>
  <c r="AP113" i="3"/>
  <c r="AQ113" i="3"/>
  <c r="E114" i="3"/>
  <c r="G114" i="3"/>
  <c r="T114" i="3"/>
  <c r="AP114" i="3"/>
  <c r="AQ114" i="3"/>
  <c r="E115" i="3"/>
  <c r="G115" i="3"/>
  <c r="T115" i="3"/>
  <c r="AP115" i="3"/>
  <c r="AQ115" i="3"/>
  <c r="E116" i="3"/>
  <c r="G116" i="3"/>
  <c r="T116" i="3"/>
  <c r="AP116" i="3"/>
  <c r="AQ116" i="3"/>
  <c r="E117" i="3"/>
  <c r="G117" i="3"/>
  <c r="T117" i="3"/>
  <c r="AP117" i="3"/>
  <c r="AQ117" i="3"/>
  <c r="E118" i="3"/>
  <c r="G118" i="3"/>
  <c r="T118" i="3"/>
  <c r="AP118" i="3"/>
  <c r="AQ118" i="3"/>
  <c r="E119" i="3"/>
  <c r="G119" i="3"/>
  <c r="T119" i="3"/>
  <c r="AQ119" i="3"/>
  <c r="E120" i="3"/>
  <c r="G120" i="3"/>
  <c r="T120" i="3"/>
  <c r="AQ120" i="3"/>
  <c r="E121" i="3"/>
  <c r="T121" i="3"/>
  <c r="AQ121" i="3"/>
  <c r="E122" i="3"/>
  <c r="T122" i="3"/>
  <c r="AQ122" i="3"/>
  <c r="E123" i="3"/>
  <c r="G123" i="3"/>
  <c r="T123" i="3"/>
  <c r="AP123" i="3"/>
  <c r="AQ123" i="3"/>
  <c r="E124" i="3"/>
  <c r="G124" i="3"/>
  <c r="T124" i="3"/>
  <c r="AP124" i="3"/>
  <c r="AQ124" i="3"/>
  <c r="E125" i="3"/>
  <c r="G125" i="3"/>
  <c r="T125" i="3"/>
  <c r="AP125" i="3"/>
  <c r="AQ125" i="3"/>
  <c r="E126" i="3"/>
  <c r="G126" i="3"/>
  <c r="T126" i="3"/>
  <c r="AP126" i="3"/>
  <c r="AQ126" i="3"/>
  <c r="E127" i="3"/>
  <c r="G127" i="3"/>
  <c r="T127" i="3"/>
  <c r="AP127" i="3"/>
  <c r="AQ127" i="3"/>
  <c r="E128" i="3"/>
  <c r="G128" i="3"/>
  <c r="T128" i="3"/>
  <c r="AP128" i="3"/>
  <c r="AQ128" i="3"/>
  <c r="E129" i="3"/>
  <c r="G129" i="3"/>
  <c r="T129" i="3"/>
  <c r="AP129" i="3"/>
  <c r="AQ129" i="3"/>
  <c r="E130" i="3"/>
  <c r="G130" i="3"/>
  <c r="T130" i="3"/>
  <c r="AP130" i="3"/>
  <c r="AQ130" i="3"/>
  <c r="E131" i="3"/>
  <c r="G131" i="3"/>
  <c r="T131" i="3"/>
  <c r="AP131" i="3"/>
  <c r="AQ131" i="3"/>
  <c r="E132" i="3"/>
  <c r="G132" i="3"/>
  <c r="T132" i="3"/>
  <c r="AP132" i="3"/>
  <c r="AQ132" i="3"/>
  <c r="E133" i="3"/>
  <c r="G133" i="3"/>
  <c r="T133" i="3"/>
  <c r="AP133" i="3"/>
  <c r="AQ133" i="3"/>
  <c r="E134" i="3"/>
  <c r="G134" i="3"/>
  <c r="T134" i="3"/>
  <c r="AQ134" i="3"/>
  <c r="E135" i="3"/>
  <c r="G135" i="3"/>
  <c r="T135" i="3"/>
  <c r="AP135" i="3"/>
  <c r="AQ135" i="3"/>
  <c r="E136" i="3"/>
  <c r="G136" i="3"/>
  <c r="T136" i="3"/>
  <c r="AP136" i="3"/>
  <c r="AQ136" i="3"/>
  <c r="E137" i="3"/>
  <c r="G137" i="3"/>
  <c r="T137" i="3"/>
  <c r="AQ137" i="3"/>
  <c r="E138" i="3"/>
  <c r="G138" i="3"/>
  <c r="T138" i="3"/>
  <c r="AP138" i="3"/>
  <c r="AQ138" i="3"/>
  <c r="E139" i="3"/>
  <c r="G139" i="3"/>
  <c r="T139" i="3"/>
  <c r="AP139" i="3"/>
  <c r="AQ139" i="3"/>
  <c r="E140" i="3"/>
  <c r="G140" i="3"/>
  <c r="T140" i="3"/>
  <c r="AP140" i="3"/>
  <c r="AQ140" i="3"/>
  <c r="E141" i="3"/>
  <c r="G141" i="3"/>
  <c r="T141" i="3"/>
  <c r="AP141" i="3"/>
  <c r="AQ141" i="3"/>
  <c r="E142" i="3"/>
  <c r="G142" i="3"/>
  <c r="T142" i="3"/>
  <c r="AP142" i="3"/>
  <c r="AQ142" i="3"/>
  <c r="E143" i="3"/>
  <c r="G143" i="3"/>
  <c r="T143" i="3"/>
  <c r="AP143" i="3"/>
  <c r="AQ143" i="3"/>
  <c r="E144" i="3"/>
  <c r="G144" i="3"/>
  <c r="T144" i="3"/>
  <c r="AP144" i="3"/>
  <c r="AQ144" i="3"/>
  <c r="E145" i="3"/>
  <c r="G145" i="3"/>
  <c r="T145" i="3"/>
  <c r="AP145" i="3"/>
  <c r="AQ145" i="3"/>
  <c r="E146" i="3"/>
  <c r="G146" i="3"/>
  <c r="T146" i="3"/>
  <c r="AQ146" i="3"/>
  <c r="E147" i="3"/>
  <c r="G147" i="3"/>
  <c r="T147" i="3"/>
  <c r="AP147" i="3"/>
  <c r="AQ147" i="3"/>
  <c r="E148" i="3"/>
  <c r="G148" i="3"/>
  <c r="T148" i="3"/>
  <c r="AP148" i="3"/>
  <c r="AQ148" i="3"/>
  <c r="E149" i="3"/>
  <c r="G149" i="3"/>
  <c r="T149" i="3"/>
  <c r="AQ149" i="3"/>
  <c r="E150" i="3"/>
  <c r="G150" i="3"/>
  <c r="T150" i="3"/>
  <c r="AP150" i="3"/>
  <c r="AQ150" i="3"/>
  <c r="E151" i="3"/>
  <c r="G151" i="3"/>
  <c r="T151" i="3"/>
  <c r="AP151" i="3"/>
  <c r="AQ151" i="3"/>
  <c r="E152" i="3"/>
  <c r="G152" i="3"/>
  <c r="T152" i="3"/>
  <c r="AP152" i="3"/>
  <c r="AQ152" i="3"/>
  <c r="E153" i="3"/>
  <c r="G153" i="3"/>
  <c r="T153" i="3"/>
  <c r="AP153" i="3"/>
  <c r="AQ153" i="3"/>
  <c r="E154" i="3"/>
  <c r="G154" i="3"/>
  <c r="T154" i="3"/>
  <c r="AP154" i="3"/>
  <c r="AQ154" i="3"/>
  <c r="E155" i="3"/>
  <c r="G155" i="3"/>
  <c r="T155" i="3"/>
  <c r="AP155" i="3"/>
  <c r="AQ155" i="3"/>
  <c r="E156" i="3"/>
  <c r="G156" i="3"/>
  <c r="T156" i="3"/>
  <c r="AP156" i="3"/>
  <c r="AQ156" i="3"/>
  <c r="E157" i="3"/>
  <c r="G157" i="3"/>
  <c r="T157" i="3"/>
  <c r="AP157" i="3"/>
  <c r="AQ157" i="3"/>
  <c r="E158" i="3"/>
  <c r="G158" i="3"/>
  <c r="T158" i="3"/>
  <c r="AP158" i="3"/>
  <c r="AQ158" i="3"/>
  <c r="E159" i="3"/>
  <c r="G159" i="3"/>
  <c r="T159" i="3"/>
  <c r="AP159" i="3"/>
  <c r="AQ159" i="3"/>
  <c r="E160" i="3"/>
  <c r="G160" i="3"/>
  <c r="T160" i="3"/>
  <c r="AP160" i="3"/>
  <c r="AQ160" i="3"/>
  <c r="E161" i="3"/>
  <c r="G161" i="3"/>
  <c r="T161" i="3"/>
  <c r="AP161" i="3"/>
  <c r="AQ161" i="3"/>
  <c r="E162" i="3"/>
  <c r="G162" i="3"/>
  <c r="T162" i="3"/>
  <c r="AQ162" i="3"/>
  <c r="E163" i="3"/>
  <c r="G163" i="3"/>
  <c r="T163" i="3"/>
  <c r="AQ163" i="3"/>
  <c r="BL163" i="3"/>
  <c r="E164" i="3"/>
  <c r="G164" i="3"/>
  <c r="T164" i="3"/>
  <c r="AP164" i="3"/>
  <c r="AQ164" i="3"/>
  <c r="E165" i="3"/>
  <c r="G165" i="3"/>
  <c r="T165" i="3"/>
  <c r="AP165" i="3"/>
  <c r="AQ165" i="3"/>
  <c r="E166" i="3"/>
  <c r="G166" i="3"/>
  <c r="T166" i="3"/>
  <c r="AQ166" i="3"/>
  <c r="E167" i="3"/>
  <c r="G167" i="3"/>
  <c r="T167" i="3"/>
  <c r="AP167" i="3"/>
  <c r="AQ167" i="3"/>
  <c r="E168" i="3"/>
  <c r="G168" i="3"/>
  <c r="T168" i="3"/>
  <c r="AP168" i="3"/>
  <c r="AQ168" i="3"/>
  <c r="E169" i="3"/>
  <c r="G169" i="3"/>
  <c r="T169" i="3"/>
  <c r="AP169" i="3"/>
  <c r="AQ169" i="3"/>
  <c r="E170" i="3"/>
  <c r="G170" i="3"/>
  <c r="T170" i="3"/>
  <c r="AQ170" i="3"/>
  <c r="E171" i="3"/>
  <c r="G171" i="3"/>
  <c r="T171" i="3"/>
  <c r="AP171" i="3"/>
  <c r="AQ171" i="3"/>
  <c r="E172" i="3"/>
  <c r="G172" i="3"/>
  <c r="T172" i="3"/>
  <c r="AP172" i="3"/>
  <c r="AQ172" i="3"/>
  <c r="E173" i="3"/>
  <c r="G173" i="3"/>
  <c r="T173" i="3"/>
  <c r="AP173" i="3"/>
  <c r="AQ173" i="3"/>
  <c r="E174" i="3"/>
  <c r="G174" i="3"/>
  <c r="T174" i="3"/>
  <c r="AP174" i="3"/>
  <c r="AQ174" i="3"/>
  <c r="E175" i="3"/>
  <c r="G175" i="3"/>
  <c r="T175" i="3"/>
  <c r="AP175" i="3"/>
  <c r="AQ175" i="3"/>
  <c r="E176" i="3"/>
  <c r="G176" i="3"/>
  <c r="T176" i="3"/>
  <c r="AP176" i="3"/>
  <c r="AQ176" i="3"/>
  <c r="E177" i="3"/>
  <c r="G177" i="3"/>
  <c r="T177" i="3"/>
  <c r="AP177" i="3"/>
  <c r="AQ177" i="3"/>
  <c r="E178" i="3"/>
  <c r="G178" i="3"/>
  <c r="T178" i="3"/>
  <c r="AP178" i="3"/>
  <c r="AQ178" i="3"/>
  <c r="E179" i="3"/>
  <c r="G179" i="3"/>
  <c r="T179" i="3"/>
  <c r="AP179" i="3"/>
  <c r="AQ179" i="3"/>
  <c r="E180" i="3"/>
  <c r="G180" i="3"/>
  <c r="T180" i="3"/>
  <c r="AP180" i="3"/>
  <c r="AQ180" i="3"/>
  <c r="E181" i="3"/>
  <c r="G181" i="3"/>
  <c r="T181" i="3"/>
  <c r="AP181" i="3"/>
  <c r="AQ181" i="3"/>
  <c r="E182" i="3"/>
  <c r="G182" i="3"/>
  <c r="T182" i="3"/>
  <c r="AP182" i="3"/>
  <c r="AQ182" i="3"/>
  <c r="E183" i="3"/>
  <c r="G183" i="3"/>
  <c r="T183" i="3"/>
  <c r="AP183" i="3"/>
  <c r="AQ183" i="3"/>
  <c r="E184" i="3"/>
  <c r="G184" i="3"/>
  <c r="T184" i="3"/>
  <c r="AP184" i="3"/>
  <c r="AQ184" i="3"/>
  <c r="E185" i="3"/>
  <c r="G185" i="3"/>
  <c r="T185" i="3"/>
  <c r="AQ185" i="3"/>
  <c r="E186" i="3"/>
  <c r="G186" i="3"/>
  <c r="T186" i="3"/>
  <c r="AP186" i="3"/>
  <c r="AQ186" i="3"/>
  <c r="E187" i="3"/>
  <c r="T187" i="3"/>
  <c r="AQ187" i="3"/>
  <c r="E188" i="3"/>
  <c r="G188" i="3"/>
  <c r="T188" i="3"/>
  <c r="AQ188" i="3"/>
  <c r="E189" i="3"/>
  <c r="G189" i="3"/>
  <c r="T189" i="3"/>
  <c r="AQ189" i="3"/>
  <c r="E190" i="3"/>
  <c r="G190" i="3"/>
  <c r="T190" i="3"/>
  <c r="AP190" i="3"/>
  <c r="AQ190" i="3"/>
  <c r="E191" i="3"/>
  <c r="G191" i="3"/>
  <c r="T191" i="3"/>
  <c r="AP191" i="3"/>
  <c r="AQ191" i="3"/>
  <c r="E192" i="3"/>
  <c r="G192" i="3"/>
  <c r="T192" i="3"/>
  <c r="AP192" i="3"/>
  <c r="AQ192" i="3"/>
  <c r="E193" i="3"/>
  <c r="G193" i="3"/>
  <c r="T193" i="3"/>
  <c r="AQ193" i="3"/>
  <c r="E194" i="3"/>
  <c r="G194" i="3"/>
  <c r="T194" i="3"/>
  <c r="AP194" i="3"/>
  <c r="AQ194" i="3"/>
  <c r="E195" i="3"/>
  <c r="G195" i="3"/>
  <c r="T195" i="3"/>
  <c r="AP195" i="3"/>
  <c r="AQ195" i="3"/>
  <c r="E196" i="3"/>
  <c r="G196" i="3"/>
  <c r="T196" i="3"/>
  <c r="AP196" i="3"/>
  <c r="AQ196" i="3"/>
  <c r="E197" i="3"/>
  <c r="G197" i="3"/>
  <c r="T197" i="3"/>
  <c r="AP197" i="3"/>
  <c r="AQ197" i="3"/>
  <c r="E198" i="3"/>
  <c r="G198" i="3"/>
  <c r="T198" i="3"/>
  <c r="AP198" i="3"/>
  <c r="AQ198" i="3"/>
  <c r="E199" i="3"/>
  <c r="G199" i="3"/>
  <c r="T199" i="3"/>
  <c r="AP199" i="3"/>
  <c r="AQ199" i="3"/>
  <c r="E200" i="3"/>
  <c r="G200" i="3"/>
  <c r="T200" i="3"/>
  <c r="AP200" i="3"/>
  <c r="AQ200" i="3"/>
  <c r="E201" i="3"/>
  <c r="G201" i="3"/>
  <c r="T201" i="3"/>
  <c r="AP201" i="3"/>
  <c r="AQ201" i="3"/>
  <c r="E202" i="3"/>
  <c r="G202" i="3"/>
  <c r="T202" i="3"/>
  <c r="AP202" i="3"/>
  <c r="AQ202" i="3"/>
  <c r="E203" i="3"/>
  <c r="G203" i="3"/>
  <c r="T203" i="3"/>
  <c r="AP203" i="3"/>
  <c r="AQ203" i="3"/>
  <c r="E204" i="3"/>
  <c r="G204" i="3"/>
  <c r="T204" i="3"/>
  <c r="AP204" i="3"/>
  <c r="AQ204" i="3"/>
  <c r="E205" i="3"/>
  <c r="G205" i="3"/>
  <c r="T205" i="3"/>
  <c r="AP205" i="3"/>
  <c r="AQ205" i="3"/>
  <c r="E206" i="3"/>
  <c r="G206" i="3"/>
  <c r="T206" i="3"/>
  <c r="AP206" i="3"/>
  <c r="AQ206" i="3"/>
  <c r="E207" i="3"/>
  <c r="G207" i="3"/>
  <c r="T207" i="3"/>
  <c r="AP207" i="3"/>
  <c r="AQ207" i="3"/>
  <c r="E208" i="3"/>
  <c r="G208" i="3"/>
  <c r="T208" i="3"/>
  <c r="AP208" i="3"/>
  <c r="AQ208" i="3"/>
  <c r="E209" i="3"/>
  <c r="G209" i="3"/>
  <c r="T209" i="3"/>
  <c r="AP209" i="3"/>
  <c r="AQ209" i="3"/>
  <c r="E210" i="3"/>
  <c r="G210" i="3"/>
  <c r="T210" i="3"/>
  <c r="AP210" i="3"/>
  <c r="AQ210" i="3"/>
  <c r="E211" i="3"/>
  <c r="G211" i="3"/>
  <c r="T211" i="3"/>
  <c r="AP211" i="3"/>
  <c r="AQ211" i="3"/>
  <c r="E212" i="3"/>
  <c r="G212" i="3"/>
  <c r="T212" i="3"/>
  <c r="AP212" i="3"/>
  <c r="AQ212" i="3"/>
  <c r="E213" i="3"/>
  <c r="G213" i="3"/>
  <c r="T213" i="3"/>
  <c r="AP213" i="3"/>
  <c r="AQ213" i="3"/>
  <c r="E214" i="3"/>
  <c r="G214" i="3"/>
  <c r="T214" i="3"/>
  <c r="AP214" i="3"/>
  <c r="AQ214" i="3"/>
  <c r="E215" i="3"/>
  <c r="G215" i="3"/>
  <c r="T215" i="3"/>
  <c r="AP215" i="3"/>
  <c r="AQ215" i="3"/>
  <c r="E216" i="3"/>
  <c r="G216" i="3"/>
  <c r="T216" i="3"/>
  <c r="AP216" i="3"/>
  <c r="AQ216" i="3"/>
  <c r="E217" i="3"/>
  <c r="G217" i="3"/>
  <c r="T217" i="3"/>
  <c r="AP217" i="3"/>
  <c r="AQ217" i="3"/>
  <c r="E218" i="3"/>
  <c r="G218" i="3"/>
  <c r="T218" i="3"/>
  <c r="AP218" i="3"/>
  <c r="AQ218" i="3"/>
  <c r="E219" i="3"/>
  <c r="G219" i="3"/>
  <c r="T219" i="3"/>
  <c r="AP219" i="3"/>
  <c r="AQ219" i="3"/>
  <c r="E220" i="3"/>
  <c r="G220" i="3"/>
  <c r="T220" i="3"/>
  <c r="AP220" i="3"/>
  <c r="AQ220" i="3"/>
  <c r="E221" i="3"/>
  <c r="G221" i="3"/>
  <c r="T221" i="3"/>
  <c r="AP221" i="3"/>
  <c r="AQ221" i="3"/>
  <c r="E222" i="3"/>
  <c r="G222" i="3"/>
  <c r="T222" i="3"/>
  <c r="AP222" i="3"/>
  <c r="AQ222" i="3"/>
  <c r="E223" i="3"/>
  <c r="G223" i="3"/>
  <c r="T223" i="3"/>
  <c r="AP223" i="3"/>
  <c r="AQ223" i="3"/>
  <c r="E224" i="3"/>
  <c r="G224" i="3"/>
  <c r="T224" i="3"/>
  <c r="AP224" i="3"/>
  <c r="AQ224" i="3"/>
  <c r="E225" i="3"/>
  <c r="G225" i="3"/>
  <c r="T225" i="3"/>
  <c r="AP225" i="3"/>
  <c r="AQ225" i="3"/>
  <c r="E226" i="3"/>
  <c r="G226" i="3"/>
  <c r="T226" i="3"/>
  <c r="AP226" i="3"/>
  <c r="AQ226" i="3"/>
  <c r="E227" i="3"/>
  <c r="G227" i="3"/>
  <c r="T227" i="3"/>
  <c r="AP227" i="3"/>
  <c r="AQ227" i="3"/>
  <c r="E228" i="3"/>
  <c r="G228" i="3"/>
  <c r="T228" i="3"/>
  <c r="AP228" i="3"/>
  <c r="AQ228" i="3"/>
  <c r="E229" i="3"/>
  <c r="G229" i="3"/>
  <c r="T229" i="3"/>
  <c r="AP229" i="3"/>
  <c r="AQ229" i="3"/>
  <c r="E230" i="3"/>
  <c r="G230" i="3"/>
  <c r="T230" i="3"/>
  <c r="AP230" i="3"/>
  <c r="AQ230" i="3"/>
  <c r="E231" i="3"/>
  <c r="G231" i="3"/>
  <c r="T231" i="3"/>
  <c r="AP231" i="3"/>
  <c r="AQ231" i="3"/>
  <c r="E232" i="3"/>
  <c r="G232" i="3"/>
  <c r="T232" i="3"/>
  <c r="AQ232" i="3"/>
  <c r="E233" i="3"/>
  <c r="G233" i="3"/>
  <c r="T233" i="3"/>
  <c r="AP233" i="3"/>
  <c r="AQ233" i="3"/>
  <c r="E234" i="3"/>
  <c r="G234" i="3"/>
  <c r="T234" i="3"/>
  <c r="AP234" i="3"/>
  <c r="AQ234" i="3"/>
  <c r="E235" i="3"/>
  <c r="G235" i="3"/>
  <c r="T235" i="3"/>
  <c r="AP235" i="3"/>
  <c r="AQ235" i="3"/>
  <c r="E236" i="3"/>
  <c r="G236" i="3"/>
  <c r="T236" i="3"/>
  <c r="AP236" i="3"/>
  <c r="AQ236" i="3"/>
  <c r="E237" i="3"/>
  <c r="G237" i="3"/>
  <c r="T237" i="3"/>
  <c r="AP237" i="3"/>
  <c r="AQ237" i="3"/>
  <c r="E238" i="3"/>
  <c r="G238" i="3"/>
  <c r="T238" i="3"/>
  <c r="AP238" i="3"/>
  <c r="AQ238" i="3"/>
  <c r="E239" i="3"/>
  <c r="G239" i="3"/>
  <c r="T239" i="3"/>
  <c r="AP239" i="3"/>
  <c r="AQ239" i="3"/>
  <c r="E240" i="3"/>
  <c r="G240" i="3"/>
  <c r="T240" i="3"/>
  <c r="AP240" i="3"/>
  <c r="AQ240" i="3"/>
  <c r="E241" i="3"/>
  <c r="G241" i="3"/>
  <c r="T241" i="3"/>
  <c r="AP241" i="3"/>
  <c r="AQ241" i="3"/>
  <c r="E242" i="3"/>
  <c r="G242" i="3"/>
  <c r="T242" i="3"/>
  <c r="AP242" i="3"/>
  <c r="AQ242" i="3"/>
  <c r="E243" i="3"/>
  <c r="G243" i="3"/>
  <c r="T243" i="3"/>
  <c r="AQ243" i="3"/>
  <c r="E244" i="3"/>
  <c r="G244" i="3"/>
  <c r="T244" i="3"/>
  <c r="AP244" i="3"/>
  <c r="AQ244" i="3"/>
  <c r="E245" i="3"/>
  <c r="G245" i="3"/>
  <c r="T245" i="3"/>
  <c r="AP245" i="3"/>
  <c r="AQ245" i="3"/>
  <c r="E246" i="3"/>
  <c r="G246" i="3"/>
  <c r="T246" i="3"/>
  <c r="AP246" i="3"/>
  <c r="AQ246" i="3"/>
  <c r="E247" i="3"/>
  <c r="G247" i="3"/>
  <c r="T247" i="3"/>
  <c r="AP247" i="3"/>
  <c r="AQ247" i="3"/>
  <c r="E248" i="3"/>
  <c r="G248" i="3"/>
  <c r="T248" i="3"/>
  <c r="AP248" i="3"/>
  <c r="AQ248" i="3"/>
  <c r="E249" i="3"/>
  <c r="G249" i="3"/>
  <c r="T249" i="3"/>
  <c r="AP249" i="3"/>
  <c r="AQ249" i="3"/>
  <c r="E250" i="3"/>
  <c r="G250" i="3"/>
  <c r="T250" i="3"/>
  <c r="AP250" i="3"/>
  <c r="AQ250" i="3"/>
  <c r="E251" i="3"/>
  <c r="G251" i="3"/>
  <c r="T251" i="3"/>
  <c r="AP251" i="3"/>
  <c r="AQ251" i="3"/>
  <c r="E252" i="3"/>
  <c r="G252" i="3"/>
  <c r="T252" i="3"/>
  <c r="AP252" i="3"/>
  <c r="AQ252" i="3"/>
  <c r="E253" i="3"/>
  <c r="G253" i="3"/>
  <c r="T253" i="3"/>
  <c r="AP253" i="3"/>
  <c r="AQ253" i="3"/>
  <c r="K254" i="3"/>
  <c r="AQ254" i="3"/>
  <c r="AR254" i="3"/>
  <c r="AS254" i="3"/>
  <c r="AT254" i="3"/>
  <c r="AU254" i="3"/>
  <c r="AV254" i="3"/>
  <c r="AW254" i="3"/>
  <c r="AX254" i="3"/>
  <c r="AY254" i="3"/>
  <c r="AZ254" i="3"/>
  <c r="BA254" i="3"/>
  <c r="BB254" i="3"/>
  <c r="BC254" i="3"/>
  <c r="BD254" i="3"/>
  <c r="BE254" i="3"/>
  <c r="BF254" i="3"/>
  <c r="BG254" i="3"/>
  <c r="BH254" i="3"/>
  <c r="BI254" i="3"/>
  <c r="BJ254" i="3"/>
  <c r="BK254" i="3"/>
  <c r="BL254" i="3"/>
  <c r="BM254" i="3"/>
  <c r="BN254" i="3"/>
  <c r="BO254" i="3"/>
  <c r="AR255" i="3"/>
  <c r="AS255" i="3"/>
  <c r="AT255" i="3"/>
  <c r="AU255" i="3"/>
  <c r="AV255" i="3"/>
  <c r="AW255" i="3"/>
  <c r="AX255" i="3"/>
  <c r="AY255" i="3"/>
  <c r="AZ255" i="3"/>
  <c r="BA255" i="3"/>
  <c r="BB255" i="3"/>
  <c r="BC255" i="3"/>
  <c r="BD255" i="3"/>
  <c r="BE255" i="3"/>
  <c r="BF255" i="3"/>
  <c r="BG255" i="3"/>
  <c r="BH255" i="3"/>
  <c r="BI255" i="3"/>
  <c r="BJ255" i="3"/>
  <c r="BK255" i="3"/>
  <c r="BL255" i="3"/>
  <c r="BM255" i="3"/>
  <c r="BN255" i="3"/>
  <c r="BO255" i="3"/>
  <c r="E2" i="7"/>
  <c r="G2" i="7"/>
  <c r="T2" i="7"/>
  <c r="AP2" i="7"/>
  <c r="AQ2" i="7"/>
  <c r="BR2" i="7"/>
  <c r="BS2" i="7"/>
  <c r="BT2" i="7"/>
  <c r="BU2" i="7"/>
  <c r="BV2" i="7"/>
  <c r="BW2" i="7"/>
  <c r="BX2" i="7"/>
  <c r="BY2" i="7"/>
  <c r="CA2" i="7"/>
  <c r="CB2" i="7"/>
  <c r="CC2" i="7"/>
  <c r="CD2" i="7"/>
  <c r="CE2" i="7"/>
  <c r="CF2" i="7"/>
  <c r="CG2" i="7"/>
  <c r="CH2" i="7"/>
  <c r="E3" i="7"/>
  <c r="G3" i="7"/>
  <c r="T3" i="7"/>
  <c r="AP3" i="7"/>
  <c r="AQ3" i="7"/>
  <c r="BR3" i="7"/>
  <c r="BS3" i="7"/>
  <c r="BT3" i="7"/>
  <c r="BU3" i="7"/>
  <c r="BV3" i="7"/>
  <c r="BW3" i="7"/>
  <c r="BX3" i="7"/>
  <c r="BY3" i="7"/>
  <c r="CA3" i="7"/>
  <c r="CB3" i="7"/>
  <c r="CC3" i="7"/>
  <c r="CD3" i="7"/>
  <c r="CE3" i="7"/>
  <c r="CF3" i="7"/>
  <c r="CG3" i="7"/>
  <c r="CH3" i="7"/>
  <c r="E4" i="7"/>
  <c r="G4" i="7"/>
  <c r="T4" i="7"/>
  <c r="AP4" i="7"/>
  <c r="AQ4" i="7"/>
  <c r="BR4" i="7"/>
  <c r="BS4" i="7"/>
  <c r="BT4" i="7"/>
  <c r="BU4" i="7"/>
  <c r="BV4" i="7"/>
  <c r="BW4" i="7"/>
  <c r="BX4" i="7"/>
  <c r="BY4" i="7"/>
  <c r="CA4" i="7"/>
  <c r="CB4" i="7"/>
  <c r="CC4" i="7"/>
  <c r="CD4" i="7"/>
  <c r="CE4" i="7"/>
  <c r="CF4" i="7"/>
  <c r="CG4" i="7"/>
  <c r="CH4" i="7"/>
  <c r="E5" i="7"/>
  <c r="G5" i="7"/>
  <c r="T5" i="7"/>
  <c r="AP5" i="7"/>
  <c r="AQ5" i="7"/>
  <c r="BR5" i="7"/>
  <c r="BS5" i="7"/>
  <c r="BT5" i="7"/>
  <c r="BU5" i="7"/>
  <c r="BV5" i="7"/>
  <c r="BW5" i="7"/>
  <c r="BX5" i="7"/>
  <c r="BY5" i="7"/>
  <c r="CA5" i="7"/>
  <c r="CB5" i="7"/>
  <c r="CC5" i="7"/>
  <c r="CD5" i="7"/>
  <c r="CE5" i="7"/>
  <c r="CF5" i="7"/>
  <c r="CG5" i="7"/>
  <c r="CH5" i="7"/>
  <c r="E6" i="7"/>
  <c r="G6" i="7"/>
  <c r="T6" i="7"/>
  <c r="AP6" i="7"/>
  <c r="AQ6" i="7"/>
  <c r="BR6" i="7"/>
  <c r="BS6" i="7"/>
  <c r="BT6" i="7"/>
  <c r="BU6" i="7"/>
  <c r="BV6" i="7"/>
  <c r="BW6" i="7"/>
  <c r="BX6" i="7"/>
  <c r="BY6" i="7"/>
  <c r="CA6" i="7"/>
  <c r="CB6" i="7"/>
  <c r="CC6" i="7"/>
  <c r="CD6" i="7"/>
  <c r="CE6" i="7"/>
  <c r="CF6" i="7"/>
  <c r="CG6" i="7"/>
  <c r="CH6" i="7"/>
  <c r="E7" i="7"/>
  <c r="G7" i="7"/>
  <c r="T7" i="7"/>
  <c r="AP7" i="7"/>
  <c r="AQ7" i="7"/>
  <c r="BR7" i="7"/>
  <c r="BS7" i="7"/>
  <c r="BT7" i="7"/>
  <c r="BU7" i="7"/>
  <c r="BV7" i="7"/>
  <c r="BW7" i="7"/>
  <c r="BX7" i="7"/>
  <c r="BY7" i="7"/>
  <c r="CA7" i="7"/>
  <c r="CB7" i="7"/>
  <c r="CC7" i="7"/>
  <c r="CD7" i="7"/>
  <c r="CE7" i="7"/>
  <c r="CF7" i="7"/>
  <c r="CG7" i="7"/>
  <c r="CH7" i="7"/>
  <c r="E8" i="7"/>
  <c r="G8" i="7"/>
  <c r="T8" i="7"/>
  <c r="AP8" i="7"/>
  <c r="AQ8" i="7"/>
  <c r="BR8" i="7"/>
  <c r="BS8" i="7"/>
  <c r="BT8" i="7"/>
  <c r="BU8" i="7"/>
  <c r="BV8" i="7"/>
  <c r="BW8" i="7"/>
  <c r="BX8" i="7"/>
  <c r="BY8" i="7"/>
  <c r="CA8" i="7"/>
  <c r="CB8" i="7"/>
  <c r="CC8" i="7"/>
  <c r="CD8" i="7"/>
  <c r="CE8" i="7"/>
  <c r="CF8" i="7"/>
  <c r="CG8" i="7"/>
  <c r="CH8" i="7"/>
  <c r="E9" i="7"/>
  <c r="G9" i="7"/>
  <c r="T9" i="7"/>
  <c r="AP9" i="7"/>
  <c r="AQ9" i="7"/>
  <c r="BR9" i="7"/>
  <c r="BS9" i="7"/>
  <c r="BT9" i="7"/>
  <c r="BU9" i="7"/>
  <c r="BV9" i="7"/>
  <c r="BW9" i="7"/>
  <c r="BX9" i="7"/>
  <c r="BY9" i="7"/>
  <c r="CA9" i="7"/>
  <c r="CB9" i="7"/>
  <c r="CC9" i="7"/>
  <c r="CD9" i="7"/>
  <c r="CE9" i="7"/>
  <c r="CF9" i="7"/>
  <c r="CG9" i="7"/>
  <c r="CH9" i="7"/>
  <c r="E10" i="7"/>
  <c r="G10" i="7"/>
  <c r="T10" i="7"/>
  <c r="AP10" i="7"/>
  <c r="AQ10" i="7"/>
  <c r="BR10" i="7"/>
  <c r="BS10" i="7"/>
  <c r="BT10" i="7"/>
  <c r="BU10" i="7"/>
  <c r="BV10" i="7"/>
  <c r="BW10" i="7"/>
  <c r="BX10" i="7"/>
  <c r="BY10" i="7"/>
  <c r="CA10" i="7"/>
  <c r="CB10" i="7"/>
  <c r="CC10" i="7"/>
  <c r="CD10" i="7"/>
  <c r="CE10" i="7"/>
  <c r="CF10" i="7"/>
  <c r="CG10" i="7"/>
  <c r="CH10" i="7"/>
  <c r="E11" i="7"/>
  <c r="G11" i="7"/>
  <c r="T11" i="7"/>
  <c r="AP11" i="7"/>
  <c r="AQ11" i="7"/>
  <c r="BR11" i="7"/>
  <c r="BS11" i="7"/>
  <c r="BT11" i="7"/>
  <c r="BU11" i="7"/>
  <c r="BV11" i="7"/>
  <c r="BW11" i="7"/>
  <c r="BX11" i="7"/>
  <c r="BY11" i="7"/>
  <c r="CA11" i="7"/>
  <c r="CB11" i="7"/>
  <c r="CC11" i="7"/>
  <c r="CD11" i="7"/>
  <c r="CE11" i="7"/>
  <c r="CF11" i="7"/>
  <c r="CG11" i="7"/>
  <c r="CH11" i="7"/>
  <c r="E12" i="7"/>
  <c r="G12" i="7"/>
  <c r="T12" i="7"/>
  <c r="AP12" i="7"/>
  <c r="AQ12" i="7"/>
  <c r="BR12" i="7"/>
  <c r="BS12" i="7"/>
  <c r="BT12" i="7"/>
  <c r="BU12" i="7"/>
  <c r="BV12" i="7"/>
  <c r="BW12" i="7"/>
  <c r="BX12" i="7"/>
  <c r="BY12" i="7"/>
  <c r="CA12" i="7"/>
  <c r="CB12" i="7"/>
  <c r="CC12" i="7"/>
  <c r="CD12" i="7"/>
  <c r="CE12" i="7"/>
  <c r="CF12" i="7"/>
  <c r="CG12" i="7"/>
  <c r="CH12" i="7"/>
  <c r="E13" i="7"/>
  <c r="G13" i="7"/>
  <c r="T13" i="7"/>
  <c r="AP13" i="7"/>
  <c r="AQ13" i="7"/>
  <c r="BR13" i="7"/>
  <c r="BS13" i="7"/>
  <c r="BT13" i="7"/>
  <c r="BU13" i="7"/>
  <c r="BV13" i="7"/>
  <c r="BW13" i="7"/>
  <c r="BX13" i="7"/>
  <c r="BY13" i="7"/>
  <c r="CA13" i="7"/>
  <c r="CB13" i="7"/>
  <c r="CC13" i="7"/>
  <c r="CD13" i="7"/>
  <c r="CE13" i="7"/>
  <c r="CF13" i="7"/>
  <c r="CG13" i="7"/>
  <c r="CH13" i="7"/>
  <c r="E14" i="7"/>
  <c r="G14" i="7"/>
  <c r="T14" i="7"/>
  <c r="AP14" i="7"/>
  <c r="AQ14" i="7"/>
  <c r="BR14" i="7"/>
  <c r="BS14" i="7"/>
  <c r="BT14" i="7"/>
  <c r="BU14" i="7"/>
  <c r="BV14" i="7"/>
  <c r="BW14" i="7"/>
  <c r="BX14" i="7"/>
  <c r="BY14" i="7"/>
  <c r="CA14" i="7"/>
  <c r="CB14" i="7"/>
  <c r="CC14" i="7"/>
  <c r="CD14" i="7"/>
  <c r="CE14" i="7"/>
  <c r="CF14" i="7"/>
  <c r="CG14" i="7"/>
  <c r="CH14" i="7"/>
  <c r="E15" i="7"/>
  <c r="G15" i="7"/>
  <c r="T15" i="7"/>
  <c r="AQ15" i="7"/>
  <c r="BR15" i="7"/>
  <c r="BS15" i="7"/>
  <c r="BT15" i="7"/>
  <c r="BU15" i="7"/>
  <c r="BV15" i="7"/>
  <c r="BW15" i="7"/>
  <c r="BX15" i="7"/>
  <c r="BY15" i="7"/>
  <c r="CA15" i="7"/>
  <c r="CB15" i="7"/>
  <c r="CC15" i="7"/>
  <c r="CD15" i="7"/>
  <c r="CE15" i="7"/>
  <c r="CF15" i="7"/>
  <c r="CG15" i="7"/>
  <c r="CH15" i="7"/>
  <c r="E16" i="7"/>
  <c r="G16" i="7"/>
  <c r="T16" i="7"/>
  <c r="AP16" i="7"/>
  <c r="AQ16" i="7"/>
  <c r="BR16" i="7"/>
  <c r="BS16" i="7"/>
  <c r="BT16" i="7"/>
  <c r="BU16" i="7"/>
  <c r="BV16" i="7"/>
  <c r="BW16" i="7"/>
  <c r="BX16" i="7"/>
  <c r="BY16" i="7"/>
  <c r="CA16" i="7"/>
  <c r="CB16" i="7"/>
  <c r="CC16" i="7"/>
  <c r="CD16" i="7"/>
  <c r="CE16" i="7"/>
  <c r="CF16" i="7"/>
  <c r="CG16" i="7"/>
  <c r="CH16" i="7"/>
  <c r="E17" i="7"/>
  <c r="G17" i="7"/>
  <c r="T17" i="7"/>
  <c r="AP17" i="7"/>
  <c r="AQ17" i="7"/>
  <c r="BR17" i="7"/>
  <c r="BS17" i="7"/>
  <c r="BT17" i="7"/>
  <c r="BU17" i="7"/>
  <c r="BV17" i="7"/>
  <c r="BW17" i="7"/>
  <c r="BX17" i="7"/>
  <c r="BY17" i="7"/>
  <c r="CA17" i="7"/>
  <c r="CB17" i="7"/>
  <c r="CC17" i="7"/>
  <c r="CD17" i="7"/>
  <c r="CE17" i="7"/>
  <c r="CF17" i="7"/>
  <c r="CG17" i="7"/>
  <c r="CH17" i="7"/>
  <c r="E18" i="7"/>
  <c r="G18" i="7"/>
  <c r="T18" i="7"/>
  <c r="AP18" i="7"/>
  <c r="AQ18" i="7"/>
  <c r="BR18" i="7"/>
  <c r="BS18" i="7"/>
  <c r="BT18" i="7"/>
  <c r="BU18" i="7"/>
  <c r="BV18" i="7"/>
  <c r="BW18" i="7"/>
  <c r="BX18" i="7"/>
  <c r="BY18" i="7"/>
  <c r="CA18" i="7"/>
  <c r="CB18" i="7"/>
  <c r="CC18" i="7"/>
  <c r="CD18" i="7"/>
  <c r="CE18" i="7"/>
  <c r="CF18" i="7"/>
  <c r="CG18" i="7"/>
  <c r="CH18" i="7"/>
  <c r="E19" i="7"/>
  <c r="G19" i="7"/>
  <c r="T19" i="7"/>
  <c r="AP19" i="7"/>
  <c r="AQ19" i="7"/>
  <c r="BR19" i="7"/>
  <c r="BS19" i="7"/>
  <c r="BT19" i="7"/>
  <c r="BU19" i="7"/>
  <c r="BV19" i="7"/>
  <c r="BW19" i="7"/>
  <c r="BX19" i="7"/>
  <c r="BY19" i="7"/>
  <c r="CA19" i="7"/>
  <c r="CB19" i="7"/>
  <c r="CC19" i="7"/>
  <c r="CD19" i="7"/>
  <c r="CE19" i="7"/>
  <c r="CF19" i="7"/>
  <c r="CG19" i="7"/>
  <c r="CH19" i="7"/>
  <c r="E20" i="7"/>
  <c r="G20" i="7"/>
  <c r="T20" i="7"/>
  <c r="AP20" i="7"/>
  <c r="AQ20" i="7"/>
  <c r="BR20" i="7"/>
  <c r="BS20" i="7"/>
  <c r="BT20" i="7"/>
  <c r="BU20" i="7"/>
  <c r="BV20" i="7"/>
  <c r="BW20" i="7"/>
  <c r="BX20" i="7"/>
  <c r="BY20" i="7"/>
  <c r="CA20" i="7"/>
  <c r="CB20" i="7"/>
  <c r="CC20" i="7"/>
  <c r="CD20" i="7"/>
  <c r="CE20" i="7"/>
  <c r="CF20" i="7"/>
  <c r="CG20" i="7"/>
  <c r="CH20" i="7"/>
  <c r="E21" i="7"/>
  <c r="G21" i="7"/>
  <c r="T21" i="7"/>
  <c r="AP21" i="7"/>
  <c r="AQ21" i="7"/>
  <c r="BR21" i="7"/>
  <c r="BS21" i="7"/>
  <c r="BT21" i="7"/>
  <c r="BU21" i="7"/>
  <c r="BV21" i="7"/>
  <c r="BW21" i="7"/>
  <c r="BX21" i="7"/>
  <c r="BY21" i="7"/>
  <c r="CA21" i="7"/>
  <c r="CB21" i="7"/>
  <c r="CC21" i="7"/>
  <c r="CD21" i="7"/>
  <c r="CE21" i="7"/>
  <c r="CF21" i="7"/>
  <c r="CG21" i="7"/>
  <c r="CH21" i="7"/>
  <c r="E22" i="7"/>
  <c r="G22" i="7"/>
  <c r="T22" i="7"/>
  <c r="AP22" i="7"/>
  <c r="AQ22" i="7"/>
  <c r="BR22" i="7"/>
  <c r="BS22" i="7"/>
  <c r="BT22" i="7"/>
  <c r="BU22" i="7"/>
  <c r="BV22" i="7"/>
  <c r="BW22" i="7"/>
  <c r="BX22" i="7"/>
  <c r="BY22" i="7"/>
  <c r="CA22" i="7"/>
  <c r="CB22" i="7"/>
  <c r="CC22" i="7"/>
  <c r="CD22" i="7"/>
  <c r="CE22" i="7"/>
  <c r="CF22" i="7"/>
  <c r="CG22" i="7"/>
  <c r="CH22" i="7"/>
  <c r="E23" i="7"/>
  <c r="G23" i="7"/>
  <c r="T23" i="7"/>
  <c r="AP23" i="7"/>
  <c r="AQ23" i="7"/>
  <c r="BR23" i="7"/>
  <c r="BS23" i="7"/>
  <c r="BT23" i="7"/>
  <c r="BU23" i="7"/>
  <c r="BV23" i="7"/>
  <c r="BW23" i="7"/>
  <c r="BX23" i="7"/>
  <c r="BY23" i="7"/>
  <c r="CA23" i="7"/>
  <c r="CB23" i="7"/>
  <c r="CC23" i="7"/>
  <c r="CD23" i="7"/>
  <c r="CE23" i="7"/>
  <c r="CF23" i="7"/>
  <c r="CG23" i="7"/>
  <c r="CH23" i="7"/>
  <c r="E24" i="7"/>
  <c r="G24" i="7"/>
  <c r="T24" i="7"/>
  <c r="AP24" i="7"/>
  <c r="AQ24" i="7"/>
  <c r="BR24" i="7"/>
  <c r="BS24" i="7"/>
  <c r="BT24" i="7"/>
  <c r="BU24" i="7"/>
  <c r="BV24" i="7"/>
  <c r="BW24" i="7"/>
  <c r="BX24" i="7"/>
  <c r="BY24" i="7"/>
  <c r="CA24" i="7"/>
  <c r="CB24" i="7"/>
  <c r="CC24" i="7"/>
  <c r="CD24" i="7"/>
  <c r="CE24" i="7"/>
  <c r="CF24" i="7"/>
  <c r="CG24" i="7"/>
  <c r="CH24" i="7"/>
  <c r="E25" i="7"/>
  <c r="G25" i="7"/>
  <c r="T25" i="7"/>
  <c r="AP25" i="7"/>
  <c r="AQ25" i="7"/>
  <c r="BR25" i="7"/>
  <c r="BS25" i="7"/>
  <c r="BT25" i="7"/>
  <c r="BU25" i="7"/>
  <c r="BV25" i="7"/>
  <c r="BW25" i="7"/>
  <c r="BX25" i="7"/>
  <c r="BY25" i="7"/>
  <c r="CA25" i="7"/>
  <c r="CB25" i="7"/>
  <c r="CC25" i="7"/>
  <c r="CD25" i="7"/>
  <c r="CE25" i="7"/>
  <c r="CF25" i="7"/>
  <c r="CG25" i="7"/>
  <c r="CH25" i="7"/>
  <c r="E26" i="7"/>
  <c r="G26" i="7"/>
  <c r="T26" i="7"/>
  <c r="AP26" i="7"/>
  <c r="AQ26" i="7"/>
  <c r="BR26" i="7"/>
  <c r="BS26" i="7"/>
  <c r="BT26" i="7"/>
  <c r="BU26" i="7"/>
  <c r="BV26" i="7"/>
  <c r="BW26" i="7"/>
  <c r="BX26" i="7"/>
  <c r="BY26" i="7"/>
  <c r="CA26" i="7"/>
  <c r="CB26" i="7"/>
  <c r="CC26" i="7"/>
  <c r="CD26" i="7"/>
  <c r="CE26" i="7"/>
  <c r="CF26" i="7"/>
  <c r="CG26" i="7"/>
  <c r="CH26" i="7"/>
  <c r="E27" i="7"/>
  <c r="G27" i="7"/>
  <c r="T27" i="7"/>
  <c r="AP27" i="7"/>
  <c r="AQ27" i="7"/>
  <c r="BR27" i="7"/>
  <c r="BS27" i="7"/>
  <c r="BT27" i="7"/>
  <c r="BU27" i="7"/>
  <c r="BV27" i="7"/>
  <c r="BW27" i="7"/>
  <c r="BX27" i="7"/>
  <c r="BY27" i="7"/>
  <c r="CA27" i="7"/>
  <c r="CB27" i="7"/>
  <c r="CC27" i="7"/>
  <c r="CD27" i="7"/>
  <c r="CE27" i="7"/>
  <c r="CF27" i="7"/>
  <c r="CG27" i="7"/>
  <c r="CH27" i="7"/>
  <c r="E28" i="7"/>
  <c r="G28" i="7"/>
  <c r="T28" i="7"/>
  <c r="AP28" i="7"/>
  <c r="AQ28" i="7"/>
  <c r="BR28" i="7"/>
  <c r="BS28" i="7"/>
  <c r="BT28" i="7"/>
  <c r="BU28" i="7"/>
  <c r="BV28" i="7"/>
  <c r="BW28" i="7"/>
  <c r="BX28" i="7"/>
  <c r="BY28" i="7"/>
  <c r="CA28" i="7"/>
  <c r="CB28" i="7"/>
  <c r="CC28" i="7"/>
  <c r="CD28" i="7"/>
  <c r="CE28" i="7"/>
  <c r="CF28" i="7"/>
  <c r="CG28" i="7"/>
  <c r="CH28" i="7"/>
  <c r="E29" i="7"/>
  <c r="G29" i="7"/>
  <c r="T29" i="7"/>
  <c r="AP29" i="7"/>
  <c r="AQ29" i="7"/>
  <c r="BR29" i="7"/>
  <c r="BS29" i="7"/>
  <c r="BT29" i="7"/>
  <c r="BU29" i="7"/>
  <c r="BV29" i="7"/>
  <c r="BW29" i="7"/>
  <c r="BX29" i="7"/>
  <c r="BY29" i="7"/>
  <c r="CA29" i="7"/>
  <c r="CB29" i="7"/>
  <c r="CC29" i="7"/>
  <c r="CD29" i="7"/>
  <c r="CE29" i="7"/>
  <c r="CF29" i="7"/>
  <c r="CG29" i="7"/>
  <c r="CH29" i="7"/>
  <c r="E30" i="7"/>
  <c r="G30" i="7"/>
  <c r="T30" i="7"/>
  <c r="AP30" i="7"/>
  <c r="AQ30" i="7"/>
  <c r="BR30" i="7"/>
  <c r="BS30" i="7"/>
  <c r="BT30" i="7"/>
  <c r="BU30" i="7"/>
  <c r="BV30" i="7"/>
  <c r="BW30" i="7"/>
  <c r="BX30" i="7"/>
  <c r="BY30" i="7"/>
  <c r="CA30" i="7"/>
  <c r="CB30" i="7"/>
  <c r="CC30" i="7"/>
  <c r="CD30" i="7"/>
  <c r="CE30" i="7"/>
  <c r="CF30" i="7"/>
  <c r="CG30" i="7"/>
  <c r="CH30" i="7"/>
  <c r="E31" i="7"/>
  <c r="G31" i="7"/>
  <c r="T31" i="7"/>
  <c r="AP31" i="7"/>
  <c r="AQ31" i="7"/>
  <c r="BR31" i="7"/>
  <c r="BS31" i="7"/>
  <c r="BT31" i="7"/>
  <c r="BU31" i="7"/>
  <c r="BV31" i="7"/>
  <c r="BW31" i="7"/>
  <c r="BX31" i="7"/>
  <c r="BY31" i="7"/>
  <c r="CA31" i="7"/>
  <c r="CB31" i="7"/>
  <c r="CC31" i="7"/>
  <c r="CD31" i="7"/>
  <c r="CE31" i="7"/>
  <c r="CF31" i="7"/>
  <c r="CG31" i="7"/>
  <c r="CH31" i="7"/>
  <c r="E32" i="7"/>
  <c r="G32" i="7"/>
  <c r="T32" i="7"/>
  <c r="AP32" i="7"/>
  <c r="AQ32" i="7"/>
  <c r="BR32" i="7"/>
  <c r="BS32" i="7"/>
  <c r="BT32" i="7"/>
  <c r="BU32" i="7"/>
  <c r="BV32" i="7"/>
  <c r="BW32" i="7"/>
  <c r="BX32" i="7"/>
  <c r="BY32" i="7"/>
  <c r="CA32" i="7"/>
  <c r="CB32" i="7"/>
  <c r="CC32" i="7"/>
  <c r="CD32" i="7"/>
  <c r="CE32" i="7"/>
  <c r="CF32" i="7"/>
  <c r="CG32" i="7"/>
  <c r="CH32" i="7"/>
  <c r="E33" i="7"/>
  <c r="G33" i="7"/>
  <c r="T33" i="7"/>
  <c r="AP33" i="7"/>
  <c r="AQ33" i="7"/>
  <c r="BR33" i="7"/>
  <c r="BS33" i="7"/>
  <c r="BT33" i="7"/>
  <c r="BU33" i="7"/>
  <c r="BV33" i="7"/>
  <c r="BW33" i="7"/>
  <c r="BX33" i="7"/>
  <c r="BY33" i="7"/>
  <c r="CA33" i="7"/>
  <c r="CB33" i="7"/>
  <c r="CC33" i="7"/>
  <c r="CD33" i="7"/>
  <c r="CE33" i="7"/>
  <c r="CF33" i="7"/>
  <c r="CG33" i="7"/>
  <c r="CH33" i="7"/>
  <c r="E34" i="7"/>
  <c r="G34" i="7"/>
  <c r="T34" i="7"/>
  <c r="AP34" i="7"/>
  <c r="AQ34" i="7"/>
  <c r="BR34" i="7"/>
  <c r="BS34" i="7"/>
  <c r="BT34" i="7"/>
  <c r="BU34" i="7"/>
  <c r="BV34" i="7"/>
  <c r="BW34" i="7"/>
  <c r="BX34" i="7"/>
  <c r="BY34" i="7"/>
  <c r="CA34" i="7"/>
  <c r="CB34" i="7"/>
  <c r="CC34" i="7"/>
  <c r="CD34" i="7"/>
  <c r="CE34" i="7"/>
  <c r="CF34" i="7"/>
  <c r="CG34" i="7"/>
  <c r="CH34" i="7"/>
  <c r="E35" i="7"/>
  <c r="G35" i="7"/>
  <c r="T35" i="7"/>
  <c r="AP35" i="7"/>
  <c r="AQ35" i="7"/>
  <c r="BR35" i="7"/>
  <c r="BS35" i="7"/>
  <c r="BT35" i="7"/>
  <c r="BU35" i="7"/>
  <c r="BV35" i="7"/>
  <c r="BW35" i="7"/>
  <c r="BX35" i="7"/>
  <c r="BY35" i="7"/>
  <c r="CA35" i="7"/>
  <c r="CB35" i="7"/>
  <c r="CC35" i="7"/>
  <c r="CD35" i="7"/>
  <c r="CE35" i="7"/>
  <c r="CF35" i="7"/>
  <c r="CG35" i="7"/>
  <c r="CH35" i="7"/>
  <c r="E36" i="7"/>
  <c r="G36" i="7"/>
  <c r="T36" i="7"/>
  <c r="AP36" i="7"/>
  <c r="AQ36" i="7"/>
  <c r="BR36" i="7"/>
  <c r="BS36" i="7"/>
  <c r="BT36" i="7"/>
  <c r="BU36" i="7"/>
  <c r="BV36" i="7"/>
  <c r="BW36" i="7"/>
  <c r="BX36" i="7"/>
  <c r="BY36" i="7"/>
  <c r="CA36" i="7"/>
  <c r="CB36" i="7"/>
  <c r="CC36" i="7"/>
  <c r="CD36" i="7"/>
  <c r="CE36" i="7"/>
  <c r="CF36" i="7"/>
  <c r="CG36" i="7"/>
  <c r="CH36" i="7"/>
  <c r="E37" i="7"/>
  <c r="G37" i="7"/>
  <c r="T37" i="7"/>
  <c r="AP37" i="7"/>
  <c r="AQ37" i="7"/>
  <c r="BR37" i="7"/>
  <c r="BS37" i="7"/>
  <c r="BT37" i="7"/>
  <c r="BU37" i="7"/>
  <c r="BV37" i="7"/>
  <c r="BW37" i="7"/>
  <c r="BX37" i="7"/>
  <c r="BY37" i="7"/>
  <c r="CA37" i="7"/>
  <c r="CB37" i="7"/>
  <c r="CC37" i="7"/>
  <c r="CD37" i="7"/>
  <c r="CE37" i="7"/>
  <c r="CF37" i="7"/>
  <c r="CG37" i="7"/>
  <c r="CH37" i="7"/>
  <c r="E38" i="7"/>
  <c r="G38" i="7"/>
  <c r="T38" i="7"/>
  <c r="AP38" i="7"/>
  <c r="AQ38" i="7"/>
  <c r="BR38" i="7"/>
  <c r="BS38" i="7"/>
  <c r="BT38" i="7"/>
  <c r="BU38" i="7"/>
  <c r="BV38" i="7"/>
  <c r="BW38" i="7"/>
  <c r="BX38" i="7"/>
  <c r="BY38" i="7"/>
  <c r="CA38" i="7"/>
  <c r="CB38" i="7"/>
  <c r="CC38" i="7"/>
  <c r="CD38" i="7"/>
  <c r="CE38" i="7"/>
  <c r="CF38" i="7"/>
  <c r="CG38" i="7"/>
  <c r="CH38" i="7"/>
  <c r="E39" i="7"/>
  <c r="G39" i="7"/>
  <c r="T39" i="7"/>
  <c r="AQ39" i="7"/>
  <c r="BR39" i="7"/>
  <c r="BS39" i="7"/>
  <c r="BT39" i="7"/>
  <c r="BU39" i="7"/>
  <c r="BV39" i="7"/>
  <c r="BW39" i="7"/>
  <c r="BX39" i="7"/>
  <c r="BY39" i="7"/>
  <c r="CA39" i="7"/>
  <c r="CB39" i="7"/>
  <c r="CC39" i="7"/>
  <c r="CD39" i="7"/>
  <c r="CE39" i="7"/>
  <c r="CF39" i="7"/>
  <c r="CG39" i="7"/>
  <c r="CH39" i="7"/>
  <c r="E40" i="7"/>
  <c r="G40" i="7"/>
  <c r="T40" i="7"/>
  <c r="AP40" i="7"/>
  <c r="AQ40" i="7"/>
  <c r="BR40" i="7"/>
  <c r="BS40" i="7"/>
  <c r="BT40" i="7"/>
  <c r="BU40" i="7"/>
  <c r="BV40" i="7"/>
  <c r="BW40" i="7"/>
  <c r="BX40" i="7"/>
  <c r="BY40" i="7"/>
  <c r="CA40" i="7"/>
  <c r="CB40" i="7"/>
  <c r="CC40" i="7"/>
  <c r="CD40" i="7"/>
  <c r="CE40" i="7"/>
  <c r="CF40" i="7"/>
  <c r="CG40" i="7"/>
  <c r="CH40" i="7"/>
  <c r="E41" i="7"/>
  <c r="G41" i="7"/>
  <c r="T41" i="7"/>
  <c r="AP41" i="7"/>
  <c r="AQ41" i="7"/>
  <c r="BR41" i="7"/>
  <c r="BS41" i="7"/>
  <c r="BT41" i="7"/>
  <c r="BU41" i="7"/>
  <c r="BV41" i="7"/>
  <c r="BW41" i="7"/>
  <c r="BX41" i="7"/>
  <c r="BY41" i="7"/>
  <c r="CA41" i="7"/>
  <c r="CB41" i="7"/>
  <c r="CC41" i="7"/>
  <c r="CD41" i="7"/>
  <c r="CE41" i="7"/>
  <c r="CF41" i="7"/>
  <c r="CG41" i="7"/>
  <c r="CH41" i="7"/>
  <c r="E42" i="7"/>
  <c r="G42" i="7"/>
  <c r="T42" i="7"/>
  <c r="AP42" i="7"/>
  <c r="AQ42" i="7"/>
  <c r="BR42" i="7"/>
  <c r="BS42" i="7"/>
  <c r="BT42" i="7"/>
  <c r="BU42" i="7"/>
  <c r="BV42" i="7"/>
  <c r="BW42" i="7"/>
  <c r="BX42" i="7"/>
  <c r="BY42" i="7"/>
  <c r="CA42" i="7"/>
  <c r="CB42" i="7"/>
  <c r="CC42" i="7"/>
  <c r="CD42" i="7"/>
  <c r="CE42" i="7"/>
  <c r="CF42" i="7"/>
  <c r="CG42" i="7"/>
  <c r="CH42" i="7"/>
  <c r="E43" i="7"/>
  <c r="G43" i="7"/>
  <c r="T43" i="7"/>
  <c r="AP43" i="7"/>
  <c r="AQ43" i="7"/>
  <c r="BR43" i="7"/>
  <c r="BS43" i="7"/>
  <c r="BT43" i="7"/>
  <c r="BU43" i="7"/>
  <c r="BV43" i="7"/>
  <c r="BW43" i="7"/>
  <c r="BX43" i="7"/>
  <c r="BY43" i="7"/>
  <c r="CA43" i="7"/>
  <c r="CB43" i="7"/>
  <c r="CC43" i="7"/>
  <c r="CD43" i="7"/>
  <c r="CE43" i="7"/>
  <c r="CF43" i="7"/>
  <c r="CG43" i="7"/>
  <c r="CH43" i="7"/>
  <c r="E44" i="7"/>
  <c r="G44" i="7"/>
  <c r="T44" i="7"/>
  <c r="AP44" i="7"/>
  <c r="AQ44" i="7"/>
  <c r="BR44" i="7"/>
  <c r="BS44" i="7"/>
  <c r="BT44" i="7"/>
  <c r="BU44" i="7"/>
  <c r="BV44" i="7"/>
  <c r="BW44" i="7"/>
  <c r="BX44" i="7"/>
  <c r="BY44" i="7"/>
  <c r="CA44" i="7"/>
  <c r="CB44" i="7"/>
  <c r="CC44" i="7"/>
  <c r="CD44" i="7"/>
  <c r="CE44" i="7"/>
  <c r="CF44" i="7"/>
  <c r="CG44" i="7"/>
  <c r="CH44" i="7"/>
  <c r="E45" i="7"/>
  <c r="G45" i="7"/>
  <c r="T45" i="7"/>
  <c r="AP45" i="7"/>
  <c r="AQ45" i="7"/>
  <c r="BR45" i="7"/>
  <c r="BS45" i="7"/>
  <c r="BT45" i="7"/>
  <c r="BU45" i="7"/>
  <c r="BV45" i="7"/>
  <c r="BW45" i="7"/>
  <c r="BX45" i="7"/>
  <c r="BY45" i="7"/>
  <c r="CA45" i="7"/>
  <c r="CB45" i="7"/>
  <c r="CC45" i="7"/>
  <c r="CD45" i="7"/>
  <c r="CE45" i="7"/>
  <c r="CF45" i="7"/>
  <c r="CG45" i="7"/>
  <c r="CH45" i="7"/>
  <c r="E46" i="7"/>
  <c r="G46" i="7"/>
  <c r="T46" i="7"/>
  <c r="AP46" i="7"/>
  <c r="AQ46" i="7"/>
  <c r="BR46" i="7"/>
  <c r="BS46" i="7"/>
  <c r="BT46" i="7"/>
  <c r="BU46" i="7"/>
  <c r="BV46" i="7"/>
  <c r="BW46" i="7"/>
  <c r="BX46" i="7"/>
  <c r="BY46" i="7"/>
  <c r="CA46" i="7"/>
  <c r="CB46" i="7"/>
  <c r="CC46" i="7"/>
  <c r="CD46" i="7"/>
  <c r="CE46" i="7"/>
  <c r="CF46" i="7"/>
  <c r="CG46" i="7"/>
  <c r="CH46" i="7"/>
  <c r="E47" i="7"/>
  <c r="G47" i="7"/>
  <c r="T47" i="7"/>
  <c r="AP47" i="7"/>
  <c r="AQ47" i="7"/>
  <c r="BR47" i="7"/>
  <c r="BS47" i="7"/>
  <c r="BT47" i="7"/>
  <c r="BU47" i="7"/>
  <c r="BV47" i="7"/>
  <c r="BW47" i="7"/>
  <c r="BX47" i="7"/>
  <c r="BY47" i="7"/>
  <c r="CA47" i="7"/>
  <c r="CB47" i="7"/>
  <c r="CC47" i="7"/>
  <c r="CD47" i="7"/>
  <c r="CE47" i="7"/>
  <c r="CF47" i="7"/>
  <c r="CG47" i="7"/>
  <c r="CH47" i="7"/>
  <c r="E48" i="7"/>
  <c r="G48" i="7"/>
  <c r="T48" i="7"/>
  <c r="AP48" i="7"/>
  <c r="AQ48" i="7"/>
  <c r="BR48" i="7"/>
  <c r="BS48" i="7"/>
  <c r="BT48" i="7"/>
  <c r="BU48" i="7"/>
  <c r="BV48" i="7"/>
  <c r="BW48" i="7"/>
  <c r="BX48" i="7"/>
  <c r="BY48" i="7"/>
  <c r="CA48" i="7"/>
  <c r="CB48" i="7"/>
  <c r="CC48" i="7"/>
  <c r="CD48" i="7"/>
  <c r="CE48" i="7"/>
  <c r="CF48" i="7"/>
  <c r="CG48" i="7"/>
  <c r="CH48" i="7"/>
  <c r="E49" i="7"/>
  <c r="G49" i="7"/>
  <c r="T49" i="7"/>
  <c r="AP49" i="7"/>
  <c r="AQ49" i="7"/>
  <c r="BR49" i="7"/>
  <c r="BS49" i="7"/>
  <c r="BT49" i="7"/>
  <c r="BU49" i="7"/>
  <c r="BV49" i="7"/>
  <c r="BW49" i="7"/>
  <c r="BX49" i="7"/>
  <c r="BY49" i="7"/>
  <c r="CA49" i="7"/>
  <c r="CB49" i="7"/>
  <c r="CC49" i="7"/>
  <c r="CD49" i="7"/>
  <c r="CE49" i="7"/>
  <c r="CF49" i="7"/>
  <c r="CG49" i="7"/>
  <c r="CH49" i="7"/>
  <c r="E50" i="7"/>
  <c r="G50" i="7"/>
  <c r="T50" i="7"/>
  <c r="AP50" i="7"/>
  <c r="AQ50" i="7"/>
  <c r="BR50" i="7"/>
  <c r="BS50" i="7"/>
  <c r="BT50" i="7"/>
  <c r="BU50" i="7"/>
  <c r="BV50" i="7"/>
  <c r="BW50" i="7"/>
  <c r="BX50" i="7"/>
  <c r="BY50" i="7"/>
  <c r="CA50" i="7"/>
  <c r="CB50" i="7"/>
  <c r="CC50" i="7"/>
  <c r="CD50" i="7"/>
  <c r="CE50" i="7"/>
  <c r="CF50" i="7"/>
  <c r="CG50" i="7"/>
  <c r="CH50" i="7"/>
  <c r="E51" i="7"/>
  <c r="G51" i="7"/>
  <c r="T51" i="7"/>
  <c r="AP51" i="7"/>
  <c r="AQ51" i="7"/>
  <c r="BR51" i="7"/>
  <c r="BS51" i="7"/>
  <c r="BT51" i="7"/>
  <c r="BU51" i="7"/>
  <c r="BV51" i="7"/>
  <c r="BW51" i="7"/>
  <c r="BX51" i="7"/>
  <c r="BY51" i="7"/>
  <c r="CA51" i="7"/>
  <c r="CB51" i="7"/>
  <c r="CC51" i="7"/>
  <c r="CD51" i="7"/>
  <c r="CE51" i="7"/>
  <c r="CF51" i="7"/>
  <c r="CG51" i="7"/>
  <c r="CH51" i="7"/>
  <c r="E52" i="7"/>
  <c r="G52" i="7"/>
  <c r="T52" i="7"/>
  <c r="AP52" i="7"/>
  <c r="AQ52" i="7"/>
  <c r="BR52" i="7"/>
  <c r="BS52" i="7"/>
  <c r="BT52" i="7"/>
  <c r="BU52" i="7"/>
  <c r="BV52" i="7"/>
  <c r="BW52" i="7"/>
  <c r="BX52" i="7"/>
  <c r="BY52" i="7"/>
  <c r="CA52" i="7"/>
  <c r="CB52" i="7"/>
  <c r="CC52" i="7"/>
  <c r="CD52" i="7"/>
  <c r="CE52" i="7"/>
  <c r="CF52" i="7"/>
  <c r="CG52" i="7"/>
  <c r="CH52" i="7"/>
  <c r="E53" i="7"/>
  <c r="G53" i="7"/>
  <c r="T53" i="7"/>
  <c r="AP53" i="7"/>
  <c r="AQ53" i="7"/>
  <c r="BR53" i="7"/>
  <c r="BS53" i="7"/>
  <c r="BT53" i="7"/>
  <c r="BU53" i="7"/>
  <c r="BV53" i="7"/>
  <c r="BW53" i="7"/>
  <c r="BX53" i="7"/>
  <c r="BY53" i="7"/>
  <c r="CA53" i="7"/>
  <c r="CB53" i="7"/>
  <c r="CC53" i="7"/>
  <c r="CD53" i="7"/>
  <c r="CE53" i="7"/>
  <c r="CF53" i="7"/>
  <c r="CG53" i="7"/>
  <c r="CH53" i="7"/>
  <c r="E54" i="7"/>
  <c r="G54" i="7"/>
  <c r="T54" i="7"/>
  <c r="AP54" i="7"/>
  <c r="AQ54" i="7"/>
  <c r="BR54" i="7"/>
  <c r="BS54" i="7"/>
  <c r="BT54" i="7"/>
  <c r="BU54" i="7"/>
  <c r="BV54" i="7"/>
  <c r="BW54" i="7"/>
  <c r="BX54" i="7"/>
  <c r="BY54" i="7"/>
  <c r="CA54" i="7"/>
  <c r="CB54" i="7"/>
  <c r="CC54" i="7"/>
  <c r="CD54" i="7"/>
  <c r="CE54" i="7"/>
  <c r="CF54" i="7"/>
  <c r="CG54" i="7"/>
  <c r="CH54" i="7"/>
  <c r="E55" i="7"/>
  <c r="G55" i="7"/>
  <c r="T55" i="7"/>
  <c r="AP55" i="7"/>
  <c r="AQ55" i="7"/>
  <c r="BR55" i="7"/>
  <c r="BS55" i="7"/>
  <c r="BT55" i="7"/>
  <c r="BU55" i="7"/>
  <c r="BV55" i="7"/>
  <c r="BW55" i="7"/>
  <c r="BX55" i="7"/>
  <c r="BY55" i="7"/>
  <c r="CA55" i="7"/>
  <c r="CB55" i="7"/>
  <c r="CC55" i="7"/>
  <c r="CD55" i="7"/>
  <c r="CE55" i="7"/>
  <c r="CF55" i="7"/>
  <c r="CG55" i="7"/>
  <c r="CH55" i="7"/>
  <c r="E56" i="7"/>
  <c r="G56" i="7"/>
  <c r="T56" i="7"/>
  <c r="AP56" i="7"/>
  <c r="AQ56" i="7"/>
  <c r="BR56" i="7"/>
  <c r="BS56" i="7"/>
  <c r="BT56" i="7"/>
  <c r="BU56" i="7"/>
  <c r="BV56" i="7"/>
  <c r="BW56" i="7"/>
  <c r="BX56" i="7"/>
  <c r="BY56" i="7"/>
  <c r="CA56" i="7"/>
  <c r="CB56" i="7"/>
  <c r="CC56" i="7"/>
  <c r="CD56" i="7"/>
  <c r="CE56" i="7"/>
  <c r="CF56" i="7"/>
  <c r="CG56" i="7"/>
  <c r="CH56" i="7"/>
  <c r="E57" i="7"/>
  <c r="G57" i="7"/>
  <c r="T57" i="7"/>
  <c r="AP57" i="7"/>
  <c r="AQ57" i="7"/>
  <c r="BR57" i="7"/>
  <c r="BS57" i="7"/>
  <c r="BT57" i="7"/>
  <c r="BU57" i="7"/>
  <c r="BV57" i="7"/>
  <c r="BW57" i="7"/>
  <c r="BX57" i="7"/>
  <c r="BY57" i="7"/>
  <c r="CA57" i="7"/>
  <c r="CB57" i="7"/>
  <c r="CC57" i="7"/>
  <c r="CD57" i="7"/>
  <c r="CE57" i="7"/>
  <c r="CF57" i="7"/>
  <c r="CG57" i="7"/>
  <c r="CH57" i="7"/>
  <c r="E58" i="7"/>
  <c r="G58" i="7"/>
  <c r="T58" i="7"/>
  <c r="AP58" i="7"/>
  <c r="AQ58" i="7"/>
  <c r="BR58" i="7"/>
  <c r="BS58" i="7"/>
  <c r="BT58" i="7"/>
  <c r="BU58" i="7"/>
  <c r="BV58" i="7"/>
  <c r="BW58" i="7"/>
  <c r="BX58" i="7"/>
  <c r="BY58" i="7"/>
  <c r="CA58" i="7"/>
  <c r="CB58" i="7"/>
  <c r="CC58" i="7"/>
  <c r="CD58" i="7"/>
  <c r="CE58" i="7"/>
  <c r="CF58" i="7"/>
  <c r="CG58" i="7"/>
  <c r="CH58" i="7"/>
  <c r="E59" i="7"/>
  <c r="G59" i="7"/>
  <c r="T59" i="7"/>
  <c r="AP59" i="7"/>
  <c r="AQ59" i="7"/>
  <c r="BR59" i="7"/>
  <c r="BS59" i="7"/>
  <c r="BT59" i="7"/>
  <c r="BU59" i="7"/>
  <c r="BV59" i="7"/>
  <c r="BW59" i="7"/>
  <c r="BX59" i="7"/>
  <c r="BY59" i="7"/>
  <c r="CA59" i="7"/>
  <c r="CB59" i="7"/>
  <c r="CC59" i="7"/>
  <c r="CD59" i="7"/>
  <c r="CE59" i="7"/>
  <c r="CF59" i="7"/>
  <c r="CG59" i="7"/>
  <c r="CH59" i="7"/>
  <c r="E60" i="7"/>
  <c r="G60" i="7"/>
  <c r="T60" i="7"/>
  <c r="AP60" i="7"/>
  <c r="AQ60" i="7"/>
  <c r="BR60" i="7"/>
  <c r="BS60" i="7"/>
  <c r="BT60" i="7"/>
  <c r="BU60" i="7"/>
  <c r="BV60" i="7"/>
  <c r="BW60" i="7"/>
  <c r="BX60" i="7"/>
  <c r="BY60" i="7"/>
  <c r="CA60" i="7"/>
  <c r="CB60" i="7"/>
  <c r="CC60" i="7"/>
  <c r="CD60" i="7"/>
  <c r="CE60" i="7"/>
  <c r="CF60" i="7"/>
  <c r="CG60" i="7"/>
  <c r="CH60" i="7"/>
  <c r="E61" i="7"/>
  <c r="G61" i="7"/>
  <c r="T61" i="7"/>
  <c r="AP61" i="7"/>
  <c r="AQ61" i="7"/>
  <c r="BR61" i="7"/>
  <c r="BS61" i="7"/>
  <c r="BT61" i="7"/>
  <c r="BU61" i="7"/>
  <c r="BV61" i="7"/>
  <c r="BW61" i="7"/>
  <c r="BX61" i="7"/>
  <c r="BY61" i="7"/>
  <c r="CA61" i="7"/>
  <c r="CB61" i="7"/>
  <c r="CC61" i="7"/>
  <c r="CD61" i="7"/>
  <c r="CE61" i="7"/>
  <c r="CF61" i="7"/>
  <c r="CG61" i="7"/>
  <c r="CH61" i="7"/>
  <c r="E62" i="7"/>
  <c r="G62" i="7"/>
  <c r="T62" i="7"/>
  <c r="AP62" i="7"/>
  <c r="AQ62" i="7"/>
  <c r="BR62" i="7"/>
  <c r="BS62" i="7"/>
  <c r="BT62" i="7"/>
  <c r="BU62" i="7"/>
  <c r="BV62" i="7"/>
  <c r="BW62" i="7"/>
  <c r="BX62" i="7"/>
  <c r="BY62" i="7"/>
  <c r="CA62" i="7"/>
  <c r="CB62" i="7"/>
  <c r="CC62" i="7"/>
  <c r="CD62" i="7"/>
  <c r="CE62" i="7"/>
  <c r="CF62" i="7"/>
  <c r="CG62" i="7"/>
  <c r="CH62" i="7"/>
  <c r="E63" i="7"/>
  <c r="G63" i="7"/>
  <c r="T63" i="7"/>
  <c r="AP63" i="7"/>
  <c r="AQ63" i="7"/>
  <c r="BR63" i="7"/>
  <c r="BS63" i="7"/>
  <c r="BT63" i="7"/>
  <c r="BU63" i="7"/>
  <c r="BV63" i="7"/>
  <c r="BW63" i="7"/>
  <c r="BX63" i="7"/>
  <c r="BY63" i="7"/>
  <c r="CA63" i="7"/>
  <c r="CB63" i="7"/>
  <c r="CC63" i="7"/>
  <c r="CD63" i="7"/>
  <c r="CE63" i="7"/>
  <c r="CF63" i="7"/>
  <c r="CG63" i="7"/>
  <c r="CH63" i="7"/>
  <c r="E64" i="7"/>
  <c r="G64" i="7"/>
  <c r="T64" i="7"/>
  <c r="AP64" i="7"/>
  <c r="AQ64" i="7"/>
  <c r="BR64" i="7"/>
  <c r="BS64" i="7"/>
  <c r="BT64" i="7"/>
  <c r="BU64" i="7"/>
  <c r="BV64" i="7"/>
  <c r="BW64" i="7"/>
  <c r="BX64" i="7"/>
  <c r="BY64" i="7"/>
  <c r="CA64" i="7"/>
  <c r="CB64" i="7"/>
  <c r="CC64" i="7"/>
  <c r="CD64" i="7"/>
  <c r="CE64" i="7"/>
  <c r="CF64" i="7"/>
  <c r="CG64" i="7"/>
  <c r="CH64" i="7"/>
  <c r="E65" i="7"/>
  <c r="G65" i="7"/>
  <c r="T65" i="7"/>
  <c r="AP65" i="7"/>
  <c r="AQ65" i="7"/>
  <c r="BR65" i="7"/>
  <c r="BS65" i="7"/>
  <c r="BT65" i="7"/>
  <c r="BU65" i="7"/>
  <c r="BV65" i="7"/>
  <c r="BW65" i="7"/>
  <c r="BX65" i="7"/>
  <c r="BY65" i="7"/>
  <c r="CA65" i="7"/>
  <c r="CB65" i="7"/>
  <c r="CC65" i="7"/>
  <c r="CD65" i="7"/>
  <c r="CE65" i="7"/>
  <c r="CF65" i="7"/>
  <c r="CG65" i="7"/>
  <c r="CH65" i="7"/>
  <c r="E66" i="7"/>
  <c r="G66" i="7"/>
  <c r="T66" i="7"/>
  <c r="AP66" i="7"/>
  <c r="AQ66" i="7"/>
  <c r="BR66" i="7"/>
  <c r="BS66" i="7"/>
  <c r="BT66" i="7"/>
  <c r="BU66" i="7"/>
  <c r="BV66" i="7"/>
  <c r="BW66" i="7"/>
  <c r="BX66" i="7"/>
  <c r="BY66" i="7"/>
  <c r="CA66" i="7"/>
  <c r="CB66" i="7"/>
  <c r="CC66" i="7"/>
  <c r="CD66" i="7"/>
  <c r="CE66" i="7"/>
  <c r="CF66" i="7"/>
  <c r="CG66" i="7"/>
  <c r="CH66" i="7"/>
  <c r="E67" i="7"/>
  <c r="G67" i="7"/>
  <c r="T67" i="7"/>
  <c r="AP67" i="7"/>
  <c r="AQ67" i="7"/>
  <c r="BR67" i="7"/>
  <c r="BS67" i="7"/>
  <c r="BT67" i="7"/>
  <c r="BU67" i="7"/>
  <c r="BV67" i="7"/>
  <c r="BW67" i="7"/>
  <c r="BX67" i="7"/>
  <c r="BY67" i="7"/>
  <c r="CA67" i="7"/>
  <c r="CB67" i="7"/>
  <c r="CC67" i="7"/>
  <c r="CD67" i="7"/>
  <c r="CE67" i="7"/>
  <c r="CF67" i="7"/>
  <c r="CG67" i="7"/>
  <c r="CH67" i="7"/>
  <c r="E68" i="7"/>
  <c r="G68" i="7"/>
  <c r="T68" i="7"/>
  <c r="AP68" i="7"/>
  <c r="AQ68" i="7"/>
  <c r="BR68" i="7"/>
  <c r="BS68" i="7"/>
  <c r="BT68" i="7"/>
  <c r="BU68" i="7"/>
  <c r="BV68" i="7"/>
  <c r="BW68" i="7"/>
  <c r="BX68" i="7"/>
  <c r="BY68" i="7"/>
  <c r="CA68" i="7"/>
  <c r="CB68" i="7"/>
  <c r="CC68" i="7"/>
  <c r="CD68" i="7"/>
  <c r="CE68" i="7"/>
  <c r="CF68" i="7"/>
  <c r="CG68" i="7"/>
  <c r="CH68" i="7"/>
  <c r="E69" i="7"/>
  <c r="G69" i="7"/>
  <c r="T69" i="7"/>
  <c r="AP69" i="7"/>
  <c r="AQ69" i="7"/>
  <c r="BR69" i="7"/>
  <c r="BS69" i="7"/>
  <c r="BT69" i="7"/>
  <c r="BU69" i="7"/>
  <c r="BV69" i="7"/>
  <c r="BW69" i="7"/>
  <c r="BX69" i="7"/>
  <c r="BY69" i="7"/>
  <c r="CA69" i="7"/>
  <c r="CB69" i="7"/>
  <c r="CC69" i="7"/>
  <c r="CD69" i="7"/>
  <c r="CE69" i="7"/>
  <c r="CF69" i="7"/>
  <c r="CG69" i="7"/>
  <c r="CH69" i="7"/>
  <c r="E70" i="7"/>
  <c r="G70" i="7"/>
  <c r="T70" i="7"/>
  <c r="AP70" i="7"/>
  <c r="AQ70" i="7"/>
  <c r="BR70" i="7"/>
  <c r="BS70" i="7"/>
  <c r="BT70" i="7"/>
  <c r="BU70" i="7"/>
  <c r="BV70" i="7"/>
  <c r="BW70" i="7"/>
  <c r="BX70" i="7"/>
  <c r="BY70" i="7"/>
  <c r="CA70" i="7"/>
  <c r="CB70" i="7"/>
  <c r="CC70" i="7"/>
  <c r="CD70" i="7"/>
  <c r="CE70" i="7"/>
  <c r="CF70" i="7"/>
  <c r="CG70" i="7"/>
  <c r="CH70" i="7"/>
  <c r="E71" i="7"/>
  <c r="G71" i="7"/>
  <c r="T71" i="7"/>
  <c r="AP71" i="7"/>
  <c r="AQ71" i="7"/>
  <c r="BR71" i="7"/>
  <c r="BS71" i="7"/>
  <c r="BT71" i="7"/>
  <c r="BU71" i="7"/>
  <c r="BV71" i="7"/>
  <c r="BW71" i="7"/>
  <c r="BX71" i="7"/>
  <c r="BY71" i="7"/>
  <c r="CA71" i="7"/>
  <c r="CB71" i="7"/>
  <c r="CC71" i="7"/>
  <c r="CD71" i="7"/>
  <c r="CE71" i="7"/>
  <c r="CF71" i="7"/>
  <c r="CG71" i="7"/>
  <c r="CH71" i="7"/>
  <c r="E72" i="7"/>
  <c r="G72" i="7"/>
  <c r="T72" i="7"/>
  <c r="AP72" i="7"/>
  <c r="AQ72" i="7"/>
  <c r="BR72" i="7"/>
  <c r="BS72" i="7"/>
  <c r="BT72" i="7"/>
  <c r="BU72" i="7"/>
  <c r="BV72" i="7"/>
  <c r="BW72" i="7"/>
  <c r="BX72" i="7"/>
  <c r="BY72" i="7"/>
  <c r="CA72" i="7"/>
  <c r="CB72" i="7"/>
  <c r="CC72" i="7"/>
  <c r="CD72" i="7"/>
  <c r="CE72" i="7"/>
  <c r="CF72" i="7"/>
  <c r="CG72" i="7"/>
  <c r="CH72" i="7"/>
  <c r="E73" i="7"/>
  <c r="G73" i="7"/>
  <c r="T73" i="7"/>
  <c r="AQ73" i="7"/>
  <c r="BR73" i="7"/>
  <c r="BS73" i="7"/>
  <c r="BT73" i="7"/>
  <c r="BU73" i="7"/>
  <c r="BV73" i="7"/>
  <c r="BW73" i="7"/>
  <c r="BX73" i="7"/>
  <c r="BY73" i="7"/>
  <c r="CA73" i="7"/>
  <c r="CB73" i="7"/>
  <c r="CC73" i="7"/>
  <c r="CD73" i="7"/>
  <c r="CE73" i="7"/>
  <c r="CF73" i="7"/>
  <c r="CG73" i="7"/>
  <c r="CH73" i="7"/>
  <c r="E74" i="7"/>
  <c r="G74" i="7"/>
  <c r="T74" i="7"/>
  <c r="AP74" i="7"/>
  <c r="AQ74" i="7"/>
  <c r="BR74" i="7"/>
  <c r="BS74" i="7"/>
  <c r="BT74" i="7"/>
  <c r="BU74" i="7"/>
  <c r="BV74" i="7"/>
  <c r="BW74" i="7"/>
  <c r="BX74" i="7"/>
  <c r="BY74" i="7"/>
  <c r="CA74" i="7"/>
  <c r="CB74" i="7"/>
  <c r="CC74" i="7"/>
  <c r="CD74" i="7"/>
  <c r="CE74" i="7"/>
  <c r="CF74" i="7"/>
  <c r="CG74" i="7"/>
  <c r="CH74" i="7"/>
  <c r="E75" i="7"/>
  <c r="G75" i="7"/>
  <c r="T75" i="7"/>
  <c r="AP75" i="7"/>
  <c r="AQ75" i="7"/>
  <c r="BR75" i="7"/>
  <c r="BS75" i="7"/>
  <c r="BT75" i="7"/>
  <c r="BU75" i="7"/>
  <c r="BV75" i="7"/>
  <c r="BW75" i="7"/>
  <c r="BX75" i="7"/>
  <c r="BY75" i="7"/>
  <c r="CA75" i="7"/>
  <c r="CB75" i="7"/>
  <c r="CC75" i="7"/>
  <c r="CD75" i="7"/>
  <c r="CE75" i="7"/>
  <c r="CF75" i="7"/>
  <c r="CG75" i="7"/>
  <c r="CH75" i="7"/>
  <c r="E76" i="7"/>
  <c r="G76" i="7"/>
  <c r="T76" i="7"/>
  <c r="AP76" i="7"/>
  <c r="AQ76" i="7"/>
  <c r="BR76" i="7"/>
  <c r="BS76" i="7"/>
  <c r="BT76" i="7"/>
  <c r="BU76" i="7"/>
  <c r="BV76" i="7"/>
  <c r="BW76" i="7"/>
  <c r="BX76" i="7"/>
  <c r="BY76" i="7"/>
  <c r="CA76" i="7"/>
  <c r="CB76" i="7"/>
  <c r="CC76" i="7"/>
  <c r="CD76" i="7"/>
  <c r="CE76" i="7"/>
  <c r="CF76" i="7"/>
  <c r="CG76" i="7"/>
  <c r="CH76" i="7"/>
  <c r="E77" i="7"/>
  <c r="G77" i="7"/>
  <c r="T77" i="7"/>
  <c r="AQ77" i="7"/>
  <c r="BR77" i="7"/>
  <c r="BS77" i="7"/>
  <c r="BT77" i="7"/>
  <c r="BU77" i="7"/>
  <c r="BV77" i="7"/>
  <c r="BW77" i="7"/>
  <c r="BX77" i="7"/>
  <c r="BY77" i="7"/>
  <c r="CA77" i="7"/>
  <c r="CB77" i="7"/>
  <c r="CC77" i="7"/>
  <c r="CD77" i="7"/>
  <c r="CE77" i="7"/>
  <c r="CF77" i="7"/>
  <c r="CG77" i="7"/>
  <c r="CH77" i="7"/>
  <c r="E78" i="7"/>
  <c r="G78" i="7"/>
  <c r="T78" i="7"/>
  <c r="AP78" i="7"/>
  <c r="AQ78" i="7"/>
  <c r="BR78" i="7"/>
  <c r="BS78" i="7"/>
  <c r="BT78" i="7"/>
  <c r="BU78" i="7"/>
  <c r="BV78" i="7"/>
  <c r="BW78" i="7"/>
  <c r="BX78" i="7"/>
  <c r="BY78" i="7"/>
  <c r="CA78" i="7"/>
  <c r="CB78" i="7"/>
  <c r="CC78" i="7"/>
  <c r="CD78" i="7"/>
  <c r="CE78" i="7"/>
  <c r="CF78" i="7"/>
  <c r="CG78" i="7"/>
  <c r="CH78" i="7"/>
  <c r="E79" i="7"/>
  <c r="G79" i="7"/>
  <c r="T79" i="7"/>
  <c r="AP79" i="7"/>
  <c r="AQ79" i="7"/>
  <c r="BR79" i="7"/>
  <c r="BS79" i="7"/>
  <c r="BT79" i="7"/>
  <c r="BU79" i="7"/>
  <c r="BV79" i="7"/>
  <c r="BW79" i="7"/>
  <c r="BX79" i="7"/>
  <c r="BY79" i="7"/>
  <c r="CA79" i="7"/>
  <c r="CB79" i="7"/>
  <c r="CC79" i="7"/>
  <c r="CD79" i="7"/>
  <c r="CE79" i="7"/>
  <c r="CF79" i="7"/>
  <c r="CG79" i="7"/>
  <c r="CH79" i="7"/>
  <c r="E80" i="7"/>
  <c r="G80" i="7"/>
  <c r="T80" i="7"/>
  <c r="AP80" i="7"/>
  <c r="AQ80" i="7"/>
  <c r="BR80" i="7"/>
  <c r="BS80" i="7"/>
  <c r="BT80" i="7"/>
  <c r="BU80" i="7"/>
  <c r="BV80" i="7"/>
  <c r="BW80" i="7"/>
  <c r="BX80" i="7"/>
  <c r="BY80" i="7"/>
  <c r="CA80" i="7"/>
  <c r="CB80" i="7"/>
  <c r="CC80" i="7"/>
  <c r="CD80" i="7"/>
  <c r="CE80" i="7"/>
  <c r="CF80" i="7"/>
  <c r="CG80" i="7"/>
  <c r="CH80" i="7"/>
  <c r="E81" i="7"/>
  <c r="G81" i="7"/>
  <c r="T81" i="7"/>
  <c r="AP81" i="7"/>
  <c r="AQ81" i="7"/>
  <c r="BR81" i="7"/>
  <c r="BS81" i="7"/>
  <c r="BT81" i="7"/>
  <c r="BU81" i="7"/>
  <c r="BV81" i="7"/>
  <c r="BW81" i="7"/>
  <c r="BX81" i="7"/>
  <c r="BY81" i="7"/>
  <c r="CA81" i="7"/>
  <c r="CB81" i="7"/>
  <c r="CC81" i="7"/>
  <c r="CD81" i="7"/>
  <c r="CE81" i="7"/>
  <c r="CF81" i="7"/>
  <c r="CG81" i="7"/>
  <c r="CH81" i="7"/>
  <c r="E82" i="7"/>
  <c r="G82" i="7"/>
  <c r="T82" i="7"/>
  <c r="AP82" i="7"/>
  <c r="AQ82" i="7"/>
  <c r="BR82" i="7"/>
  <c r="BS82" i="7"/>
  <c r="BT82" i="7"/>
  <c r="BU82" i="7"/>
  <c r="BV82" i="7"/>
  <c r="BW82" i="7"/>
  <c r="BX82" i="7"/>
  <c r="BY82" i="7"/>
  <c r="CA82" i="7"/>
  <c r="CB82" i="7"/>
  <c r="CC82" i="7"/>
  <c r="CD82" i="7"/>
  <c r="CE82" i="7"/>
  <c r="CF82" i="7"/>
  <c r="CG82" i="7"/>
  <c r="CH82" i="7"/>
  <c r="E83" i="7"/>
  <c r="G83" i="7"/>
  <c r="T83" i="7"/>
  <c r="AP83" i="7"/>
  <c r="AQ83" i="7"/>
  <c r="BR83" i="7"/>
  <c r="BS83" i="7"/>
  <c r="BT83" i="7"/>
  <c r="BU83" i="7"/>
  <c r="BV83" i="7"/>
  <c r="BW83" i="7"/>
  <c r="BX83" i="7"/>
  <c r="BY83" i="7"/>
  <c r="CA83" i="7"/>
  <c r="CB83" i="7"/>
  <c r="CC83" i="7"/>
  <c r="CD83" i="7"/>
  <c r="CE83" i="7"/>
  <c r="CF83" i="7"/>
  <c r="CG83" i="7"/>
  <c r="CH83" i="7"/>
  <c r="E84" i="7"/>
  <c r="G84" i="7"/>
  <c r="T84" i="7"/>
  <c r="AP84" i="7"/>
  <c r="AQ84" i="7"/>
  <c r="BR84" i="7"/>
  <c r="BS84" i="7"/>
  <c r="BT84" i="7"/>
  <c r="BU84" i="7"/>
  <c r="BV84" i="7"/>
  <c r="BW84" i="7"/>
  <c r="BX84" i="7"/>
  <c r="BY84" i="7"/>
  <c r="CA84" i="7"/>
  <c r="CB84" i="7"/>
  <c r="CC84" i="7"/>
  <c r="CD84" i="7"/>
  <c r="CE84" i="7"/>
  <c r="CF84" i="7"/>
  <c r="CG84" i="7"/>
  <c r="CH84" i="7"/>
  <c r="E85" i="7"/>
  <c r="G85" i="7"/>
  <c r="T85" i="7"/>
  <c r="AP85" i="7"/>
  <c r="AQ85" i="7"/>
  <c r="BR85" i="7"/>
  <c r="BS85" i="7"/>
  <c r="BT85" i="7"/>
  <c r="BU85" i="7"/>
  <c r="BV85" i="7"/>
  <c r="BW85" i="7"/>
  <c r="BX85" i="7"/>
  <c r="BY85" i="7"/>
  <c r="CA85" i="7"/>
  <c r="CB85" i="7"/>
  <c r="CC85" i="7"/>
  <c r="CD85" i="7"/>
  <c r="CE85" i="7"/>
  <c r="CF85" i="7"/>
  <c r="CG85" i="7"/>
  <c r="CH85" i="7"/>
  <c r="E86" i="7"/>
  <c r="G86" i="7"/>
  <c r="T86" i="7"/>
  <c r="AP86" i="7"/>
  <c r="AQ86" i="7"/>
  <c r="BR86" i="7"/>
  <c r="BS86" i="7"/>
  <c r="BT86" i="7"/>
  <c r="BU86" i="7"/>
  <c r="BV86" i="7"/>
  <c r="BW86" i="7"/>
  <c r="BX86" i="7"/>
  <c r="BY86" i="7"/>
  <c r="CA86" i="7"/>
  <c r="CB86" i="7"/>
  <c r="CC86" i="7"/>
  <c r="CD86" i="7"/>
  <c r="CE86" i="7"/>
  <c r="CF86" i="7"/>
  <c r="CG86" i="7"/>
  <c r="CH86" i="7"/>
  <c r="E87" i="7"/>
  <c r="G87" i="7"/>
  <c r="T87" i="7"/>
  <c r="AP87" i="7"/>
  <c r="AQ87" i="7"/>
  <c r="BR87" i="7"/>
  <c r="BS87" i="7"/>
  <c r="BT87" i="7"/>
  <c r="BU87" i="7"/>
  <c r="BV87" i="7"/>
  <c r="BW87" i="7"/>
  <c r="BX87" i="7"/>
  <c r="BY87" i="7"/>
  <c r="CA87" i="7"/>
  <c r="CB87" i="7"/>
  <c r="CC87" i="7"/>
  <c r="CD87" i="7"/>
  <c r="CE87" i="7"/>
  <c r="CF87" i="7"/>
  <c r="CG87" i="7"/>
  <c r="CH87" i="7"/>
  <c r="E88" i="7"/>
  <c r="G88" i="7"/>
  <c r="T88" i="7"/>
  <c r="AP88" i="7"/>
  <c r="AQ88" i="7"/>
  <c r="BR88" i="7"/>
  <c r="BS88" i="7"/>
  <c r="BT88" i="7"/>
  <c r="BU88" i="7"/>
  <c r="BV88" i="7"/>
  <c r="BW88" i="7"/>
  <c r="BX88" i="7"/>
  <c r="BY88" i="7"/>
  <c r="CA88" i="7"/>
  <c r="CB88" i="7"/>
  <c r="CC88" i="7"/>
  <c r="CD88" i="7"/>
  <c r="CE88" i="7"/>
  <c r="CF88" i="7"/>
  <c r="CG88" i="7"/>
  <c r="CH88" i="7"/>
  <c r="E89" i="7"/>
  <c r="G89" i="7"/>
  <c r="T89" i="7"/>
  <c r="AP89" i="7"/>
  <c r="AQ89" i="7"/>
  <c r="BR89" i="7"/>
  <c r="BS89" i="7"/>
  <c r="BT89" i="7"/>
  <c r="BU89" i="7"/>
  <c r="BV89" i="7"/>
  <c r="BW89" i="7"/>
  <c r="BX89" i="7"/>
  <c r="BY89" i="7"/>
  <c r="CA89" i="7"/>
  <c r="CB89" i="7"/>
  <c r="CC89" i="7"/>
  <c r="CD89" i="7"/>
  <c r="CE89" i="7"/>
  <c r="CF89" i="7"/>
  <c r="CG89" i="7"/>
  <c r="CH89" i="7"/>
  <c r="E90" i="7"/>
  <c r="G90" i="7"/>
  <c r="T90" i="7"/>
  <c r="AP90" i="7"/>
  <c r="AQ90" i="7"/>
  <c r="BR90" i="7"/>
  <c r="BS90" i="7"/>
  <c r="BT90" i="7"/>
  <c r="BU90" i="7"/>
  <c r="BV90" i="7"/>
  <c r="BW90" i="7"/>
  <c r="BX90" i="7"/>
  <c r="BY90" i="7"/>
  <c r="CA90" i="7"/>
  <c r="CB90" i="7"/>
  <c r="CC90" i="7"/>
  <c r="CD90" i="7"/>
  <c r="CE90" i="7"/>
  <c r="CF90" i="7"/>
  <c r="CG90" i="7"/>
  <c r="CH90" i="7"/>
  <c r="E91" i="7"/>
  <c r="G91" i="7"/>
  <c r="T91" i="7"/>
  <c r="AP91" i="7"/>
  <c r="AQ91" i="7"/>
  <c r="BR91" i="7"/>
  <c r="BS91" i="7"/>
  <c r="BT91" i="7"/>
  <c r="BU91" i="7"/>
  <c r="BV91" i="7"/>
  <c r="BW91" i="7"/>
  <c r="BX91" i="7"/>
  <c r="BY91" i="7"/>
  <c r="CA91" i="7"/>
  <c r="CB91" i="7"/>
  <c r="CC91" i="7"/>
  <c r="CD91" i="7"/>
  <c r="CE91" i="7"/>
  <c r="CF91" i="7"/>
  <c r="CG91" i="7"/>
  <c r="CH91" i="7"/>
  <c r="E92" i="7"/>
  <c r="G92" i="7"/>
  <c r="T92" i="7"/>
  <c r="AP92" i="7"/>
  <c r="AQ92" i="7"/>
  <c r="BR92" i="7"/>
  <c r="BS92" i="7"/>
  <c r="BT92" i="7"/>
  <c r="BU92" i="7"/>
  <c r="BV92" i="7"/>
  <c r="BW92" i="7"/>
  <c r="BX92" i="7"/>
  <c r="BY92" i="7"/>
  <c r="CA92" i="7"/>
  <c r="CB92" i="7"/>
  <c r="CC92" i="7"/>
  <c r="CD92" i="7"/>
  <c r="CE92" i="7"/>
  <c r="CF92" i="7"/>
  <c r="CG92" i="7"/>
  <c r="CH92" i="7"/>
  <c r="E93" i="7"/>
  <c r="G93" i="7"/>
  <c r="T93" i="7"/>
  <c r="AP93" i="7"/>
  <c r="AQ93" i="7"/>
  <c r="BR93" i="7"/>
  <c r="BS93" i="7"/>
  <c r="BT93" i="7"/>
  <c r="BU93" i="7"/>
  <c r="BV93" i="7"/>
  <c r="BW93" i="7"/>
  <c r="BX93" i="7"/>
  <c r="BY93" i="7"/>
  <c r="CA93" i="7"/>
  <c r="CB93" i="7"/>
  <c r="CC93" i="7"/>
  <c r="CD93" i="7"/>
  <c r="CE93" i="7"/>
  <c r="CF93" i="7"/>
  <c r="CG93" i="7"/>
  <c r="CH93" i="7"/>
  <c r="E94" i="7"/>
  <c r="G94" i="7"/>
  <c r="T94" i="7"/>
  <c r="AP94" i="7"/>
  <c r="AQ94" i="7"/>
  <c r="BR94" i="7"/>
  <c r="BS94" i="7"/>
  <c r="BT94" i="7"/>
  <c r="BU94" i="7"/>
  <c r="BV94" i="7"/>
  <c r="BW94" i="7"/>
  <c r="BX94" i="7"/>
  <c r="BY94" i="7"/>
  <c r="CA94" i="7"/>
  <c r="CB94" i="7"/>
  <c r="CC94" i="7"/>
  <c r="CD94" i="7"/>
  <c r="CE94" i="7"/>
  <c r="CF94" i="7"/>
  <c r="CG94" i="7"/>
  <c r="CH94" i="7"/>
  <c r="E95" i="7"/>
  <c r="G95" i="7"/>
  <c r="T95" i="7"/>
  <c r="AQ95" i="7"/>
  <c r="BR95" i="7"/>
  <c r="BS95" i="7"/>
  <c r="BT95" i="7"/>
  <c r="BU95" i="7"/>
  <c r="BY95" i="7"/>
  <c r="CA95" i="7"/>
  <c r="CB95" i="7"/>
  <c r="CC95" i="7"/>
  <c r="CD95" i="7"/>
  <c r="CE95" i="7"/>
  <c r="CF95" i="7"/>
  <c r="CG95" i="7"/>
  <c r="CH95" i="7"/>
  <c r="E96" i="7"/>
  <c r="G96" i="7"/>
  <c r="T96" i="7"/>
  <c r="AP96" i="7"/>
  <c r="AQ96" i="7"/>
  <c r="BR96" i="7"/>
  <c r="BS96" i="7"/>
  <c r="BT96" i="7"/>
  <c r="BU96" i="7"/>
  <c r="BV96" i="7"/>
  <c r="BW96" i="7"/>
  <c r="BX96" i="7"/>
  <c r="BY96" i="7"/>
  <c r="CA96" i="7"/>
  <c r="CB96" i="7"/>
  <c r="CC96" i="7"/>
  <c r="CD96" i="7"/>
  <c r="CE96" i="7"/>
  <c r="CF96" i="7"/>
  <c r="CG96" i="7"/>
  <c r="CH96" i="7"/>
  <c r="E97" i="7"/>
  <c r="G97" i="7"/>
  <c r="T97" i="7"/>
  <c r="AP97" i="7"/>
  <c r="AQ97" i="7"/>
  <c r="BR97" i="7"/>
  <c r="BS97" i="7"/>
  <c r="BT97" i="7"/>
  <c r="BU97" i="7"/>
  <c r="BV97" i="7"/>
  <c r="BW97" i="7"/>
  <c r="BX97" i="7"/>
  <c r="BY97" i="7"/>
  <c r="CA97" i="7"/>
  <c r="CB97" i="7"/>
  <c r="CC97" i="7"/>
  <c r="CD97" i="7"/>
  <c r="CE97" i="7"/>
  <c r="CF97" i="7"/>
  <c r="CG97" i="7"/>
  <c r="CH97" i="7"/>
  <c r="E98" i="7"/>
  <c r="G98" i="7"/>
  <c r="T98" i="7"/>
  <c r="AP98" i="7"/>
  <c r="AQ98" i="7"/>
  <c r="BR98" i="7"/>
  <c r="BS98" i="7"/>
  <c r="BT98" i="7"/>
  <c r="BU98" i="7"/>
  <c r="BV98" i="7"/>
  <c r="BW98" i="7"/>
  <c r="BX98" i="7"/>
  <c r="BY98" i="7"/>
  <c r="CA98" i="7"/>
  <c r="CB98" i="7"/>
  <c r="CC98" i="7"/>
  <c r="CD98" i="7"/>
  <c r="CE98" i="7"/>
  <c r="CF98" i="7"/>
  <c r="CG98" i="7"/>
  <c r="CH98" i="7"/>
  <c r="E99" i="7"/>
  <c r="G99" i="7"/>
  <c r="T99" i="7"/>
  <c r="AP99" i="7"/>
  <c r="AQ99" i="7"/>
  <c r="BR99" i="7"/>
  <c r="BS99" i="7"/>
  <c r="BT99" i="7"/>
  <c r="BU99" i="7"/>
  <c r="BV99" i="7"/>
  <c r="BW99" i="7"/>
  <c r="BX99" i="7"/>
  <c r="BY99" i="7"/>
  <c r="CA99" i="7"/>
  <c r="CB99" i="7"/>
  <c r="CC99" i="7"/>
  <c r="CD99" i="7"/>
  <c r="CE99" i="7"/>
  <c r="CF99" i="7"/>
  <c r="CG99" i="7"/>
  <c r="CH99" i="7"/>
  <c r="E100" i="7"/>
  <c r="G100" i="7"/>
  <c r="T100" i="7"/>
  <c r="AP100" i="7"/>
  <c r="AQ100" i="7"/>
  <c r="BR100" i="7"/>
  <c r="BS100" i="7"/>
  <c r="BT100" i="7"/>
  <c r="BU100" i="7"/>
  <c r="BV100" i="7"/>
  <c r="BW100" i="7"/>
  <c r="BX100" i="7"/>
  <c r="BY100" i="7"/>
  <c r="CA100" i="7"/>
  <c r="CB100" i="7"/>
  <c r="CC100" i="7"/>
  <c r="CD100" i="7"/>
  <c r="CE100" i="7"/>
  <c r="CF100" i="7"/>
  <c r="CG100" i="7"/>
  <c r="CH100" i="7"/>
  <c r="E101" i="7"/>
  <c r="G101" i="7"/>
  <c r="T101" i="7"/>
  <c r="AP101" i="7"/>
  <c r="AQ101" i="7"/>
  <c r="BR101" i="7"/>
  <c r="BS101" i="7"/>
  <c r="BT101" i="7"/>
  <c r="BU101" i="7"/>
  <c r="BV101" i="7"/>
  <c r="BW101" i="7"/>
  <c r="BX101" i="7"/>
  <c r="BY101" i="7"/>
  <c r="CA101" i="7"/>
  <c r="CB101" i="7"/>
  <c r="CC101" i="7"/>
  <c r="CD101" i="7"/>
  <c r="CE101" i="7"/>
  <c r="CF101" i="7"/>
  <c r="CG101" i="7"/>
  <c r="CH101" i="7"/>
  <c r="E102" i="7"/>
  <c r="G102" i="7"/>
  <c r="T102" i="7"/>
  <c r="AQ102" i="7"/>
  <c r="BR102" i="7"/>
  <c r="BS102" i="7"/>
  <c r="BT102" i="7"/>
  <c r="BU102" i="7"/>
  <c r="BV102" i="7"/>
  <c r="BW102" i="7"/>
  <c r="BX102" i="7"/>
  <c r="BY102" i="7"/>
  <c r="CA102" i="7"/>
  <c r="CB102" i="7"/>
  <c r="CC102" i="7"/>
  <c r="CD102" i="7"/>
  <c r="CE102" i="7"/>
  <c r="CF102" i="7"/>
  <c r="CG102" i="7"/>
  <c r="CH102" i="7"/>
  <c r="E103" i="7"/>
  <c r="G103" i="7"/>
  <c r="T103" i="7"/>
  <c r="AP103" i="7"/>
  <c r="AQ103" i="7"/>
  <c r="BR103" i="7"/>
  <c r="BS103" i="7"/>
  <c r="BT103" i="7"/>
  <c r="BU103" i="7"/>
  <c r="BV103" i="7"/>
  <c r="BW103" i="7"/>
  <c r="BX103" i="7"/>
  <c r="BY103" i="7"/>
  <c r="CA103" i="7"/>
  <c r="CB103" i="7"/>
  <c r="CC103" i="7"/>
  <c r="CD103" i="7"/>
  <c r="CE103" i="7"/>
  <c r="CF103" i="7"/>
  <c r="CG103" i="7"/>
  <c r="CH103" i="7"/>
  <c r="E104" i="7"/>
  <c r="G104" i="7"/>
  <c r="T104" i="7"/>
  <c r="AP104" i="7"/>
  <c r="AQ104" i="7"/>
  <c r="BR104" i="7"/>
  <c r="BS104" i="7"/>
  <c r="BT104" i="7"/>
  <c r="BU104" i="7"/>
  <c r="BV104" i="7"/>
  <c r="BW104" i="7"/>
  <c r="BX104" i="7"/>
  <c r="BY104" i="7"/>
  <c r="CA104" i="7"/>
  <c r="CB104" i="7"/>
  <c r="CC104" i="7"/>
  <c r="CD104" i="7"/>
  <c r="CE104" i="7"/>
  <c r="CF104" i="7"/>
  <c r="CG104" i="7"/>
  <c r="CH104" i="7"/>
  <c r="E105" i="7"/>
  <c r="G105" i="7"/>
  <c r="T105" i="7"/>
  <c r="AP105" i="7"/>
  <c r="AQ105" i="7"/>
  <c r="BR105" i="7"/>
  <c r="BS105" i="7"/>
  <c r="BT105" i="7"/>
  <c r="BU105" i="7"/>
  <c r="BV105" i="7"/>
  <c r="BW105" i="7"/>
  <c r="BX105" i="7"/>
  <c r="BY105" i="7"/>
  <c r="CA105" i="7"/>
  <c r="CB105" i="7"/>
  <c r="CC105" i="7"/>
  <c r="CD105" i="7"/>
  <c r="CE105" i="7"/>
  <c r="CF105" i="7"/>
  <c r="CG105" i="7"/>
  <c r="CH105" i="7"/>
  <c r="E106" i="7"/>
  <c r="G106" i="7"/>
  <c r="T106" i="7"/>
  <c r="AP106" i="7"/>
  <c r="AQ106" i="7"/>
  <c r="BR106" i="7"/>
  <c r="BS106" i="7"/>
  <c r="BT106" i="7"/>
  <c r="BU106" i="7"/>
  <c r="BV106" i="7"/>
  <c r="BW106" i="7"/>
  <c r="BX106" i="7"/>
  <c r="BY106" i="7"/>
  <c r="CA106" i="7"/>
  <c r="CB106" i="7"/>
  <c r="CC106" i="7"/>
  <c r="CD106" i="7"/>
  <c r="CE106" i="7"/>
  <c r="CF106" i="7"/>
  <c r="CG106" i="7"/>
  <c r="CH106" i="7"/>
  <c r="E107" i="7"/>
  <c r="G107" i="7"/>
  <c r="T107" i="7"/>
  <c r="AQ107" i="7"/>
  <c r="BR107" i="7"/>
  <c r="BS107" i="7"/>
  <c r="BT107" i="7"/>
  <c r="BU107" i="7"/>
  <c r="BV107" i="7"/>
  <c r="BW107" i="7"/>
  <c r="BX107" i="7"/>
  <c r="BY107" i="7"/>
  <c r="CA107" i="7"/>
  <c r="CB107" i="7"/>
  <c r="CC107" i="7"/>
  <c r="CD107" i="7"/>
  <c r="CE107" i="7"/>
  <c r="CF107" i="7"/>
  <c r="CG107" i="7"/>
  <c r="CH107" i="7"/>
  <c r="E108" i="7"/>
  <c r="G108" i="7"/>
  <c r="T108" i="7"/>
  <c r="AP108" i="7"/>
  <c r="AQ108" i="7"/>
  <c r="BR108" i="7"/>
  <c r="BS108" i="7"/>
  <c r="BT108" i="7"/>
  <c r="BU108" i="7"/>
  <c r="BV108" i="7"/>
  <c r="BW108" i="7"/>
  <c r="BX108" i="7"/>
  <c r="BY108" i="7"/>
  <c r="CA108" i="7"/>
  <c r="CB108" i="7"/>
  <c r="CC108" i="7"/>
  <c r="CD108" i="7"/>
  <c r="CE108" i="7"/>
  <c r="CF108" i="7"/>
  <c r="CG108" i="7"/>
  <c r="CH108" i="7"/>
  <c r="E109" i="7"/>
  <c r="G109" i="7"/>
  <c r="T109" i="7"/>
  <c r="AP109" i="7"/>
  <c r="AQ109" i="7"/>
  <c r="BR109" i="7"/>
  <c r="BS109" i="7"/>
  <c r="BT109" i="7"/>
  <c r="BU109" i="7"/>
  <c r="BV109" i="7"/>
  <c r="BW109" i="7"/>
  <c r="BX109" i="7"/>
  <c r="BY109" i="7"/>
  <c r="CA109" i="7"/>
  <c r="CB109" i="7"/>
  <c r="CC109" i="7"/>
  <c r="CD109" i="7"/>
  <c r="CE109" i="7"/>
  <c r="CF109" i="7"/>
  <c r="CG109" i="7"/>
  <c r="CH109" i="7"/>
  <c r="E110" i="7"/>
  <c r="G110" i="7"/>
  <c r="T110" i="7"/>
  <c r="AP110" i="7"/>
  <c r="AQ110" i="7"/>
  <c r="BR110" i="7"/>
  <c r="BS110" i="7"/>
  <c r="BT110" i="7"/>
  <c r="BU110" i="7"/>
  <c r="BV110" i="7"/>
  <c r="BW110" i="7"/>
  <c r="BX110" i="7"/>
  <c r="BY110" i="7"/>
  <c r="CA110" i="7"/>
  <c r="CB110" i="7"/>
  <c r="CC110" i="7"/>
  <c r="CD110" i="7"/>
  <c r="CE110" i="7"/>
  <c r="CF110" i="7"/>
  <c r="CG110" i="7"/>
  <c r="CH110" i="7"/>
  <c r="E111" i="7"/>
  <c r="G111" i="7"/>
  <c r="T111" i="7"/>
  <c r="AP111" i="7"/>
  <c r="AQ111" i="7"/>
  <c r="BR111" i="7"/>
  <c r="BS111" i="7"/>
  <c r="BT111" i="7"/>
  <c r="BU111" i="7"/>
  <c r="BV111" i="7"/>
  <c r="BW111" i="7"/>
  <c r="BX111" i="7"/>
  <c r="BY111" i="7"/>
  <c r="CA111" i="7"/>
  <c r="CB111" i="7"/>
  <c r="CC111" i="7"/>
  <c r="CD111" i="7"/>
  <c r="CE111" i="7"/>
  <c r="CF111" i="7"/>
  <c r="CG111" i="7"/>
  <c r="CH111" i="7"/>
  <c r="E112" i="7"/>
  <c r="G112" i="7"/>
  <c r="T112" i="7"/>
  <c r="AP112" i="7"/>
  <c r="AQ112" i="7"/>
  <c r="BR112" i="7"/>
  <c r="BS112" i="7"/>
  <c r="BT112" i="7"/>
  <c r="BU112" i="7"/>
  <c r="BV112" i="7"/>
  <c r="BW112" i="7"/>
  <c r="BX112" i="7"/>
  <c r="BY112" i="7"/>
  <c r="CA112" i="7"/>
  <c r="CB112" i="7"/>
  <c r="CC112" i="7"/>
  <c r="CD112" i="7"/>
  <c r="CE112" i="7"/>
  <c r="CF112" i="7"/>
  <c r="CG112" i="7"/>
  <c r="CH112" i="7"/>
  <c r="E113" i="7"/>
  <c r="G113" i="7"/>
  <c r="T113" i="7"/>
  <c r="AP113" i="7"/>
  <c r="AQ113" i="7"/>
  <c r="BR113" i="7"/>
  <c r="BS113" i="7"/>
  <c r="BT113" i="7"/>
  <c r="BU113" i="7"/>
  <c r="BV113" i="7"/>
  <c r="BW113" i="7"/>
  <c r="BX113" i="7"/>
  <c r="BY113" i="7"/>
  <c r="CA113" i="7"/>
  <c r="CB113" i="7"/>
  <c r="CC113" i="7"/>
  <c r="CD113" i="7"/>
  <c r="CE113" i="7"/>
  <c r="CF113" i="7"/>
  <c r="CG113" i="7"/>
  <c r="CH113" i="7"/>
  <c r="E114" i="7"/>
  <c r="G114" i="7"/>
  <c r="T114" i="7"/>
  <c r="AP114" i="7"/>
  <c r="AQ114" i="7"/>
  <c r="BR114" i="7"/>
  <c r="BS114" i="7"/>
  <c r="BT114" i="7"/>
  <c r="BU114" i="7"/>
  <c r="BV114" i="7"/>
  <c r="BW114" i="7"/>
  <c r="BX114" i="7"/>
  <c r="BY114" i="7"/>
  <c r="CA114" i="7"/>
  <c r="CB114" i="7"/>
  <c r="CC114" i="7"/>
  <c r="CD114" i="7"/>
  <c r="CE114" i="7"/>
  <c r="CF114" i="7"/>
  <c r="CG114" i="7"/>
  <c r="CH114" i="7"/>
  <c r="E115" i="7"/>
  <c r="G115" i="7"/>
  <c r="T115" i="7"/>
  <c r="AP115" i="7"/>
  <c r="AQ115" i="7"/>
  <c r="BR115" i="7"/>
  <c r="BS115" i="7"/>
  <c r="BT115" i="7"/>
  <c r="BU115" i="7"/>
  <c r="BV115" i="7"/>
  <c r="BW115" i="7"/>
  <c r="BX115" i="7"/>
  <c r="BY115" i="7"/>
  <c r="CA115" i="7"/>
  <c r="CB115" i="7"/>
  <c r="CC115" i="7"/>
  <c r="CD115" i="7"/>
  <c r="CE115" i="7"/>
  <c r="CF115" i="7"/>
  <c r="CG115" i="7"/>
  <c r="CH115" i="7"/>
  <c r="E116" i="7"/>
  <c r="G116" i="7"/>
  <c r="T116" i="7"/>
  <c r="AP116" i="7"/>
  <c r="AQ116" i="7"/>
  <c r="BR116" i="7"/>
  <c r="BS116" i="7"/>
  <c r="BT116" i="7"/>
  <c r="BU116" i="7"/>
  <c r="BV116" i="7"/>
  <c r="BW116" i="7"/>
  <c r="BX116" i="7"/>
  <c r="BY116" i="7"/>
  <c r="CA116" i="7"/>
  <c r="CB116" i="7"/>
  <c r="CC116" i="7"/>
  <c r="CD116" i="7"/>
  <c r="CE116" i="7"/>
  <c r="CF116" i="7"/>
  <c r="CG116" i="7"/>
  <c r="CH116" i="7"/>
  <c r="E117" i="7"/>
  <c r="G117" i="7"/>
  <c r="T117" i="7"/>
  <c r="AP117" i="7"/>
  <c r="AQ117" i="7"/>
  <c r="BR117" i="7"/>
  <c r="BS117" i="7"/>
  <c r="BT117" i="7"/>
  <c r="BU117" i="7"/>
  <c r="BV117" i="7"/>
  <c r="BW117" i="7"/>
  <c r="BX117" i="7"/>
  <c r="BY117" i="7"/>
  <c r="CA117" i="7"/>
  <c r="CB117" i="7"/>
  <c r="CC117" i="7"/>
  <c r="CD117" i="7"/>
  <c r="CE117" i="7"/>
  <c r="CF117" i="7"/>
  <c r="CG117" i="7"/>
  <c r="CH117" i="7"/>
  <c r="E118" i="7"/>
  <c r="G118" i="7"/>
  <c r="T118" i="7"/>
  <c r="AP118" i="7"/>
  <c r="AQ118" i="7"/>
  <c r="BR118" i="7"/>
  <c r="BS118" i="7"/>
  <c r="BT118" i="7"/>
  <c r="BU118" i="7"/>
  <c r="BV118" i="7"/>
  <c r="BW118" i="7"/>
  <c r="BX118" i="7"/>
  <c r="BY118" i="7"/>
  <c r="CA118" i="7"/>
  <c r="CB118" i="7"/>
  <c r="CC118" i="7"/>
  <c r="CD118" i="7"/>
  <c r="CE118" i="7"/>
  <c r="CF118" i="7"/>
  <c r="CG118" i="7"/>
  <c r="CH118" i="7"/>
  <c r="E119" i="7"/>
  <c r="G119" i="7"/>
  <c r="T119" i="7"/>
  <c r="AQ119" i="7"/>
  <c r="BR119" i="7"/>
  <c r="BS119" i="7"/>
  <c r="BT119" i="7"/>
  <c r="BU119" i="7"/>
  <c r="BV119" i="7"/>
  <c r="BW119" i="7"/>
  <c r="BX119" i="7"/>
  <c r="BY119" i="7"/>
  <c r="CA119" i="7"/>
  <c r="CB119" i="7"/>
  <c r="CC119" i="7"/>
  <c r="CD119" i="7"/>
  <c r="CE119" i="7"/>
  <c r="CF119" i="7"/>
  <c r="CG119" i="7"/>
  <c r="CH119" i="7"/>
  <c r="E120" i="7"/>
  <c r="G120" i="7"/>
  <c r="T120" i="7"/>
  <c r="AQ120" i="7"/>
  <c r="BR120" i="7"/>
  <c r="BS120" i="7"/>
  <c r="BT120" i="7"/>
  <c r="BU120" i="7"/>
  <c r="BV120" i="7"/>
  <c r="BW120" i="7"/>
  <c r="BX120" i="7"/>
  <c r="BY120" i="7"/>
  <c r="CA120" i="7"/>
  <c r="CB120" i="7"/>
  <c r="CC120" i="7"/>
  <c r="CD120" i="7"/>
  <c r="CE120" i="7"/>
  <c r="CF120" i="7"/>
  <c r="CG120" i="7"/>
  <c r="CH120" i="7"/>
  <c r="E121" i="7"/>
  <c r="T121" i="7"/>
  <c r="AQ121" i="7"/>
  <c r="BR121" i="7"/>
  <c r="BS121" i="7"/>
  <c r="BT121" i="7"/>
  <c r="BU121" i="7"/>
  <c r="BV121" i="7"/>
  <c r="BW121" i="7"/>
  <c r="BX121" i="7"/>
  <c r="BY121" i="7"/>
  <c r="CA121" i="7"/>
  <c r="CB121" i="7"/>
  <c r="CC121" i="7"/>
  <c r="CD121" i="7"/>
  <c r="CE121" i="7"/>
  <c r="CF121" i="7"/>
  <c r="CG121" i="7"/>
  <c r="CH121" i="7"/>
  <c r="E122" i="7"/>
  <c r="T122" i="7"/>
  <c r="AQ122" i="7"/>
  <c r="BR122" i="7"/>
  <c r="BS122" i="7"/>
  <c r="BT122" i="7"/>
  <c r="BU122" i="7"/>
  <c r="BV122" i="7"/>
  <c r="BW122" i="7"/>
  <c r="BX122" i="7"/>
  <c r="BY122" i="7"/>
  <c r="CA122" i="7"/>
  <c r="CB122" i="7"/>
  <c r="CC122" i="7"/>
  <c r="CD122" i="7"/>
  <c r="CE122" i="7"/>
  <c r="CF122" i="7"/>
  <c r="CG122" i="7"/>
  <c r="CH122" i="7"/>
  <c r="E123" i="7"/>
  <c r="G123" i="7"/>
  <c r="T123" i="7"/>
  <c r="AP123" i="7"/>
  <c r="AQ123" i="7"/>
  <c r="BR123" i="7"/>
  <c r="BS123" i="7"/>
  <c r="BT123" i="7"/>
  <c r="BU123" i="7"/>
  <c r="BV123" i="7"/>
  <c r="BW123" i="7"/>
  <c r="BX123" i="7"/>
  <c r="BY123" i="7"/>
  <c r="CA123" i="7"/>
  <c r="CB123" i="7"/>
  <c r="CC123" i="7"/>
  <c r="CD123" i="7"/>
  <c r="CE123" i="7"/>
  <c r="CF123" i="7"/>
  <c r="CG123" i="7"/>
  <c r="CH123" i="7"/>
  <c r="E124" i="7"/>
  <c r="G124" i="7"/>
  <c r="T124" i="7"/>
  <c r="AP124" i="7"/>
  <c r="AQ124" i="7"/>
  <c r="BR124" i="7"/>
  <c r="BS124" i="7"/>
  <c r="BT124" i="7"/>
  <c r="BU124" i="7"/>
  <c r="BV124" i="7"/>
  <c r="BW124" i="7"/>
  <c r="BX124" i="7"/>
  <c r="BY124" i="7"/>
  <c r="CA124" i="7"/>
  <c r="CB124" i="7"/>
  <c r="CC124" i="7"/>
  <c r="CD124" i="7"/>
  <c r="CE124" i="7"/>
  <c r="CF124" i="7"/>
  <c r="CG124" i="7"/>
  <c r="CH124" i="7"/>
  <c r="E125" i="7"/>
  <c r="G125" i="7"/>
  <c r="T125" i="7"/>
  <c r="AP125" i="7"/>
  <c r="AQ125" i="7"/>
  <c r="BR125" i="7"/>
  <c r="BS125" i="7"/>
  <c r="BT125" i="7"/>
  <c r="BU125" i="7"/>
  <c r="BV125" i="7"/>
  <c r="BW125" i="7"/>
  <c r="BX125" i="7"/>
  <c r="BY125" i="7"/>
  <c r="CA125" i="7"/>
  <c r="CB125" i="7"/>
  <c r="CC125" i="7"/>
  <c r="CD125" i="7"/>
  <c r="CE125" i="7"/>
  <c r="CF125" i="7"/>
  <c r="CG125" i="7"/>
  <c r="CH125" i="7"/>
  <c r="E126" i="7"/>
  <c r="G126" i="7"/>
  <c r="T126" i="7"/>
  <c r="AP126" i="7"/>
  <c r="AQ126" i="7"/>
  <c r="BR126" i="7"/>
  <c r="BS126" i="7"/>
  <c r="BT126" i="7"/>
  <c r="BU126" i="7"/>
  <c r="BV126" i="7"/>
  <c r="BW126" i="7"/>
  <c r="BX126" i="7"/>
  <c r="BY126" i="7"/>
  <c r="CA126" i="7"/>
  <c r="CB126" i="7"/>
  <c r="CC126" i="7"/>
  <c r="CD126" i="7"/>
  <c r="CE126" i="7"/>
  <c r="CF126" i="7"/>
  <c r="CG126" i="7"/>
  <c r="CH126" i="7"/>
  <c r="E127" i="7"/>
  <c r="G127" i="7"/>
  <c r="T127" i="7"/>
  <c r="AP127" i="7"/>
  <c r="AQ127" i="7"/>
  <c r="BR127" i="7"/>
  <c r="BS127" i="7"/>
  <c r="BT127" i="7"/>
  <c r="BU127" i="7"/>
  <c r="BV127" i="7"/>
  <c r="BW127" i="7"/>
  <c r="BX127" i="7"/>
  <c r="BY127" i="7"/>
  <c r="CA127" i="7"/>
  <c r="CB127" i="7"/>
  <c r="CC127" i="7"/>
  <c r="CD127" i="7"/>
  <c r="CE127" i="7"/>
  <c r="CF127" i="7"/>
  <c r="CG127" i="7"/>
  <c r="CH127" i="7"/>
  <c r="E128" i="7"/>
  <c r="G128" i="7"/>
  <c r="T128" i="7"/>
  <c r="AP128" i="7"/>
  <c r="AQ128" i="7"/>
  <c r="BR128" i="7"/>
  <c r="BS128" i="7"/>
  <c r="BT128" i="7"/>
  <c r="BU128" i="7"/>
  <c r="BV128" i="7"/>
  <c r="BW128" i="7"/>
  <c r="BX128" i="7"/>
  <c r="BY128" i="7"/>
  <c r="CA128" i="7"/>
  <c r="CB128" i="7"/>
  <c r="CC128" i="7"/>
  <c r="CD128" i="7"/>
  <c r="CE128" i="7"/>
  <c r="CF128" i="7"/>
  <c r="CG128" i="7"/>
  <c r="CH128" i="7"/>
  <c r="E129" i="7"/>
  <c r="G129" i="7"/>
  <c r="T129" i="7"/>
  <c r="AP129" i="7"/>
  <c r="AQ129" i="7"/>
  <c r="BR129" i="7"/>
  <c r="BS129" i="7"/>
  <c r="BT129" i="7"/>
  <c r="BU129" i="7"/>
  <c r="BV129" i="7"/>
  <c r="BW129" i="7"/>
  <c r="BX129" i="7"/>
  <c r="BY129" i="7"/>
  <c r="CA129" i="7"/>
  <c r="CB129" i="7"/>
  <c r="CC129" i="7"/>
  <c r="CD129" i="7"/>
  <c r="CE129" i="7"/>
  <c r="CF129" i="7"/>
  <c r="CG129" i="7"/>
  <c r="CH129" i="7"/>
  <c r="E130" i="7"/>
  <c r="G130" i="7"/>
  <c r="T130" i="7"/>
  <c r="AP130" i="7"/>
  <c r="AQ130" i="7"/>
  <c r="BR130" i="7"/>
  <c r="BS130" i="7"/>
  <c r="BT130" i="7"/>
  <c r="BU130" i="7"/>
  <c r="BV130" i="7"/>
  <c r="BW130" i="7"/>
  <c r="BX130" i="7"/>
  <c r="BY130" i="7"/>
  <c r="CA130" i="7"/>
  <c r="CB130" i="7"/>
  <c r="CC130" i="7"/>
  <c r="CD130" i="7"/>
  <c r="CE130" i="7"/>
  <c r="CF130" i="7"/>
  <c r="CG130" i="7"/>
  <c r="CH130" i="7"/>
  <c r="E131" i="7"/>
  <c r="G131" i="7"/>
  <c r="T131" i="7"/>
  <c r="AP131" i="7"/>
  <c r="AQ131" i="7"/>
  <c r="BR131" i="7"/>
  <c r="BS131" i="7"/>
  <c r="BT131" i="7"/>
  <c r="BU131" i="7"/>
  <c r="BV131" i="7"/>
  <c r="BW131" i="7"/>
  <c r="BX131" i="7"/>
  <c r="BY131" i="7"/>
  <c r="CA131" i="7"/>
  <c r="CB131" i="7"/>
  <c r="CC131" i="7"/>
  <c r="CD131" i="7"/>
  <c r="CE131" i="7"/>
  <c r="CF131" i="7"/>
  <c r="CG131" i="7"/>
  <c r="CH131" i="7"/>
  <c r="E132" i="7"/>
  <c r="G132" i="7"/>
  <c r="T132" i="7"/>
  <c r="AP132" i="7"/>
  <c r="AQ132" i="7"/>
  <c r="BR132" i="7"/>
  <c r="BS132" i="7"/>
  <c r="BT132" i="7"/>
  <c r="BU132" i="7"/>
  <c r="BV132" i="7"/>
  <c r="BW132" i="7"/>
  <c r="BX132" i="7"/>
  <c r="BY132" i="7"/>
  <c r="CA132" i="7"/>
  <c r="CB132" i="7"/>
  <c r="CC132" i="7"/>
  <c r="CD132" i="7"/>
  <c r="CE132" i="7"/>
  <c r="CF132" i="7"/>
  <c r="CG132" i="7"/>
  <c r="CH132" i="7"/>
  <c r="E133" i="7"/>
  <c r="G133" i="7"/>
  <c r="T133" i="7"/>
  <c r="AP133" i="7"/>
  <c r="AQ133" i="7"/>
  <c r="BR133" i="7"/>
  <c r="BS133" i="7"/>
  <c r="BT133" i="7"/>
  <c r="BU133" i="7"/>
  <c r="BV133" i="7"/>
  <c r="BW133" i="7"/>
  <c r="BX133" i="7"/>
  <c r="BY133" i="7"/>
  <c r="CA133" i="7"/>
  <c r="CB133" i="7"/>
  <c r="CC133" i="7"/>
  <c r="CD133" i="7"/>
  <c r="CE133" i="7"/>
  <c r="CF133" i="7"/>
  <c r="CG133" i="7"/>
  <c r="CH133" i="7"/>
  <c r="E134" i="7"/>
  <c r="G134" i="7"/>
  <c r="T134" i="7"/>
  <c r="AQ134" i="7"/>
  <c r="BR134" i="7"/>
  <c r="BS134" i="7"/>
  <c r="BT134" i="7"/>
  <c r="BU134" i="7"/>
  <c r="BV134" i="7"/>
  <c r="BW134" i="7"/>
  <c r="BX134" i="7"/>
  <c r="BY134" i="7"/>
  <c r="CA134" i="7"/>
  <c r="CB134" i="7"/>
  <c r="CC134" i="7"/>
  <c r="CD134" i="7"/>
  <c r="CE134" i="7"/>
  <c r="CF134" i="7"/>
  <c r="CG134" i="7"/>
  <c r="CH134" i="7"/>
  <c r="E135" i="7"/>
  <c r="G135" i="7"/>
  <c r="T135" i="7"/>
  <c r="AP135" i="7"/>
  <c r="AQ135" i="7"/>
  <c r="BR135" i="7"/>
  <c r="BS135" i="7"/>
  <c r="BT135" i="7"/>
  <c r="BU135" i="7"/>
  <c r="BV135" i="7"/>
  <c r="BW135" i="7"/>
  <c r="BX135" i="7"/>
  <c r="BY135" i="7"/>
  <c r="CA135" i="7"/>
  <c r="CB135" i="7"/>
  <c r="CC135" i="7"/>
  <c r="CD135" i="7"/>
  <c r="CE135" i="7"/>
  <c r="CF135" i="7"/>
  <c r="CG135" i="7"/>
  <c r="CH135" i="7"/>
  <c r="E136" i="7"/>
  <c r="G136" i="7"/>
  <c r="T136" i="7"/>
  <c r="AP136" i="7"/>
  <c r="AQ136" i="7"/>
  <c r="BR136" i="7"/>
  <c r="BS136" i="7"/>
  <c r="BT136" i="7"/>
  <c r="BU136" i="7"/>
  <c r="BV136" i="7"/>
  <c r="BW136" i="7"/>
  <c r="BX136" i="7"/>
  <c r="BY136" i="7"/>
  <c r="CA136" i="7"/>
  <c r="CB136" i="7"/>
  <c r="CC136" i="7"/>
  <c r="CD136" i="7"/>
  <c r="CE136" i="7"/>
  <c r="CF136" i="7"/>
  <c r="CG136" i="7"/>
  <c r="CH136" i="7"/>
  <c r="E137" i="7"/>
  <c r="G137" i="7"/>
  <c r="T137" i="7"/>
  <c r="AQ137" i="7"/>
  <c r="BR137" i="7"/>
  <c r="BS137" i="7"/>
  <c r="BT137" i="7"/>
  <c r="BU137" i="7"/>
  <c r="BV137" i="7"/>
  <c r="BW137" i="7"/>
  <c r="BX137" i="7"/>
  <c r="BY137" i="7"/>
  <c r="CA137" i="7"/>
  <c r="CB137" i="7"/>
  <c r="CC137" i="7"/>
  <c r="CD137" i="7"/>
  <c r="CE137" i="7"/>
  <c r="CF137" i="7"/>
  <c r="CG137" i="7"/>
  <c r="CH137" i="7"/>
  <c r="E138" i="7"/>
  <c r="G138" i="7"/>
  <c r="T138" i="7"/>
  <c r="AP138" i="7"/>
  <c r="AQ138" i="7"/>
  <c r="BR138" i="7"/>
  <c r="BS138" i="7"/>
  <c r="BT138" i="7"/>
  <c r="BU138" i="7"/>
  <c r="BV138" i="7"/>
  <c r="BW138" i="7"/>
  <c r="BX138" i="7"/>
  <c r="BY138" i="7"/>
  <c r="CA138" i="7"/>
  <c r="CB138" i="7"/>
  <c r="CC138" i="7"/>
  <c r="CD138" i="7"/>
  <c r="CE138" i="7"/>
  <c r="CF138" i="7"/>
  <c r="CG138" i="7"/>
  <c r="CH138" i="7"/>
  <c r="E139" i="7"/>
  <c r="G139" i="7"/>
  <c r="T139" i="7"/>
  <c r="AP139" i="7"/>
  <c r="AQ139" i="7"/>
  <c r="BR139" i="7"/>
  <c r="BS139" i="7"/>
  <c r="BT139" i="7"/>
  <c r="BU139" i="7"/>
  <c r="BV139" i="7"/>
  <c r="BW139" i="7"/>
  <c r="BX139" i="7"/>
  <c r="BY139" i="7"/>
  <c r="CA139" i="7"/>
  <c r="CB139" i="7"/>
  <c r="CC139" i="7"/>
  <c r="CD139" i="7"/>
  <c r="CE139" i="7"/>
  <c r="CF139" i="7"/>
  <c r="CG139" i="7"/>
  <c r="CH139" i="7"/>
  <c r="E140" i="7"/>
  <c r="G140" i="7"/>
  <c r="T140" i="7"/>
  <c r="AP140" i="7"/>
  <c r="AQ140" i="7"/>
  <c r="BR140" i="7"/>
  <c r="BS140" i="7"/>
  <c r="BT140" i="7"/>
  <c r="BU140" i="7"/>
  <c r="BV140" i="7"/>
  <c r="BW140" i="7"/>
  <c r="BX140" i="7"/>
  <c r="BY140" i="7"/>
  <c r="CA140" i="7"/>
  <c r="CB140" i="7"/>
  <c r="CC140" i="7"/>
  <c r="CD140" i="7"/>
  <c r="CE140" i="7"/>
  <c r="CF140" i="7"/>
  <c r="CG140" i="7"/>
  <c r="CH140" i="7"/>
  <c r="E141" i="7"/>
  <c r="G141" i="7"/>
  <c r="T141" i="7"/>
  <c r="AP141" i="7"/>
  <c r="AQ141" i="7"/>
  <c r="BR141" i="7"/>
  <c r="BS141" i="7"/>
  <c r="BT141" i="7"/>
  <c r="BU141" i="7"/>
  <c r="BV141" i="7"/>
  <c r="BW141" i="7"/>
  <c r="BX141" i="7"/>
  <c r="BY141" i="7"/>
  <c r="CA141" i="7"/>
  <c r="CB141" i="7"/>
  <c r="CC141" i="7"/>
  <c r="CD141" i="7"/>
  <c r="CE141" i="7"/>
  <c r="CF141" i="7"/>
  <c r="CG141" i="7"/>
  <c r="CH141" i="7"/>
  <c r="E142" i="7"/>
  <c r="G142" i="7"/>
  <c r="T142" i="7"/>
  <c r="AP142" i="7"/>
  <c r="AQ142" i="7"/>
  <c r="BR142" i="7"/>
  <c r="BS142" i="7"/>
  <c r="BT142" i="7"/>
  <c r="BU142" i="7"/>
  <c r="BV142" i="7"/>
  <c r="BW142" i="7"/>
  <c r="BX142" i="7"/>
  <c r="BY142" i="7"/>
  <c r="CA142" i="7"/>
  <c r="CB142" i="7"/>
  <c r="CC142" i="7"/>
  <c r="CD142" i="7"/>
  <c r="CE142" i="7"/>
  <c r="CF142" i="7"/>
  <c r="CG142" i="7"/>
  <c r="CH142" i="7"/>
  <c r="E143" i="7"/>
  <c r="G143" i="7"/>
  <c r="T143" i="7"/>
  <c r="AP143" i="7"/>
  <c r="AQ143" i="7"/>
  <c r="BR143" i="7"/>
  <c r="BS143" i="7"/>
  <c r="BT143" i="7"/>
  <c r="BU143" i="7"/>
  <c r="BV143" i="7"/>
  <c r="BW143" i="7"/>
  <c r="BX143" i="7"/>
  <c r="BY143" i="7"/>
  <c r="CA143" i="7"/>
  <c r="CB143" i="7"/>
  <c r="CC143" i="7"/>
  <c r="CD143" i="7"/>
  <c r="CE143" i="7"/>
  <c r="CF143" i="7"/>
  <c r="CG143" i="7"/>
  <c r="CH143" i="7"/>
  <c r="E144" i="7"/>
  <c r="G144" i="7"/>
  <c r="T144" i="7"/>
  <c r="AP144" i="7"/>
  <c r="AQ144" i="7"/>
  <c r="BR144" i="7"/>
  <c r="BS144" i="7"/>
  <c r="BT144" i="7"/>
  <c r="BU144" i="7"/>
  <c r="BV144" i="7"/>
  <c r="BW144" i="7"/>
  <c r="BX144" i="7"/>
  <c r="BY144" i="7"/>
  <c r="CA144" i="7"/>
  <c r="CB144" i="7"/>
  <c r="CC144" i="7"/>
  <c r="CD144" i="7"/>
  <c r="CE144" i="7"/>
  <c r="CF144" i="7"/>
  <c r="CG144" i="7"/>
  <c r="CH144" i="7"/>
  <c r="E145" i="7"/>
  <c r="G145" i="7"/>
  <c r="T145" i="7"/>
  <c r="AP145" i="7"/>
  <c r="AQ145" i="7"/>
  <c r="BR145" i="7"/>
  <c r="BS145" i="7"/>
  <c r="BT145" i="7"/>
  <c r="BU145" i="7"/>
  <c r="BV145" i="7"/>
  <c r="BW145" i="7"/>
  <c r="BX145" i="7"/>
  <c r="BY145" i="7"/>
  <c r="CA145" i="7"/>
  <c r="CB145" i="7"/>
  <c r="CC145" i="7"/>
  <c r="CD145" i="7"/>
  <c r="CE145" i="7"/>
  <c r="CF145" i="7"/>
  <c r="CG145" i="7"/>
  <c r="CH145" i="7"/>
  <c r="E146" i="7"/>
  <c r="G146" i="7"/>
  <c r="T146" i="7"/>
  <c r="AQ146" i="7"/>
  <c r="BR146" i="7"/>
  <c r="BS146" i="7"/>
  <c r="BT146" i="7"/>
  <c r="BU146" i="7"/>
  <c r="BV146" i="7"/>
  <c r="BW146" i="7"/>
  <c r="BX146" i="7"/>
  <c r="BY146" i="7"/>
  <c r="CA146" i="7"/>
  <c r="CB146" i="7"/>
  <c r="CC146" i="7"/>
  <c r="CD146" i="7"/>
  <c r="CE146" i="7"/>
  <c r="CF146" i="7"/>
  <c r="CG146" i="7"/>
  <c r="CH146" i="7"/>
  <c r="E147" i="7"/>
  <c r="G147" i="7"/>
  <c r="T147" i="7"/>
  <c r="AP147" i="7"/>
  <c r="AQ147" i="7"/>
  <c r="BR147" i="7"/>
  <c r="BS147" i="7"/>
  <c r="BT147" i="7"/>
  <c r="BU147" i="7"/>
  <c r="BV147" i="7"/>
  <c r="BW147" i="7"/>
  <c r="BX147" i="7"/>
  <c r="BY147" i="7"/>
  <c r="CA147" i="7"/>
  <c r="CB147" i="7"/>
  <c r="CC147" i="7"/>
  <c r="CD147" i="7"/>
  <c r="CE147" i="7"/>
  <c r="CF147" i="7"/>
  <c r="CG147" i="7"/>
  <c r="CH147" i="7"/>
  <c r="E148" i="7"/>
  <c r="G148" i="7"/>
  <c r="T148" i="7"/>
  <c r="AP148" i="7"/>
  <c r="AQ148" i="7"/>
  <c r="BR148" i="7"/>
  <c r="BS148" i="7"/>
  <c r="BT148" i="7"/>
  <c r="BU148" i="7"/>
  <c r="BV148" i="7"/>
  <c r="BW148" i="7"/>
  <c r="BX148" i="7"/>
  <c r="BY148" i="7"/>
  <c r="CA148" i="7"/>
  <c r="CB148" i="7"/>
  <c r="CC148" i="7"/>
  <c r="CD148" i="7"/>
  <c r="CE148" i="7"/>
  <c r="CF148" i="7"/>
  <c r="CG148" i="7"/>
  <c r="CH148" i="7"/>
  <c r="E149" i="7"/>
  <c r="G149" i="7"/>
  <c r="T149" i="7"/>
  <c r="AQ149" i="7"/>
  <c r="BR149" i="7"/>
  <c r="BS149" i="7"/>
  <c r="BT149" i="7"/>
  <c r="BU149" i="7"/>
  <c r="BV149" i="7"/>
  <c r="BW149" i="7"/>
  <c r="BX149" i="7"/>
  <c r="BY149" i="7"/>
  <c r="CA149" i="7"/>
  <c r="CB149" i="7"/>
  <c r="CC149" i="7"/>
  <c r="CD149" i="7"/>
  <c r="CE149" i="7"/>
  <c r="CF149" i="7"/>
  <c r="CG149" i="7"/>
  <c r="CH149" i="7"/>
  <c r="E150" i="7"/>
  <c r="G150" i="7"/>
  <c r="T150" i="7"/>
  <c r="AP150" i="7"/>
  <c r="AQ150" i="7"/>
  <c r="BR150" i="7"/>
  <c r="BS150" i="7"/>
  <c r="BT150" i="7"/>
  <c r="BU150" i="7"/>
  <c r="BV150" i="7"/>
  <c r="BW150" i="7"/>
  <c r="BX150" i="7"/>
  <c r="BY150" i="7"/>
  <c r="CA150" i="7"/>
  <c r="CB150" i="7"/>
  <c r="CC150" i="7"/>
  <c r="CD150" i="7"/>
  <c r="CE150" i="7"/>
  <c r="CF150" i="7"/>
  <c r="CG150" i="7"/>
  <c r="CH150" i="7"/>
  <c r="E151" i="7"/>
  <c r="G151" i="7"/>
  <c r="T151" i="7"/>
  <c r="AP151" i="7"/>
  <c r="AQ151" i="7"/>
  <c r="BR151" i="7"/>
  <c r="BS151" i="7"/>
  <c r="BT151" i="7"/>
  <c r="BU151" i="7"/>
  <c r="BV151" i="7"/>
  <c r="BW151" i="7"/>
  <c r="BX151" i="7"/>
  <c r="BY151" i="7"/>
  <c r="CA151" i="7"/>
  <c r="CB151" i="7"/>
  <c r="CC151" i="7"/>
  <c r="CD151" i="7"/>
  <c r="CE151" i="7"/>
  <c r="CF151" i="7"/>
  <c r="CG151" i="7"/>
  <c r="CH151" i="7"/>
  <c r="E152" i="7"/>
  <c r="G152" i="7"/>
  <c r="T152" i="7"/>
  <c r="AP152" i="7"/>
  <c r="AQ152" i="7"/>
  <c r="BR152" i="7"/>
  <c r="BS152" i="7"/>
  <c r="BT152" i="7"/>
  <c r="BU152" i="7"/>
  <c r="BV152" i="7"/>
  <c r="BW152" i="7"/>
  <c r="BX152" i="7"/>
  <c r="BY152" i="7"/>
  <c r="CA152" i="7"/>
  <c r="CB152" i="7"/>
  <c r="CC152" i="7"/>
  <c r="CD152" i="7"/>
  <c r="CE152" i="7"/>
  <c r="CF152" i="7"/>
  <c r="CG152" i="7"/>
  <c r="CH152" i="7"/>
  <c r="E153" i="7"/>
  <c r="G153" i="7"/>
  <c r="T153" i="7"/>
  <c r="AP153" i="7"/>
  <c r="AQ153" i="7"/>
  <c r="BR153" i="7"/>
  <c r="BS153" i="7"/>
  <c r="BT153" i="7"/>
  <c r="BU153" i="7"/>
  <c r="BV153" i="7"/>
  <c r="BW153" i="7"/>
  <c r="BX153" i="7"/>
  <c r="BY153" i="7"/>
  <c r="CA153" i="7"/>
  <c r="CB153" i="7"/>
  <c r="CC153" i="7"/>
  <c r="CD153" i="7"/>
  <c r="CE153" i="7"/>
  <c r="CF153" i="7"/>
  <c r="CG153" i="7"/>
  <c r="CH153" i="7"/>
  <c r="E154" i="7"/>
  <c r="G154" i="7"/>
  <c r="T154" i="7"/>
  <c r="AP154" i="7"/>
  <c r="AQ154" i="7"/>
  <c r="BR154" i="7"/>
  <c r="BS154" i="7"/>
  <c r="BT154" i="7"/>
  <c r="BU154" i="7"/>
  <c r="BV154" i="7"/>
  <c r="BW154" i="7"/>
  <c r="BX154" i="7"/>
  <c r="BY154" i="7"/>
  <c r="CA154" i="7"/>
  <c r="CB154" i="7"/>
  <c r="CC154" i="7"/>
  <c r="CD154" i="7"/>
  <c r="CE154" i="7"/>
  <c r="CF154" i="7"/>
  <c r="CG154" i="7"/>
  <c r="CH154" i="7"/>
  <c r="E155" i="7"/>
  <c r="G155" i="7"/>
  <c r="T155" i="7"/>
  <c r="AP155" i="7"/>
  <c r="AQ155" i="7"/>
  <c r="BR155" i="7"/>
  <c r="BS155" i="7"/>
  <c r="BT155" i="7"/>
  <c r="BU155" i="7"/>
  <c r="BV155" i="7"/>
  <c r="BW155" i="7"/>
  <c r="BX155" i="7"/>
  <c r="BY155" i="7"/>
  <c r="CA155" i="7"/>
  <c r="CB155" i="7"/>
  <c r="CC155" i="7"/>
  <c r="CD155" i="7"/>
  <c r="CE155" i="7"/>
  <c r="CF155" i="7"/>
  <c r="CG155" i="7"/>
  <c r="CH155" i="7"/>
  <c r="E156" i="7"/>
  <c r="G156" i="7"/>
  <c r="T156" i="7"/>
  <c r="AP156" i="7"/>
  <c r="AQ156" i="7"/>
  <c r="BR156" i="7"/>
  <c r="BS156" i="7"/>
  <c r="BT156" i="7"/>
  <c r="BU156" i="7"/>
  <c r="BV156" i="7"/>
  <c r="BW156" i="7"/>
  <c r="BX156" i="7"/>
  <c r="BY156" i="7"/>
  <c r="CA156" i="7"/>
  <c r="CB156" i="7"/>
  <c r="CC156" i="7"/>
  <c r="CD156" i="7"/>
  <c r="CE156" i="7"/>
  <c r="CF156" i="7"/>
  <c r="CG156" i="7"/>
  <c r="CH156" i="7"/>
  <c r="E157" i="7"/>
  <c r="G157" i="7"/>
  <c r="T157" i="7"/>
  <c r="AP157" i="7"/>
  <c r="AQ157" i="7"/>
  <c r="BR157" i="7"/>
  <c r="BS157" i="7"/>
  <c r="BT157" i="7"/>
  <c r="BU157" i="7"/>
  <c r="BV157" i="7"/>
  <c r="BW157" i="7"/>
  <c r="BX157" i="7"/>
  <c r="BY157" i="7"/>
  <c r="CA157" i="7"/>
  <c r="CB157" i="7"/>
  <c r="CC157" i="7"/>
  <c r="CD157" i="7"/>
  <c r="CE157" i="7"/>
  <c r="CF157" i="7"/>
  <c r="CG157" i="7"/>
  <c r="CH157" i="7"/>
  <c r="E158" i="7"/>
  <c r="G158" i="7"/>
  <c r="T158" i="7"/>
  <c r="AP158" i="7"/>
  <c r="AQ158" i="7"/>
  <c r="BR158" i="7"/>
  <c r="BS158" i="7"/>
  <c r="BT158" i="7"/>
  <c r="BU158" i="7"/>
  <c r="BV158" i="7"/>
  <c r="BW158" i="7"/>
  <c r="BX158" i="7"/>
  <c r="BY158" i="7"/>
  <c r="CA158" i="7"/>
  <c r="CB158" i="7"/>
  <c r="CC158" i="7"/>
  <c r="CD158" i="7"/>
  <c r="CE158" i="7"/>
  <c r="CF158" i="7"/>
  <c r="CG158" i="7"/>
  <c r="CH158" i="7"/>
  <c r="E159" i="7"/>
  <c r="G159" i="7"/>
  <c r="T159" i="7"/>
  <c r="AP159" i="7"/>
  <c r="AQ159" i="7"/>
  <c r="BR159" i="7"/>
  <c r="BS159" i="7"/>
  <c r="BT159" i="7"/>
  <c r="BU159" i="7"/>
  <c r="BV159" i="7"/>
  <c r="BW159" i="7"/>
  <c r="BX159" i="7"/>
  <c r="BY159" i="7"/>
  <c r="CA159" i="7"/>
  <c r="CB159" i="7"/>
  <c r="CC159" i="7"/>
  <c r="CD159" i="7"/>
  <c r="CE159" i="7"/>
  <c r="CF159" i="7"/>
  <c r="CG159" i="7"/>
  <c r="CH159" i="7"/>
  <c r="E160" i="7"/>
  <c r="G160" i="7"/>
  <c r="T160" i="7"/>
  <c r="AP160" i="7"/>
  <c r="AQ160" i="7"/>
  <c r="BR160" i="7"/>
  <c r="BS160" i="7"/>
  <c r="BT160" i="7"/>
  <c r="BU160" i="7"/>
  <c r="BV160" i="7"/>
  <c r="BW160" i="7"/>
  <c r="BX160" i="7"/>
  <c r="BY160" i="7"/>
  <c r="CA160" i="7"/>
  <c r="CB160" i="7"/>
  <c r="CC160" i="7"/>
  <c r="CD160" i="7"/>
  <c r="CE160" i="7"/>
  <c r="CF160" i="7"/>
  <c r="CG160" i="7"/>
  <c r="CH160" i="7"/>
  <c r="E161" i="7"/>
  <c r="G161" i="7"/>
  <c r="T161" i="7"/>
  <c r="AP161" i="7"/>
  <c r="AQ161" i="7"/>
  <c r="BR161" i="7"/>
  <c r="BS161" i="7"/>
  <c r="BT161" i="7"/>
  <c r="BU161" i="7"/>
  <c r="BV161" i="7"/>
  <c r="BW161" i="7"/>
  <c r="BX161" i="7"/>
  <c r="BY161" i="7"/>
  <c r="CA161" i="7"/>
  <c r="CB161" i="7"/>
  <c r="CC161" i="7"/>
  <c r="CD161" i="7"/>
  <c r="CE161" i="7"/>
  <c r="CF161" i="7"/>
  <c r="CG161" i="7"/>
  <c r="CH161" i="7"/>
  <c r="E162" i="7"/>
  <c r="G162" i="7"/>
  <c r="T162" i="7"/>
  <c r="AQ162" i="7"/>
  <c r="BR162" i="7"/>
  <c r="BS162" i="7"/>
  <c r="BT162" i="7"/>
  <c r="BU162" i="7"/>
  <c r="BV162" i="7"/>
  <c r="BW162" i="7"/>
  <c r="BX162" i="7"/>
  <c r="BY162" i="7"/>
  <c r="CA162" i="7"/>
  <c r="CB162" i="7"/>
  <c r="CC162" i="7"/>
  <c r="CD162" i="7"/>
  <c r="CE162" i="7"/>
  <c r="CF162" i="7"/>
  <c r="CG162" i="7"/>
  <c r="CH162" i="7"/>
  <c r="E163" i="7"/>
  <c r="G163" i="7"/>
  <c r="T163" i="7"/>
  <c r="AQ163" i="7"/>
  <c r="BL163" i="7"/>
  <c r="BR163" i="7"/>
  <c r="BS163" i="7"/>
  <c r="BT163" i="7"/>
  <c r="BU163" i="7"/>
  <c r="BV163" i="7"/>
  <c r="BW163" i="7"/>
  <c r="BX163" i="7"/>
  <c r="BY163" i="7"/>
  <c r="CA163" i="7"/>
  <c r="CB163" i="7"/>
  <c r="CC163" i="7"/>
  <c r="CD163" i="7"/>
  <c r="CE163" i="7"/>
  <c r="CF163" i="7"/>
  <c r="CG163" i="7"/>
  <c r="CH163" i="7"/>
  <c r="E164" i="7"/>
  <c r="G164" i="7"/>
  <c r="T164" i="7"/>
  <c r="AP164" i="7"/>
  <c r="AQ164" i="7"/>
  <c r="BR164" i="7"/>
  <c r="BS164" i="7"/>
  <c r="BT164" i="7"/>
  <c r="BU164" i="7"/>
  <c r="BV164" i="7"/>
  <c r="BW164" i="7"/>
  <c r="BX164" i="7"/>
  <c r="BY164" i="7"/>
  <c r="CA164" i="7"/>
  <c r="CB164" i="7"/>
  <c r="CC164" i="7"/>
  <c r="CD164" i="7"/>
  <c r="CE164" i="7"/>
  <c r="CF164" i="7"/>
  <c r="CG164" i="7"/>
  <c r="CH164" i="7"/>
  <c r="E165" i="7"/>
  <c r="G165" i="7"/>
  <c r="T165" i="7"/>
  <c r="AP165" i="7"/>
  <c r="AQ165" i="7"/>
  <c r="BR165" i="7"/>
  <c r="BS165" i="7"/>
  <c r="BT165" i="7"/>
  <c r="BU165" i="7"/>
  <c r="BV165" i="7"/>
  <c r="BW165" i="7"/>
  <c r="BX165" i="7"/>
  <c r="BY165" i="7"/>
  <c r="CA165" i="7"/>
  <c r="CB165" i="7"/>
  <c r="CC165" i="7"/>
  <c r="CD165" i="7"/>
  <c r="CE165" i="7"/>
  <c r="CF165" i="7"/>
  <c r="CG165" i="7"/>
  <c r="CH165" i="7"/>
  <c r="E166" i="7"/>
  <c r="G166" i="7"/>
  <c r="T166" i="7"/>
  <c r="AQ166" i="7"/>
  <c r="BR166" i="7"/>
  <c r="BS166" i="7"/>
  <c r="BT166" i="7"/>
  <c r="BU166" i="7"/>
  <c r="BV166" i="7"/>
  <c r="BW166" i="7"/>
  <c r="BX166" i="7"/>
  <c r="BY166" i="7"/>
  <c r="CA166" i="7"/>
  <c r="CB166" i="7"/>
  <c r="CC166" i="7"/>
  <c r="CD166" i="7"/>
  <c r="CE166" i="7"/>
  <c r="CF166" i="7"/>
  <c r="CG166" i="7"/>
  <c r="CH166" i="7"/>
  <c r="E167" i="7"/>
  <c r="G167" i="7"/>
  <c r="T167" i="7"/>
  <c r="AP167" i="7"/>
  <c r="AQ167" i="7"/>
  <c r="BR167" i="7"/>
  <c r="BS167" i="7"/>
  <c r="BT167" i="7"/>
  <c r="BU167" i="7"/>
  <c r="BV167" i="7"/>
  <c r="BW167" i="7"/>
  <c r="BX167" i="7"/>
  <c r="BY167" i="7"/>
  <c r="CA167" i="7"/>
  <c r="CB167" i="7"/>
  <c r="CC167" i="7"/>
  <c r="CD167" i="7"/>
  <c r="CE167" i="7"/>
  <c r="CF167" i="7"/>
  <c r="CG167" i="7"/>
  <c r="CH167" i="7"/>
  <c r="E168" i="7"/>
  <c r="G168" i="7"/>
  <c r="T168" i="7"/>
  <c r="AP168" i="7"/>
  <c r="AQ168" i="7"/>
  <c r="BR168" i="7"/>
  <c r="BS168" i="7"/>
  <c r="BT168" i="7"/>
  <c r="BU168" i="7"/>
  <c r="BV168" i="7"/>
  <c r="BW168" i="7"/>
  <c r="BX168" i="7"/>
  <c r="BY168" i="7"/>
  <c r="CA168" i="7"/>
  <c r="CB168" i="7"/>
  <c r="CC168" i="7"/>
  <c r="CD168" i="7"/>
  <c r="CE168" i="7"/>
  <c r="CF168" i="7"/>
  <c r="CG168" i="7"/>
  <c r="CH168" i="7"/>
  <c r="E169" i="7"/>
  <c r="G169" i="7"/>
  <c r="T169" i="7"/>
  <c r="AP169" i="7"/>
  <c r="AQ169" i="7"/>
  <c r="BR169" i="7"/>
  <c r="BS169" i="7"/>
  <c r="BT169" i="7"/>
  <c r="BU169" i="7"/>
  <c r="BV169" i="7"/>
  <c r="BW169" i="7"/>
  <c r="BX169" i="7"/>
  <c r="BY169" i="7"/>
  <c r="CA169" i="7"/>
  <c r="CB169" i="7"/>
  <c r="CC169" i="7"/>
  <c r="CD169" i="7"/>
  <c r="CE169" i="7"/>
  <c r="CF169" i="7"/>
  <c r="CG169" i="7"/>
  <c r="CH169" i="7"/>
  <c r="E170" i="7"/>
  <c r="G170" i="7"/>
  <c r="T170" i="7"/>
  <c r="AQ170" i="7"/>
  <c r="BR170" i="7"/>
  <c r="BS170" i="7"/>
  <c r="BT170" i="7"/>
  <c r="BU170" i="7"/>
  <c r="BV170" i="7"/>
  <c r="BW170" i="7"/>
  <c r="BX170" i="7"/>
  <c r="BY170" i="7"/>
  <c r="CA170" i="7"/>
  <c r="CB170" i="7"/>
  <c r="CC170" i="7"/>
  <c r="CD170" i="7"/>
  <c r="CE170" i="7"/>
  <c r="CF170" i="7"/>
  <c r="CG170" i="7"/>
  <c r="CH170" i="7"/>
  <c r="E171" i="7"/>
  <c r="G171" i="7"/>
  <c r="T171" i="7"/>
  <c r="AP171" i="7"/>
  <c r="AQ171" i="7"/>
  <c r="BR171" i="7"/>
  <c r="BS171" i="7"/>
  <c r="BT171" i="7"/>
  <c r="BU171" i="7"/>
  <c r="BV171" i="7"/>
  <c r="BW171" i="7"/>
  <c r="BX171" i="7"/>
  <c r="BY171" i="7"/>
  <c r="CA171" i="7"/>
  <c r="CB171" i="7"/>
  <c r="CC171" i="7"/>
  <c r="CD171" i="7"/>
  <c r="CE171" i="7"/>
  <c r="CF171" i="7"/>
  <c r="CG171" i="7"/>
  <c r="CH171" i="7"/>
  <c r="E172" i="7"/>
  <c r="G172" i="7"/>
  <c r="T172" i="7"/>
  <c r="AP172" i="7"/>
  <c r="AQ172" i="7"/>
  <c r="BR172" i="7"/>
  <c r="BS172" i="7"/>
  <c r="BT172" i="7"/>
  <c r="BU172" i="7"/>
  <c r="BV172" i="7"/>
  <c r="BW172" i="7"/>
  <c r="BX172" i="7"/>
  <c r="BY172" i="7"/>
  <c r="CA172" i="7"/>
  <c r="CB172" i="7"/>
  <c r="CC172" i="7"/>
  <c r="CD172" i="7"/>
  <c r="CE172" i="7"/>
  <c r="CF172" i="7"/>
  <c r="CG172" i="7"/>
  <c r="CH172" i="7"/>
  <c r="E173" i="7"/>
  <c r="G173" i="7"/>
  <c r="T173" i="7"/>
  <c r="AP173" i="7"/>
  <c r="AQ173" i="7"/>
  <c r="BR173" i="7"/>
  <c r="BS173" i="7"/>
  <c r="BT173" i="7"/>
  <c r="BU173" i="7"/>
  <c r="BV173" i="7"/>
  <c r="BW173" i="7"/>
  <c r="BX173" i="7"/>
  <c r="BY173" i="7"/>
  <c r="CA173" i="7"/>
  <c r="CB173" i="7"/>
  <c r="CC173" i="7"/>
  <c r="CD173" i="7"/>
  <c r="CE173" i="7"/>
  <c r="CF173" i="7"/>
  <c r="CG173" i="7"/>
  <c r="CH173" i="7"/>
  <c r="E174" i="7"/>
  <c r="G174" i="7"/>
  <c r="T174" i="7"/>
  <c r="AP174" i="7"/>
  <c r="AQ174" i="7"/>
  <c r="BR174" i="7"/>
  <c r="BS174" i="7"/>
  <c r="BT174" i="7"/>
  <c r="BU174" i="7"/>
  <c r="BV174" i="7"/>
  <c r="BW174" i="7"/>
  <c r="BX174" i="7"/>
  <c r="BY174" i="7"/>
  <c r="CA174" i="7"/>
  <c r="CB174" i="7"/>
  <c r="CC174" i="7"/>
  <c r="CD174" i="7"/>
  <c r="CE174" i="7"/>
  <c r="CF174" i="7"/>
  <c r="CG174" i="7"/>
  <c r="CH174" i="7"/>
  <c r="E175" i="7"/>
  <c r="G175" i="7"/>
  <c r="T175" i="7"/>
  <c r="AP175" i="7"/>
  <c r="AQ175" i="7"/>
  <c r="BR175" i="7"/>
  <c r="BS175" i="7"/>
  <c r="BT175" i="7"/>
  <c r="BU175" i="7"/>
  <c r="BV175" i="7"/>
  <c r="BW175" i="7"/>
  <c r="BX175" i="7"/>
  <c r="BY175" i="7"/>
  <c r="CA175" i="7"/>
  <c r="CB175" i="7"/>
  <c r="CC175" i="7"/>
  <c r="CD175" i="7"/>
  <c r="CE175" i="7"/>
  <c r="CF175" i="7"/>
  <c r="CG175" i="7"/>
  <c r="CH175" i="7"/>
  <c r="E176" i="7"/>
  <c r="G176" i="7"/>
  <c r="T176" i="7"/>
  <c r="AP176" i="7"/>
  <c r="AQ176" i="7"/>
  <c r="BR176" i="7"/>
  <c r="BS176" i="7"/>
  <c r="BT176" i="7"/>
  <c r="BU176" i="7"/>
  <c r="BV176" i="7"/>
  <c r="BW176" i="7"/>
  <c r="BX176" i="7"/>
  <c r="BY176" i="7"/>
  <c r="CA176" i="7"/>
  <c r="CB176" i="7"/>
  <c r="CC176" i="7"/>
  <c r="CD176" i="7"/>
  <c r="CE176" i="7"/>
  <c r="CF176" i="7"/>
  <c r="CG176" i="7"/>
  <c r="CH176" i="7"/>
  <c r="E177" i="7"/>
  <c r="G177" i="7"/>
  <c r="T177" i="7"/>
  <c r="AP177" i="7"/>
  <c r="AQ177" i="7"/>
  <c r="BR177" i="7"/>
  <c r="BS177" i="7"/>
  <c r="BT177" i="7"/>
  <c r="BU177" i="7"/>
  <c r="BV177" i="7"/>
  <c r="BW177" i="7"/>
  <c r="BX177" i="7"/>
  <c r="BY177" i="7"/>
  <c r="CA177" i="7"/>
  <c r="CB177" i="7"/>
  <c r="CC177" i="7"/>
  <c r="CD177" i="7"/>
  <c r="CE177" i="7"/>
  <c r="CF177" i="7"/>
  <c r="CG177" i="7"/>
  <c r="CH177" i="7"/>
  <c r="E178" i="7"/>
  <c r="G178" i="7"/>
  <c r="T178" i="7"/>
  <c r="AP178" i="7"/>
  <c r="AQ178" i="7"/>
  <c r="BR178" i="7"/>
  <c r="BS178" i="7"/>
  <c r="BT178" i="7"/>
  <c r="BU178" i="7"/>
  <c r="BV178" i="7"/>
  <c r="BW178" i="7"/>
  <c r="BX178" i="7"/>
  <c r="BY178" i="7"/>
  <c r="CA178" i="7"/>
  <c r="CB178" i="7"/>
  <c r="CC178" i="7"/>
  <c r="CD178" i="7"/>
  <c r="CE178" i="7"/>
  <c r="CF178" i="7"/>
  <c r="CG178" i="7"/>
  <c r="CH178" i="7"/>
  <c r="E179" i="7"/>
  <c r="G179" i="7"/>
  <c r="T179" i="7"/>
  <c r="AP179" i="7"/>
  <c r="AQ179" i="7"/>
  <c r="BR179" i="7"/>
  <c r="BS179" i="7"/>
  <c r="BT179" i="7"/>
  <c r="BU179" i="7"/>
  <c r="BV179" i="7"/>
  <c r="BW179" i="7"/>
  <c r="BX179" i="7"/>
  <c r="BY179" i="7"/>
  <c r="CA179" i="7"/>
  <c r="CB179" i="7"/>
  <c r="CC179" i="7"/>
  <c r="CD179" i="7"/>
  <c r="CE179" i="7"/>
  <c r="CF179" i="7"/>
  <c r="CG179" i="7"/>
  <c r="CH179" i="7"/>
  <c r="E180" i="7"/>
  <c r="G180" i="7"/>
  <c r="T180" i="7"/>
  <c r="AP180" i="7"/>
  <c r="AQ180" i="7"/>
  <c r="BR180" i="7"/>
  <c r="BS180" i="7"/>
  <c r="BT180" i="7"/>
  <c r="BU180" i="7"/>
  <c r="BV180" i="7"/>
  <c r="BW180" i="7"/>
  <c r="BX180" i="7"/>
  <c r="BY180" i="7"/>
  <c r="CA180" i="7"/>
  <c r="CB180" i="7"/>
  <c r="CC180" i="7"/>
  <c r="CD180" i="7"/>
  <c r="CE180" i="7"/>
  <c r="CF180" i="7"/>
  <c r="CG180" i="7"/>
  <c r="CH180" i="7"/>
  <c r="E181" i="7"/>
  <c r="G181" i="7"/>
  <c r="T181" i="7"/>
  <c r="AP181" i="7"/>
  <c r="AQ181" i="7"/>
  <c r="BR181" i="7"/>
  <c r="BS181" i="7"/>
  <c r="BT181" i="7"/>
  <c r="BU181" i="7"/>
  <c r="BV181" i="7"/>
  <c r="BW181" i="7"/>
  <c r="BX181" i="7"/>
  <c r="BY181" i="7"/>
  <c r="CA181" i="7"/>
  <c r="CB181" i="7"/>
  <c r="CC181" i="7"/>
  <c r="CD181" i="7"/>
  <c r="CE181" i="7"/>
  <c r="CF181" i="7"/>
  <c r="CG181" i="7"/>
  <c r="CH181" i="7"/>
  <c r="E182" i="7"/>
  <c r="G182" i="7"/>
  <c r="T182" i="7"/>
  <c r="AP182" i="7"/>
  <c r="AQ182" i="7"/>
  <c r="BR182" i="7"/>
  <c r="BS182" i="7"/>
  <c r="BT182" i="7"/>
  <c r="BU182" i="7"/>
  <c r="BV182" i="7"/>
  <c r="BW182" i="7"/>
  <c r="BX182" i="7"/>
  <c r="BY182" i="7"/>
  <c r="CA182" i="7"/>
  <c r="CB182" i="7"/>
  <c r="CC182" i="7"/>
  <c r="CD182" i="7"/>
  <c r="CE182" i="7"/>
  <c r="CF182" i="7"/>
  <c r="CG182" i="7"/>
  <c r="CH182" i="7"/>
  <c r="E183" i="7"/>
  <c r="G183" i="7"/>
  <c r="T183" i="7"/>
  <c r="AP183" i="7"/>
  <c r="AQ183" i="7"/>
  <c r="BR183" i="7"/>
  <c r="BS183" i="7"/>
  <c r="BT183" i="7"/>
  <c r="BU183" i="7"/>
  <c r="BV183" i="7"/>
  <c r="BW183" i="7"/>
  <c r="BX183" i="7"/>
  <c r="BY183" i="7"/>
  <c r="CA183" i="7"/>
  <c r="CB183" i="7"/>
  <c r="CC183" i="7"/>
  <c r="CD183" i="7"/>
  <c r="CE183" i="7"/>
  <c r="CF183" i="7"/>
  <c r="CG183" i="7"/>
  <c r="CH183" i="7"/>
  <c r="E184" i="7"/>
  <c r="G184" i="7"/>
  <c r="T184" i="7"/>
  <c r="AP184" i="7"/>
  <c r="AQ184" i="7"/>
  <c r="BR184" i="7"/>
  <c r="BS184" i="7"/>
  <c r="BT184" i="7"/>
  <c r="BU184" i="7"/>
  <c r="BV184" i="7"/>
  <c r="BW184" i="7"/>
  <c r="BX184" i="7"/>
  <c r="BY184" i="7"/>
  <c r="CA184" i="7"/>
  <c r="CB184" i="7"/>
  <c r="CC184" i="7"/>
  <c r="CD184" i="7"/>
  <c r="CE184" i="7"/>
  <c r="CF184" i="7"/>
  <c r="CG184" i="7"/>
  <c r="CH184" i="7"/>
  <c r="E185" i="7"/>
  <c r="G185" i="7"/>
  <c r="T185" i="7"/>
  <c r="AQ185" i="7"/>
  <c r="BR185" i="7"/>
  <c r="BS185" i="7"/>
  <c r="BT185" i="7"/>
  <c r="BU185" i="7"/>
  <c r="BV185" i="7"/>
  <c r="BW185" i="7"/>
  <c r="BX185" i="7"/>
  <c r="BY185" i="7"/>
  <c r="CA185" i="7"/>
  <c r="CB185" i="7"/>
  <c r="CC185" i="7"/>
  <c r="CD185" i="7"/>
  <c r="CE185" i="7"/>
  <c r="CF185" i="7"/>
  <c r="CG185" i="7"/>
  <c r="CH185" i="7"/>
  <c r="E186" i="7"/>
  <c r="G186" i="7"/>
  <c r="T186" i="7"/>
  <c r="AP186" i="7"/>
  <c r="AQ186" i="7"/>
  <c r="BR186" i="7"/>
  <c r="BS186" i="7"/>
  <c r="BT186" i="7"/>
  <c r="BU186" i="7"/>
  <c r="BV186" i="7"/>
  <c r="BW186" i="7"/>
  <c r="BX186" i="7"/>
  <c r="BY186" i="7"/>
  <c r="CA186" i="7"/>
  <c r="CB186" i="7"/>
  <c r="CC186" i="7"/>
  <c r="CD186" i="7"/>
  <c r="CE186" i="7"/>
  <c r="CF186" i="7"/>
  <c r="CG186" i="7"/>
  <c r="CH186" i="7"/>
  <c r="E187" i="7"/>
  <c r="T187" i="7"/>
  <c r="AQ187" i="7"/>
  <c r="BR187" i="7"/>
  <c r="BS187" i="7"/>
  <c r="BT187" i="7"/>
  <c r="BU187" i="7"/>
  <c r="BV187" i="7"/>
  <c r="BW187" i="7"/>
  <c r="BX187" i="7"/>
  <c r="BY187" i="7"/>
  <c r="CA187" i="7"/>
  <c r="CB187" i="7"/>
  <c r="CC187" i="7"/>
  <c r="CD187" i="7"/>
  <c r="CE187" i="7"/>
  <c r="CF187" i="7"/>
  <c r="CG187" i="7"/>
  <c r="CH187" i="7"/>
  <c r="E188" i="7"/>
  <c r="G188" i="7"/>
  <c r="T188" i="7"/>
  <c r="AQ188" i="7"/>
  <c r="BR188" i="7"/>
  <c r="BS188" i="7"/>
  <c r="BT188" i="7"/>
  <c r="BU188" i="7"/>
  <c r="BV188" i="7"/>
  <c r="BW188" i="7"/>
  <c r="BX188" i="7"/>
  <c r="BY188" i="7"/>
  <c r="CA188" i="7"/>
  <c r="CB188" i="7"/>
  <c r="CC188" i="7"/>
  <c r="CD188" i="7"/>
  <c r="CE188" i="7"/>
  <c r="CF188" i="7"/>
  <c r="CG188" i="7"/>
  <c r="CH188" i="7"/>
  <c r="E189" i="7"/>
  <c r="G189" i="7"/>
  <c r="T189" i="7"/>
  <c r="AQ189" i="7"/>
  <c r="BR189" i="7"/>
  <c r="BS189" i="7"/>
  <c r="BT189" i="7"/>
  <c r="BU189" i="7"/>
  <c r="BV189" i="7"/>
  <c r="BW189" i="7"/>
  <c r="BX189" i="7"/>
  <c r="BY189" i="7"/>
  <c r="CA189" i="7"/>
  <c r="CB189" i="7"/>
  <c r="CC189" i="7"/>
  <c r="CD189" i="7"/>
  <c r="CE189" i="7"/>
  <c r="CF189" i="7"/>
  <c r="CG189" i="7"/>
  <c r="CH189" i="7"/>
  <c r="E190" i="7"/>
  <c r="G190" i="7"/>
  <c r="T190" i="7"/>
  <c r="AP190" i="7"/>
  <c r="AQ190" i="7"/>
  <c r="BR190" i="7"/>
  <c r="BS190" i="7"/>
  <c r="BT190" i="7"/>
  <c r="BU190" i="7"/>
  <c r="BV190" i="7"/>
  <c r="BW190" i="7"/>
  <c r="BX190" i="7"/>
  <c r="BY190" i="7"/>
  <c r="CA190" i="7"/>
  <c r="CB190" i="7"/>
  <c r="CC190" i="7"/>
  <c r="CD190" i="7"/>
  <c r="CE190" i="7"/>
  <c r="CF190" i="7"/>
  <c r="CG190" i="7"/>
  <c r="CH190" i="7"/>
  <c r="E191" i="7"/>
  <c r="G191" i="7"/>
  <c r="T191" i="7"/>
  <c r="AP191" i="7"/>
  <c r="AQ191" i="7"/>
  <c r="BR191" i="7"/>
  <c r="BS191" i="7"/>
  <c r="BT191" i="7"/>
  <c r="BU191" i="7"/>
  <c r="BV191" i="7"/>
  <c r="BW191" i="7"/>
  <c r="BX191" i="7"/>
  <c r="BY191" i="7"/>
  <c r="CA191" i="7"/>
  <c r="CB191" i="7"/>
  <c r="CC191" i="7"/>
  <c r="CD191" i="7"/>
  <c r="CE191" i="7"/>
  <c r="CF191" i="7"/>
  <c r="CG191" i="7"/>
  <c r="CH191" i="7"/>
  <c r="E192" i="7"/>
  <c r="G192" i="7"/>
  <c r="T192" i="7"/>
  <c r="AP192" i="7"/>
  <c r="AQ192" i="7"/>
  <c r="BR192" i="7"/>
  <c r="BS192" i="7"/>
  <c r="BT192" i="7"/>
  <c r="BU192" i="7"/>
  <c r="BV192" i="7"/>
  <c r="BW192" i="7"/>
  <c r="BX192" i="7"/>
  <c r="BY192" i="7"/>
  <c r="CA192" i="7"/>
  <c r="CB192" i="7"/>
  <c r="CC192" i="7"/>
  <c r="CD192" i="7"/>
  <c r="CE192" i="7"/>
  <c r="CF192" i="7"/>
  <c r="CG192" i="7"/>
  <c r="CH192" i="7"/>
  <c r="E193" i="7"/>
  <c r="G193" i="7"/>
  <c r="T193" i="7"/>
  <c r="AQ193" i="7"/>
  <c r="BR193" i="7"/>
  <c r="BS193" i="7"/>
  <c r="BT193" i="7"/>
  <c r="BU193" i="7"/>
  <c r="BV193" i="7"/>
  <c r="BW193" i="7"/>
  <c r="BX193" i="7"/>
  <c r="BY193" i="7"/>
  <c r="CA193" i="7"/>
  <c r="CB193" i="7"/>
  <c r="CC193" i="7"/>
  <c r="CD193" i="7"/>
  <c r="CE193" i="7"/>
  <c r="CF193" i="7"/>
  <c r="CG193" i="7"/>
  <c r="CH193" i="7"/>
  <c r="E194" i="7"/>
  <c r="G194" i="7"/>
  <c r="T194" i="7"/>
  <c r="AP194" i="7"/>
  <c r="AQ194" i="7"/>
  <c r="BR194" i="7"/>
  <c r="BS194" i="7"/>
  <c r="BT194" i="7"/>
  <c r="BU194" i="7"/>
  <c r="BV194" i="7"/>
  <c r="BW194" i="7"/>
  <c r="BX194" i="7"/>
  <c r="BY194" i="7"/>
  <c r="CA194" i="7"/>
  <c r="CB194" i="7"/>
  <c r="CC194" i="7"/>
  <c r="CD194" i="7"/>
  <c r="CE194" i="7"/>
  <c r="CF194" i="7"/>
  <c r="CG194" i="7"/>
  <c r="CH194" i="7"/>
  <c r="E195" i="7"/>
  <c r="G195" i="7"/>
  <c r="T195" i="7"/>
  <c r="AP195" i="7"/>
  <c r="AQ195" i="7"/>
  <c r="BR195" i="7"/>
  <c r="BS195" i="7"/>
  <c r="BT195" i="7"/>
  <c r="BU195" i="7"/>
  <c r="BV195" i="7"/>
  <c r="BW195" i="7"/>
  <c r="BX195" i="7"/>
  <c r="BY195" i="7"/>
  <c r="CA195" i="7"/>
  <c r="CB195" i="7"/>
  <c r="CC195" i="7"/>
  <c r="CD195" i="7"/>
  <c r="CE195" i="7"/>
  <c r="CF195" i="7"/>
  <c r="CG195" i="7"/>
  <c r="CH195" i="7"/>
  <c r="E196" i="7"/>
  <c r="G196" i="7"/>
  <c r="T196" i="7"/>
  <c r="AP196" i="7"/>
  <c r="AQ196" i="7"/>
  <c r="BR196" i="7"/>
  <c r="BS196" i="7"/>
  <c r="BT196" i="7"/>
  <c r="BU196" i="7"/>
  <c r="BV196" i="7"/>
  <c r="BW196" i="7"/>
  <c r="BX196" i="7"/>
  <c r="BY196" i="7"/>
  <c r="CA196" i="7"/>
  <c r="CB196" i="7"/>
  <c r="CC196" i="7"/>
  <c r="CD196" i="7"/>
  <c r="CE196" i="7"/>
  <c r="CF196" i="7"/>
  <c r="CG196" i="7"/>
  <c r="CH196" i="7"/>
  <c r="E197" i="7"/>
  <c r="G197" i="7"/>
  <c r="T197" i="7"/>
  <c r="AP197" i="7"/>
  <c r="AQ197" i="7"/>
  <c r="BR197" i="7"/>
  <c r="BS197" i="7"/>
  <c r="BT197" i="7"/>
  <c r="BU197" i="7"/>
  <c r="BV197" i="7"/>
  <c r="BW197" i="7"/>
  <c r="BX197" i="7"/>
  <c r="BY197" i="7"/>
  <c r="CA197" i="7"/>
  <c r="CB197" i="7"/>
  <c r="CC197" i="7"/>
  <c r="CD197" i="7"/>
  <c r="CE197" i="7"/>
  <c r="CF197" i="7"/>
  <c r="CG197" i="7"/>
  <c r="CH197" i="7"/>
  <c r="E198" i="7"/>
  <c r="G198" i="7"/>
  <c r="T198" i="7"/>
  <c r="AP198" i="7"/>
  <c r="AQ198" i="7"/>
  <c r="BR198" i="7"/>
  <c r="BS198" i="7"/>
  <c r="BT198" i="7"/>
  <c r="BU198" i="7"/>
  <c r="BV198" i="7"/>
  <c r="BW198" i="7"/>
  <c r="BX198" i="7"/>
  <c r="BY198" i="7"/>
  <c r="CA198" i="7"/>
  <c r="CB198" i="7"/>
  <c r="CC198" i="7"/>
  <c r="CD198" i="7"/>
  <c r="CE198" i="7"/>
  <c r="CF198" i="7"/>
  <c r="CG198" i="7"/>
  <c r="CH198" i="7"/>
  <c r="E199" i="7"/>
  <c r="G199" i="7"/>
  <c r="T199" i="7"/>
  <c r="AP199" i="7"/>
  <c r="AQ199" i="7"/>
  <c r="BR199" i="7"/>
  <c r="BS199" i="7"/>
  <c r="BT199" i="7"/>
  <c r="BU199" i="7"/>
  <c r="BV199" i="7"/>
  <c r="BW199" i="7"/>
  <c r="BX199" i="7"/>
  <c r="BY199" i="7"/>
  <c r="CA199" i="7"/>
  <c r="CB199" i="7"/>
  <c r="CC199" i="7"/>
  <c r="CD199" i="7"/>
  <c r="CE199" i="7"/>
  <c r="CF199" i="7"/>
  <c r="CG199" i="7"/>
  <c r="CH199" i="7"/>
  <c r="E200" i="7"/>
  <c r="G200" i="7"/>
  <c r="T200" i="7"/>
  <c r="AP200" i="7"/>
  <c r="AQ200" i="7"/>
  <c r="BR200" i="7"/>
  <c r="BS200" i="7"/>
  <c r="BT200" i="7"/>
  <c r="BU200" i="7"/>
  <c r="BV200" i="7"/>
  <c r="BW200" i="7"/>
  <c r="BX200" i="7"/>
  <c r="BY200" i="7"/>
  <c r="CA200" i="7"/>
  <c r="CB200" i="7"/>
  <c r="CC200" i="7"/>
  <c r="CD200" i="7"/>
  <c r="CE200" i="7"/>
  <c r="CF200" i="7"/>
  <c r="CG200" i="7"/>
  <c r="CH200" i="7"/>
  <c r="E201" i="7"/>
  <c r="G201" i="7"/>
  <c r="T201" i="7"/>
  <c r="AP201" i="7"/>
  <c r="AQ201" i="7"/>
  <c r="BR201" i="7"/>
  <c r="BS201" i="7"/>
  <c r="BT201" i="7"/>
  <c r="BU201" i="7"/>
  <c r="BV201" i="7"/>
  <c r="BW201" i="7"/>
  <c r="BX201" i="7"/>
  <c r="BY201" i="7"/>
  <c r="CA201" i="7"/>
  <c r="CB201" i="7"/>
  <c r="CC201" i="7"/>
  <c r="CD201" i="7"/>
  <c r="CE201" i="7"/>
  <c r="CF201" i="7"/>
  <c r="CG201" i="7"/>
  <c r="CH201" i="7"/>
  <c r="E202" i="7"/>
  <c r="G202" i="7"/>
  <c r="T202" i="7"/>
  <c r="AP202" i="7"/>
  <c r="AQ202" i="7"/>
  <c r="BR202" i="7"/>
  <c r="BS202" i="7"/>
  <c r="BT202" i="7"/>
  <c r="BU202" i="7"/>
  <c r="BV202" i="7"/>
  <c r="BW202" i="7"/>
  <c r="BX202" i="7"/>
  <c r="BY202" i="7"/>
  <c r="CA202" i="7"/>
  <c r="CB202" i="7"/>
  <c r="CC202" i="7"/>
  <c r="CD202" i="7"/>
  <c r="CE202" i="7"/>
  <c r="CF202" i="7"/>
  <c r="CG202" i="7"/>
  <c r="CH202" i="7"/>
  <c r="E203" i="7"/>
  <c r="G203" i="7"/>
  <c r="T203" i="7"/>
  <c r="AP203" i="7"/>
  <c r="AQ203" i="7"/>
  <c r="BR203" i="7"/>
  <c r="BS203" i="7"/>
  <c r="BT203" i="7"/>
  <c r="BU203" i="7"/>
  <c r="BV203" i="7"/>
  <c r="BW203" i="7"/>
  <c r="BX203" i="7"/>
  <c r="BY203" i="7"/>
  <c r="CA203" i="7"/>
  <c r="CB203" i="7"/>
  <c r="CC203" i="7"/>
  <c r="CD203" i="7"/>
  <c r="CE203" i="7"/>
  <c r="CF203" i="7"/>
  <c r="CG203" i="7"/>
  <c r="CH203" i="7"/>
  <c r="E204" i="7"/>
  <c r="G204" i="7"/>
  <c r="T204" i="7"/>
  <c r="AP204" i="7"/>
  <c r="AQ204" i="7"/>
  <c r="BR204" i="7"/>
  <c r="BS204" i="7"/>
  <c r="BT204" i="7"/>
  <c r="BU204" i="7"/>
  <c r="BV204" i="7"/>
  <c r="BW204" i="7"/>
  <c r="BX204" i="7"/>
  <c r="BY204" i="7"/>
  <c r="CA204" i="7"/>
  <c r="CB204" i="7"/>
  <c r="CC204" i="7"/>
  <c r="CD204" i="7"/>
  <c r="CE204" i="7"/>
  <c r="CF204" i="7"/>
  <c r="CG204" i="7"/>
  <c r="CH204" i="7"/>
  <c r="E205" i="7"/>
  <c r="G205" i="7"/>
  <c r="T205" i="7"/>
  <c r="AP205" i="7"/>
  <c r="AQ205" i="7"/>
  <c r="BR205" i="7"/>
  <c r="BS205" i="7"/>
  <c r="BT205" i="7"/>
  <c r="BU205" i="7"/>
  <c r="BV205" i="7"/>
  <c r="BW205" i="7"/>
  <c r="BX205" i="7"/>
  <c r="BY205" i="7"/>
  <c r="CA205" i="7"/>
  <c r="CB205" i="7"/>
  <c r="CC205" i="7"/>
  <c r="CD205" i="7"/>
  <c r="CE205" i="7"/>
  <c r="CF205" i="7"/>
  <c r="CG205" i="7"/>
  <c r="CH205" i="7"/>
  <c r="E206" i="7"/>
  <c r="G206" i="7"/>
  <c r="T206" i="7"/>
  <c r="AP206" i="7"/>
  <c r="AQ206" i="7"/>
  <c r="BR206" i="7"/>
  <c r="BS206" i="7"/>
  <c r="BT206" i="7"/>
  <c r="BU206" i="7"/>
  <c r="BV206" i="7"/>
  <c r="BW206" i="7"/>
  <c r="BX206" i="7"/>
  <c r="BY206" i="7"/>
  <c r="CA206" i="7"/>
  <c r="CB206" i="7"/>
  <c r="CC206" i="7"/>
  <c r="CD206" i="7"/>
  <c r="CE206" i="7"/>
  <c r="CF206" i="7"/>
  <c r="CG206" i="7"/>
  <c r="CH206" i="7"/>
  <c r="E207" i="7"/>
  <c r="G207" i="7"/>
  <c r="T207" i="7"/>
  <c r="AP207" i="7"/>
  <c r="AQ207" i="7"/>
  <c r="BR207" i="7"/>
  <c r="BS207" i="7"/>
  <c r="BT207" i="7"/>
  <c r="BU207" i="7"/>
  <c r="BV207" i="7"/>
  <c r="BW207" i="7"/>
  <c r="BX207" i="7"/>
  <c r="BY207" i="7"/>
  <c r="CA207" i="7"/>
  <c r="CB207" i="7"/>
  <c r="CC207" i="7"/>
  <c r="CD207" i="7"/>
  <c r="CE207" i="7"/>
  <c r="CF207" i="7"/>
  <c r="CG207" i="7"/>
  <c r="CH207" i="7"/>
  <c r="E208" i="7"/>
  <c r="G208" i="7"/>
  <c r="T208" i="7"/>
  <c r="AP208" i="7"/>
  <c r="AQ208" i="7"/>
  <c r="BR208" i="7"/>
  <c r="BS208" i="7"/>
  <c r="BT208" i="7"/>
  <c r="BU208" i="7"/>
  <c r="BV208" i="7"/>
  <c r="BW208" i="7"/>
  <c r="BX208" i="7"/>
  <c r="BY208" i="7"/>
  <c r="CA208" i="7"/>
  <c r="CB208" i="7"/>
  <c r="CC208" i="7"/>
  <c r="CD208" i="7"/>
  <c r="CE208" i="7"/>
  <c r="CF208" i="7"/>
  <c r="CG208" i="7"/>
  <c r="CH208" i="7"/>
  <c r="E209" i="7"/>
  <c r="G209" i="7"/>
  <c r="T209" i="7"/>
  <c r="AP209" i="7"/>
  <c r="AQ209" i="7"/>
  <c r="BR209" i="7"/>
  <c r="BS209" i="7"/>
  <c r="BT209" i="7"/>
  <c r="BU209" i="7"/>
  <c r="BV209" i="7"/>
  <c r="BW209" i="7"/>
  <c r="BX209" i="7"/>
  <c r="BY209" i="7"/>
  <c r="CA209" i="7"/>
  <c r="CB209" i="7"/>
  <c r="CC209" i="7"/>
  <c r="CD209" i="7"/>
  <c r="CE209" i="7"/>
  <c r="CF209" i="7"/>
  <c r="CG209" i="7"/>
  <c r="CH209" i="7"/>
  <c r="E210" i="7"/>
  <c r="G210" i="7"/>
  <c r="T210" i="7"/>
  <c r="AP210" i="7"/>
  <c r="AQ210" i="7"/>
  <c r="BR210" i="7"/>
  <c r="BS210" i="7"/>
  <c r="BT210" i="7"/>
  <c r="BU210" i="7"/>
  <c r="BV210" i="7"/>
  <c r="BW210" i="7"/>
  <c r="BX210" i="7"/>
  <c r="BY210" i="7"/>
  <c r="CA210" i="7"/>
  <c r="CB210" i="7"/>
  <c r="CC210" i="7"/>
  <c r="CD210" i="7"/>
  <c r="CE210" i="7"/>
  <c r="CF210" i="7"/>
  <c r="CG210" i="7"/>
  <c r="CH210" i="7"/>
  <c r="E211" i="7"/>
  <c r="G211" i="7"/>
  <c r="T211" i="7"/>
  <c r="AP211" i="7"/>
  <c r="AQ211" i="7"/>
  <c r="BR211" i="7"/>
  <c r="BS211" i="7"/>
  <c r="BT211" i="7"/>
  <c r="BU211" i="7"/>
  <c r="BV211" i="7"/>
  <c r="BW211" i="7"/>
  <c r="BX211" i="7"/>
  <c r="BY211" i="7"/>
  <c r="CA211" i="7"/>
  <c r="CB211" i="7"/>
  <c r="CC211" i="7"/>
  <c r="CD211" i="7"/>
  <c r="CE211" i="7"/>
  <c r="CF211" i="7"/>
  <c r="CG211" i="7"/>
  <c r="CH211" i="7"/>
  <c r="E212" i="7"/>
  <c r="G212" i="7"/>
  <c r="T212" i="7"/>
  <c r="AP212" i="7"/>
  <c r="AQ212" i="7"/>
  <c r="BR212" i="7"/>
  <c r="BS212" i="7"/>
  <c r="BT212" i="7"/>
  <c r="BU212" i="7"/>
  <c r="BV212" i="7"/>
  <c r="BW212" i="7"/>
  <c r="BX212" i="7"/>
  <c r="BY212" i="7"/>
  <c r="CA212" i="7"/>
  <c r="CB212" i="7"/>
  <c r="CC212" i="7"/>
  <c r="CD212" i="7"/>
  <c r="CE212" i="7"/>
  <c r="CF212" i="7"/>
  <c r="CG212" i="7"/>
  <c r="CH212" i="7"/>
  <c r="E213" i="7"/>
  <c r="G213" i="7"/>
  <c r="T213" i="7"/>
  <c r="AP213" i="7"/>
  <c r="AQ213" i="7"/>
  <c r="BR213" i="7"/>
  <c r="BS213" i="7"/>
  <c r="BT213" i="7"/>
  <c r="BU213" i="7"/>
  <c r="BV213" i="7"/>
  <c r="BW213" i="7"/>
  <c r="BX213" i="7"/>
  <c r="BY213" i="7"/>
  <c r="CA213" i="7"/>
  <c r="CB213" i="7"/>
  <c r="CC213" i="7"/>
  <c r="CD213" i="7"/>
  <c r="CE213" i="7"/>
  <c r="CF213" i="7"/>
  <c r="CG213" i="7"/>
  <c r="CH213" i="7"/>
  <c r="E214" i="7"/>
  <c r="G214" i="7"/>
  <c r="T214" i="7"/>
  <c r="AP214" i="7"/>
  <c r="AQ214" i="7"/>
  <c r="BR214" i="7"/>
  <c r="BS214" i="7"/>
  <c r="BT214" i="7"/>
  <c r="BU214" i="7"/>
  <c r="BV214" i="7"/>
  <c r="BW214" i="7"/>
  <c r="BX214" i="7"/>
  <c r="BY214" i="7"/>
  <c r="CA214" i="7"/>
  <c r="CB214" i="7"/>
  <c r="CC214" i="7"/>
  <c r="CD214" i="7"/>
  <c r="CE214" i="7"/>
  <c r="CF214" i="7"/>
  <c r="CG214" i="7"/>
  <c r="CH214" i="7"/>
  <c r="E215" i="7"/>
  <c r="G215" i="7"/>
  <c r="T215" i="7"/>
  <c r="AP215" i="7"/>
  <c r="AQ215" i="7"/>
  <c r="BR215" i="7"/>
  <c r="BS215" i="7"/>
  <c r="BT215" i="7"/>
  <c r="BU215" i="7"/>
  <c r="BV215" i="7"/>
  <c r="BW215" i="7"/>
  <c r="BX215" i="7"/>
  <c r="BY215" i="7"/>
  <c r="CA215" i="7"/>
  <c r="CB215" i="7"/>
  <c r="CC215" i="7"/>
  <c r="CD215" i="7"/>
  <c r="CE215" i="7"/>
  <c r="CF215" i="7"/>
  <c r="CG215" i="7"/>
  <c r="CH215" i="7"/>
  <c r="E216" i="7"/>
  <c r="G216" i="7"/>
  <c r="T216" i="7"/>
  <c r="AP216" i="7"/>
  <c r="AQ216" i="7"/>
  <c r="BR216" i="7"/>
  <c r="BS216" i="7"/>
  <c r="BT216" i="7"/>
  <c r="BU216" i="7"/>
  <c r="BV216" i="7"/>
  <c r="BW216" i="7"/>
  <c r="BX216" i="7"/>
  <c r="BY216" i="7"/>
  <c r="CA216" i="7"/>
  <c r="CB216" i="7"/>
  <c r="CC216" i="7"/>
  <c r="CD216" i="7"/>
  <c r="CE216" i="7"/>
  <c r="CF216" i="7"/>
  <c r="CG216" i="7"/>
  <c r="CH216" i="7"/>
  <c r="E217" i="7"/>
  <c r="G217" i="7"/>
  <c r="T217" i="7"/>
  <c r="AP217" i="7"/>
  <c r="AQ217" i="7"/>
  <c r="BR217" i="7"/>
  <c r="BS217" i="7"/>
  <c r="BT217" i="7"/>
  <c r="BU217" i="7"/>
  <c r="BV217" i="7"/>
  <c r="BW217" i="7"/>
  <c r="BX217" i="7"/>
  <c r="BY217" i="7"/>
  <c r="CA217" i="7"/>
  <c r="CB217" i="7"/>
  <c r="CC217" i="7"/>
  <c r="CD217" i="7"/>
  <c r="CE217" i="7"/>
  <c r="CF217" i="7"/>
  <c r="CG217" i="7"/>
  <c r="CH217" i="7"/>
  <c r="E218" i="7"/>
  <c r="G218" i="7"/>
  <c r="T218" i="7"/>
  <c r="AP218" i="7"/>
  <c r="AQ218" i="7"/>
  <c r="BR218" i="7"/>
  <c r="BS218" i="7"/>
  <c r="BT218" i="7"/>
  <c r="BU218" i="7"/>
  <c r="BV218" i="7"/>
  <c r="BW218" i="7"/>
  <c r="BX218" i="7"/>
  <c r="BY218" i="7"/>
  <c r="CA218" i="7"/>
  <c r="CB218" i="7"/>
  <c r="CC218" i="7"/>
  <c r="CD218" i="7"/>
  <c r="CE218" i="7"/>
  <c r="CF218" i="7"/>
  <c r="CG218" i="7"/>
  <c r="CH218" i="7"/>
  <c r="E219" i="7"/>
  <c r="G219" i="7"/>
  <c r="T219" i="7"/>
  <c r="AP219" i="7"/>
  <c r="AQ219" i="7"/>
  <c r="BR219" i="7"/>
  <c r="BS219" i="7"/>
  <c r="BT219" i="7"/>
  <c r="BU219" i="7"/>
  <c r="BV219" i="7"/>
  <c r="BW219" i="7"/>
  <c r="BX219" i="7"/>
  <c r="BY219" i="7"/>
  <c r="CA219" i="7"/>
  <c r="CB219" i="7"/>
  <c r="CC219" i="7"/>
  <c r="CD219" i="7"/>
  <c r="CE219" i="7"/>
  <c r="CF219" i="7"/>
  <c r="CG219" i="7"/>
  <c r="CH219" i="7"/>
  <c r="E220" i="7"/>
  <c r="G220" i="7"/>
  <c r="T220" i="7"/>
  <c r="AP220" i="7"/>
  <c r="AQ220" i="7"/>
  <c r="BR220" i="7"/>
  <c r="BS220" i="7"/>
  <c r="BT220" i="7"/>
  <c r="BU220" i="7"/>
  <c r="BV220" i="7"/>
  <c r="BW220" i="7"/>
  <c r="BX220" i="7"/>
  <c r="BY220" i="7"/>
  <c r="CA220" i="7"/>
  <c r="CB220" i="7"/>
  <c r="CC220" i="7"/>
  <c r="CD220" i="7"/>
  <c r="CE220" i="7"/>
  <c r="CF220" i="7"/>
  <c r="CG220" i="7"/>
  <c r="CH220" i="7"/>
  <c r="E221" i="7"/>
  <c r="G221" i="7"/>
  <c r="T221" i="7"/>
  <c r="AP221" i="7"/>
  <c r="AQ221" i="7"/>
  <c r="BR221" i="7"/>
  <c r="BS221" i="7"/>
  <c r="BT221" i="7"/>
  <c r="BU221" i="7"/>
  <c r="BV221" i="7"/>
  <c r="BW221" i="7"/>
  <c r="BX221" i="7"/>
  <c r="BY221" i="7"/>
  <c r="CA221" i="7"/>
  <c r="CB221" i="7"/>
  <c r="CC221" i="7"/>
  <c r="CD221" i="7"/>
  <c r="CE221" i="7"/>
  <c r="CF221" i="7"/>
  <c r="CG221" i="7"/>
  <c r="CH221" i="7"/>
  <c r="E222" i="7"/>
  <c r="G222" i="7"/>
  <c r="T222" i="7"/>
  <c r="AP222" i="7"/>
  <c r="AQ222" i="7"/>
  <c r="BR222" i="7"/>
  <c r="BS222" i="7"/>
  <c r="BT222" i="7"/>
  <c r="BU222" i="7"/>
  <c r="BV222" i="7"/>
  <c r="BW222" i="7"/>
  <c r="BX222" i="7"/>
  <c r="BY222" i="7"/>
  <c r="CA222" i="7"/>
  <c r="CB222" i="7"/>
  <c r="CC222" i="7"/>
  <c r="CD222" i="7"/>
  <c r="CE222" i="7"/>
  <c r="CF222" i="7"/>
  <c r="CG222" i="7"/>
  <c r="CH222" i="7"/>
  <c r="E223" i="7"/>
  <c r="G223" i="7"/>
  <c r="T223" i="7"/>
  <c r="AP223" i="7"/>
  <c r="AQ223" i="7"/>
  <c r="BR223" i="7"/>
  <c r="BS223" i="7"/>
  <c r="BT223" i="7"/>
  <c r="BU223" i="7"/>
  <c r="BV223" i="7"/>
  <c r="BW223" i="7"/>
  <c r="BX223" i="7"/>
  <c r="BY223" i="7"/>
  <c r="CA223" i="7"/>
  <c r="CB223" i="7"/>
  <c r="CC223" i="7"/>
  <c r="CD223" i="7"/>
  <c r="CE223" i="7"/>
  <c r="CF223" i="7"/>
  <c r="CG223" i="7"/>
  <c r="CH223" i="7"/>
  <c r="E224" i="7"/>
  <c r="G224" i="7"/>
  <c r="T224" i="7"/>
  <c r="AP224" i="7"/>
  <c r="AQ224" i="7"/>
  <c r="BR224" i="7"/>
  <c r="BS224" i="7"/>
  <c r="BT224" i="7"/>
  <c r="BU224" i="7"/>
  <c r="BV224" i="7"/>
  <c r="BW224" i="7"/>
  <c r="BX224" i="7"/>
  <c r="BY224" i="7"/>
  <c r="CA224" i="7"/>
  <c r="CB224" i="7"/>
  <c r="CC224" i="7"/>
  <c r="CD224" i="7"/>
  <c r="CE224" i="7"/>
  <c r="CF224" i="7"/>
  <c r="CG224" i="7"/>
  <c r="CH224" i="7"/>
  <c r="E225" i="7"/>
  <c r="G225" i="7"/>
  <c r="T225" i="7"/>
  <c r="AP225" i="7"/>
  <c r="AQ225" i="7"/>
  <c r="BR225" i="7"/>
  <c r="BS225" i="7"/>
  <c r="BT225" i="7"/>
  <c r="BU225" i="7"/>
  <c r="BV225" i="7"/>
  <c r="BW225" i="7"/>
  <c r="BX225" i="7"/>
  <c r="BY225" i="7"/>
  <c r="CA225" i="7"/>
  <c r="CB225" i="7"/>
  <c r="CC225" i="7"/>
  <c r="CD225" i="7"/>
  <c r="CE225" i="7"/>
  <c r="CF225" i="7"/>
  <c r="CG225" i="7"/>
  <c r="CH225" i="7"/>
  <c r="E226" i="7"/>
  <c r="G226" i="7"/>
  <c r="T226" i="7"/>
  <c r="AP226" i="7"/>
  <c r="AQ226" i="7"/>
  <c r="BR226" i="7"/>
  <c r="BS226" i="7"/>
  <c r="BT226" i="7"/>
  <c r="BU226" i="7"/>
  <c r="BV226" i="7"/>
  <c r="BW226" i="7"/>
  <c r="BX226" i="7"/>
  <c r="BY226" i="7"/>
  <c r="CA226" i="7"/>
  <c r="CB226" i="7"/>
  <c r="CC226" i="7"/>
  <c r="CD226" i="7"/>
  <c r="CE226" i="7"/>
  <c r="CF226" i="7"/>
  <c r="CG226" i="7"/>
  <c r="CH226" i="7"/>
  <c r="E227" i="7"/>
  <c r="G227" i="7"/>
  <c r="T227" i="7"/>
  <c r="AP227" i="7"/>
  <c r="AQ227" i="7"/>
  <c r="BR227" i="7"/>
  <c r="BS227" i="7"/>
  <c r="BT227" i="7"/>
  <c r="BU227" i="7"/>
  <c r="BV227" i="7"/>
  <c r="BW227" i="7"/>
  <c r="BX227" i="7"/>
  <c r="BY227" i="7"/>
  <c r="CA227" i="7"/>
  <c r="CB227" i="7"/>
  <c r="CC227" i="7"/>
  <c r="CD227" i="7"/>
  <c r="CE227" i="7"/>
  <c r="CF227" i="7"/>
  <c r="CG227" i="7"/>
  <c r="CH227" i="7"/>
  <c r="E228" i="7"/>
  <c r="G228" i="7"/>
  <c r="T228" i="7"/>
  <c r="AP228" i="7"/>
  <c r="AQ228" i="7"/>
  <c r="BR228" i="7"/>
  <c r="BS228" i="7"/>
  <c r="BT228" i="7"/>
  <c r="BU228" i="7"/>
  <c r="BV228" i="7"/>
  <c r="BW228" i="7"/>
  <c r="BX228" i="7"/>
  <c r="BY228" i="7"/>
  <c r="CA228" i="7"/>
  <c r="CB228" i="7"/>
  <c r="CC228" i="7"/>
  <c r="CD228" i="7"/>
  <c r="CE228" i="7"/>
  <c r="CF228" i="7"/>
  <c r="CG228" i="7"/>
  <c r="CH228" i="7"/>
  <c r="E229" i="7"/>
  <c r="G229" i="7"/>
  <c r="T229" i="7"/>
  <c r="AP229" i="7"/>
  <c r="AQ229" i="7"/>
  <c r="BR229" i="7"/>
  <c r="BS229" i="7"/>
  <c r="BT229" i="7"/>
  <c r="BU229" i="7"/>
  <c r="BV229" i="7"/>
  <c r="BW229" i="7"/>
  <c r="BX229" i="7"/>
  <c r="BY229" i="7"/>
  <c r="CA229" i="7"/>
  <c r="CB229" i="7"/>
  <c r="CC229" i="7"/>
  <c r="CD229" i="7"/>
  <c r="CE229" i="7"/>
  <c r="CF229" i="7"/>
  <c r="CG229" i="7"/>
  <c r="CH229" i="7"/>
  <c r="E230" i="7"/>
  <c r="G230" i="7"/>
  <c r="T230" i="7"/>
  <c r="AP230" i="7"/>
  <c r="AQ230" i="7"/>
  <c r="BR230" i="7"/>
  <c r="BS230" i="7"/>
  <c r="BT230" i="7"/>
  <c r="BU230" i="7"/>
  <c r="BV230" i="7"/>
  <c r="BW230" i="7"/>
  <c r="BX230" i="7"/>
  <c r="BY230" i="7"/>
  <c r="CA230" i="7"/>
  <c r="CB230" i="7"/>
  <c r="CC230" i="7"/>
  <c r="CD230" i="7"/>
  <c r="CE230" i="7"/>
  <c r="CF230" i="7"/>
  <c r="CG230" i="7"/>
  <c r="CH230" i="7"/>
  <c r="E231" i="7"/>
  <c r="G231" i="7"/>
  <c r="T231" i="7"/>
  <c r="AP231" i="7"/>
  <c r="AQ231" i="7"/>
  <c r="BR231" i="7"/>
  <c r="BS231" i="7"/>
  <c r="BT231" i="7"/>
  <c r="BU231" i="7"/>
  <c r="BV231" i="7"/>
  <c r="BW231" i="7"/>
  <c r="BX231" i="7"/>
  <c r="BY231" i="7"/>
  <c r="CA231" i="7"/>
  <c r="CB231" i="7"/>
  <c r="CC231" i="7"/>
  <c r="CD231" i="7"/>
  <c r="CE231" i="7"/>
  <c r="CF231" i="7"/>
  <c r="CG231" i="7"/>
  <c r="CH231" i="7"/>
  <c r="E232" i="7"/>
  <c r="G232" i="7"/>
  <c r="T232" i="7"/>
  <c r="AQ232" i="7"/>
  <c r="BR232" i="7"/>
  <c r="BS232" i="7"/>
  <c r="BT232" i="7"/>
  <c r="BU232" i="7"/>
  <c r="BV232" i="7"/>
  <c r="BW232" i="7"/>
  <c r="BX232" i="7"/>
  <c r="BY232" i="7"/>
  <c r="CA232" i="7"/>
  <c r="CB232" i="7"/>
  <c r="CC232" i="7"/>
  <c r="CD232" i="7"/>
  <c r="CE232" i="7"/>
  <c r="CF232" i="7"/>
  <c r="CG232" i="7"/>
  <c r="CH232" i="7"/>
  <c r="E233" i="7"/>
  <c r="G233" i="7"/>
  <c r="T233" i="7"/>
  <c r="AP233" i="7"/>
  <c r="AQ233" i="7"/>
  <c r="BR233" i="7"/>
  <c r="BS233" i="7"/>
  <c r="BT233" i="7"/>
  <c r="BU233" i="7"/>
  <c r="BV233" i="7"/>
  <c r="BW233" i="7"/>
  <c r="BX233" i="7"/>
  <c r="BY233" i="7"/>
  <c r="CA233" i="7"/>
  <c r="CB233" i="7"/>
  <c r="CC233" i="7"/>
  <c r="CD233" i="7"/>
  <c r="CE233" i="7"/>
  <c r="CF233" i="7"/>
  <c r="CG233" i="7"/>
  <c r="CH233" i="7"/>
  <c r="E234" i="7"/>
  <c r="G234" i="7"/>
  <c r="T234" i="7"/>
  <c r="AP234" i="7"/>
  <c r="AQ234" i="7"/>
  <c r="BR234" i="7"/>
  <c r="BS234" i="7"/>
  <c r="BT234" i="7"/>
  <c r="BU234" i="7"/>
  <c r="BV234" i="7"/>
  <c r="BW234" i="7"/>
  <c r="BX234" i="7"/>
  <c r="BY234" i="7"/>
  <c r="CA234" i="7"/>
  <c r="CB234" i="7"/>
  <c r="CC234" i="7"/>
  <c r="CD234" i="7"/>
  <c r="CE234" i="7"/>
  <c r="CF234" i="7"/>
  <c r="CG234" i="7"/>
  <c r="CH234" i="7"/>
  <c r="E235" i="7"/>
  <c r="G235" i="7"/>
  <c r="T235" i="7"/>
  <c r="AP235" i="7"/>
  <c r="AQ235" i="7"/>
  <c r="BR235" i="7"/>
  <c r="BS235" i="7"/>
  <c r="BT235" i="7"/>
  <c r="BU235" i="7"/>
  <c r="BV235" i="7"/>
  <c r="BW235" i="7"/>
  <c r="BX235" i="7"/>
  <c r="BY235" i="7"/>
  <c r="CA235" i="7"/>
  <c r="CB235" i="7"/>
  <c r="CC235" i="7"/>
  <c r="CD235" i="7"/>
  <c r="CE235" i="7"/>
  <c r="CF235" i="7"/>
  <c r="CG235" i="7"/>
  <c r="CH235" i="7"/>
  <c r="E236" i="7"/>
  <c r="G236" i="7"/>
  <c r="T236" i="7"/>
  <c r="AP236" i="7"/>
  <c r="AQ236" i="7"/>
  <c r="BR236" i="7"/>
  <c r="BS236" i="7"/>
  <c r="BT236" i="7"/>
  <c r="BU236" i="7"/>
  <c r="BV236" i="7"/>
  <c r="BW236" i="7"/>
  <c r="BX236" i="7"/>
  <c r="BY236" i="7"/>
  <c r="CA236" i="7"/>
  <c r="CB236" i="7"/>
  <c r="CC236" i="7"/>
  <c r="CD236" i="7"/>
  <c r="CE236" i="7"/>
  <c r="CF236" i="7"/>
  <c r="CG236" i="7"/>
  <c r="CH236" i="7"/>
  <c r="E237" i="7"/>
  <c r="G237" i="7"/>
  <c r="T237" i="7"/>
  <c r="AP237" i="7"/>
  <c r="AQ237" i="7"/>
  <c r="BR237" i="7"/>
  <c r="BS237" i="7"/>
  <c r="BT237" i="7"/>
  <c r="BU237" i="7"/>
  <c r="BV237" i="7"/>
  <c r="BW237" i="7"/>
  <c r="BX237" i="7"/>
  <c r="BY237" i="7"/>
  <c r="CA237" i="7"/>
  <c r="CB237" i="7"/>
  <c r="CC237" i="7"/>
  <c r="CD237" i="7"/>
  <c r="CE237" i="7"/>
  <c r="CF237" i="7"/>
  <c r="CG237" i="7"/>
  <c r="CH237" i="7"/>
  <c r="E238" i="7"/>
  <c r="G238" i="7"/>
  <c r="T238" i="7"/>
  <c r="AP238" i="7"/>
  <c r="AQ238" i="7"/>
  <c r="BR238" i="7"/>
  <c r="BS238" i="7"/>
  <c r="BT238" i="7"/>
  <c r="BU238" i="7"/>
  <c r="BV238" i="7"/>
  <c r="BW238" i="7"/>
  <c r="BX238" i="7"/>
  <c r="BY238" i="7"/>
  <c r="CA238" i="7"/>
  <c r="CB238" i="7"/>
  <c r="CC238" i="7"/>
  <c r="CD238" i="7"/>
  <c r="CE238" i="7"/>
  <c r="CF238" i="7"/>
  <c r="CG238" i="7"/>
  <c r="CH238" i="7"/>
  <c r="E239" i="7"/>
  <c r="G239" i="7"/>
  <c r="T239" i="7"/>
  <c r="AP239" i="7"/>
  <c r="AQ239" i="7"/>
  <c r="BR239" i="7"/>
  <c r="BS239" i="7"/>
  <c r="BT239" i="7"/>
  <c r="BU239" i="7"/>
  <c r="BV239" i="7"/>
  <c r="BW239" i="7"/>
  <c r="BX239" i="7"/>
  <c r="BY239" i="7"/>
  <c r="CA239" i="7"/>
  <c r="CB239" i="7"/>
  <c r="CC239" i="7"/>
  <c r="CD239" i="7"/>
  <c r="CE239" i="7"/>
  <c r="CF239" i="7"/>
  <c r="CG239" i="7"/>
  <c r="CH239" i="7"/>
  <c r="E240" i="7"/>
  <c r="G240" i="7"/>
  <c r="T240" i="7"/>
  <c r="AP240" i="7"/>
  <c r="AQ240" i="7"/>
  <c r="BR240" i="7"/>
  <c r="BS240" i="7"/>
  <c r="BT240" i="7"/>
  <c r="BU240" i="7"/>
  <c r="BV240" i="7"/>
  <c r="BW240" i="7"/>
  <c r="BX240" i="7"/>
  <c r="BY240" i="7"/>
  <c r="CA240" i="7"/>
  <c r="CB240" i="7"/>
  <c r="CC240" i="7"/>
  <c r="CD240" i="7"/>
  <c r="CE240" i="7"/>
  <c r="CF240" i="7"/>
  <c r="CG240" i="7"/>
  <c r="CH240" i="7"/>
  <c r="E241" i="7"/>
  <c r="G241" i="7"/>
  <c r="T241" i="7"/>
  <c r="AP241" i="7"/>
  <c r="AQ241" i="7"/>
  <c r="BR241" i="7"/>
  <c r="BS241" i="7"/>
  <c r="BT241" i="7"/>
  <c r="BU241" i="7"/>
  <c r="BV241" i="7"/>
  <c r="BW241" i="7"/>
  <c r="BX241" i="7"/>
  <c r="BY241" i="7"/>
  <c r="CA241" i="7"/>
  <c r="CB241" i="7"/>
  <c r="CC241" i="7"/>
  <c r="CD241" i="7"/>
  <c r="CE241" i="7"/>
  <c r="CF241" i="7"/>
  <c r="CG241" i="7"/>
  <c r="CH241" i="7"/>
  <c r="E242" i="7"/>
  <c r="G242" i="7"/>
  <c r="T242" i="7"/>
  <c r="AP242" i="7"/>
  <c r="AQ242" i="7"/>
  <c r="BR242" i="7"/>
  <c r="BS242" i="7"/>
  <c r="BT242" i="7"/>
  <c r="BU242" i="7"/>
  <c r="BV242" i="7"/>
  <c r="BW242" i="7"/>
  <c r="BX242" i="7"/>
  <c r="BY242" i="7"/>
  <c r="CA242" i="7"/>
  <c r="CB242" i="7"/>
  <c r="CC242" i="7"/>
  <c r="CD242" i="7"/>
  <c r="CE242" i="7"/>
  <c r="CF242" i="7"/>
  <c r="CG242" i="7"/>
  <c r="CH242" i="7"/>
  <c r="E243" i="7"/>
  <c r="G243" i="7"/>
  <c r="T243" i="7"/>
  <c r="AQ243" i="7"/>
  <c r="BR243" i="7"/>
  <c r="BS243" i="7"/>
  <c r="BT243" i="7"/>
  <c r="BU243" i="7"/>
  <c r="BV243" i="7"/>
  <c r="BW243" i="7"/>
  <c r="BX243" i="7"/>
  <c r="BY243" i="7"/>
  <c r="CA243" i="7"/>
  <c r="CB243" i="7"/>
  <c r="CC243" i="7"/>
  <c r="CD243" i="7"/>
  <c r="CE243" i="7"/>
  <c r="CF243" i="7"/>
  <c r="CG243" i="7"/>
  <c r="CH243" i="7"/>
  <c r="E244" i="7"/>
  <c r="G244" i="7"/>
  <c r="T244" i="7"/>
  <c r="AP244" i="7"/>
  <c r="AQ244" i="7"/>
  <c r="BR244" i="7"/>
  <c r="BS244" i="7"/>
  <c r="BT244" i="7"/>
  <c r="BU244" i="7"/>
  <c r="BV244" i="7"/>
  <c r="BW244" i="7"/>
  <c r="BX244" i="7"/>
  <c r="BY244" i="7"/>
  <c r="CA244" i="7"/>
  <c r="CB244" i="7"/>
  <c r="CC244" i="7"/>
  <c r="CD244" i="7"/>
  <c r="CE244" i="7"/>
  <c r="CF244" i="7"/>
  <c r="CG244" i="7"/>
  <c r="CH244" i="7"/>
  <c r="E245" i="7"/>
  <c r="G245" i="7"/>
  <c r="T245" i="7"/>
  <c r="AP245" i="7"/>
  <c r="AQ245" i="7"/>
  <c r="BR245" i="7"/>
  <c r="BS245" i="7"/>
  <c r="BT245" i="7"/>
  <c r="BU245" i="7"/>
  <c r="BV245" i="7"/>
  <c r="BW245" i="7"/>
  <c r="BX245" i="7"/>
  <c r="BY245" i="7"/>
  <c r="CA245" i="7"/>
  <c r="CB245" i="7"/>
  <c r="CC245" i="7"/>
  <c r="CD245" i="7"/>
  <c r="CE245" i="7"/>
  <c r="CF245" i="7"/>
  <c r="CG245" i="7"/>
  <c r="CH245" i="7"/>
  <c r="E246" i="7"/>
  <c r="G246" i="7"/>
  <c r="T246" i="7"/>
  <c r="AP246" i="7"/>
  <c r="AQ246" i="7"/>
  <c r="BR246" i="7"/>
  <c r="BS246" i="7"/>
  <c r="BT246" i="7"/>
  <c r="BU246" i="7"/>
  <c r="BV246" i="7"/>
  <c r="BW246" i="7"/>
  <c r="BX246" i="7"/>
  <c r="BY246" i="7"/>
  <c r="CA246" i="7"/>
  <c r="CB246" i="7"/>
  <c r="CC246" i="7"/>
  <c r="CD246" i="7"/>
  <c r="CE246" i="7"/>
  <c r="CF246" i="7"/>
  <c r="CG246" i="7"/>
  <c r="CH246" i="7"/>
  <c r="E247" i="7"/>
  <c r="G247" i="7"/>
  <c r="T247" i="7"/>
  <c r="AP247" i="7"/>
  <c r="AQ247" i="7"/>
  <c r="BR247" i="7"/>
  <c r="BS247" i="7"/>
  <c r="BT247" i="7"/>
  <c r="BU247" i="7"/>
  <c r="BV247" i="7"/>
  <c r="BW247" i="7"/>
  <c r="BX247" i="7"/>
  <c r="BY247" i="7"/>
  <c r="CA247" i="7"/>
  <c r="CB247" i="7"/>
  <c r="CC247" i="7"/>
  <c r="CD247" i="7"/>
  <c r="CE247" i="7"/>
  <c r="CF247" i="7"/>
  <c r="CG247" i="7"/>
  <c r="CH247" i="7"/>
  <c r="E248" i="7"/>
  <c r="G248" i="7"/>
  <c r="T248" i="7"/>
  <c r="AP248" i="7"/>
  <c r="AQ248" i="7"/>
  <c r="BR248" i="7"/>
  <c r="BS248" i="7"/>
  <c r="BT248" i="7"/>
  <c r="BU248" i="7"/>
  <c r="BV248" i="7"/>
  <c r="BW248" i="7"/>
  <c r="BX248" i="7"/>
  <c r="BY248" i="7"/>
  <c r="CA248" i="7"/>
  <c r="CB248" i="7"/>
  <c r="CC248" i="7"/>
  <c r="CD248" i="7"/>
  <c r="CE248" i="7"/>
  <c r="CF248" i="7"/>
  <c r="CG248" i="7"/>
  <c r="CH248" i="7"/>
  <c r="E249" i="7"/>
  <c r="G249" i="7"/>
  <c r="T249" i="7"/>
  <c r="AP249" i="7"/>
  <c r="AQ249" i="7"/>
  <c r="BR249" i="7"/>
  <c r="BS249" i="7"/>
  <c r="BT249" i="7"/>
  <c r="BU249" i="7"/>
  <c r="BV249" i="7"/>
  <c r="BW249" i="7"/>
  <c r="BX249" i="7"/>
  <c r="BY249" i="7"/>
  <c r="CA249" i="7"/>
  <c r="CB249" i="7"/>
  <c r="CC249" i="7"/>
  <c r="CD249" i="7"/>
  <c r="CE249" i="7"/>
  <c r="CF249" i="7"/>
  <c r="CG249" i="7"/>
  <c r="CH249" i="7"/>
  <c r="E250" i="7"/>
  <c r="G250" i="7"/>
  <c r="T250" i="7"/>
  <c r="AP250" i="7"/>
  <c r="AQ250" i="7"/>
  <c r="BR250" i="7"/>
  <c r="BS250" i="7"/>
  <c r="BT250" i="7"/>
  <c r="BU250" i="7"/>
  <c r="BV250" i="7"/>
  <c r="BW250" i="7"/>
  <c r="BX250" i="7"/>
  <c r="BY250" i="7"/>
  <c r="CA250" i="7"/>
  <c r="CB250" i="7"/>
  <c r="CC250" i="7"/>
  <c r="CD250" i="7"/>
  <c r="CE250" i="7"/>
  <c r="CF250" i="7"/>
  <c r="CG250" i="7"/>
  <c r="CH250" i="7"/>
  <c r="E251" i="7"/>
  <c r="G251" i="7"/>
  <c r="T251" i="7"/>
  <c r="AP251" i="7"/>
  <c r="AQ251" i="7"/>
  <c r="BR251" i="7"/>
  <c r="BS251" i="7"/>
  <c r="BT251" i="7"/>
  <c r="BU251" i="7"/>
  <c r="BV251" i="7"/>
  <c r="BW251" i="7"/>
  <c r="BX251" i="7"/>
  <c r="BY251" i="7"/>
  <c r="CA251" i="7"/>
  <c r="CB251" i="7"/>
  <c r="CC251" i="7"/>
  <c r="CD251" i="7"/>
  <c r="CE251" i="7"/>
  <c r="CF251" i="7"/>
  <c r="CG251" i="7"/>
  <c r="CH251" i="7"/>
  <c r="E252" i="7"/>
  <c r="G252" i="7"/>
  <c r="T252" i="7"/>
  <c r="AP252" i="7"/>
  <c r="AQ252" i="7"/>
  <c r="BR252" i="7"/>
  <c r="BS252" i="7"/>
  <c r="BT252" i="7"/>
  <c r="BU252" i="7"/>
  <c r="BV252" i="7"/>
  <c r="BW252" i="7"/>
  <c r="BX252" i="7"/>
  <c r="BY252" i="7"/>
  <c r="CA252" i="7"/>
  <c r="CB252" i="7"/>
  <c r="CC252" i="7"/>
  <c r="CD252" i="7"/>
  <c r="CE252" i="7"/>
  <c r="CF252" i="7"/>
  <c r="CG252" i="7"/>
  <c r="CH252" i="7"/>
  <c r="E253" i="7"/>
  <c r="G253" i="7"/>
  <c r="T253" i="7"/>
  <c r="AP253" i="7"/>
  <c r="AQ253" i="7"/>
  <c r="BR253" i="7"/>
  <c r="BS253" i="7"/>
  <c r="BT253" i="7"/>
  <c r="BU253" i="7"/>
  <c r="BV253" i="7"/>
  <c r="BW253" i="7"/>
  <c r="BX253" i="7"/>
  <c r="BY253" i="7"/>
  <c r="CA253" i="7"/>
  <c r="CB253" i="7"/>
  <c r="CC253" i="7"/>
  <c r="CD253" i="7"/>
  <c r="CE253" i="7"/>
  <c r="CF253" i="7"/>
  <c r="CG253" i="7"/>
  <c r="CH253" i="7"/>
  <c r="K254" i="7"/>
  <c r="AQ254" i="7"/>
  <c r="AR254" i="7"/>
  <c r="AS254" i="7"/>
  <c r="AT254" i="7"/>
  <c r="AU254" i="7"/>
  <c r="AV254" i="7"/>
  <c r="AW254" i="7"/>
  <c r="AX254" i="7"/>
  <c r="AY254" i="7"/>
  <c r="AZ254" i="7"/>
  <c r="BA254" i="7"/>
  <c r="BB254" i="7"/>
  <c r="BC254" i="7"/>
  <c r="BD254" i="7"/>
  <c r="BE254" i="7"/>
  <c r="BF254" i="7"/>
  <c r="BG254" i="7"/>
  <c r="BH254" i="7"/>
  <c r="BI254" i="7"/>
  <c r="BJ254" i="7"/>
  <c r="BK254" i="7"/>
  <c r="BL254" i="7"/>
  <c r="BM254" i="7"/>
  <c r="BN254" i="7"/>
  <c r="BO254" i="7"/>
  <c r="BR254" i="7"/>
  <c r="BS254" i="7"/>
  <c r="BT254" i="7"/>
  <c r="BU254" i="7"/>
  <c r="BV254" i="7"/>
  <c r="BW254" i="7"/>
  <c r="BX254" i="7"/>
  <c r="BY254" i="7"/>
  <c r="CA254" i="7"/>
  <c r="CB254" i="7"/>
  <c r="CC254" i="7"/>
  <c r="CD254" i="7"/>
  <c r="CE254" i="7"/>
  <c r="CF254" i="7"/>
  <c r="CG254" i="7"/>
  <c r="CH254" i="7"/>
  <c r="AR255" i="7"/>
  <c r="AS255" i="7"/>
  <c r="AT255" i="7"/>
  <c r="AU255" i="7"/>
  <c r="AV255" i="7"/>
  <c r="AW255" i="7"/>
  <c r="AX255" i="7"/>
  <c r="AY255" i="7"/>
  <c r="AZ255" i="7"/>
  <c r="BA255" i="7"/>
  <c r="BB255" i="7"/>
  <c r="BC255" i="7"/>
  <c r="BD255" i="7"/>
  <c r="BE255" i="7"/>
  <c r="BF255" i="7"/>
  <c r="BG255" i="7"/>
  <c r="BH255" i="7"/>
  <c r="BI255" i="7"/>
  <c r="BJ255" i="7"/>
  <c r="BK255" i="7"/>
  <c r="BL255" i="7"/>
  <c r="BM255" i="7"/>
  <c r="BN255" i="7"/>
  <c r="BO255" i="7"/>
  <c r="BR255" i="7"/>
  <c r="BS255" i="7"/>
  <c r="BT255" i="7"/>
  <c r="BU255" i="7"/>
  <c r="BV255" i="7"/>
  <c r="BW255" i="7"/>
  <c r="BX255" i="7"/>
  <c r="BY255" i="7"/>
  <c r="C6" i="9"/>
  <c r="C7" i="9"/>
  <c r="C8" i="9"/>
  <c r="C9" i="9"/>
  <c r="C10" i="9"/>
  <c r="C11" i="9"/>
  <c r="C13" i="9"/>
  <c r="C17" i="9"/>
  <c r="C18" i="9"/>
  <c r="C19" i="9"/>
  <c r="C20" i="9"/>
  <c r="C21" i="9"/>
  <c r="C22" i="9"/>
  <c r="C24" i="9"/>
  <c r="C14" i="11"/>
  <c r="C18" i="11"/>
  <c r="D18" i="11"/>
  <c r="E18" i="11"/>
  <c r="F18" i="11"/>
  <c r="C19" i="11"/>
  <c r="D19" i="11"/>
  <c r="E19" i="11"/>
  <c r="C20" i="11"/>
  <c r="D20" i="11"/>
  <c r="E20" i="11"/>
  <c r="F20" i="11"/>
  <c r="C22" i="11"/>
  <c r="D22" i="11"/>
  <c r="E22" i="11"/>
  <c r="F22" i="11"/>
  <c r="C23" i="11"/>
  <c r="D23" i="11"/>
  <c r="E23" i="11"/>
  <c r="C24" i="11"/>
  <c r="D24" i="11"/>
  <c r="E24" i="11"/>
  <c r="F24" i="11"/>
  <c r="C26" i="11"/>
  <c r="D26" i="11"/>
  <c r="E26" i="11"/>
  <c r="F26" i="11"/>
  <c r="C29" i="11"/>
  <c r="C34" i="11"/>
  <c r="D34" i="11"/>
  <c r="C35" i="11"/>
  <c r="D35" i="11"/>
  <c r="E35" i="11"/>
  <c r="D36" i="11"/>
  <c r="E36" i="11"/>
  <c r="C37" i="11"/>
  <c r="D37" i="11"/>
  <c r="E37" i="11"/>
  <c r="C42" i="11"/>
  <c r="E42" i="11"/>
  <c r="C43" i="11"/>
  <c r="E43" i="11"/>
  <c r="C44" i="11"/>
  <c r="E44" i="11"/>
  <c r="E45" i="11"/>
  <c r="E46" i="11"/>
  <c r="C47" i="11"/>
  <c r="E47" i="11"/>
  <c r="C54" i="11"/>
  <c r="D54" i="11"/>
  <c r="E54" i="11"/>
  <c r="F54" i="11"/>
  <c r="G54" i="11"/>
  <c r="C55" i="11"/>
  <c r="D55" i="11"/>
  <c r="E55" i="11"/>
  <c r="F55" i="11"/>
  <c r="G55" i="11"/>
  <c r="C56" i="11"/>
  <c r="D56" i="11"/>
  <c r="E56" i="11"/>
  <c r="F56" i="11"/>
  <c r="G56" i="11"/>
  <c r="F57" i="11"/>
  <c r="G57" i="11"/>
  <c r="F58" i="11"/>
  <c r="G58" i="11"/>
  <c r="F59" i="11"/>
  <c r="G59" i="11"/>
  <c r="F60" i="11"/>
  <c r="G60" i="11"/>
  <c r="F61" i="11"/>
  <c r="G61" i="11"/>
  <c r="F62" i="11"/>
  <c r="F63" i="11"/>
  <c r="C64" i="11"/>
  <c r="F64" i="11"/>
  <c r="C65" i="11"/>
  <c r="F65" i="11"/>
  <c r="G65" i="11"/>
  <c r="F66" i="11"/>
  <c r="F67" i="11"/>
  <c r="F69" i="11"/>
  <c r="F70" i="11"/>
  <c r="F71" i="11"/>
  <c r="C72" i="11"/>
  <c r="F72" i="11"/>
  <c r="C73" i="11"/>
  <c r="C76" i="11"/>
  <c r="C77" i="11"/>
  <c r="C79" i="11"/>
  <c r="D84" i="11"/>
  <c r="E84" i="11"/>
  <c r="F84" i="11"/>
  <c r="G84" i="11"/>
  <c r="H84" i="11"/>
  <c r="I84" i="11"/>
  <c r="J84" i="11"/>
  <c r="K84" i="11"/>
  <c r="L84" i="11"/>
  <c r="M84" i="11"/>
  <c r="D85" i="11"/>
  <c r="E85" i="11"/>
  <c r="F85" i="11"/>
  <c r="G85" i="11"/>
  <c r="H85" i="11"/>
  <c r="I85" i="11"/>
  <c r="J85" i="11"/>
  <c r="K85" i="11"/>
  <c r="L85" i="11"/>
  <c r="M85" i="11"/>
  <c r="D86" i="11"/>
  <c r="E86" i="11"/>
  <c r="F86" i="11"/>
  <c r="G86" i="11"/>
  <c r="H86" i="11"/>
  <c r="I86" i="11"/>
  <c r="J86" i="11"/>
  <c r="K86" i="11"/>
  <c r="L86" i="11"/>
  <c r="M86" i="11"/>
  <c r="E90" i="11"/>
  <c r="F90" i="11"/>
  <c r="G90" i="11"/>
  <c r="H90" i="11"/>
  <c r="I90" i="11"/>
  <c r="J90" i="11"/>
  <c r="K90" i="11"/>
  <c r="L90" i="11"/>
  <c r="M90" i="11"/>
  <c r="E92" i="11"/>
  <c r="F92" i="11"/>
  <c r="G92" i="11"/>
  <c r="H92" i="11"/>
  <c r="I92" i="11"/>
  <c r="J92" i="11"/>
  <c r="K92" i="11"/>
  <c r="L92" i="11"/>
  <c r="M92" i="11"/>
  <c r="D93" i="11"/>
  <c r="E93" i="11"/>
  <c r="F93" i="11"/>
  <c r="G93" i="11"/>
  <c r="H93" i="11"/>
  <c r="I93" i="11"/>
  <c r="J93" i="11"/>
  <c r="K93" i="11"/>
  <c r="L93" i="11"/>
  <c r="M93" i="11"/>
  <c r="E96" i="11"/>
  <c r="F96" i="11"/>
  <c r="G96" i="11"/>
  <c r="H96" i="11"/>
  <c r="D97" i="11"/>
  <c r="E97" i="11"/>
  <c r="F97" i="11"/>
  <c r="G97" i="11"/>
  <c r="H97" i="11"/>
  <c r="I97" i="11"/>
  <c r="J97" i="11"/>
  <c r="K97" i="11"/>
  <c r="L97" i="11"/>
  <c r="M97" i="11"/>
  <c r="D103" i="11"/>
  <c r="E103" i="11"/>
  <c r="F103" i="11"/>
  <c r="G103" i="11"/>
  <c r="H103" i="11"/>
  <c r="I103" i="11"/>
  <c r="J103" i="11"/>
  <c r="K103" i="11"/>
  <c r="L103" i="11"/>
  <c r="M103" i="11"/>
  <c r="N103" i="11"/>
  <c r="D104" i="11"/>
  <c r="E104" i="11"/>
  <c r="F104" i="11"/>
  <c r="G104" i="11"/>
  <c r="H104" i="11"/>
  <c r="I104" i="11"/>
  <c r="J104" i="11"/>
  <c r="K104" i="11"/>
  <c r="L104" i="11"/>
  <c r="M104" i="11"/>
  <c r="D105" i="11"/>
  <c r="E105" i="11"/>
  <c r="F105" i="11"/>
  <c r="G105" i="11"/>
  <c r="H105" i="11"/>
  <c r="I105" i="11"/>
  <c r="J105" i="11"/>
  <c r="K105" i="11"/>
  <c r="L105" i="11"/>
  <c r="M105" i="11"/>
  <c r="D106" i="11"/>
  <c r="E106" i="11"/>
  <c r="F106" i="11"/>
  <c r="G106" i="11"/>
  <c r="H106" i="11"/>
  <c r="I106" i="11"/>
  <c r="J106" i="11"/>
  <c r="K106" i="11"/>
  <c r="L106" i="11"/>
  <c r="M106" i="11"/>
  <c r="D107" i="11"/>
  <c r="E107" i="11"/>
  <c r="F107" i="11"/>
  <c r="G107" i="11"/>
  <c r="H107" i="11"/>
  <c r="I107" i="11"/>
  <c r="J107" i="11"/>
  <c r="K107" i="11"/>
  <c r="L107" i="11"/>
  <c r="M107" i="11"/>
  <c r="N107" i="11"/>
  <c r="O107" i="11"/>
  <c r="D109" i="11"/>
  <c r="E109" i="11"/>
  <c r="F109" i="11"/>
  <c r="G109" i="11"/>
  <c r="H109" i="11"/>
  <c r="I109" i="11"/>
  <c r="J109" i="11"/>
  <c r="K109" i="11"/>
  <c r="L109" i="11"/>
  <c r="M109" i="11"/>
  <c r="N109" i="11"/>
  <c r="C110" i="11"/>
  <c r="D110" i="11"/>
  <c r="E110" i="11"/>
  <c r="F110" i="11"/>
  <c r="G110" i="11"/>
  <c r="H110" i="11"/>
  <c r="I110" i="11"/>
  <c r="J110" i="11"/>
  <c r="K110" i="11"/>
  <c r="L110" i="11"/>
  <c r="M110" i="11"/>
  <c r="N110" i="11"/>
  <c r="C111" i="11"/>
  <c r="D111" i="11"/>
  <c r="E111" i="11"/>
  <c r="F111" i="11"/>
  <c r="G111" i="11"/>
  <c r="H111" i="11"/>
  <c r="I111" i="11"/>
  <c r="J111" i="11"/>
  <c r="K111" i="11"/>
  <c r="L111" i="11"/>
  <c r="M111" i="11"/>
  <c r="C112" i="11"/>
  <c r="D112" i="11"/>
  <c r="E112" i="11"/>
  <c r="F112" i="11"/>
  <c r="G112" i="11"/>
  <c r="H112" i="11"/>
  <c r="I112" i="11"/>
  <c r="J112" i="11"/>
  <c r="K112" i="11"/>
  <c r="L112" i="11"/>
  <c r="M112" i="11"/>
  <c r="C113" i="11"/>
  <c r="D113" i="11"/>
  <c r="E113" i="11"/>
  <c r="F113" i="11"/>
  <c r="G113" i="11"/>
  <c r="H113" i="11"/>
  <c r="I113" i="11"/>
  <c r="J113" i="11"/>
  <c r="K113" i="11"/>
  <c r="L113" i="11"/>
  <c r="M113" i="11"/>
  <c r="C114" i="11"/>
  <c r="D114" i="11"/>
  <c r="E114" i="11"/>
  <c r="F114" i="11"/>
  <c r="G114" i="11"/>
  <c r="H114" i="11"/>
  <c r="I114" i="11"/>
  <c r="J114" i="11"/>
  <c r="K114" i="11"/>
  <c r="L114" i="11"/>
  <c r="M114" i="11"/>
  <c r="C115" i="11"/>
  <c r="D115" i="11"/>
  <c r="E115" i="11"/>
  <c r="F115" i="11"/>
  <c r="G115" i="11"/>
  <c r="H115" i="11"/>
  <c r="I115" i="11"/>
  <c r="J115" i="11"/>
  <c r="K115" i="11"/>
  <c r="L115" i="11"/>
  <c r="M115" i="11"/>
  <c r="C116" i="11"/>
  <c r="D116" i="11"/>
  <c r="E116" i="11"/>
  <c r="F116" i="11"/>
  <c r="G116" i="11"/>
  <c r="H116" i="11"/>
  <c r="I116" i="11"/>
  <c r="J116" i="11"/>
  <c r="K116" i="11"/>
  <c r="L116" i="11"/>
  <c r="M116" i="11"/>
  <c r="C117" i="11"/>
  <c r="D117" i="11"/>
  <c r="E117" i="11"/>
  <c r="F117" i="11"/>
  <c r="G117" i="11"/>
  <c r="H117" i="11"/>
  <c r="I117" i="11"/>
  <c r="J117" i="11"/>
  <c r="K117" i="11"/>
  <c r="L117" i="11"/>
  <c r="M117" i="11"/>
  <c r="C118" i="11"/>
  <c r="D118" i="11"/>
  <c r="E118" i="11"/>
  <c r="F118" i="11"/>
  <c r="G118" i="11"/>
  <c r="H118" i="11"/>
  <c r="I118" i="11"/>
  <c r="J118" i="11"/>
  <c r="K118" i="11"/>
  <c r="L118" i="11"/>
  <c r="M118" i="11"/>
  <c r="D119" i="11"/>
  <c r="E119" i="11"/>
  <c r="C120" i="11"/>
  <c r="D120" i="11"/>
  <c r="E120" i="11"/>
  <c r="F120" i="11"/>
  <c r="G120" i="11"/>
  <c r="H120" i="11"/>
  <c r="I120" i="11"/>
  <c r="J120" i="11"/>
  <c r="K120" i="11"/>
  <c r="L120" i="11"/>
  <c r="M120" i="11"/>
  <c r="C121" i="11"/>
  <c r="D121" i="11"/>
  <c r="E121" i="11"/>
  <c r="F121" i="11"/>
  <c r="G121" i="11"/>
  <c r="H121" i="11"/>
  <c r="I121" i="11"/>
  <c r="J121" i="11"/>
  <c r="K121" i="11"/>
  <c r="L121" i="11"/>
  <c r="M121" i="11"/>
  <c r="D122" i="11"/>
  <c r="E122" i="11"/>
  <c r="F122" i="11"/>
  <c r="G122" i="11"/>
  <c r="H122" i="11"/>
  <c r="I122" i="11"/>
  <c r="J122" i="11"/>
  <c r="K122" i="11"/>
  <c r="L122" i="11"/>
  <c r="M122" i="11"/>
  <c r="D123" i="11"/>
  <c r="C124" i="11"/>
  <c r="D124" i="11"/>
  <c r="E124" i="11"/>
  <c r="F124" i="11"/>
  <c r="G124" i="11"/>
  <c r="H124" i="11"/>
  <c r="I124" i="11"/>
  <c r="J124" i="11"/>
  <c r="K124" i="11"/>
  <c r="L124" i="11"/>
  <c r="M124" i="11"/>
  <c r="D126" i="11"/>
  <c r="E126" i="11"/>
  <c r="F126" i="11"/>
  <c r="G126" i="11"/>
  <c r="H126" i="11"/>
  <c r="I126" i="11"/>
  <c r="J126" i="11"/>
  <c r="K126" i="11"/>
  <c r="L126" i="11"/>
  <c r="M126" i="11"/>
  <c r="C127" i="11"/>
  <c r="D128" i="11"/>
  <c r="E128" i="11"/>
  <c r="F128" i="11"/>
  <c r="G128" i="11"/>
  <c r="H128" i="11"/>
  <c r="I128" i="11"/>
  <c r="J128" i="11"/>
  <c r="K128" i="11"/>
  <c r="L128" i="11"/>
  <c r="M128" i="11"/>
  <c r="C129" i="11"/>
  <c r="D129" i="11"/>
  <c r="E129" i="11"/>
  <c r="F129" i="11"/>
  <c r="G129" i="11"/>
  <c r="H129" i="11"/>
  <c r="I129" i="11"/>
  <c r="J129" i="11"/>
  <c r="K129" i="11"/>
  <c r="L129" i="11"/>
  <c r="M129" i="11"/>
  <c r="C131" i="11"/>
  <c r="C133" i="11"/>
  <c r="C134" i="11"/>
  <c r="C135" i="11"/>
  <c r="D137" i="11"/>
  <c r="E137" i="11"/>
  <c r="F137" i="11"/>
  <c r="G137" i="11"/>
  <c r="H137" i="11"/>
  <c r="I137" i="11"/>
  <c r="J137" i="11"/>
  <c r="K137" i="11"/>
  <c r="L137" i="11"/>
  <c r="M137" i="11"/>
  <c r="C140" i="11"/>
  <c r="D140" i="11"/>
  <c r="E140" i="11"/>
  <c r="F140" i="11"/>
  <c r="G140" i="11"/>
  <c r="H140" i="11"/>
  <c r="I140" i="11"/>
  <c r="J140" i="11"/>
  <c r="K140" i="11"/>
  <c r="L140" i="11"/>
  <c r="M140" i="11"/>
  <c r="C141" i="11"/>
  <c r="C143" i="11"/>
  <c r="C147" i="11"/>
  <c r="C148" i="11"/>
  <c r="C149" i="11"/>
  <c r="C150" i="11"/>
  <c r="C151" i="11"/>
</calcChain>
</file>

<file path=xl/comments1.xml><?xml version="1.0" encoding="utf-8"?>
<comments xmlns="http://schemas.openxmlformats.org/spreadsheetml/2006/main">
  <authors>
    <author>kkindal</author>
  </authors>
  <commentList>
    <comment ref="AR255" authorId="0" shapeId="0">
      <text>
        <r>
          <rPr>
            <b/>
            <sz val="8"/>
            <color indexed="81"/>
            <rFont val="Tahoma"/>
          </rPr>
          <t>kkindal:</t>
        </r>
        <r>
          <rPr>
            <sz val="8"/>
            <color indexed="81"/>
            <rFont val="Tahoma"/>
          </rPr>
          <t xml:space="preserve">
Links to the total cost of power for the baseyear.  It is significant as it is part of the seed value that determines expsenses for the other years.</t>
        </r>
      </text>
    </comment>
  </commentList>
</comments>
</file>

<file path=xl/comments2.xml><?xml version="1.0" encoding="utf-8"?>
<comments xmlns="http://schemas.openxmlformats.org/spreadsheetml/2006/main">
  <authors>
    <author>kkindal</author>
  </authors>
  <commentList>
    <comment ref="AR255" authorId="0" shapeId="0">
      <text>
        <r>
          <rPr>
            <b/>
            <sz val="8"/>
            <color indexed="81"/>
            <rFont val="Tahoma"/>
          </rPr>
          <t>kkindal:</t>
        </r>
        <r>
          <rPr>
            <sz val="8"/>
            <color indexed="81"/>
            <rFont val="Tahoma"/>
          </rPr>
          <t xml:space="preserve">
Links to the total cost of power for the baseyear.  It is significant as it is part of the seed value that determines expsenses for the other years.</t>
        </r>
      </text>
    </comment>
    <comment ref="BR255" authorId="0" shapeId="0">
      <text>
        <r>
          <rPr>
            <b/>
            <sz val="8"/>
            <color indexed="81"/>
            <rFont val="Tahoma"/>
          </rPr>
          <t>kkindal:</t>
        </r>
        <r>
          <rPr>
            <sz val="8"/>
            <color indexed="81"/>
            <rFont val="Tahoma"/>
          </rPr>
          <t xml:space="preserve">
Units are kwh.</t>
        </r>
      </text>
    </comment>
    <comment ref="BU255" authorId="0" shapeId="0">
      <text>
        <r>
          <rPr>
            <b/>
            <sz val="8"/>
            <color indexed="81"/>
            <rFont val="Tahoma"/>
          </rPr>
          <t>kkindal:</t>
        </r>
        <r>
          <rPr>
            <sz val="8"/>
            <color indexed="81"/>
            <rFont val="Tahoma"/>
          </rPr>
          <t xml:space="preserve">
This represents the power consumption, without any savings or efficiencies.  It precisely matches 'wholesale services'!F20</t>
        </r>
      </text>
    </comment>
    <comment ref="BV255" authorId="0" shapeId="0">
      <text>
        <r>
          <rPr>
            <b/>
            <sz val="8"/>
            <color indexed="81"/>
            <rFont val="Tahoma"/>
          </rPr>
          <t>kkindal:</t>
        </r>
        <r>
          <rPr>
            <sz val="8"/>
            <color indexed="81"/>
            <rFont val="Tahoma"/>
          </rPr>
          <t xml:space="preserve">
Units are MMBtu</t>
        </r>
      </text>
    </comment>
    <comment ref="BY255" authorId="0" shapeId="0">
      <text>
        <r>
          <rPr>
            <b/>
            <sz val="8"/>
            <color indexed="81"/>
            <rFont val="Tahoma"/>
          </rPr>
          <t>kkindal:</t>
        </r>
        <r>
          <rPr>
            <sz val="8"/>
            <color indexed="81"/>
            <rFont val="Tahoma"/>
          </rPr>
          <t xml:space="preserve">
This matches exactly the volume on 'wholesale services'!F24.</t>
        </r>
      </text>
    </comment>
  </commentList>
</comments>
</file>

<file path=xl/comments3.xml><?xml version="1.0" encoding="utf-8"?>
<comments xmlns="http://schemas.openxmlformats.org/spreadsheetml/2006/main">
  <authors>
    <author>kkindal</author>
  </authors>
  <commentList>
    <comment ref="C13" authorId="0" shapeId="0">
      <text>
        <r>
          <rPr>
            <b/>
            <sz val="8"/>
            <color indexed="81"/>
            <rFont val="Tahoma"/>
          </rPr>
          <t>kkindal:</t>
        </r>
        <r>
          <rPr>
            <sz val="8"/>
            <color indexed="81"/>
            <rFont val="Tahoma"/>
          </rPr>
          <t xml:space="preserve">
Revenues more or less will grow at this rate.</t>
        </r>
      </text>
    </comment>
  </commentList>
</comments>
</file>

<file path=xl/comments4.xml><?xml version="1.0" encoding="utf-8"?>
<comments xmlns="http://schemas.openxmlformats.org/spreadsheetml/2006/main">
  <authors>
    <author>jwang3</author>
  </authors>
  <commentList>
    <comment ref="N4" authorId="0" shapeId="0">
      <text>
        <r>
          <rPr>
            <b/>
            <sz val="8"/>
            <color indexed="81"/>
            <rFont val="Tahoma"/>
          </rPr>
          <t>jwang3:</t>
        </r>
        <r>
          <rPr>
            <sz val="8"/>
            <color indexed="81"/>
            <rFont val="Tahoma"/>
          </rPr>
          <t xml:space="preserve">
Goal Seek cell P&amp;I to equal Gross Savings.</t>
        </r>
      </text>
    </comment>
  </commentList>
</comments>
</file>

<file path=xl/comments5.xml><?xml version="1.0" encoding="utf-8"?>
<comments xmlns="http://schemas.openxmlformats.org/spreadsheetml/2006/main">
  <authors>
    <author>kkindal</author>
  </authors>
  <commentList>
    <comment ref="E4" authorId="0" shapeId="0">
      <text>
        <r>
          <rPr>
            <b/>
            <sz val="8"/>
            <color indexed="81"/>
            <rFont val="Tahoma"/>
          </rPr>
          <t>kkindal:</t>
        </r>
        <r>
          <rPr>
            <sz val="8"/>
            <color indexed="81"/>
            <rFont val="Tahoma"/>
          </rPr>
          <t xml:space="preserve">
Links to another workbook.</t>
        </r>
      </text>
    </comment>
  </commentList>
</comments>
</file>

<file path=xl/comments6.xml><?xml version="1.0" encoding="utf-8"?>
<comments xmlns="http://schemas.openxmlformats.org/spreadsheetml/2006/main">
  <authors>
    <author>kkindal</author>
    <author>jwang3</author>
  </authors>
  <commentList>
    <comment ref="K3" authorId="0" shapeId="0">
      <text>
        <r>
          <rPr>
            <b/>
            <sz val="8"/>
            <color indexed="81"/>
            <rFont val="Tahoma"/>
          </rPr>
          <t>kkindal:</t>
        </r>
        <r>
          <rPr>
            <sz val="8"/>
            <color indexed="81"/>
            <rFont val="Tahoma"/>
          </rPr>
          <t xml:space="preserve">
Hard coded assumption</t>
        </r>
      </text>
    </comment>
    <comment ref="N6" authorId="1" shapeId="0">
      <text>
        <r>
          <rPr>
            <b/>
            <sz val="8"/>
            <color indexed="81"/>
            <rFont val="Tahoma"/>
          </rPr>
          <t>jwang3:</t>
        </r>
        <r>
          <rPr>
            <sz val="8"/>
            <color indexed="81"/>
            <rFont val="Tahoma"/>
          </rPr>
          <t xml:space="preserve">
From Jay's quote.</t>
        </r>
      </text>
    </comment>
    <comment ref="O6" authorId="1" shapeId="0">
      <text>
        <r>
          <rPr>
            <b/>
            <sz val="8"/>
            <color indexed="81"/>
            <rFont val="Tahoma"/>
          </rPr>
          <t>jwang3:</t>
        </r>
        <r>
          <rPr>
            <sz val="8"/>
            <color indexed="81"/>
            <rFont val="Tahoma"/>
          </rPr>
          <t xml:space="preserve">
From Jay's quote.</t>
        </r>
      </text>
    </comment>
    <comment ref="L36" authorId="0" shapeId="0">
      <text>
        <r>
          <rPr>
            <b/>
            <sz val="8"/>
            <color indexed="81"/>
            <rFont val="Tahoma"/>
          </rPr>
          <t>kkindal:</t>
        </r>
        <r>
          <rPr>
            <sz val="8"/>
            <color indexed="81"/>
            <rFont val="Tahoma"/>
          </rPr>
          <t xml:space="preserve">
Year annual period #2</t>
        </r>
      </text>
    </comment>
  </commentList>
</comments>
</file>

<file path=xl/sharedStrings.xml><?xml version="1.0" encoding="utf-8"?>
<sst xmlns="http://schemas.openxmlformats.org/spreadsheetml/2006/main" count="12648" uniqueCount="1609">
  <si>
    <t>Niagara Mohawk Power</t>
  </si>
  <si>
    <t>Cheltenham Square</t>
  </si>
  <si>
    <t>Philadelphia</t>
  </si>
  <si>
    <t>PECO Energy</t>
  </si>
  <si>
    <t>Chesapeake Center</t>
  </si>
  <si>
    <t>Chesapeake</t>
  </si>
  <si>
    <t>Chesapeake Square</t>
  </si>
  <si>
    <t>Cielo Vista Mall</t>
  </si>
  <si>
    <t>El Paso Electric Co.</t>
  </si>
  <si>
    <t>Circle Center</t>
  </si>
  <si>
    <t/>
  </si>
  <si>
    <t>CLAYPOOL COURT</t>
  </si>
  <si>
    <t>Cobblestone Court</t>
  </si>
  <si>
    <t>Victor</t>
  </si>
  <si>
    <t>Rochester gas &amp; Electric</t>
  </si>
  <si>
    <t>Cohoes Commons</t>
  </si>
  <si>
    <t>Rochester</t>
  </si>
  <si>
    <t>College Mall</t>
  </si>
  <si>
    <t>Bloomington</t>
  </si>
  <si>
    <t>Cinergy</t>
  </si>
  <si>
    <t>Columbia Center</t>
  </si>
  <si>
    <t>Kennewick</t>
  </si>
  <si>
    <t>WA</t>
  </si>
  <si>
    <t>Benton Co. Public Utility</t>
  </si>
  <si>
    <t>Coral Square</t>
  </si>
  <si>
    <t>Coral Springs</t>
  </si>
  <si>
    <t>Cordova Mall</t>
  </si>
  <si>
    <t>Pensacola</t>
  </si>
  <si>
    <t>Gulf Power</t>
  </si>
  <si>
    <t>Cottonwood Mall</t>
  </si>
  <si>
    <t>Albuquerque</t>
  </si>
  <si>
    <t>NM</t>
  </si>
  <si>
    <t>Pub. Ser. Co. of</t>
  </si>
  <si>
    <t>Countryside Mall</t>
  </si>
  <si>
    <t>Countryside Plaza</t>
  </si>
  <si>
    <t>Countryside</t>
  </si>
  <si>
    <t>FPL</t>
  </si>
  <si>
    <t>Crossroads mall</t>
  </si>
  <si>
    <t>Omaha</t>
  </si>
  <si>
    <t>NE</t>
  </si>
  <si>
    <t>Omaha Pub. Util.</t>
  </si>
  <si>
    <t xml:space="preserve">Crystal Court </t>
  </si>
  <si>
    <t>Crystal lake</t>
  </si>
  <si>
    <t>Crystal River Mall</t>
  </si>
  <si>
    <t>Crystal River</t>
  </si>
  <si>
    <t>FPC</t>
  </si>
  <si>
    <t>Dadeland Mall</t>
  </si>
  <si>
    <t>Miami</t>
  </si>
  <si>
    <t>DeSoto Square</t>
  </si>
  <si>
    <t xml:space="preserve">Bradenton </t>
  </si>
  <si>
    <t>Eastern Hills Mall</t>
  </si>
  <si>
    <t>Buffalo</t>
  </si>
  <si>
    <t>NY State Elec. &amp; Gas Corp</t>
  </si>
  <si>
    <t>Eastgate Consumer mall</t>
  </si>
  <si>
    <t>IPL</t>
  </si>
  <si>
    <t>Eastland Mall</t>
  </si>
  <si>
    <t>Tulsa</t>
  </si>
  <si>
    <t>OK</t>
  </si>
  <si>
    <t>Public Service of OK</t>
  </si>
  <si>
    <t>Eastland Mall-IN</t>
  </si>
  <si>
    <t>Evansville</t>
  </si>
  <si>
    <t>So IN Gas &amp; Electric</t>
  </si>
  <si>
    <t>Eastland Plaza</t>
  </si>
  <si>
    <t>Public Services of Oklahoma</t>
  </si>
  <si>
    <t>Edison Mall</t>
  </si>
  <si>
    <t>Fort Myers</t>
  </si>
  <si>
    <t>Empire Mall</t>
  </si>
  <si>
    <t xml:space="preserve">Fairfax Court </t>
  </si>
  <si>
    <t>Fairfax</t>
  </si>
  <si>
    <t>Fairmont Plaza</t>
  </si>
  <si>
    <t>Fashion Center at Pentagon City, The</t>
  </si>
  <si>
    <t>Arlington</t>
  </si>
  <si>
    <t>VA Electric Po Co,</t>
  </si>
  <si>
    <t xml:space="preserve">FASHION MALL @ PLANTATION </t>
  </si>
  <si>
    <t>Ft. Lauderdale</t>
  </si>
  <si>
    <t>Fashion Mall at Keystone at the crossing, the</t>
  </si>
  <si>
    <t>Florida Mall</t>
  </si>
  <si>
    <t>Orlando</t>
  </si>
  <si>
    <t>Florida Power Corp.</t>
  </si>
  <si>
    <t>Forest Mall</t>
  </si>
  <si>
    <t>Fond du lac</t>
  </si>
  <si>
    <t>Wisconsin Power &amp; Light</t>
  </si>
  <si>
    <t>Forest Plaza</t>
  </si>
  <si>
    <t>Rockford</t>
  </si>
  <si>
    <t>Forest Village Park Mall</t>
  </si>
  <si>
    <t>Forestville</t>
  </si>
  <si>
    <t>MD</t>
  </si>
  <si>
    <t>Potomac Electric Pwr. Co.</t>
  </si>
  <si>
    <t>Forum Shops at the Caesars, The</t>
  </si>
  <si>
    <t>Las Vegas</t>
  </si>
  <si>
    <t>NV</t>
  </si>
  <si>
    <t>Nevada power Co.</t>
  </si>
  <si>
    <t>Fox River Plaza</t>
  </si>
  <si>
    <t>Elgin</t>
  </si>
  <si>
    <t>Fremont Mall</t>
  </si>
  <si>
    <t>Fremont</t>
  </si>
  <si>
    <t>Fremont Dept of Utilities</t>
  </si>
  <si>
    <t>Gaitway Plaza</t>
  </si>
  <si>
    <t>Ocala</t>
  </si>
  <si>
    <t>City of Ocala Utility Dept.</t>
  </si>
  <si>
    <t>Glen Burnie Mall</t>
  </si>
  <si>
    <t>Glen Burnie</t>
  </si>
  <si>
    <t>Baltimore Gas &amp; Electric</t>
  </si>
  <si>
    <t>Golden Ring Mall</t>
  </si>
  <si>
    <t>Baltimore</t>
  </si>
  <si>
    <t>Golden Triangle Mall</t>
  </si>
  <si>
    <t>Granite Run Mall</t>
  </si>
  <si>
    <t>Great Lakes Mall</t>
  </si>
  <si>
    <t>Cleveland</t>
  </si>
  <si>
    <t>The Cleveland Illuminating Co.</t>
  </si>
  <si>
    <t>Great Lakes Plaza</t>
  </si>
  <si>
    <t>Great Northeast Plaza</t>
  </si>
  <si>
    <t>Great Northern Mall</t>
  </si>
  <si>
    <t>Greenwood Park</t>
  </si>
  <si>
    <t>Greenwood</t>
  </si>
  <si>
    <t>Greenwood Plus</t>
  </si>
  <si>
    <t>Griffith Park Plaza</t>
  </si>
  <si>
    <t>Griffith</t>
  </si>
  <si>
    <t>Grove at lakeland Square, The</t>
  </si>
  <si>
    <t xml:space="preserve">Lakeland </t>
  </si>
  <si>
    <t>Lakeland Electric</t>
  </si>
  <si>
    <t>Gulf View Square</t>
  </si>
  <si>
    <t>Port Richey</t>
  </si>
  <si>
    <t>Gwinnett Place</t>
  </si>
  <si>
    <t>Duluth</t>
  </si>
  <si>
    <t>GA</t>
  </si>
  <si>
    <t>Georgia Power</t>
  </si>
  <si>
    <t>HAYWOOD MALL</t>
  </si>
  <si>
    <t>Greenville</t>
  </si>
  <si>
    <t>Duke Power</t>
  </si>
  <si>
    <t>Heritage Park Mall</t>
  </si>
  <si>
    <t>Midwest city</t>
  </si>
  <si>
    <t>Oklahoma gas &amp; electric</t>
  </si>
  <si>
    <t>Highland Lakes Center</t>
  </si>
  <si>
    <t>Highland Mall</t>
  </si>
  <si>
    <t>Hutchinson Mall</t>
  </si>
  <si>
    <t>Hutchinson</t>
  </si>
  <si>
    <t>KS</t>
  </si>
  <si>
    <t>Kansas power &amp; Light</t>
  </si>
  <si>
    <t>Independence Center</t>
  </si>
  <si>
    <t>Independence</t>
  </si>
  <si>
    <t>Indepen. Power &amp; Light</t>
  </si>
  <si>
    <t>Indian River Commons</t>
  </si>
  <si>
    <t>Vero Beach</t>
  </si>
  <si>
    <t>City Of Vero Beach</t>
  </si>
  <si>
    <t>Indian River Mall</t>
  </si>
  <si>
    <t>Ingram Park Mall</t>
  </si>
  <si>
    <t>San Antonio</t>
  </si>
  <si>
    <t>Adjusted Mid</t>
  </si>
  <si>
    <t>Savings Start Month</t>
  </si>
  <si>
    <t>Billing Costs for Wholesale Services</t>
  </si>
  <si>
    <t>Redistribution Sales &amp; Marketing</t>
  </si>
  <si>
    <t>Redistribution Billing and Metering</t>
  </si>
  <si>
    <t>City of Public Service</t>
  </si>
  <si>
    <t>Ingram Plaza</t>
  </si>
  <si>
    <t>Irving Mall</t>
  </si>
  <si>
    <t xml:space="preserve">Irving </t>
  </si>
  <si>
    <t>Texas Power &amp; light</t>
  </si>
  <si>
    <t>Jefferson Valley Mall</t>
  </si>
  <si>
    <t>Yorktown Heigths</t>
  </si>
  <si>
    <t>Con Edison</t>
  </si>
  <si>
    <t>Keystone Fashion Mall</t>
  </si>
  <si>
    <t>Keystone shoppers</t>
  </si>
  <si>
    <t>Knoxville Center</t>
  </si>
  <si>
    <t>Knoxville</t>
  </si>
  <si>
    <t>TN</t>
  </si>
  <si>
    <t>Knoxville Util Board</t>
  </si>
  <si>
    <t>Knoxville Commons</t>
  </si>
  <si>
    <t>La Plaza</t>
  </si>
  <si>
    <t>McAllen</t>
  </si>
  <si>
    <t>Central power &amp; Light</t>
  </si>
  <si>
    <t>Lafayette Square</t>
  </si>
  <si>
    <t>Laguna Hills Mall</t>
  </si>
  <si>
    <t>Laguna Hills</t>
  </si>
  <si>
    <t>Lake Plaza</t>
  </si>
  <si>
    <t>Waukegan</t>
  </si>
  <si>
    <t>Lake View Plaza</t>
  </si>
  <si>
    <t>Orland Park</t>
  </si>
  <si>
    <t>Lakeland Square</t>
  </si>
  <si>
    <t xml:space="preserve">lakeland </t>
  </si>
  <si>
    <t>Lakeline Mall</t>
  </si>
  <si>
    <t>N.Austin</t>
  </si>
  <si>
    <t>Piedernales Ele. Co-op</t>
  </si>
  <si>
    <t>Lakeline Plaza</t>
  </si>
  <si>
    <t xml:space="preserve">LENOX SQUARE </t>
  </si>
  <si>
    <t>Atlanta</t>
  </si>
  <si>
    <t>Lima Center</t>
  </si>
  <si>
    <t>Lima</t>
  </si>
  <si>
    <t>American Electric Power</t>
  </si>
  <si>
    <t>Lima Mall</t>
  </si>
  <si>
    <t>Lincoln Crossing</t>
  </si>
  <si>
    <t>O'Fallon</t>
  </si>
  <si>
    <t>Illinois Power Co.</t>
  </si>
  <si>
    <t>Lincolnwood Town Center</t>
  </si>
  <si>
    <t>Lincolnwood</t>
  </si>
  <si>
    <t>Com. Ed</t>
  </si>
  <si>
    <t>Lindale Mall</t>
  </si>
  <si>
    <t xml:space="preserve">LIVINGSTON MALL </t>
  </si>
  <si>
    <t>Livingston</t>
  </si>
  <si>
    <t>GPU Energy</t>
  </si>
  <si>
    <t>Longview Mall</t>
  </si>
  <si>
    <t>Longview</t>
  </si>
  <si>
    <t>Southwest Elec. Power Co.</t>
  </si>
  <si>
    <t xml:space="preserve">LYNNHAVEN MALL </t>
  </si>
  <si>
    <t>Virginia Beach</t>
  </si>
  <si>
    <t>VA Electric Po Co</t>
  </si>
  <si>
    <t>Machesney Park Mall</t>
  </si>
  <si>
    <t>Mainland Crossing</t>
  </si>
  <si>
    <t>Galveston</t>
  </si>
  <si>
    <t>Texas New Mexico Pwr. Co.</t>
  </si>
  <si>
    <t xml:space="preserve">MALL OF AMERICA </t>
  </si>
  <si>
    <t>Northern States Power</t>
  </si>
  <si>
    <t>MANHATTAN MALL (included 3621)</t>
  </si>
  <si>
    <t>New York</t>
  </si>
  <si>
    <t>Maplewood Square</t>
  </si>
  <si>
    <t>Markland Mall</t>
  </si>
  <si>
    <t>Kokomo</t>
  </si>
  <si>
    <t>Markland Plaza</t>
  </si>
  <si>
    <t>Martinville Plaza</t>
  </si>
  <si>
    <t xml:space="preserve">Gas </t>
  </si>
  <si>
    <t xml:space="preserve">Cost </t>
  </si>
  <si>
    <t>at Offer</t>
  </si>
  <si>
    <t>at Mid</t>
  </si>
  <si>
    <t xml:space="preserve">Pricing Status </t>
  </si>
  <si>
    <t>Offer to Baseline Spread</t>
  </si>
  <si>
    <t xml:space="preserve">    Power</t>
  </si>
  <si>
    <t xml:space="preserve">    Gas</t>
  </si>
  <si>
    <t xml:space="preserve">    EAM</t>
  </si>
  <si>
    <t xml:space="preserve">    AOS</t>
  </si>
  <si>
    <t>Variable Payment</t>
  </si>
  <si>
    <t>N/A</t>
  </si>
  <si>
    <t>Enron Charges 1%</t>
  </si>
  <si>
    <t>with gas adjustment</t>
  </si>
  <si>
    <t>Martinsville</t>
  </si>
  <si>
    <t>Marwood Plaza</t>
  </si>
  <si>
    <t>Matteson Plaza</t>
  </si>
  <si>
    <t>Matteson</t>
  </si>
  <si>
    <t>McCain Mall</t>
  </si>
  <si>
    <t>N. Little Rock</t>
  </si>
  <si>
    <t>AR</t>
  </si>
  <si>
    <t>No. Little Rock Utility</t>
  </si>
  <si>
    <t>Melbourne Square</t>
  </si>
  <si>
    <t>Melbourne</t>
  </si>
  <si>
    <t>Memorial Mall</t>
  </si>
  <si>
    <t>Sheboygan</t>
  </si>
  <si>
    <t>Memorial Plaza</t>
  </si>
  <si>
    <t>Menlo Park Mall</t>
  </si>
  <si>
    <t>Edison</t>
  </si>
  <si>
    <t>Public Svc. Elec. &amp; Gas Co.</t>
  </si>
  <si>
    <t>Mesa Mall</t>
  </si>
  <si>
    <t>Miami International Mall</t>
  </si>
  <si>
    <t>Midland Park Mall</t>
  </si>
  <si>
    <t xml:space="preserve">Midland </t>
  </si>
  <si>
    <t>Midway Mall</t>
  </si>
  <si>
    <t>Miller Hill Mall</t>
  </si>
  <si>
    <t>MN</t>
  </si>
  <si>
    <t>EAM Baseline</t>
  </si>
  <si>
    <t>EAM Square Footage</t>
  </si>
  <si>
    <t>Minnesota power Co.</t>
  </si>
  <si>
    <t>Mission Viejo Mall</t>
  </si>
  <si>
    <t>Mission Viejo</t>
  </si>
  <si>
    <t>San Diego Gas &amp; Electric</t>
  </si>
  <si>
    <t>Mounds Mall</t>
  </si>
  <si>
    <t>Anderson City Utility</t>
  </si>
  <si>
    <t>Muncie Mall</t>
  </si>
  <si>
    <t>Muncie</t>
  </si>
  <si>
    <t>Muncie Plaza</t>
  </si>
  <si>
    <t xml:space="preserve">NANUET MALL </t>
  </si>
  <si>
    <t>Nanuet</t>
  </si>
  <si>
    <t>Orange &amp; Rockland Utility</t>
  </si>
  <si>
    <t>New Castle Plaza</t>
  </si>
  <si>
    <t>New Castle</t>
  </si>
  <si>
    <t>New Orleans Centre/CNG Tower</t>
  </si>
  <si>
    <t>New Orleans</t>
  </si>
  <si>
    <t>LA</t>
  </si>
  <si>
    <t>mixed use</t>
  </si>
  <si>
    <t>Entergy</t>
  </si>
  <si>
    <t>NEWPORT CENTER</t>
  </si>
  <si>
    <t>Jersey City</t>
  </si>
  <si>
    <t>Public Ser. &amp; Elec.</t>
  </si>
  <si>
    <t>North East Mall</t>
  </si>
  <si>
    <t>Hurst</t>
  </si>
  <si>
    <t xml:space="preserve">NORTH PARK MALL </t>
  </si>
  <si>
    <t>Davenport</t>
  </si>
  <si>
    <t>Total electricty profile</t>
  </si>
  <si>
    <t>Wholly Owned Assets</t>
  </si>
  <si>
    <t>Wholly and Partially Owned Assets</t>
  </si>
  <si>
    <t>Total (kwh)</t>
  </si>
  <si>
    <t>Total Gas Profile</t>
  </si>
  <si>
    <t>Total Electricty Profile</t>
  </si>
  <si>
    <t>Mid-American Energy (IA)</t>
  </si>
  <si>
    <t>North Ridge Plaza</t>
  </si>
  <si>
    <t>Joliet</t>
  </si>
  <si>
    <t>North Riverside Park Plaza</t>
  </si>
  <si>
    <t>N. Riverside</t>
  </si>
  <si>
    <t>North Towne Square</t>
  </si>
  <si>
    <t>Toledo</t>
  </si>
  <si>
    <t>Toledo Edison</t>
  </si>
  <si>
    <t>Northfield square</t>
  </si>
  <si>
    <t>Bradley</t>
  </si>
  <si>
    <t>Northgate Mall</t>
  </si>
  <si>
    <t>Seattle</t>
  </si>
  <si>
    <t>Seattle City Light</t>
  </si>
  <si>
    <t>NORTHLAKE MALL</t>
  </si>
  <si>
    <t>Northland Plaza</t>
  </si>
  <si>
    <t>Columbus</t>
  </si>
  <si>
    <t>Northwood Plaza</t>
  </si>
  <si>
    <t>Fort Wayne</t>
  </si>
  <si>
    <t>Northwoods Mall</t>
  </si>
  <si>
    <t>Peoria</t>
  </si>
  <si>
    <t>CILCO/ QST</t>
  </si>
  <si>
    <t>Oak Court Mall</t>
  </si>
  <si>
    <t>Memphis</t>
  </si>
  <si>
    <t>Memphis Light Gas &amp; Water</t>
  </si>
  <si>
    <t>Oakwood Mall</t>
  </si>
  <si>
    <t>Ocean County Mall</t>
  </si>
  <si>
    <t>Toms Rivers</t>
  </si>
  <si>
    <t>O'Hare International Center</t>
  </si>
  <si>
    <t>Rosemont</t>
  </si>
  <si>
    <t>Orange Park Mall</t>
  </si>
  <si>
    <t>Clay Electric co-op</t>
  </si>
  <si>
    <t>Orland Square</t>
  </si>
  <si>
    <t>Paddock Mall</t>
  </si>
  <si>
    <t>Palm Beach Mall</t>
  </si>
  <si>
    <t xml:space="preserve">West Palm Beach </t>
  </si>
  <si>
    <t>Florida power &amp; Light</t>
  </si>
  <si>
    <t>Park Plaza</t>
  </si>
  <si>
    <t>Hopkinsville</t>
  </si>
  <si>
    <t>KY</t>
  </si>
  <si>
    <t>Electric plant Board</t>
  </si>
  <si>
    <t xml:space="preserve">PHIPPS PLAZA </t>
  </si>
  <si>
    <t>Plaza at Buckland Hills</t>
  </si>
  <si>
    <t>Manchester</t>
  </si>
  <si>
    <t>CT</t>
  </si>
  <si>
    <t>Connecticut Light &amp; power</t>
  </si>
  <si>
    <t>Port Charlotte Town Center</t>
  </si>
  <si>
    <t>Port Charlotte</t>
  </si>
  <si>
    <t>Prien Lake Mall</t>
  </si>
  <si>
    <t>Lake Charles</t>
  </si>
  <si>
    <t>Raleigh Springs Mall</t>
  </si>
  <si>
    <t>Memphis Light, Gas &amp; Water</t>
  </si>
  <si>
    <t>Randall Park Mall</t>
  </si>
  <si>
    <t>Cleveland OH</t>
  </si>
  <si>
    <t>Regency Plaza</t>
  </si>
  <si>
    <t>StCharles</t>
  </si>
  <si>
    <t>Richardson Square</t>
  </si>
  <si>
    <t>Fixed Pay to Simon</t>
  </si>
  <si>
    <t>Variable Pay to Simon</t>
  </si>
  <si>
    <t>Up-front Pay to Simon</t>
  </si>
  <si>
    <t>HVAC Maintenance</t>
  </si>
  <si>
    <t>Reconciliation</t>
  </si>
  <si>
    <t>Savings to Customer</t>
  </si>
  <si>
    <t>Revenue Baseline</t>
  </si>
  <si>
    <t>Revenue EESO</t>
  </si>
  <si>
    <t>Net Baseline</t>
  </si>
  <si>
    <t>Net EESO</t>
  </si>
  <si>
    <t>NPV Baseline</t>
  </si>
  <si>
    <t>NPV EESO</t>
  </si>
  <si>
    <t>Total NPV Baseline</t>
  </si>
  <si>
    <t>Total NPV EESO</t>
  </si>
  <si>
    <t>Total Revenue Baseline</t>
  </si>
  <si>
    <t>Cash Flow -- EESO</t>
  </si>
  <si>
    <t>Cash Flow -- Baseline</t>
  </si>
  <si>
    <t>Dallas</t>
  </si>
  <si>
    <t>Richmond Square</t>
  </si>
  <si>
    <t>Richmond</t>
  </si>
  <si>
    <t>Richmond Power &amp; light</t>
  </si>
  <si>
    <t>Richmond Town Square</t>
  </si>
  <si>
    <t>Ridge Plaza</t>
  </si>
  <si>
    <t>Arlington Heigths</t>
  </si>
  <si>
    <t>Ridgewood court</t>
  </si>
  <si>
    <t>Jackson</t>
  </si>
  <si>
    <t>MS</t>
  </si>
  <si>
    <t>River Oaks Center</t>
  </si>
  <si>
    <t>Structuring Cash Flows</t>
  </si>
  <si>
    <t>Pricing Date</t>
  </si>
  <si>
    <t>Pricing Expires</t>
  </si>
  <si>
    <t xml:space="preserve">Construction </t>
  </si>
  <si>
    <t>Structuring</t>
  </si>
  <si>
    <t>Interest Revenue</t>
  </si>
  <si>
    <t>Principal Repayment</t>
  </si>
  <si>
    <t xml:space="preserve">Residual </t>
  </si>
  <si>
    <t>Total Expected</t>
  </si>
  <si>
    <t>Deal Period</t>
  </si>
  <si>
    <t>Date</t>
  </si>
  <si>
    <t>Cash Flows</t>
  </si>
  <si>
    <t>Fee</t>
  </si>
  <si>
    <t>Finance Term</t>
  </si>
  <si>
    <t>Cash Flow</t>
  </si>
  <si>
    <t>Cost MID</t>
  </si>
  <si>
    <t>Cost Offer</t>
  </si>
  <si>
    <t>Savings MID</t>
  </si>
  <si>
    <t>Savings Offer</t>
  </si>
  <si>
    <t>idc</t>
  </si>
  <si>
    <t>term</t>
  </si>
  <si>
    <t>total</t>
  </si>
  <si>
    <t>construction draw</t>
  </si>
  <si>
    <t>Draw</t>
  </si>
  <si>
    <t>Project</t>
  </si>
  <si>
    <t>Finance</t>
  </si>
  <si>
    <t>Direct</t>
  </si>
  <si>
    <t>Billing &amp; IS</t>
  </si>
  <si>
    <t xml:space="preserve">  Subtotal - Sources</t>
  </si>
  <si>
    <t>"Above the Line" Margin</t>
  </si>
  <si>
    <t>"Below The Line" Margin</t>
  </si>
  <si>
    <t xml:space="preserve">  Billing and Mgmt</t>
  </si>
  <si>
    <t>Kevin Greiner / Jun Wang</t>
  </si>
  <si>
    <t>Lease</t>
  </si>
  <si>
    <t xml:space="preserve">Consumption </t>
  </si>
  <si>
    <t>NPV at MID</t>
  </si>
  <si>
    <t>NPV at OFFER</t>
  </si>
  <si>
    <t>Internal Loan</t>
  </si>
  <si>
    <t>Pass through</t>
  </si>
  <si>
    <t>Calumet City</t>
  </si>
  <si>
    <t>Riverway</t>
  </si>
  <si>
    <t xml:space="preserve">ROCKAWAY TOWNSQUARE </t>
  </si>
  <si>
    <t>Rockaway</t>
  </si>
  <si>
    <t>Rolling Oaks Mall</t>
  </si>
  <si>
    <t>N, San Antonio</t>
  </si>
  <si>
    <t>City Public Service</t>
  </si>
  <si>
    <t xml:space="preserve">Roosevelt field </t>
  </si>
  <si>
    <t>Garden City</t>
  </si>
  <si>
    <t>Long Is. Light Co.</t>
  </si>
  <si>
    <t>Ross Park Mall</t>
  </si>
  <si>
    <t>Duquesne Light Co.</t>
  </si>
  <si>
    <t>Royal Eagle Plaza</t>
  </si>
  <si>
    <t>Rushmore Mall</t>
  </si>
  <si>
    <t>Santa Rosa Plaza</t>
  </si>
  <si>
    <t>Santa Rosa</t>
  </si>
  <si>
    <t>PG&amp;E</t>
  </si>
  <si>
    <t>Seminole Towne Center</t>
  </si>
  <si>
    <t>Sanford</t>
  </si>
  <si>
    <t>Shops at Sunset Place, The</t>
  </si>
  <si>
    <t>under construction</t>
  </si>
  <si>
    <t>SI/RMST Riverway East</t>
  </si>
  <si>
    <t>SI/RMST Riverway West</t>
  </si>
  <si>
    <t>Smith Haven Mall</t>
  </si>
  <si>
    <t>Lake Grove</t>
  </si>
  <si>
    <t>Source,The</t>
  </si>
  <si>
    <t>Long Island</t>
  </si>
  <si>
    <t>South Hills Village</t>
  </si>
  <si>
    <t xml:space="preserve">Alleghenny Power </t>
  </si>
  <si>
    <t>South Park Mall</t>
  </si>
  <si>
    <t>Shreveport</t>
  </si>
  <si>
    <t>Southwest Electric Power Co.</t>
  </si>
  <si>
    <t>Moline</t>
  </si>
  <si>
    <t>Total Contract Value</t>
  </si>
  <si>
    <t>Total Contract Margin</t>
  </si>
  <si>
    <t>Energy-Related FM Included in Wholesale Services</t>
  </si>
  <si>
    <t>Non-Energy-Related FM Included in Wholesale Services</t>
  </si>
  <si>
    <t>Mid American Energy</t>
  </si>
  <si>
    <t>South Shore plaza</t>
  </si>
  <si>
    <t>Braintree</t>
  </si>
  <si>
    <t>Towne of Braintree Electric Light Dept.</t>
  </si>
  <si>
    <t>Southern Hills Mall</t>
  </si>
  <si>
    <t>Southern park Mall</t>
  </si>
  <si>
    <t>Youngstowne</t>
  </si>
  <si>
    <t>Southgate Mall</t>
  </si>
  <si>
    <t>Yuma</t>
  </si>
  <si>
    <t>AZ</t>
  </si>
  <si>
    <t>Arizona Pub. Services</t>
  </si>
  <si>
    <t>Southridge Mall</t>
  </si>
  <si>
    <t>St. Charles Towne Center</t>
  </si>
  <si>
    <t>Waldorf</t>
  </si>
  <si>
    <t>So. Md. Electric Co-op</t>
  </si>
  <si>
    <t xml:space="preserve">ST. LOUIS CENTRE </t>
  </si>
  <si>
    <t>St. Louis</t>
  </si>
  <si>
    <t>MI</t>
  </si>
  <si>
    <t>StCharles Towne Plaza</t>
  </si>
  <si>
    <t>Southern MD Electric corp</t>
  </si>
  <si>
    <t>Summit Mall</t>
  </si>
  <si>
    <t>Akron</t>
  </si>
  <si>
    <t>Sunland Park Mall</t>
  </si>
  <si>
    <t>Tacoma Mall</t>
  </si>
  <si>
    <t>Tacoma</t>
  </si>
  <si>
    <t>Tacoma public utilities</t>
  </si>
  <si>
    <t>Teal Plaza</t>
  </si>
  <si>
    <t>Lafayette</t>
  </si>
  <si>
    <t>Terrace at the Florida Mall</t>
  </si>
  <si>
    <t>Tippecanoe Mall</t>
  </si>
  <si>
    <t>Tippecanoe Plaza</t>
  </si>
  <si>
    <t>Tower Shops, The</t>
  </si>
  <si>
    <t>Towne Center @ Boca Raton</t>
  </si>
  <si>
    <t>Boca Raton</t>
  </si>
  <si>
    <t>Towne Center @ Cobb</t>
  </si>
  <si>
    <t>Kennesaw</t>
  </si>
  <si>
    <t>Towne east Square</t>
  </si>
  <si>
    <t xml:space="preserve">Wichita </t>
  </si>
  <si>
    <t>KS Gas &amp; Electric</t>
  </si>
  <si>
    <t>Towne West Square</t>
  </si>
  <si>
    <t>Kansas gas &amp; Electric</t>
  </si>
  <si>
    <t>Treasure Coast Square</t>
  </si>
  <si>
    <t>Jenson Beach</t>
  </si>
  <si>
    <t>Trolley Square</t>
  </si>
  <si>
    <t>Salt Lake City</t>
  </si>
  <si>
    <t>UT</t>
  </si>
  <si>
    <t>UT Po</t>
  </si>
  <si>
    <t>Tyrone Square</t>
  </si>
  <si>
    <t xml:space="preserve">St. Petersburg </t>
  </si>
  <si>
    <t>University Center</t>
  </si>
  <si>
    <t>South Bend</t>
  </si>
  <si>
    <t>Mishawaka public utility</t>
  </si>
  <si>
    <t>1. Change the Re-Whole to accommodate the macro.</t>
  </si>
  <si>
    <t>2. Add another macro for Compare.</t>
  </si>
  <si>
    <t>University Mall</t>
  </si>
  <si>
    <t>Little Rock</t>
  </si>
  <si>
    <t>Gulf Po</t>
  </si>
  <si>
    <t>University Park Mall</t>
  </si>
  <si>
    <t>Southbend</t>
  </si>
  <si>
    <t>Upper Valley Mall</t>
  </si>
  <si>
    <t>Valle Vista Mall</t>
  </si>
  <si>
    <t>Harlingten</t>
  </si>
  <si>
    <t>Central power &amp; light</t>
  </si>
  <si>
    <t>Valley Mall</t>
  </si>
  <si>
    <t>Village Park Plaza</t>
  </si>
  <si>
    <t>Westfield</t>
  </si>
  <si>
    <t>Virginia Center Commons</t>
  </si>
  <si>
    <t>Virginia power</t>
  </si>
  <si>
    <t>Wabash Village</t>
  </si>
  <si>
    <t>West lafayette</t>
  </si>
  <si>
    <t>Walt Whitman Mall</t>
  </si>
  <si>
    <t>Huntington Station</t>
  </si>
  <si>
    <t>Washington Plaza</t>
  </si>
  <si>
    <t>Indianapolis Power &amp; Light</t>
  </si>
  <si>
    <t>Washington Square</t>
  </si>
  <si>
    <t>West Ridge Mall</t>
  </si>
  <si>
    <t>Topeka</t>
  </si>
  <si>
    <t>KS Po &amp; Light</t>
  </si>
  <si>
    <t>West Ridge plaza</t>
  </si>
  <si>
    <t>West Town Corner</t>
  </si>
  <si>
    <t>Altamonte Springs</t>
  </si>
  <si>
    <t>West Town Mall</t>
  </si>
  <si>
    <t>Knoxville Utility Board</t>
  </si>
  <si>
    <t>Westchester,the</t>
  </si>
  <si>
    <t>White Plains</t>
  </si>
  <si>
    <t>Westland Park Plaza</t>
  </si>
  <si>
    <t>Orange Park</t>
  </si>
  <si>
    <t>Jacksonville Elec Auth.</t>
  </si>
  <si>
    <t>WESTMINISTER MALL</t>
  </si>
  <si>
    <t>Westminister</t>
  </si>
  <si>
    <t>Southern Cal Edison</t>
  </si>
  <si>
    <t>White Oaks Mall</t>
  </si>
  <si>
    <t xml:space="preserve">City Water, light &amp; Power </t>
  </si>
  <si>
    <t>White Oaks Plaza</t>
  </si>
  <si>
    <t>Wichita mall</t>
  </si>
  <si>
    <t>Wichita</t>
  </si>
  <si>
    <t>Willow Knolls Court</t>
  </si>
  <si>
    <t>Central illinois Light Co.</t>
  </si>
  <si>
    <t>Windsor Park Mall</t>
  </si>
  <si>
    <t>City Public Ser.</t>
  </si>
  <si>
    <t>Wood Plaza</t>
  </si>
  <si>
    <t>Fort Dodge</t>
  </si>
  <si>
    <t>IA</t>
  </si>
  <si>
    <t>Woodville Mall</t>
  </si>
  <si>
    <t>Yards Plaza,The</t>
  </si>
  <si>
    <t>Chicago</t>
  </si>
  <si>
    <t>GL</t>
  </si>
  <si>
    <t>BB</t>
  </si>
  <si>
    <t>SBV Initiatives and 10K</t>
  </si>
  <si>
    <t>10K</t>
  </si>
  <si>
    <t>SBV Init.</t>
  </si>
  <si>
    <t>SPG Elect Revenue Report</t>
  </si>
  <si>
    <t>SBV Init</t>
  </si>
  <si>
    <t>Derived</t>
  </si>
  <si>
    <t>Sum of next 2 columns</t>
  </si>
  <si>
    <t>All CAM assumed if CP exists</t>
  </si>
  <si>
    <t>Central Plant Analysis; sq ft # assumed to be tenant sq #</t>
  </si>
  <si>
    <t>Represents all CAM sq ft where no C.P. exists</t>
  </si>
  <si>
    <t>Derived: GLA - retail sq ft served by C.P.</t>
  </si>
  <si>
    <t>G/L</t>
  </si>
  <si>
    <t>GL?</t>
  </si>
  <si>
    <t>Medium</t>
  </si>
  <si>
    <t>High</t>
  </si>
  <si>
    <t>Low-Medium</t>
  </si>
  <si>
    <t>Low</t>
  </si>
  <si>
    <t>AVERAGES:</t>
  </si>
  <si>
    <t>Minimum</t>
  </si>
  <si>
    <t>Maximum</t>
  </si>
  <si>
    <t>Simon Properties</t>
  </si>
  <si>
    <t>Expenditure Baseline Summary</t>
  </si>
  <si>
    <t>In Thousands</t>
  </si>
  <si>
    <t>(Compiled using 1998 Actuals)</t>
  </si>
  <si>
    <t>All Facilities</t>
  </si>
  <si>
    <t>Central</t>
  </si>
  <si>
    <t>Commodity</t>
  </si>
  <si>
    <t>% of Total</t>
  </si>
  <si>
    <t>Deal Workbook</t>
  </si>
  <si>
    <t>Billing &amp; Metering</t>
  </si>
  <si>
    <t>Operation Mgmt</t>
  </si>
  <si>
    <t>Mgmt Fee</t>
  </si>
  <si>
    <t>5.5% Lease Payment</t>
  </si>
  <si>
    <t>Debt Annuity</t>
  </si>
  <si>
    <t>Billing and Metering</t>
  </si>
  <si>
    <t>DSM Projects</t>
  </si>
  <si>
    <t>Consumption -- EAM</t>
  </si>
  <si>
    <t>Commodities</t>
  </si>
  <si>
    <t>Power, Gas, Water</t>
  </si>
  <si>
    <t>Cash</t>
  </si>
  <si>
    <t>Water/Wastewater</t>
  </si>
  <si>
    <t>Total Facility</t>
  </si>
  <si>
    <t>Facility Management</t>
  </si>
  <si>
    <t>Fixed (1.15% Escalation)</t>
  </si>
  <si>
    <t>Service Provider</t>
  </si>
  <si>
    <t>(TFSP)</t>
  </si>
  <si>
    <t>$ baseline - 4% savings</t>
  </si>
  <si>
    <t>Transaction</t>
  </si>
  <si>
    <t>Simon Property</t>
  </si>
  <si>
    <t>Term = 10 years</t>
  </si>
  <si>
    <t>Group</t>
  </si>
  <si>
    <t>Variable Payment to Simon</t>
  </si>
  <si>
    <t>Power and Gas</t>
  </si>
  <si>
    <t>Commodity Payment</t>
  </si>
  <si>
    <t xml:space="preserve">Marketing  </t>
  </si>
  <si>
    <t>Jun's Cost mid</t>
  </si>
  <si>
    <t>Estimate</t>
  </si>
  <si>
    <t>Plant</t>
  </si>
  <si>
    <t>Resistribution</t>
  </si>
  <si>
    <t>CAM-In</t>
  </si>
  <si>
    <t>CAM-Out</t>
  </si>
  <si>
    <t>Totals</t>
  </si>
  <si>
    <t>Electricity</t>
  </si>
  <si>
    <t>Gas/Fuel Oil</t>
  </si>
  <si>
    <t>Water/Sewer</t>
  </si>
  <si>
    <t>Total Commodity</t>
  </si>
  <si>
    <t>Direct FM Expenses</t>
  </si>
  <si>
    <t>Repair &amp; Maintenance</t>
  </si>
  <si>
    <t>Labor and Benefits</t>
  </si>
  <si>
    <t>Admin/Corporate Overhead</t>
  </si>
  <si>
    <t>Total TFSP Expenses</t>
  </si>
  <si>
    <t>Assumed % in Scope</t>
  </si>
  <si>
    <t>TFSP Expenses in Scope</t>
  </si>
  <si>
    <t>Capital*</t>
  </si>
  <si>
    <t>Total Baseline</t>
  </si>
  <si>
    <t>Wholly-Owned Facilities Only</t>
  </si>
  <si>
    <t>TFSP Expenses</t>
  </si>
  <si>
    <t>Site .</t>
  </si>
  <si>
    <t>Wholly-Owned</t>
  </si>
  <si>
    <t>E_CP_98</t>
  </si>
  <si>
    <t>E_Redist_98</t>
  </si>
  <si>
    <t>E_Cam_98</t>
  </si>
  <si>
    <t>E_Non_CAM_98</t>
  </si>
  <si>
    <t>G_CP_98</t>
  </si>
  <si>
    <t>G_Redist_98</t>
  </si>
  <si>
    <t>G_Cam_98</t>
  </si>
  <si>
    <t>G_Non_CAM_98</t>
  </si>
  <si>
    <t>WS_CP_98</t>
  </si>
  <si>
    <t>WS_Redist_98</t>
  </si>
  <si>
    <t>WS_Cam_98</t>
  </si>
  <si>
    <t>WS_Non_CAM_98</t>
  </si>
  <si>
    <t>R&amp;M_CP_98</t>
  </si>
  <si>
    <t>R&amp;M_Redist_98</t>
  </si>
  <si>
    <t>R&amp;M_Cam_98</t>
  </si>
  <si>
    <t>R&amp;M_Non_CAM_98</t>
  </si>
  <si>
    <t>S&amp;B_CP_98</t>
  </si>
  <si>
    <t>S&amp;B_Redist_98</t>
  </si>
  <si>
    <t>S&amp;B_Cam_98</t>
  </si>
  <si>
    <t>S&amp;B_Non_CAM_98</t>
  </si>
  <si>
    <t>1998_CI_Capital</t>
  </si>
  <si>
    <t>1998_CA_Capital</t>
  </si>
  <si>
    <t>1998_NC_Capital</t>
  </si>
  <si>
    <t>LENOX SQUARE</t>
  </si>
  <si>
    <t>LIVINGSTON MALL</t>
  </si>
  <si>
    <t>NANUET MALL</t>
  </si>
  <si>
    <t>PHIPPS PLAZA</t>
  </si>
  <si>
    <t>ROCKAWAY TOWNSQUARE</t>
  </si>
  <si>
    <t>Roosevelt field</t>
  </si>
  <si>
    <t>SOUTH SHORE PLAZA</t>
  </si>
  <si>
    <t>ST. LOUIS CENTRE</t>
  </si>
  <si>
    <t>Wichita Mall</t>
  </si>
  <si>
    <t>Crystal Court</t>
  </si>
  <si>
    <t>Fairfax Court</t>
  </si>
  <si>
    <t>FASHION MALL @ PLANTATION</t>
  </si>
  <si>
    <t>LYNNHAVEN MALL</t>
  </si>
  <si>
    <t>MALL OF AMERICA</t>
  </si>
  <si>
    <t>NORTH PARK MALL</t>
  </si>
  <si>
    <t>SI/RSMT RIVERWAY-EA</t>
  </si>
  <si>
    <t>SI/RSMT RIVERWAY-WE</t>
  </si>
  <si>
    <t>Westchester</t>
  </si>
  <si>
    <t>TOTAL</t>
  </si>
  <si>
    <t>WHOLLY-Owned</t>
  </si>
  <si>
    <t>Total =</t>
  </si>
  <si>
    <t>General Information</t>
  </si>
  <si>
    <t>Total</t>
  </si>
  <si>
    <t>Mall and Occupancy Data</t>
  </si>
  <si>
    <t>Total # of Shopping Centers</t>
  </si>
  <si>
    <t>Total Square Feet of Retail Space</t>
  </si>
  <si>
    <t>Total Square Feet of CAM</t>
  </si>
  <si>
    <t>Total # of Lessees</t>
  </si>
  <si>
    <t>Total occupance percentage</t>
  </si>
  <si>
    <t>Total retail space under lease (sq ft)</t>
  </si>
  <si>
    <t>Retail Energy Services Information</t>
  </si>
  <si>
    <t>% of total consumption savings occuring in second year</t>
  </si>
  <si>
    <t>% of Savings from Power</t>
  </si>
  <si>
    <t>% of  Savings from Gas</t>
  </si>
  <si>
    <t>Total retail space outfitted for redistributed electricity</t>
  </si>
  <si>
    <t>Assumes malls w/ redistribution have 100% "O" (non-major) tenant penetration</t>
  </si>
  <si>
    <t>Estimated retail space currently under power redistrib.</t>
  </si>
  <si>
    <t>(based on current occupancy rate)</t>
  </si>
  <si>
    <t>Total retail space with no redistributed electricity</t>
  </si>
  <si>
    <t>Assumes no major tenants are receiving redistribution</t>
  </si>
  <si>
    <t>Estimated retail space currently w/o power redistribution</t>
  </si>
  <si>
    <t>Total GLA served with central plant</t>
  </si>
  <si>
    <t>Total GLA served with rooftop units</t>
  </si>
  <si>
    <t>Total GLA occupied by major tenants</t>
  </si>
  <si>
    <t>Total GLA occupied by non-major tenants</t>
  </si>
  <si>
    <t>CAM Energy Services Breakdown</t>
  </si>
  <si>
    <t>CAM served by central plants</t>
  </si>
  <si>
    <t>CAM served by rooftop units</t>
  </si>
  <si>
    <t>Tenant Energy Services Breakdown</t>
  </si>
  <si>
    <t>No Retail HVAC Services</t>
  </si>
  <si>
    <t>Comprehensive HVAC Services: Bundled Central Plant Services</t>
  </si>
  <si>
    <t>No Redistributed Electricity</t>
  </si>
  <si>
    <t>Redistributed Electricity</t>
  </si>
  <si>
    <t>Square Feet of CAM Served by Central Plants</t>
  </si>
  <si>
    <t>Square Feet of CAM Served by Rooftop Units</t>
  </si>
  <si>
    <t xml:space="preserve">Assumes central plant always provides CAM cooling </t>
  </si>
  <si>
    <t>Discount Rate Used in Analysis</t>
  </si>
  <si>
    <t xml:space="preserve">Consumption in </t>
  </si>
  <si>
    <t>Central Plants</t>
  </si>
  <si>
    <t>CAM</t>
  </si>
  <si>
    <t>Non-CAM Areas</t>
  </si>
  <si>
    <t>Redistr. Tenant Space</t>
  </si>
  <si>
    <t>Commodity Information</t>
  </si>
  <si>
    <t>Up-front Payment to Simon</t>
  </si>
  <si>
    <t>Earn-out Payment to Simon</t>
  </si>
  <si>
    <t>Other Expenditures</t>
  </si>
  <si>
    <t xml:space="preserve">  FM Alliance </t>
  </si>
  <si>
    <t>Earn-out Pay to Simon</t>
  </si>
  <si>
    <t>Marketing Expenses</t>
  </si>
  <si>
    <t>(CAM lighting, rooftop units)</t>
  </si>
  <si>
    <t>(tenant lighting, rooftop units)</t>
  </si>
  <si>
    <t>Baseline Electricity Expenditures</t>
  </si>
  <si>
    <t>Baseline Gas / Fuel Oil Expenditures</t>
  </si>
  <si>
    <t>Water/Sewer Expenditures</t>
  </si>
  <si>
    <t>Wgt. Avg.</t>
  </si>
  <si>
    <t>Total Consumption</t>
  </si>
  <si>
    <t>$ / Kwh</t>
  </si>
  <si>
    <t>(Kwh)</t>
  </si>
  <si>
    <t xml:space="preserve">Esitmated Power Consumption (Kwh) </t>
  </si>
  <si>
    <t>$ / MMBtu</t>
  </si>
  <si>
    <t>(MMBtu)</t>
  </si>
  <si>
    <t>Estimated Gas and Fuel Oil Consumption (MMBtu)</t>
  </si>
  <si>
    <t>Baseline</t>
  </si>
  <si>
    <t>Forward Power Commodity Curve (as % of current): Mid</t>
  </si>
  <si>
    <t>Power Cost ($/Kwh): Mid</t>
  </si>
  <si>
    <t>Forward Power Commodity Curve (as % of current): Offer</t>
  </si>
  <si>
    <t>Power Cost ($/Kwh): Offer</t>
  </si>
  <si>
    <t>PV for Swap</t>
  </si>
  <si>
    <t>Forward Gas Commodity Curve (as % of current): Mid</t>
  </si>
  <si>
    <t>Gas Cost ($/MMBtu):Mid</t>
  </si>
  <si>
    <t>Forward Gas Commodity Curve (as % of current): Offer</t>
  </si>
  <si>
    <t>Gas Cost ($/MMBtu): Offer</t>
  </si>
  <si>
    <t>Gas Escalators from Deb Merrill</t>
  </si>
  <si>
    <t>Gas Swap Curve: Mid</t>
  </si>
  <si>
    <t>Gas Swap Curve: Offer</t>
  </si>
  <si>
    <t>Risk Free Rate</t>
  </si>
  <si>
    <t>Wholesale Baseline</t>
  </si>
  <si>
    <t>All Facilities:</t>
  </si>
  <si>
    <t>Direct Energy O&amp;M</t>
  </si>
  <si>
    <t>TFSP Energy O&amp;M*</t>
  </si>
  <si>
    <t>Maintenance Capital</t>
  </si>
  <si>
    <t>Admin</t>
  </si>
  <si>
    <t>Wholly-Owned Only:</t>
  </si>
  <si>
    <t>* Estimated</t>
  </si>
  <si>
    <t>Wholesale Services</t>
  </si>
  <si>
    <t>MID or Offer</t>
  </si>
  <si>
    <t>Lease Payment</t>
  </si>
  <si>
    <t>Wholesale Business</t>
  </si>
  <si>
    <t>Esc. Factor</t>
  </si>
  <si>
    <t>Power</t>
  </si>
  <si>
    <t>Revenue</t>
  </si>
  <si>
    <t>Cost</t>
  </si>
  <si>
    <t>Gas</t>
  </si>
  <si>
    <t>Net</t>
  </si>
  <si>
    <t>Water</t>
  </si>
  <si>
    <t>TFSP</t>
  </si>
  <si>
    <t>HVAC</t>
  </si>
  <si>
    <t>Billing and Information Management</t>
  </si>
  <si>
    <t>Costs</t>
  </si>
  <si>
    <t>DSM Capital Expendirures</t>
  </si>
  <si>
    <t>CSC Costs</t>
  </si>
  <si>
    <t xml:space="preserve">CSC  </t>
  </si>
  <si>
    <t>Consumption</t>
  </si>
  <si>
    <t>Total Revenue</t>
  </si>
  <si>
    <t>Total NPV</t>
  </si>
  <si>
    <t>Redistributed Commodites</t>
  </si>
  <si>
    <t>Gas and Fuel Oil</t>
  </si>
  <si>
    <t>DSM Expenditures</t>
  </si>
  <si>
    <t>Savings</t>
  </si>
  <si>
    <t>TCV</t>
  </si>
  <si>
    <t>Value Sources</t>
  </si>
  <si>
    <t xml:space="preserve">   Electricity</t>
  </si>
  <si>
    <t xml:space="preserve">   Natural Gas</t>
  </si>
  <si>
    <t>Subtotal</t>
  </si>
  <si>
    <t>EESO Billing</t>
  </si>
  <si>
    <t>EESO Metering</t>
  </si>
  <si>
    <t>Transaction Economics Deal Snapshot</t>
  </si>
  <si>
    <t>Offer NPV</t>
  </si>
  <si>
    <t>DEAL INFORMATION</t>
  </si>
  <si>
    <t>Deal Name:</t>
  </si>
  <si>
    <t>Snapshot Date:</t>
  </si>
  <si>
    <t>Salesperson:</t>
  </si>
  <si>
    <t>Deal Manager:</t>
  </si>
  <si>
    <t>Transaction Economist:</t>
  </si>
  <si>
    <t>KEY DEAL PARAMETERS</t>
  </si>
  <si>
    <t xml:space="preserve"> Commodity</t>
  </si>
  <si>
    <t xml:space="preserve">   Water/Wastewater</t>
  </si>
  <si>
    <t>Disc.Off Baseline</t>
  </si>
  <si>
    <t>Effective Date:</t>
  </si>
  <si>
    <t>ECONOMICS</t>
  </si>
  <si>
    <t>Economic Summary</t>
  </si>
  <si>
    <t>Est. Project Capital</t>
  </si>
  <si>
    <t>Component</t>
  </si>
  <si>
    <t>1998 Values</t>
  </si>
  <si>
    <t>Escalation</t>
  </si>
  <si>
    <t>Value</t>
  </si>
  <si>
    <t>Total Deal Exposure</t>
  </si>
  <si>
    <t>Projects</t>
  </si>
  <si>
    <t>Current Situation</t>
  </si>
  <si>
    <t>Proposed Structure</t>
  </si>
  <si>
    <t>TFSP Fixed Margin for Facility Services</t>
  </si>
  <si>
    <t xml:space="preserve"> Revenue Growth without EESO involvement</t>
  </si>
  <si>
    <t xml:space="preserve"> Margin Before Simon Payment</t>
  </si>
  <si>
    <t>TFSP Marketing Expense</t>
  </si>
  <si>
    <t>Guaranteed Cumulative FM Outsource Revenues</t>
  </si>
  <si>
    <t>(within 3 years)</t>
  </si>
  <si>
    <t>(all assumed to occur by third year)</t>
  </si>
  <si>
    <t>Total Simon NPV</t>
  </si>
  <si>
    <t xml:space="preserve">  Outsource</t>
  </si>
  <si>
    <t xml:space="preserve">  Redistribution</t>
  </si>
  <si>
    <t>All Properties Included?</t>
  </si>
  <si>
    <t>Monetizations</t>
  </si>
  <si>
    <t>Economic Breakout</t>
  </si>
  <si>
    <t xml:space="preserve">  DSM Projects</t>
  </si>
  <si>
    <t xml:space="preserve">  Commodity</t>
  </si>
  <si>
    <t xml:space="preserve">     Electricity</t>
  </si>
  <si>
    <t xml:space="preserve">     Natural Gas</t>
  </si>
  <si>
    <t xml:space="preserve">     Water/Wstwater</t>
  </si>
  <si>
    <t>Mid NPV</t>
  </si>
  <si>
    <t xml:space="preserve">Value Draws </t>
  </si>
  <si>
    <t>EESO Acct Mgmt</t>
  </si>
  <si>
    <t>Mid/Offer Spread</t>
  </si>
  <si>
    <t>COMMENTS</t>
  </si>
  <si>
    <t>%</t>
  </si>
  <si>
    <t xml:space="preserve">                        Pricing Structure</t>
  </si>
  <si>
    <t xml:space="preserve">  AOS</t>
  </si>
  <si>
    <t xml:space="preserve"> O&amp;M</t>
  </si>
  <si>
    <t>CONFIDENTIAL - FOR INTERNAL USE ONLY</t>
  </si>
  <si>
    <t>NPV at Mid to Offer</t>
  </si>
  <si>
    <t>NPV at Offer to Contract</t>
  </si>
  <si>
    <t>NPV at Mid to Contract</t>
  </si>
  <si>
    <t>Simon Property Group</t>
  </si>
  <si>
    <t>Stuart Rexrode</t>
  </si>
  <si>
    <t>Present</t>
  </si>
  <si>
    <t>Deal Term:</t>
  </si>
  <si>
    <t xml:space="preserve"> TFSP</t>
  </si>
  <si>
    <t xml:space="preserve"> HVAC</t>
  </si>
  <si>
    <t xml:space="preserve"> Billing and IS Mangmt</t>
  </si>
  <si>
    <t xml:space="preserve">  O&amp;M</t>
  </si>
  <si>
    <t xml:space="preserve">  TFSP</t>
  </si>
  <si>
    <t xml:space="preserve">  HVAC</t>
  </si>
  <si>
    <t xml:space="preserve">  Billing and Mangmt</t>
  </si>
  <si>
    <t>Offer</t>
  </si>
  <si>
    <t>Mid</t>
  </si>
  <si>
    <t>Total Cost</t>
  </si>
  <si>
    <t>Capital Breakout</t>
  </si>
  <si>
    <t>Billing and IS</t>
  </si>
  <si>
    <t>mid</t>
  </si>
  <si>
    <t>amortization</t>
  </si>
  <si>
    <t>Angela Schwarz</t>
  </si>
  <si>
    <t>10 years</t>
  </si>
  <si>
    <t>Sub Total</t>
  </si>
  <si>
    <t>DSM Capital</t>
  </si>
  <si>
    <t>EESO Sales and Mkting</t>
  </si>
  <si>
    <t xml:space="preserve"> Sales and Marketing</t>
  </si>
  <si>
    <t>Cash Flows at MID</t>
  </si>
  <si>
    <t>Cash Flows at Offer</t>
  </si>
  <si>
    <t>Wholesale</t>
  </si>
  <si>
    <t>Include only C.P. water/sewer in scope</t>
  </si>
  <si>
    <t>Lease Payment as a % of Wholesale Revenues</t>
  </si>
  <si>
    <t>% Reduction of Wholesale Baseline</t>
  </si>
  <si>
    <t>Show at mid or offer?</t>
  </si>
  <si>
    <t>Prop #</t>
  </si>
  <si>
    <t>Redisatributed currently</t>
  </si>
  <si>
    <t>CAM Square Footage</t>
  </si>
  <si>
    <t>Tenant HVAC Square Feet</t>
  </si>
  <si>
    <t>Total Facility Square Feet</t>
  </si>
  <si>
    <t>Type (Regional, Mixed Use, Specialty etc)</t>
  </si>
  <si>
    <t>Power redistribution</t>
  </si>
  <si>
    <t>Occupancy % - Year end 1998</t>
  </si>
  <si>
    <t>Occupancy % - Year end 1997</t>
  </si>
  <si>
    <t>Retail Square footage serviced by central plant</t>
  </si>
  <si>
    <t>sq ft w central plants and electricity redist</t>
  </si>
  <si>
    <t>sq ft w central plants and NO elect Redist</t>
  </si>
  <si>
    <t>sq ft w NO central plants and elect Redist</t>
  </si>
  <si>
    <t>sq ft w NO central plants and NO elect Redist</t>
  </si>
  <si>
    <t>Zone</t>
  </si>
  <si>
    <t>Index Region</t>
  </si>
  <si>
    <t xml:space="preserve">Wholesale Baseline </t>
  </si>
  <si>
    <t>MAIN</t>
  </si>
  <si>
    <t>2</t>
  </si>
  <si>
    <t>ERCOT</t>
  </si>
  <si>
    <t>Anchorage 5th Ave</t>
  </si>
  <si>
    <t>5</t>
  </si>
  <si>
    <t>PNW</t>
  </si>
  <si>
    <t>SERC</t>
  </si>
  <si>
    <t>RM</t>
  </si>
  <si>
    <t>FRCC</t>
  </si>
  <si>
    <t>3</t>
  </si>
  <si>
    <t>MAAC</t>
  </si>
  <si>
    <t>Block 74 Garage</t>
  </si>
  <si>
    <t>other</t>
  </si>
  <si>
    <t>Blocks Building Company</t>
  </si>
  <si>
    <t>ECAR</t>
  </si>
  <si>
    <t>1</t>
  </si>
  <si>
    <t>NEPOOL</t>
  </si>
  <si>
    <t>Community</t>
  </si>
  <si>
    <t>NYPP</t>
  </si>
  <si>
    <t>Circle Center - Off Bldg.?</t>
  </si>
  <si>
    <t>Claypool Court</t>
  </si>
  <si>
    <t>DSW</t>
  </si>
  <si>
    <t>MAPP</t>
  </si>
  <si>
    <t>SPP</t>
  </si>
  <si>
    <t>Forum Shops II</t>
  </si>
  <si>
    <t>Golden Triangle Mall (Denton 1310</t>
  </si>
  <si>
    <t>Golden Triangle Mall (Denton 705)</t>
  </si>
  <si>
    <t>Great Northeast Plaza- Off Bldg?</t>
  </si>
  <si>
    <t>Haywood Mall</t>
  </si>
  <si>
    <t>Lake Square Mall</t>
  </si>
  <si>
    <t>Lenox Bldg</t>
  </si>
  <si>
    <t>Office</t>
  </si>
  <si>
    <t>Lenox Square</t>
  </si>
  <si>
    <t>Livingston Mall</t>
  </si>
  <si>
    <t>Lynnhaven Mall</t>
  </si>
  <si>
    <t>Mall of America</t>
  </si>
  <si>
    <t>Mall of Georgia</t>
  </si>
  <si>
    <t>Mall of Georgia Village</t>
  </si>
  <si>
    <t>Manhattan Mall (Size 3?)</t>
  </si>
  <si>
    <t>Manhattan Mall</t>
  </si>
  <si>
    <t>Menlo Park Office Bldg</t>
  </si>
  <si>
    <t>Mounds Mall Cinema</t>
  </si>
  <si>
    <t>Nanuet Mall</t>
  </si>
  <si>
    <t>Mixed Use</t>
  </si>
  <si>
    <t>New Orleans Centre/CNG Tower- Off Bldg.?</t>
  </si>
  <si>
    <t>Newport Plaza</t>
  </si>
  <si>
    <t>Northlake Mall</t>
  </si>
  <si>
    <t>Oak Court Mall Office Bldg</t>
  </si>
  <si>
    <t>O'Hare International Center- Off Bldg.?</t>
  </si>
  <si>
    <t>Palm Beach Mall-Off Bldg.?</t>
  </si>
  <si>
    <t>Phipps Plaza</t>
  </si>
  <si>
    <t>River Oaks Center Off Bld</t>
  </si>
  <si>
    <t>Riverway East</t>
  </si>
  <si>
    <t>Riverway West</t>
  </si>
  <si>
    <t>Rockaway Convenience</t>
  </si>
  <si>
    <t>Rockaway Off Bldg</t>
  </si>
  <si>
    <t>Rockaway Townsquare</t>
  </si>
  <si>
    <t>Roosevelt field Industrial</t>
  </si>
  <si>
    <t>Roosevelt field-Off Bldg.?</t>
  </si>
  <si>
    <t>St. Louis Center</t>
  </si>
  <si>
    <t>The Arboretum</t>
  </si>
  <si>
    <t>Tippecanoe Mall- Off Bldg?</t>
  </si>
  <si>
    <t>Westminister Mall</t>
  </si>
  <si>
    <t>City Public Services</t>
  </si>
  <si>
    <t>Include Gas in Fixed Price?</t>
  </si>
  <si>
    <t>Include Billing Costs?</t>
  </si>
  <si>
    <t>Non-CAM</t>
  </si>
  <si>
    <t xml:space="preserve">Total Simon </t>
  </si>
  <si>
    <t>Baseline Simon Electricity Expenditures</t>
  </si>
  <si>
    <t>Weighted Average Electricity Cost ($ / Kwh)</t>
  </si>
  <si>
    <t>Baseline Simon Electricity Consumption (kwh) -- Estimated</t>
  </si>
  <si>
    <t>Baseline Simon Gas and Fuel Oil Expenditures</t>
  </si>
  <si>
    <t>Weighted Average Gas and Fuel Oil Cost ($ / MMBtu)</t>
  </si>
  <si>
    <t>Baseline Simon Gas Consumption (MMBtu) -- Estimated</t>
  </si>
  <si>
    <t>Baseline Simon Water and Sewer Expenditures</t>
  </si>
  <si>
    <t>Comprehensive</t>
  </si>
  <si>
    <t>HVAC Services Breakdown</t>
  </si>
  <si>
    <t>No HVAC Services</t>
  </si>
  <si>
    <t>Rooftop</t>
  </si>
  <si>
    <t>DSM Capital Amortization</t>
  </si>
  <si>
    <t>Amortization Method</t>
  </si>
  <si>
    <t>Mid Power Costs (Rate and Consump Svgs)</t>
  </si>
  <si>
    <t>Provided by Simon/TFSPs</t>
  </si>
  <si>
    <t>Services</t>
  </si>
  <si>
    <t>Retail area serviced (sq ft)</t>
  </si>
  <si>
    <t>Percent of total tenant space served</t>
  </si>
  <si>
    <t>CAM area serviced (sq ft)</t>
  </si>
  <si>
    <t>Capital NPV</t>
  </si>
  <si>
    <t>Enron Net Cash</t>
  </si>
  <si>
    <t>Capital Rate</t>
  </si>
  <si>
    <t>Kevin's Cost</t>
  </si>
  <si>
    <t>o&amp;m</t>
  </si>
  <si>
    <t>tfsp</t>
  </si>
  <si>
    <t>hvac</t>
  </si>
  <si>
    <t>billing</t>
  </si>
  <si>
    <t>Total Savings</t>
  </si>
  <si>
    <t>NPV Breakout Net</t>
  </si>
  <si>
    <t>NPV Breakout Baseline</t>
  </si>
  <si>
    <t>mid or offer</t>
  </si>
  <si>
    <t>Percent of total CAM serviced</t>
  </si>
  <si>
    <t>Breakdown based on incomplete data -- no sq ft info on rooftop R&amp;M</t>
  </si>
  <si>
    <t>Facility Management, Administration, and Maintenance Capex Costs</t>
  </si>
  <si>
    <t>% in scope</t>
  </si>
  <si>
    <t>Total in Baseline</t>
  </si>
  <si>
    <t>Direct Energy O&amp;M Costs</t>
  </si>
  <si>
    <t>TFSP Costs</t>
  </si>
  <si>
    <t>HVAC Maintenance Capex</t>
  </si>
  <si>
    <t>Management Costs (TFSP mgt, commodity procurement)</t>
  </si>
  <si>
    <t>Cost of Billing and Energy Information Management</t>
  </si>
  <si>
    <t xml:space="preserve">   Totals</t>
  </si>
  <si>
    <t>Bill payment and management costs estimated; energy-related breakdowns estimated</t>
  </si>
  <si>
    <t>Baseline Costs</t>
  </si>
  <si>
    <t>Cost Items</t>
  </si>
  <si>
    <t>% Total</t>
  </si>
  <si>
    <t>Total Cost of Power</t>
  </si>
  <si>
    <t>Total Cost of Gas</t>
  </si>
  <si>
    <t>Cost of Water &amp; Sewer</t>
  </si>
  <si>
    <t>Direct O&amp;M Costs</t>
  </si>
  <si>
    <t>No breakdown</t>
  </si>
  <si>
    <t>Total Baseline Costs</t>
  </si>
  <si>
    <t>Enron discount off baseline Simon costs</t>
  </si>
  <si>
    <t>Discount</t>
  </si>
  <si>
    <t>Enron price for first year of contract</t>
  </si>
  <si>
    <t>$ Savings</t>
  </si>
  <si>
    <t>Electricity Savings</t>
  </si>
  <si>
    <t>% from Electricity</t>
  </si>
  <si>
    <t>Projected Costs and Savings</t>
  </si>
  <si>
    <t>Gas Escalation</t>
  </si>
  <si>
    <t>Adjusting Guarantee rolling to PP</t>
  </si>
  <si>
    <t>Trigger point for pure participation (monthly revenue)</t>
  </si>
  <si>
    <t>Annual Watermark Rolling to PP</t>
  </si>
  <si>
    <t>Revenue Trigger Point</t>
  </si>
  <si>
    <t>Variable Watermark</t>
  </si>
  <si>
    <t>Pure Participation Variable</t>
  </si>
  <si>
    <t>Consumption Savings / DSM Opportunities</t>
  </si>
  <si>
    <t>Total Investment in DSM Projects</t>
  </si>
  <si>
    <t>Weighted Average Simple Payback</t>
  </si>
  <si>
    <t>Implied % Power Consumption Savings</t>
  </si>
  <si>
    <t>Implied % Gas Consumption Savings</t>
  </si>
  <si>
    <t>% of total consumption savings occuring in first year</t>
  </si>
  <si>
    <t>Operational Savings</t>
  </si>
  <si>
    <t>Bill Consolidation and Payment (Omnicomp and CSC)</t>
  </si>
  <si>
    <t>Total # of meters</t>
  </si>
  <si>
    <t>Omnicomp Cost per Bill</t>
  </si>
  <si>
    <t>Total Omnicomp Cost</t>
  </si>
  <si>
    <t>CSC Cost per Bill</t>
  </si>
  <si>
    <t>% of Bills in deregulated markets</t>
  </si>
  <si>
    <t>Total Cost of Bill Payment</t>
  </si>
  <si>
    <t>Wholesale Services Economic Summary</t>
  </si>
  <si>
    <t>Cash Inflows</t>
  </si>
  <si>
    <t>Wholesale Services Revenues</t>
  </si>
  <si>
    <t>NA</t>
  </si>
  <si>
    <t>Cash outflows</t>
  </si>
  <si>
    <t>Lease Payment to Simon</t>
  </si>
  <si>
    <t>Electricity Consumption</t>
  </si>
  <si>
    <t>Capital Amortization</t>
  </si>
  <si>
    <t>PP</t>
  </si>
  <si>
    <t>Weighted Avg Electricity Price</t>
  </si>
  <si>
    <t>Total Electricity Costs</t>
  </si>
  <si>
    <t>Gas Consumption</t>
  </si>
  <si>
    <t>Gas Price</t>
  </si>
  <si>
    <t>Total Gas Costs</t>
  </si>
  <si>
    <t>Water and Sewer Costs</t>
  </si>
  <si>
    <t>Direct O&amp;M</t>
  </si>
  <si>
    <t>DSM Capital Expenditures</t>
  </si>
  <si>
    <t>Maintenance Capital Expenditures</t>
  </si>
  <si>
    <t>Utility Bill Payments / Omnicomp</t>
  </si>
  <si>
    <t>CSC</t>
  </si>
  <si>
    <t>Total Wholesale Services Costs</t>
  </si>
  <si>
    <t>Net Cashflow before consumption premium</t>
  </si>
  <si>
    <t>Consumption Premium</t>
  </si>
  <si>
    <t>Total Net Cashflow after consumption premium</t>
  </si>
  <si>
    <t>Total NPV10</t>
  </si>
  <si>
    <t>Total Square Footage of CAM</t>
  </si>
  <si>
    <t>Conversion of Simple Payback to Discounted Payback</t>
  </si>
  <si>
    <t>Investment</t>
  </si>
  <si>
    <t>Discount Rate to be Used in Analysis</t>
  </si>
  <si>
    <t>Annual Savings</t>
  </si>
  <si>
    <t>Weighted Average Simple Payback Period</t>
  </si>
  <si>
    <t>PV of Savings</t>
  </si>
  <si>
    <t>Weighted Average Discounted Payback</t>
  </si>
  <si>
    <t>PV of Cum Savings</t>
  </si>
  <si>
    <t>Change of Control</t>
  </si>
  <si>
    <t>Capital Unwind Payment Owed to EES</t>
  </si>
  <si>
    <t>Net Position Under Default, incl of Future Margin</t>
  </si>
  <si>
    <t>Net Position Under Default, excl of Future Margin</t>
  </si>
  <si>
    <t>Net Position Under Change of Control incl of Future Margin</t>
  </si>
  <si>
    <t>Net Position Under Change of Control excl of Future Margin</t>
  </si>
  <si>
    <t>Net Position Under Sale or Closure incl of Future Margin</t>
  </si>
  <si>
    <t>Net Position Under Sale or Closure excl of Future Margin</t>
  </si>
  <si>
    <t>Future Value Exposure as % of Future Revenues</t>
  </si>
  <si>
    <t>Future Margin as a % of Future Revenues</t>
  </si>
  <si>
    <t>Tenant Square Footage Receiving Central Plant Services</t>
  </si>
  <si>
    <t>All square footage #s need to be refined</t>
  </si>
  <si>
    <t>SPG</t>
  </si>
  <si>
    <t>FM Alliance</t>
  </si>
  <si>
    <t>EESO</t>
  </si>
  <si>
    <t>*Account mgt costs allocated equally between the three segments</t>
  </si>
  <si>
    <t>EAM</t>
  </si>
  <si>
    <t>O&amp;M</t>
  </si>
  <si>
    <t>AOPS</t>
  </si>
  <si>
    <t>Simon Cashflows</t>
  </si>
  <si>
    <t>Labor &amp; Parts Esc</t>
  </si>
  <si>
    <t>Non</t>
  </si>
  <si>
    <t>Wholly-owned</t>
  </si>
  <si>
    <t>Partly-owned</t>
  </si>
  <si>
    <t>Sub-Total</t>
  </si>
  <si>
    <t>Notes:</t>
  </si>
  <si>
    <t>Non-TFSPs</t>
  </si>
  <si>
    <t>% of Baseline</t>
  </si>
  <si>
    <t>Account Management</t>
  </si>
  <si>
    <t>Redistribution Business</t>
  </si>
  <si>
    <t>Forecasts Under Outsource</t>
  </si>
  <si>
    <t>Current Business Forecasts</t>
  </si>
  <si>
    <t>Account Management and Sales</t>
  </si>
  <si>
    <t>Start-up</t>
  </si>
  <si>
    <t>Ongoing</t>
  </si>
  <si>
    <t>Personnel</t>
  </si>
  <si>
    <t>Cost Mid</t>
  </si>
  <si>
    <t>Payment Mid</t>
  </si>
  <si>
    <t>Payment Offer</t>
  </si>
  <si>
    <t>Premium Mid</t>
  </si>
  <si>
    <t>Premium Offer</t>
  </si>
  <si>
    <t>Jun - Kevin</t>
  </si>
  <si>
    <t>Travel</t>
  </si>
  <si>
    <t>Communications</t>
  </si>
  <si>
    <t>Annual Inflator</t>
  </si>
  <si>
    <t>Administrative Economic Summary</t>
  </si>
  <si>
    <t>Cash Outflows</t>
  </si>
  <si>
    <t>Total Net Cashflows</t>
  </si>
  <si>
    <t>Non-Cash Charges</t>
  </si>
  <si>
    <t>Consumption Risk Premium as % of Wholesale Commodity Revenues</t>
  </si>
  <si>
    <t>Consumption Risk Premium</t>
  </si>
  <si>
    <t>Credit Reserve</t>
  </si>
  <si>
    <t>Assumptions Summary</t>
  </si>
  <si>
    <t>FM Scope:</t>
  </si>
  <si>
    <t>Annual Baseline</t>
  </si>
  <si>
    <t>Annual Escalator</t>
  </si>
  <si>
    <t>Lease Payment as % of Revenues</t>
  </si>
  <si>
    <t>Consumption Premium (% of commodity)</t>
  </si>
  <si>
    <t>Valued at:</t>
  </si>
  <si>
    <t>NPV for EESO</t>
  </si>
  <si>
    <t>Commodity Redistribution</t>
  </si>
  <si>
    <t>Opportunity Scope</t>
  </si>
  <si>
    <t>Payment Type to SPG</t>
  </si>
  <si>
    <t>Estimated URA Refund</t>
  </si>
  <si>
    <t>Total Investment in Retail Space DSM</t>
  </si>
  <si>
    <t>Retail FM Alliance</t>
  </si>
  <si>
    <t>Upfront Investment to Simon</t>
  </si>
  <si>
    <t>Power Redistribution</t>
  </si>
  <si>
    <t>Pure Participation</t>
  </si>
  <si>
    <t>Current Redistribution Business Summary</t>
  </si>
  <si>
    <t xml:space="preserve">Total Tenant Area Outfitted for Electricity Redistribution </t>
  </si>
  <si>
    <t>(includes "O" tenants only)</t>
  </si>
  <si>
    <t>Escalator (excluding capital component)</t>
  </si>
  <si>
    <t>Annual contract escalator (excluding capital)</t>
  </si>
  <si>
    <t xml:space="preserve"> Adjusting Guarenteed Plus (Watermark)</t>
  </si>
  <si>
    <t>Change in Revenue</t>
  </si>
  <si>
    <t>Revenue Growth Rate</t>
  </si>
  <si>
    <t>Adjusted Offer</t>
  </si>
  <si>
    <t>Reconciled</t>
  </si>
  <si>
    <t>Pre Threshold Termination Amount(95%)</t>
  </si>
  <si>
    <t>Change in Costs</t>
  </si>
  <si>
    <t>Cost Growth Rate</t>
  </si>
  <si>
    <t>Total Margin</t>
  </si>
  <si>
    <t>Growth in Margin</t>
  </si>
  <si>
    <t>Margin Growth Rate</t>
  </si>
  <si>
    <t>Fixed</t>
  </si>
  <si>
    <t>Variable</t>
  </si>
  <si>
    <t xml:space="preserve">Annual Watermark </t>
  </si>
  <si>
    <t>Pure Participation (Variable)</t>
  </si>
  <si>
    <t>Total Tenant Area Actually Receiving Redistributed Electricity</t>
  </si>
  <si>
    <t>(accounts for vacancy)</t>
  </si>
  <si>
    <t>Total Cost of Redistributed Electricity</t>
  </si>
  <si>
    <t>Total Cost of Redistributed Gas and Fuel Oil</t>
  </si>
  <si>
    <t>Current Simon Mark-up for Gas and Fuel Oil</t>
  </si>
  <si>
    <t>Revenue Projections</t>
  </si>
  <si>
    <t>Total Revenue Growth Rate</t>
  </si>
  <si>
    <t>Total Revenue Generated from Power Redistribution</t>
  </si>
  <si>
    <t>Total Revenue Generated from Gas and Fuel Oil</t>
  </si>
  <si>
    <t>Estimated URA Audit Refund</t>
  </si>
  <si>
    <t>Baseline Commodity Redistribution Costs</t>
  </si>
  <si>
    <t>Gas &amp; Fuel Oil</t>
  </si>
  <si>
    <t>Weighted Average Cost of Electricity ($ / Kwh or MMBtu)</t>
  </si>
  <si>
    <t xml:space="preserve">Redistribution Commodity Costs </t>
  </si>
  <si>
    <t>Total kWh or MMBtu consumed in retail space and billed by SPG</t>
  </si>
  <si>
    <t>Redistribution Sales, Marketing, and Reg Costs for SPG</t>
  </si>
  <si>
    <t>Curve</t>
  </si>
  <si>
    <t>Model</t>
  </si>
  <si>
    <t>Timeline</t>
  </si>
  <si>
    <t>DSM</t>
  </si>
  <si>
    <t>Payback years</t>
  </si>
  <si>
    <t>Consumption Savings / DSM Opportunities in Tenant Space</t>
  </si>
  <si>
    <t>Total Investment in Tenant DSM Projects</t>
  </si>
  <si>
    <t>Implied % Power Consumption Savings in Tenant Space</t>
  </si>
  <si>
    <t>EESO Tenant Billing Costs</t>
  </si>
  <si>
    <t>Bills Processed</t>
  </si>
  <si>
    <t>Cost per Bill / Year</t>
  </si>
  <si>
    <t>Billing Costs</t>
  </si>
  <si>
    <t>Redistribution Sales &amp; Marketing Costs</t>
  </si>
  <si>
    <t>Sales and marketing costs</t>
  </si>
  <si>
    <t>Power Redistribution Economic Summary</t>
  </si>
  <si>
    <t>URA Audit Refunds</t>
  </si>
  <si>
    <t>Billing</t>
  </si>
  <si>
    <t xml:space="preserve">Lease </t>
  </si>
  <si>
    <t>offer</t>
  </si>
  <si>
    <t>power</t>
  </si>
  <si>
    <t>gas</t>
  </si>
  <si>
    <t>water</t>
  </si>
  <si>
    <t>AM Costs</t>
  </si>
  <si>
    <t>Total TCV</t>
  </si>
  <si>
    <t>Wholesale TCV</t>
  </si>
  <si>
    <t>RMPM</t>
  </si>
  <si>
    <t>Jun</t>
  </si>
  <si>
    <t>Kevin</t>
  </si>
  <si>
    <t>FM</t>
  </si>
  <si>
    <t>monthly</t>
  </si>
  <si>
    <t>annual</t>
  </si>
  <si>
    <t>NPV Revenue</t>
  </si>
  <si>
    <t>Electricity Billings</t>
  </si>
  <si>
    <t>Gas and Fuel Oil Billings</t>
  </si>
  <si>
    <t>Total Revenues</t>
  </si>
  <si>
    <t>Fixed Payment to SPG for Redistribution Business</t>
  </si>
  <si>
    <t>Variable Payment to SPG for Redistribution Business</t>
  </si>
  <si>
    <t>Electricity Redistribution Costs</t>
  </si>
  <si>
    <t>Gas and Fuel Oil Redistribution Costs</t>
  </si>
  <si>
    <t>Tenant Billing &amp; Metering</t>
  </si>
  <si>
    <t>Sales &amp; Marketing Costs</t>
  </si>
  <si>
    <t>DSM Capital Expenditures in Tenant Space</t>
  </si>
  <si>
    <t>Total Costs</t>
  </si>
  <si>
    <t>Scenarios</t>
  </si>
  <si>
    <t>Financial Summary</t>
  </si>
  <si>
    <t>Wholesale Services Revenue</t>
  </si>
  <si>
    <t>Redistributed Commodity Revenue</t>
  </si>
  <si>
    <t>Jay's Quote</t>
  </si>
  <si>
    <t>Payback</t>
  </si>
  <si>
    <t>(EESO)</t>
  </si>
  <si>
    <t>(19% of Redist. Rev.)</t>
  </si>
  <si>
    <t>FM Alliance Services</t>
  </si>
  <si>
    <t>99% FM Service Rev.</t>
  </si>
  <si>
    <t>FM Service Rev.</t>
  </si>
  <si>
    <t>$4M Up-front Payment</t>
  </si>
  <si>
    <t xml:space="preserve">  Wholesale</t>
  </si>
  <si>
    <t xml:space="preserve">  Redist.</t>
  </si>
  <si>
    <t xml:space="preserve">  FM</t>
  </si>
  <si>
    <t>Capital</t>
  </si>
  <si>
    <t>Gross savings</t>
  </si>
  <si>
    <t>Capital Annuity</t>
  </si>
  <si>
    <t>Net Savings</t>
  </si>
  <si>
    <t>Asheville</t>
  </si>
  <si>
    <t>NC</t>
  </si>
  <si>
    <t>Carolina Power &amp; Light</t>
  </si>
  <si>
    <t>Fixed Electricity Redistribution Payment to SPG</t>
  </si>
  <si>
    <t>Variable Redistribution Participation Fee to SPG</t>
  </si>
  <si>
    <t>Power Used for Wholesale Services</t>
  </si>
  <si>
    <t>Gas &amp; Fuel Oil Used for Wholesale Services</t>
  </si>
  <si>
    <t>Direct O&amp;M as % of Baseline Costs</t>
  </si>
  <si>
    <t>TFSP Costs as % of Baseline Costs</t>
  </si>
  <si>
    <t>Maintenance Capex as % of Baseline Costs</t>
  </si>
  <si>
    <t>One Time  Charge for Billing</t>
  </si>
  <si>
    <t>Water and Sewer Costs for Wholesale Services</t>
  </si>
  <si>
    <t>Direct FM Costs for Wholesale Services</t>
  </si>
  <si>
    <t>TFSP Costs for Wholesale Services</t>
  </si>
  <si>
    <t>Upfront Payment to SPG for Share of FM Alliance</t>
  </si>
  <si>
    <t>Redistributed Commodity Costs</t>
  </si>
  <si>
    <t>Tenant Billing and Metering</t>
  </si>
  <si>
    <t>Account Management Costs</t>
  </si>
  <si>
    <t>Total Expenses</t>
  </si>
  <si>
    <t>EBITDA (before Capex)</t>
  </si>
  <si>
    <t>Capital Expenditures</t>
  </si>
  <si>
    <t>DSM Capital Expenditures in Central Plants, CAM</t>
  </si>
  <si>
    <t>DSM Capital Expenditures in Retail Space</t>
  </si>
  <si>
    <t>Maintenance CapEx in Central Plants, CAM</t>
  </si>
  <si>
    <t>Total Capital Expenditures</t>
  </si>
  <si>
    <t>NET CASHFLOW (after CapEx)</t>
  </si>
  <si>
    <t>Credit Reserve Premium</t>
  </si>
  <si>
    <t>TOTAL NON-CASH CHARGES</t>
  </si>
  <si>
    <t>INCOME AFTER NON-CASH CHARGES</t>
  </si>
  <si>
    <t>Discount Rate</t>
  </si>
  <si>
    <t>Net Present Value for EESO</t>
  </si>
  <si>
    <t>Interest</t>
  </si>
  <si>
    <t>Upfront Payment</t>
  </si>
  <si>
    <t>IRR</t>
  </si>
  <si>
    <t>Installation Work Assumptions</t>
  </si>
  <si>
    <t>NPV</t>
  </si>
  <si>
    <t xml:space="preserve">Foregone EBITDA from electricity and gas redistribution, net of billing </t>
  </si>
  <si>
    <t>Total Labor Costs as % of capital expenditures</t>
  </si>
  <si>
    <t>Margin of Installation Work</t>
  </si>
  <si>
    <t>Percent of Central Plant and CAM Installation Work Awarded to SSC</t>
  </si>
  <si>
    <t>Percent of Tenant DSM Work Awarded to TFSPs</t>
  </si>
  <si>
    <t>Incremental Cash Flows</t>
  </si>
  <si>
    <t>Margin from Installation Work in CAM and Central Plants</t>
  </si>
  <si>
    <t>Margin from DSM Installation in Tenant Space</t>
  </si>
  <si>
    <t>Less incremental rental payment to SPG</t>
  </si>
  <si>
    <t>Total Incremental Cashflows from EESO Deal to TFSPs</t>
  </si>
  <si>
    <t>Present Value of Cashflows at WACC for TFSPs</t>
  </si>
  <si>
    <t>Current Scenario</t>
  </si>
  <si>
    <t>Revenues from FM</t>
  </si>
  <si>
    <t>FM Costs</t>
  </si>
  <si>
    <t>Alliance Scenario</t>
  </si>
  <si>
    <t>TSFP Margin</t>
  </si>
  <si>
    <t>Direct O &amp; M</t>
  </si>
  <si>
    <t>Labor Costs Escalation Curve</t>
  </si>
  <si>
    <t>Financial Deal Impact for SPG: Income Statement Analysis</t>
  </si>
  <si>
    <t>PV</t>
  </si>
  <si>
    <t>Incremental Revenues</t>
  </si>
  <si>
    <t>Guaranteed Redistribution Revenue</t>
  </si>
  <si>
    <t>Lease Revenue- HVAC</t>
  </si>
  <si>
    <t>Upfront Payment for participation in FM Alliance</t>
  </si>
  <si>
    <t>Total Guaranteed Incremental Revenues</t>
  </si>
  <si>
    <t>Variable Redistribution Revenue</t>
  </si>
  <si>
    <t>Referral Fees</t>
  </si>
  <si>
    <t>Total Projected Variable Revenues</t>
  </si>
  <si>
    <t>Discount off Baseline Costs</t>
  </si>
  <si>
    <t>Change in difference under SPG management</t>
  </si>
  <si>
    <t xml:space="preserve">Total Gross Impact of Enron Offering </t>
  </si>
  <si>
    <t>Forecasted EBITDA Without EES Deal</t>
  </si>
  <si>
    <t>Expected Change in EBITDA for electricity &amp; gas redistribution</t>
  </si>
  <si>
    <t>Total Incremental Cashflow from EES Deal</t>
  </si>
  <si>
    <t>Present Value of Cashflows for SPG @ WACC</t>
  </si>
  <si>
    <t xml:space="preserve">WACC = </t>
  </si>
  <si>
    <t>Analysis does not include Simon's avoided administrative costs for commodity redistribution business</t>
  </si>
  <si>
    <t>Capital Amortization Impact</t>
  </si>
  <si>
    <t>Average depreciable life of assets (years)</t>
  </si>
  <si>
    <t>Portion of Wholesale Services Price run through B/S (FFO add-back)</t>
  </si>
  <si>
    <t>FFO Impact</t>
  </si>
  <si>
    <t># of Shares</t>
  </si>
  <si>
    <t>FFO / Share</t>
  </si>
  <si>
    <t>Facilities Management Alliance</t>
  </si>
  <si>
    <t>Overall Scope</t>
  </si>
  <si>
    <t>DSM Investments</t>
  </si>
  <si>
    <t>Billing Costs Included?</t>
  </si>
  <si>
    <t>Simon Percent of Outsource FM Revenues</t>
  </si>
  <si>
    <t>Unwind Capital</t>
  </si>
  <si>
    <t>Capital Draw</t>
  </si>
  <si>
    <t>Amortization</t>
  </si>
  <si>
    <t>Beginning</t>
  </si>
  <si>
    <t>balance</t>
  </si>
  <si>
    <t>Ending</t>
  </si>
  <si>
    <t>Balance</t>
  </si>
  <si>
    <t>Unwind</t>
  </si>
  <si>
    <t>Net Positions:                                    Customer Termination Payment                           -PV of Future Margin                                  +capital unwind payment</t>
  </si>
  <si>
    <t>("y" for payback years amortization and "n" for term amortization)</t>
  </si>
  <si>
    <t>Construction</t>
  </si>
  <si>
    <t>Drawdown</t>
  </si>
  <si>
    <t>Total Term Loan</t>
  </si>
  <si>
    <t>Simple Payback</t>
  </si>
  <si>
    <t>Gross Savings</t>
  </si>
  <si>
    <t>P&amp;I</t>
  </si>
  <si>
    <t>Discounted Payback</t>
  </si>
  <si>
    <t>Simon Earn-Out Floor</t>
  </si>
  <si>
    <t>Margin Value of FM Hedge</t>
  </si>
  <si>
    <t>FM Alliance Scope &amp; Structure</t>
  </si>
  <si>
    <t>Current TFSP Margin</t>
  </si>
  <si>
    <t>Simon Cash Flows</t>
  </si>
  <si>
    <t>Incremental Cash Flow (Simon)</t>
  </si>
  <si>
    <t>Incremental NPV (Simon)</t>
  </si>
  <si>
    <t>EES Cash Flows</t>
  </si>
  <si>
    <t>Upfront Payment to Simon</t>
  </si>
  <si>
    <t>EES Total Cash Flow</t>
  </si>
  <si>
    <t>Marketing Expense</t>
  </si>
  <si>
    <t xml:space="preserve">EES NPV </t>
  </si>
  <si>
    <t>Upfront Payment to SPG for Alliance Participation</t>
  </si>
  <si>
    <t>Current SPG distribution as % of Revenues</t>
  </si>
  <si>
    <t>Revenues</t>
  </si>
  <si>
    <t>Annual Run Rate Revenues from Tenant Space</t>
  </si>
  <si>
    <t>Simon</t>
  </si>
  <si>
    <t>TFSPs</t>
  </si>
  <si>
    <t>Simon % of Revenue (weighted average) for tenant business</t>
  </si>
  <si>
    <t>FORM A:  Capture at Corporate Level of Mall Profiles</t>
  </si>
  <si>
    <t>GENERAL INFORMATION</t>
  </si>
  <si>
    <t>Redistribution</t>
  </si>
  <si>
    <t>Occupancy Data on O section</t>
  </si>
  <si>
    <t xml:space="preserve">SQUARE FOOTAGE </t>
  </si>
  <si>
    <t>Regional Malls</t>
  </si>
  <si>
    <t>Rooftop unit</t>
  </si>
  <si>
    <t>Central Plant - budgeted for 99</t>
  </si>
  <si>
    <t>Prop. #</t>
  </si>
  <si>
    <t>Mall</t>
  </si>
  <si>
    <t>Location</t>
  </si>
  <si>
    <t>State</t>
  </si>
  <si>
    <t>Wholly-owned (Yes/No)</t>
  </si>
  <si>
    <t xml:space="preserve">Year built </t>
  </si>
  <si>
    <t xml:space="preserve">Year acquired </t>
  </si>
  <si>
    <t>Type (Regional, Mixed Use, Specialty etc.)</t>
  </si>
  <si>
    <t xml:space="preserve"> power redistribution (yes only)</t>
  </si>
  <si>
    <t>Electric provider</t>
  </si>
  <si>
    <t>Number of Tenants</t>
  </si>
  <si>
    <t>Occupancy % - Current</t>
  </si>
  <si>
    <t xml:space="preserve">Occupancy % - Year end 1998 </t>
  </si>
  <si>
    <t xml:space="preserve">Occupancy % - Year end 1997 </t>
  </si>
  <si>
    <t>Occupancy % - Year end 1996</t>
  </si>
  <si>
    <t>Gross Building Area (GBA)</t>
  </si>
  <si>
    <t>Gross Leasable Area (GLA)</t>
  </si>
  <si>
    <t xml:space="preserve">CAM Square Footage </t>
  </si>
  <si>
    <t>Major Tenant Square footage</t>
  </si>
  <si>
    <t>Non-Major Tenant Square Footage</t>
  </si>
  <si>
    <t>Parking Stall numbers</t>
  </si>
  <si>
    <t>Total Square footage serviced by Central Plant</t>
  </si>
  <si>
    <t>CAM Square footage serviced by central plant</t>
  </si>
  <si>
    <t xml:space="preserve">Retail Square footage serviced by central plant </t>
  </si>
  <si>
    <t>Total Square Footage Serviced by Rooftops</t>
  </si>
  <si>
    <t>CAM Square footage serviced by rooftops</t>
  </si>
  <si>
    <t>Retail Square footage serviced by rooftops</t>
  </si>
  <si>
    <t>sq ft w/ central plants and electricity redist.</t>
  </si>
  <si>
    <t>sq ft w/ central plants and NO elect. Redist</t>
  </si>
  <si>
    <t>sq ft w/ NO central plants and elect. Redist</t>
  </si>
  <si>
    <t>sq ft w/ NO central plants and NO elect. Redist</t>
  </si>
  <si>
    <t>Redistribution revenues</t>
  </si>
  <si>
    <t>Redistribution Costs</t>
  </si>
  <si>
    <t>TFSP Provider</t>
  </si>
  <si>
    <t>TFSP Expenditures</t>
  </si>
  <si>
    <t xml:space="preserve"> </t>
  </si>
  <si>
    <t>y</t>
  </si>
  <si>
    <t>Alton Square</t>
  </si>
  <si>
    <t>Alton</t>
  </si>
  <si>
    <t>IL</t>
  </si>
  <si>
    <t>regional</t>
  </si>
  <si>
    <t>n</t>
  </si>
  <si>
    <t>Union Electric Co.</t>
  </si>
  <si>
    <t>SSC</t>
  </si>
  <si>
    <t>Amigoland Mall</t>
  </si>
  <si>
    <t>Brownsville</t>
  </si>
  <si>
    <t>TX</t>
  </si>
  <si>
    <t>Public Utilities Board</t>
  </si>
  <si>
    <t>Anderson Mall</t>
  </si>
  <si>
    <t>Simon Cumulative Earn-Out Floor</t>
  </si>
  <si>
    <t>Floor Period (yrs)</t>
  </si>
  <si>
    <t>Simon Percent of Bundled FM Revenues</t>
  </si>
  <si>
    <t>Forecasts</t>
  </si>
  <si>
    <t>FM Hedge Value</t>
  </si>
  <si>
    <t>TFSP Fixed Margin for FM Services</t>
  </si>
  <si>
    <t>EESO Margin Benefit through TFSPs</t>
  </si>
  <si>
    <t>Represents tangible cost benefits and intangible benefits</t>
  </si>
  <si>
    <t>EESO In-scope Outsource Revenue Forecasts</t>
  </si>
  <si>
    <t>% or Revenues representing Facility Management</t>
  </si>
  <si>
    <t>Total FM Outsource Revenues</t>
  </si>
  <si>
    <t>TFSP Cash Flows</t>
  </si>
  <si>
    <t>TFSP Rent payment to Simon</t>
  </si>
  <si>
    <t>Base Revenues from Tenant FM Business</t>
  </si>
  <si>
    <t xml:space="preserve"> Payment to Simon</t>
  </si>
  <si>
    <t xml:space="preserve"> TFSP Marketing Expense</t>
  </si>
  <si>
    <t xml:space="preserve"> Incremental Revenues as EES Outsource FM Provider</t>
  </si>
  <si>
    <t xml:space="preserve"> TFSP Costs as EESO Outsource FM Provider</t>
  </si>
  <si>
    <t xml:space="preserve"> Simon Share of FM Outsource Business</t>
  </si>
  <si>
    <t>TFSP Margin</t>
  </si>
  <si>
    <t>Incremental NPV (TFSPs)</t>
  </si>
  <si>
    <t xml:space="preserve"> TFSP Rent Payment to Simon</t>
  </si>
  <si>
    <t xml:space="preserve"> Upfront Payment from EESO</t>
  </si>
  <si>
    <t xml:space="preserve"> Variable Outsource Participation Payment</t>
  </si>
  <si>
    <t>Admin Expense (Marketing Assistance)</t>
  </si>
  <si>
    <t xml:space="preserve"> Total Simon Cash Flow</t>
  </si>
  <si>
    <t>Margin Benefits of FM Alliance Hedge</t>
  </si>
  <si>
    <t>Margin Benefit of FM Alliance Hedge</t>
  </si>
  <si>
    <t>Unwind Analysis</t>
  </si>
  <si>
    <t>Gas Costs</t>
  </si>
  <si>
    <t>Deal Cash Flows</t>
  </si>
  <si>
    <t>Cumulative Future Value Exposure</t>
  </si>
  <si>
    <t>PV of Future Revenues</t>
  </si>
  <si>
    <t>PV of Future Margin</t>
  </si>
  <si>
    <t>Percentage Factors Governing Termination</t>
  </si>
  <si>
    <t>Default</t>
  </si>
  <si>
    <t>Sale or Closure</t>
  </si>
  <si>
    <t>Termination Payments Owed to EES (excl. of capital)</t>
  </si>
  <si>
    <t>Customer Default</t>
  </si>
  <si>
    <t>URA Bill Audit</t>
  </si>
  <si>
    <t>MID</t>
  </si>
  <si>
    <t>Executable</t>
  </si>
  <si>
    <t>Billing &amp;</t>
  </si>
  <si>
    <t>Metering</t>
  </si>
  <si>
    <t>Sales and Marketing Costs</t>
  </si>
  <si>
    <t>Marketing</t>
  </si>
  <si>
    <t>Fixed Pay</t>
  </si>
  <si>
    <t>to Simon</t>
  </si>
  <si>
    <t>Varied Pay</t>
  </si>
  <si>
    <t>Cost at MID</t>
  </si>
  <si>
    <t>Upfront Pay</t>
  </si>
  <si>
    <t>Earn-out Pay</t>
  </si>
  <si>
    <t>Margin</t>
  </si>
  <si>
    <t>Benefit</t>
  </si>
  <si>
    <t>Expense</t>
  </si>
  <si>
    <t>Volume</t>
  </si>
  <si>
    <t>KWH</t>
  </si>
  <si>
    <t>MMBTU</t>
  </si>
  <si>
    <t>Upside 50/50 beyond +10% from 2000</t>
  </si>
  <si>
    <t>Participation at 90%</t>
  </si>
  <si>
    <t>50/50</t>
  </si>
  <si>
    <t>75/25</t>
  </si>
  <si>
    <t>25/75</t>
  </si>
  <si>
    <t>Upside 25/75 beyond +10% from 2000</t>
  </si>
  <si>
    <t>Upside 75/25 beyond +10% from 2000</t>
  </si>
  <si>
    <t>Wateras a % of Baseline Costs</t>
  </si>
  <si>
    <t>NPV @ 9.45%</t>
  </si>
  <si>
    <t>Net Cash Flows to Deal</t>
  </si>
  <si>
    <t>NPV 6</t>
  </si>
  <si>
    <t xml:space="preserve">Total </t>
  </si>
  <si>
    <t>Include FM in calculation</t>
  </si>
  <si>
    <t>Participation below 90%</t>
  </si>
  <si>
    <t>Upside 50/50 from 2000</t>
  </si>
  <si>
    <t>Upside 25/75 from 2000</t>
  </si>
  <si>
    <t>Upside 75/25 from 2000</t>
  </si>
  <si>
    <t>Dereg Option -110</t>
  </si>
  <si>
    <t>Dereg Option -100</t>
  </si>
  <si>
    <t>Performance-based payment for Outsourcings Utilizing FM Alliance</t>
  </si>
  <si>
    <t xml:space="preserve">  Upfront Payment</t>
  </si>
  <si>
    <t xml:space="preserve">  FM Outsouce Participation</t>
  </si>
  <si>
    <t>Financial Deal Impact for TFSPs</t>
  </si>
  <si>
    <t>Margin from EES Outsource Contracts Outside SPG facilities</t>
  </si>
  <si>
    <t>Anderson</t>
  </si>
  <si>
    <t>SC</t>
  </si>
  <si>
    <t>Duke Po</t>
  </si>
  <si>
    <t>Arboretum</t>
  </si>
  <si>
    <t>Austin</t>
  </si>
  <si>
    <t>community</t>
  </si>
  <si>
    <t>City of Austin</t>
  </si>
  <si>
    <t>Arvada Plaza</t>
  </si>
  <si>
    <t>Arvada</t>
  </si>
  <si>
    <t>CO</t>
  </si>
  <si>
    <t>Public services of Colorado</t>
  </si>
  <si>
    <t>Aurora Mall</t>
  </si>
  <si>
    <t>Aurora</t>
  </si>
  <si>
    <t>Varsity</t>
  </si>
  <si>
    <t>Aurora Plaza</t>
  </si>
  <si>
    <t>Aventura Mall</t>
  </si>
  <si>
    <t>Avenues, The</t>
  </si>
  <si>
    <t>Jacksonville</t>
  </si>
  <si>
    <t>FL</t>
  </si>
  <si>
    <t>Jacksonville Elec. Author.</t>
  </si>
  <si>
    <t>Barton Creek Square</t>
  </si>
  <si>
    <t>City of Houston</t>
  </si>
  <si>
    <t>Battlefield Mall</t>
  </si>
  <si>
    <t>Springfield</t>
  </si>
  <si>
    <t>MO</t>
  </si>
  <si>
    <t>City utility of Springfield</t>
  </si>
  <si>
    <t>Bay Park Square</t>
  </si>
  <si>
    <t>Green Bay</t>
  </si>
  <si>
    <t>WI</t>
  </si>
  <si>
    <t>Wisconsin Public services Co.</t>
  </si>
  <si>
    <t>Bergen Mall</t>
  </si>
  <si>
    <t>Paramus</t>
  </si>
  <si>
    <t>NJ</t>
  </si>
  <si>
    <t>Public Services Elec. &amp; Gas Co.</t>
  </si>
  <si>
    <t>Control</t>
  </si>
  <si>
    <t>Biltmore Square</t>
  </si>
  <si>
    <t>Bloomingdale Court</t>
  </si>
  <si>
    <t>Bloomingdale</t>
  </si>
  <si>
    <t>Commonwealth Edison</t>
  </si>
  <si>
    <t>Boardamn Plaza</t>
  </si>
  <si>
    <t>Youngstown</t>
  </si>
  <si>
    <t>OH</t>
  </si>
  <si>
    <t>Ohio Edison</t>
  </si>
  <si>
    <t>Boynton Beach Mall</t>
  </si>
  <si>
    <t>Boynton Beach</t>
  </si>
  <si>
    <t>Florida Power &amp; Light</t>
  </si>
  <si>
    <t>Brea Mall</t>
  </si>
  <si>
    <t>Brea</t>
  </si>
  <si>
    <t>CA</t>
  </si>
  <si>
    <t>Southern California Edison</t>
  </si>
  <si>
    <t>Bridgeview Court</t>
  </si>
  <si>
    <t>Bridgeview</t>
  </si>
  <si>
    <t>Wholly Owned Only in Wholesale (Outsource)?</t>
  </si>
  <si>
    <t>Wholly-Owned Only in Redistribution?</t>
  </si>
  <si>
    <t>Fixed + Cumulative Variable</t>
  </si>
  <si>
    <t>Brightwood Plaza</t>
  </si>
  <si>
    <t>Indianapolis</t>
  </si>
  <si>
    <t>IN</t>
  </si>
  <si>
    <t>Indianapolis Pwr &amp; Light</t>
  </si>
  <si>
    <t>Broadway Square</t>
  </si>
  <si>
    <t>Tyler</t>
  </si>
  <si>
    <t>Texas Electric Service</t>
  </si>
  <si>
    <t>Brunswick square</t>
  </si>
  <si>
    <t>East Brunswick</t>
  </si>
  <si>
    <t>Buffalo Groove Towne Center</t>
  </si>
  <si>
    <t>buffalo Groove</t>
  </si>
  <si>
    <t>Burbank Towne Center</t>
  </si>
  <si>
    <t xml:space="preserve">Burbank </t>
  </si>
  <si>
    <t>Burlington Mall</t>
  </si>
  <si>
    <t>Burlington</t>
  </si>
  <si>
    <t>MA</t>
  </si>
  <si>
    <t>Regional</t>
  </si>
  <si>
    <t>Boston Edison</t>
  </si>
  <si>
    <t>Unicco</t>
  </si>
  <si>
    <t>Castleton Square</t>
  </si>
  <si>
    <t>Celina Plaza</t>
  </si>
  <si>
    <t>Present value of Credit Reserve</t>
  </si>
  <si>
    <t>PV of Credit Reserve</t>
  </si>
  <si>
    <t>Total Net Cashflow, before credit reserve</t>
  </si>
  <si>
    <t>Total Net Cashflow, after credit reserve</t>
  </si>
  <si>
    <t>Consumption Premium as a % of Commodity Baseline</t>
  </si>
  <si>
    <t xml:space="preserve">Power Redistribution Revenue </t>
  </si>
  <si>
    <t>Power Redistribution Costs</t>
  </si>
  <si>
    <t>El Paso</t>
  </si>
  <si>
    <t>The Electric company</t>
  </si>
  <si>
    <t>Century III Mall</t>
  </si>
  <si>
    <t>Pittsburgh</t>
  </si>
  <si>
    <t>PA</t>
  </si>
  <si>
    <t>Dusquesne Light &amp; Co.</t>
  </si>
  <si>
    <t>Century Mall</t>
  </si>
  <si>
    <t>Merrilville</t>
  </si>
  <si>
    <t>Northern IN Public Service</t>
  </si>
  <si>
    <t>Charles Towne Square</t>
  </si>
  <si>
    <t>Charleston</t>
  </si>
  <si>
    <t>S. Carolina Electric &amp; Gas</t>
  </si>
  <si>
    <t>Charlottesville Fashion Square</t>
  </si>
  <si>
    <t>Charlottesville</t>
  </si>
  <si>
    <t>VA</t>
  </si>
  <si>
    <t>Virginia Electric Power</t>
  </si>
  <si>
    <t>Chautauqua Mall</t>
  </si>
  <si>
    <t>Jamestown</t>
  </si>
  <si>
    <t>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</si>
</sst>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5" formatCode="&quot;$&quot;#,##0_);\(&quot;$&quot;#,##0\)"/>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7" formatCode="0.0%"/>
    <numFmt numFmtId="169" formatCode="_(* #,##0.0_);_(* \(#,##0.0\);_(* &quot;-&quot;??_);_(@_)"/>
    <numFmt numFmtId="170" formatCode="_(* #,##0.000_);_(* \(#,##0.000\);_(* &quot;-&quot;??_);_(@_)"/>
    <numFmt numFmtId="171" formatCode="_(* #,##0.0000_);_(* \(#,##0.0000\);_(* &quot;-&quot;??_);_(@_)"/>
    <numFmt numFmtId="173" formatCode="_(&quot;$&quot;* #,##0_);_(&quot;$&quot;* \(#,##0\);_(&quot;$&quot;* &quot;-&quot;??_);_(@_)"/>
    <numFmt numFmtId="174" formatCode="_(* #,##0_);_(* \(#,##0\);_(* &quot;-&quot;??_);_(@_)"/>
    <numFmt numFmtId="183" formatCode="_(&quot;$&quot;* #,##0.000_);_(&quot;$&quot;* \(#,##0.000\);_(&quot;$&quot;* &quot;-&quot;??_);_(@_)"/>
    <numFmt numFmtId="184" formatCode="_(&quot;$&quot;* #,##0.0000_);_(&quot;$&quot;* \(#,##0.0000\);_(&quot;$&quot;* &quot;-&quot;??_);_(@_)"/>
    <numFmt numFmtId="199" formatCode="0.000%"/>
    <numFmt numFmtId="207" formatCode="mm/dd/yy"/>
    <numFmt numFmtId="208" formatCode="&quot;$&quot;#,##0"/>
    <numFmt numFmtId="246" formatCode="0_)"/>
    <numFmt numFmtId="253" formatCode="&quot;$&quot;#,##0.00"/>
    <numFmt numFmtId="254" formatCode="#,##0.00000"/>
  </numFmts>
  <fonts count="96" x14ac:knownFonts="1">
    <font>
      <sz val="10"/>
      <name val="Arial"/>
    </font>
    <font>
      <sz val="10"/>
      <name val="Arial"/>
    </font>
    <font>
      <sz val="10"/>
      <name val="Times New Roman"/>
      <family val="1"/>
    </font>
    <font>
      <sz val="10"/>
      <name val="MS Sans Serif"/>
    </font>
    <font>
      <sz val="10"/>
      <name val="Arial"/>
      <family val="2"/>
    </font>
    <font>
      <b/>
      <sz val="14"/>
      <color indexed="18"/>
      <name val="Arial"/>
      <family val="2"/>
    </font>
    <font>
      <sz val="10"/>
      <color indexed="18"/>
      <name val="Arial"/>
      <family val="2"/>
    </font>
    <font>
      <sz val="10"/>
      <color indexed="48"/>
      <name val="Arial"/>
      <family val="2"/>
    </font>
    <font>
      <sz val="10"/>
      <color indexed="53"/>
      <name val="Arial"/>
      <family val="2"/>
    </font>
    <font>
      <b/>
      <sz val="14"/>
      <name val="Arial"/>
      <family val="2"/>
    </font>
    <font>
      <b/>
      <sz val="10"/>
      <color indexed="18"/>
      <name val="Arial"/>
      <family val="2"/>
    </font>
    <font>
      <b/>
      <sz val="10"/>
      <color indexed="57"/>
      <name val="Arial"/>
      <family val="2"/>
    </font>
    <font>
      <b/>
      <sz val="11"/>
      <color indexed="18"/>
      <name val="Arial"/>
      <family val="2"/>
    </font>
    <font>
      <sz val="10"/>
      <color indexed="17"/>
      <name val="Arial"/>
      <family val="2"/>
    </font>
    <font>
      <b/>
      <sz val="10"/>
      <name val="Arial"/>
      <family val="2"/>
    </font>
    <font>
      <b/>
      <sz val="10"/>
      <name val="Arial"/>
    </font>
    <font>
      <b/>
      <sz val="10"/>
      <color indexed="18"/>
      <name val="Arial"/>
    </font>
    <font>
      <b/>
      <sz val="10"/>
      <color indexed="48"/>
      <name val="Arial"/>
    </font>
    <font>
      <b/>
      <sz val="10"/>
      <color indexed="17"/>
      <name val="Arial"/>
    </font>
    <font>
      <sz val="12"/>
      <color indexed="17"/>
      <name val="Times New Roman"/>
      <family val="1"/>
    </font>
    <font>
      <sz val="12"/>
      <color indexed="18"/>
      <name val="Arial"/>
      <family val="2"/>
    </font>
    <font>
      <sz val="12"/>
      <color indexed="48"/>
      <name val="Arial"/>
      <family val="2"/>
    </font>
    <font>
      <sz val="10"/>
      <color indexed="18"/>
      <name val="Arial"/>
    </font>
    <font>
      <sz val="10"/>
      <color indexed="9"/>
      <name val="Arial"/>
      <family val="2"/>
    </font>
    <font>
      <sz val="10"/>
      <color indexed="12"/>
      <name val="Arial"/>
      <family val="2"/>
    </font>
    <font>
      <sz val="10"/>
      <color indexed="62"/>
      <name val="Arial"/>
      <family val="2"/>
    </font>
    <font>
      <i/>
      <sz val="10"/>
      <name val="Arial"/>
      <family val="2"/>
    </font>
    <font>
      <i/>
      <u/>
      <sz val="10"/>
      <name val="Arial"/>
      <family val="2"/>
    </font>
    <font>
      <b/>
      <sz val="16"/>
      <name val="Times New Roman"/>
      <family val="1"/>
    </font>
    <font>
      <b/>
      <u/>
      <sz val="10"/>
      <name val="Times New Roman"/>
      <family val="1"/>
    </font>
    <font>
      <sz val="10"/>
      <color indexed="12"/>
      <name val="Times New Roman"/>
      <family val="1"/>
    </font>
    <font>
      <sz val="10"/>
      <color indexed="10"/>
      <name val="Times New Roman"/>
      <family val="1"/>
    </font>
    <font>
      <u/>
      <sz val="10"/>
      <name val="Times New Roman"/>
      <family val="1"/>
    </font>
    <font>
      <sz val="10"/>
      <color indexed="48"/>
      <name val="Times New Roman"/>
      <family val="1"/>
    </font>
    <font>
      <b/>
      <sz val="14"/>
      <name val="Times New Roman"/>
      <family val="1"/>
    </font>
    <font>
      <sz val="8"/>
      <name val="Times New Roman"/>
      <family val="1"/>
    </font>
    <font>
      <sz val="10"/>
      <color indexed="48"/>
      <name val="Arial"/>
    </font>
    <font>
      <sz val="14"/>
      <name val="Times New Roman"/>
      <family val="1"/>
    </font>
    <font>
      <b/>
      <sz val="10"/>
      <name val="Times New Roman"/>
      <family val="1"/>
    </font>
    <font>
      <b/>
      <sz val="12"/>
      <name val="Times New Roman"/>
      <family val="1"/>
    </font>
    <font>
      <b/>
      <sz val="10"/>
      <color indexed="10"/>
      <name val="Times New Roman"/>
      <family val="1"/>
    </font>
    <font>
      <b/>
      <sz val="12"/>
      <name val="Arial"/>
      <family val="2"/>
    </font>
    <font>
      <b/>
      <u/>
      <sz val="10"/>
      <name val="Arial"/>
      <family val="2"/>
    </font>
    <font>
      <sz val="10"/>
      <color indexed="9"/>
      <name val="Times New Roman"/>
      <family val="1"/>
    </font>
    <font>
      <sz val="12"/>
      <name val="Times New Roman"/>
      <family val="1"/>
    </font>
    <font>
      <sz val="16"/>
      <name val="Times New Roman"/>
      <family val="1"/>
    </font>
    <font>
      <sz val="10"/>
      <name val="Courier"/>
    </font>
    <font>
      <sz val="12"/>
      <color indexed="48"/>
      <name val="Times New Roman"/>
      <family val="1"/>
    </font>
    <font>
      <b/>
      <sz val="12"/>
      <color indexed="10"/>
      <name val="Arial"/>
      <family val="2"/>
    </font>
    <font>
      <b/>
      <i/>
      <u/>
      <sz val="10"/>
      <color indexed="14"/>
      <name val="Arial"/>
      <family val="2"/>
    </font>
    <font>
      <b/>
      <i/>
      <u/>
      <sz val="10"/>
      <color indexed="58"/>
      <name val="Arial"/>
      <family val="2"/>
    </font>
    <font>
      <b/>
      <i/>
      <sz val="10"/>
      <name val="Arial"/>
      <family val="2"/>
    </font>
    <font>
      <b/>
      <sz val="10"/>
      <color indexed="10"/>
      <name val="Arial"/>
      <family val="2"/>
    </font>
    <font>
      <sz val="12"/>
      <name val="Arial"/>
      <family val="2"/>
    </font>
    <font>
      <sz val="8"/>
      <name val="Arial"/>
    </font>
    <font>
      <b/>
      <sz val="12"/>
      <color indexed="9"/>
      <name val="Arial"/>
      <family val="2"/>
    </font>
    <font>
      <b/>
      <i/>
      <sz val="10"/>
      <color indexed="9"/>
      <name val="Arial"/>
      <family val="2"/>
    </font>
    <font>
      <b/>
      <sz val="10"/>
      <color indexed="18"/>
      <name val="Times New Roman"/>
      <family val="1"/>
    </font>
    <font>
      <b/>
      <sz val="10"/>
      <name val="MS Sans Serif"/>
      <family val="2"/>
    </font>
    <font>
      <b/>
      <sz val="12"/>
      <name val="Arial"/>
    </font>
    <font>
      <b/>
      <u/>
      <sz val="12"/>
      <name val="Times New Roman"/>
      <family val="1"/>
    </font>
    <font>
      <b/>
      <sz val="10"/>
      <color indexed="53"/>
      <name val="Arial"/>
      <family val="2"/>
    </font>
    <font>
      <sz val="10"/>
      <color indexed="10"/>
      <name val="Arial"/>
      <family val="2"/>
    </font>
    <font>
      <b/>
      <sz val="10"/>
      <color indexed="12"/>
      <name val="Arial"/>
      <family val="2"/>
    </font>
    <font>
      <b/>
      <sz val="10"/>
      <color indexed="14"/>
      <name val="Arial"/>
      <family val="2"/>
    </font>
    <font>
      <sz val="10"/>
      <color indexed="14"/>
      <name val="Arial"/>
      <family val="2"/>
    </font>
    <font>
      <b/>
      <sz val="10"/>
      <color indexed="17"/>
      <name val="Arial"/>
      <family val="2"/>
    </font>
    <font>
      <b/>
      <sz val="10"/>
      <color indexed="48"/>
      <name val="Arial"/>
      <family val="2"/>
    </font>
    <font>
      <sz val="10"/>
      <color indexed="16"/>
      <name val="Arial"/>
      <family val="2"/>
    </font>
    <font>
      <b/>
      <sz val="10"/>
      <color indexed="16"/>
      <name val="Arial"/>
      <family val="2"/>
    </font>
    <font>
      <sz val="8"/>
      <color indexed="81"/>
      <name val="Tahoma"/>
    </font>
    <font>
      <b/>
      <sz val="8"/>
      <color indexed="81"/>
      <name val="Tahoma"/>
    </font>
    <font>
      <b/>
      <sz val="10"/>
      <color indexed="62"/>
      <name val="Arial"/>
      <family val="2"/>
    </font>
    <font>
      <b/>
      <sz val="10"/>
      <color indexed="21"/>
      <name val="Arial"/>
      <family val="2"/>
    </font>
    <font>
      <b/>
      <i/>
      <sz val="10"/>
      <color indexed="18"/>
      <name val="Arial"/>
      <family val="2"/>
    </font>
    <font>
      <b/>
      <u/>
      <sz val="12"/>
      <name val="Arial"/>
      <family val="2"/>
    </font>
    <font>
      <b/>
      <i/>
      <u/>
      <sz val="12"/>
      <name val="Arial"/>
      <family val="2"/>
    </font>
    <font>
      <i/>
      <sz val="11"/>
      <name val="Arial"/>
      <family val="2"/>
    </font>
    <font>
      <sz val="10"/>
      <color indexed="63"/>
      <name val="Arial"/>
      <family val="2"/>
    </font>
    <font>
      <b/>
      <sz val="10"/>
      <color indexed="63"/>
      <name val="Arial"/>
      <family val="2"/>
    </font>
    <font>
      <sz val="10"/>
      <color indexed="8"/>
      <name val="MS Sans Serif"/>
    </font>
    <font>
      <sz val="10"/>
      <color indexed="8"/>
      <name val="Arial"/>
    </font>
    <font>
      <sz val="11"/>
      <name val="Arial"/>
      <family val="2"/>
    </font>
    <font>
      <sz val="8"/>
      <name val="Arial"/>
      <family val="2"/>
    </font>
    <font>
      <sz val="10"/>
      <color indexed="8"/>
      <name val="Arial"/>
      <family val="2"/>
    </font>
    <font>
      <b/>
      <i/>
      <u/>
      <sz val="10"/>
      <name val="Arial"/>
      <family val="2"/>
    </font>
    <font>
      <sz val="8"/>
      <color indexed="10"/>
      <name val="Arial"/>
      <family val="2"/>
    </font>
    <font>
      <b/>
      <sz val="14"/>
      <color indexed="10"/>
      <name val="Arial"/>
      <family val="2"/>
    </font>
    <font>
      <b/>
      <sz val="10"/>
      <color indexed="58"/>
      <name val="Arial"/>
      <family val="2"/>
    </font>
    <font>
      <b/>
      <sz val="9"/>
      <name val="Arial"/>
      <family val="2"/>
    </font>
    <font>
      <u/>
      <sz val="10"/>
      <name val="Arial"/>
      <family val="2"/>
    </font>
    <font>
      <b/>
      <sz val="8"/>
      <name val="Arial"/>
      <family val="2"/>
    </font>
    <font>
      <sz val="8"/>
      <color indexed="8"/>
      <name val="Arial"/>
      <family val="2"/>
    </font>
    <font>
      <b/>
      <sz val="8"/>
      <color indexed="9"/>
      <name val="Arial"/>
      <family val="2"/>
    </font>
    <font>
      <sz val="8"/>
      <color indexed="43"/>
      <name val="Arial"/>
      <family val="2"/>
    </font>
    <font>
      <b/>
      <sz val="8"/>
      <color indexed="43"/>
      <name val="Arial"/>
      <family val="2"/>
    </font>
  </fonts>
  <fills count="25">
    <fill>
      <patternFill patternType="none"/>
    </fill>
    <fill>
      <patternFill patternType="gray125"/>
    </fill>
    <fill>
      <patternFill patternType="solid">
        <fgColor indexed="22"/>
        <bgColor indexed="64"/>
      </patternFill>
    </fill>
    <fill>
      <patternFill patternType="solid">
        <fgColor indexed="23"/>
        <bgColor indexed="64"/>
      </patternFill>
    </fill>
    <fill>
      <patternFill patternType="solid">
        <fgColor indexed="9"/>
        <bgColor indexed="64"/>
      </patternFill>
    </fill>
    <fill>
      <patternFill patternType="solid">
        <fgColor indexed="43"/>
        <bgColor indexed="64"/>
      </patternFill>
    </fill>
    <fill>
      <patternFill patternType="solid">
        <fgColor indexed="42"/>
        <bgColor indexed="64"/>
      </patternFill>
    </fill>
    <fill>
      <patternFill patternType="gray0625"/>
    </fill>
    <fill>
      <patternFill patternType="solid">
        <fgColor indexed="65"/>
        <bgColor indexed="64"/>
      </patternFill>
    </fill>
    <fill>
      <patternFill patternType="solid">
        <fgColor indexed="31"/>
        <bgColor indexed="64"/>
      </patternFill>
    </fill>
    <fill>
      <patternFill patternType="solid">
        <fgColor indexed="26"/>
        <bgColor indexed="64"/>
      </patternFill>
    </fill>
    <fill>
      <patternFill patternType="solid">
        <fgColor indexed="55"/>
        <bgColor indexed="64"/>
      </patternFill>
    </fill>
    <fill>
      <patternFill patternType="solid">
        <fgColor indexed="46"/>
        <bgColor indexed="64"/>
      </patternFill>
    </fill>
    <fill>
      <patternFill patternType="solid">
        <fgColor indexed="27"/>
        <bgColor indexed="64"/>
      </patternFill>
    </fill>
    <fill>
      <patternFill patternType="solid">
        <fgColor indexed="13"/>
        <bgColor indexed="8"/>
      </patternFill>
    </fill>
    <fill>
      <patternFill patternType="solid">
        <fgColor indexed="42"/>
        <bgColor indexed="8"/>
      </patternFill>
    </fill>
    <fill>
      <patternFill patternType="solid">
        <fgColor indexed="13"/>
        <bgColor indexed="64"/>
      </patternFill>
    </fill>
    <fill>
      <patternFill patternType="solid">
        <fgColor indexed="49"/>
        <bgColor indexed="64"/>
      </patternFill>
    </fill>
    <fill>
      <patternFill patternType="solid">
        <fgColor indexed="45"/>
        <bgColor indexed="64"/>
      </patternFill>
    </fill>
    <fill>
      <patternFill patternType="solid">
        <fgColor indexed="41"/>
        <bgColor indexed="64"/>
      </patternFill>
    </fill>
    <fill>
      <patternFill patternType="solid">
        <fgColor indexed="44"/>
        <bgColor indexed="64"/>
      </patternFill>
    </fill>
    <fill>
      <patternFill patternType="solid">
        <fgColor indexed="29"/>
        <bgColor indexed="64"/>
      </patternFill>
    </fill>
    <fill>
      <patternFill patternType="solid">
        <fgColor indexed="47"/>
        <bgColor indexed="64"/>
      </patternFill>
    </fill>
    <fill>
      <patternFill patternType="solid">
        <fgColor indexed="57"/>
        <bgColor indexed="64"/>
      </patternFill>
    </fill>
    <fill>
      <patternFill patternType="solid">
        <fgColor indexed="12"/>
        <bgColor indexed="64"/>
      </patternFill>
    </fill>
  </fills>
  <borders count="75">
    <border>
      <left/>
      <right/>
      <top/>
      <bottom/>
      <diagonal/>
    </border>
    <border>
      <left style="thin">
        <color indexed="64"/>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medium">
        <color indexed="64"/>
      </right>
      <top/>
      <bottom style="thin">
        <color indexed="64"/>
      </bottom>
      <diagonal/>
    </border>
    <border>
      <left/>
      <right/>
      <top style="dashed">
        <color indexed="64"/>
      </top>
      <bottom/>
      <diagonal/>
    </border>
    <border>
      <left style="double">
        <color indexed="53"/>
      </left>
      <right/>
      <top style="double">
        <color indexed="53"/>
      </top>
      <bottom style="double">
        <color indexed="53"/>
      </bottom>
      <diagonal/>
    </border>
    <border>
      <left/>
      <right style="double">
        <color indexed="53"/>
      </right>
      <top style="double">
        <color indexed="53"/>
      </top>
      <bottom style="double">
        <color indexed="53"/>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style="thin">
        <color indexed="64"/>
      </left>
      <right style="thin">
        <color indexed="64"/>
      </right>
      <top style="double">
        <color indexed="64"/>
      </top>
      <bottom style="thin">
        <color indexed="64"/>
      </bottom>
      <diagonal/>
    </border>
    <border>
      <left/>
      <right/>
      <top style="double">
        <color indexed="11"/>
      </top>
      <bottom style="dashed">
        <color indexed="64"/>
      </bottom>
      <diagonal/>
    </border>
    <border>
      <left style="double">
        <color indexed="53"/>
      </left>
      <right/>
      <top style="double">
        <color indexed="53"/>
      </top>
      <bottom/>
      <diagonal/>
    </border>
    <border>
      <left/>
      <right style="double">
        <color indexed="53"/>
      </right>
      <top style="double">
        <color indexed="53"/>
      </top>
      <bottom/>
      <diagonal/>
    </border>
    <border>
      <left style="double">
        <color indexed="53"/>
      </left>
      <right/>
      <top/>
      <bottom style="double">
        <color indexed="53"/>
      </bottom>
      <diagonal/>
    </border>
    <border>
      <left/>
      <right style="double">
        <color indexed="53"/>
      </right>
      <top/>
      <bottom style="double">
        <color indexed="53"/>
      </bottom>
      <diagonal/>
    </border>
    <border>
      <left style="double">
        <color indexed="53"/>
      </left>
      <right/>
      <top/>
      <bottom/>
      <diagonal/>
    </border>
    <border>
      <left/>
      <right style="double">
        <color indexed="53"/>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bottom style="dotted">
        <color indexed="64"/>
      </bottom>
      <diagonal/>
    </border>
    <border>
      <left/>
      <right/>
      <top style="dotted">
        <color indexed="64"/>
      </top>
      <bottom/>
      <diagonal/>
    </border>
    <border>
      <left/>
      <right/>
      <top style="double">
        <color indexed="53"/>
      </top>
      <bottom/>
      <diagonal/>
    </border>
    <border>
      <left style="double">
        <color indexed="48"/>
      </left>
      <right/>
      <top style="double">
        <color indexed="48"/>
      </top>
      <bottom/>
      <diagonal/>
    </border>
    <border>
      <left/>
      <right/>
      <top style="double">
        <color indexed="48"/>
      </top>
      <bottom/>
      <diagonal/>
    </border>
    <border>
      <left/>
      <right style="double">
        <color indexed="48"/>
      </right>
      <top style="double">
        <color indexed="48"/>
      </top>
      <bottom/>
      <diagonal/>
    </border>
    <border>
      <left style="double">
        <color indexed="48"/>
      </left>
      <right/>
      <top/>
      <bottom style="double">
        <color indexed="48"/>
      </bottom>
      <diagonal/>
    </border>
    <border>
      <left/>
      <right/>
      <top/>
      <bottom style="double">
        <color indexed="48"/>
      </bottom>
      <diagonal/>
    </border>
    <border>
      <left/>
      <right style="double">
        <color indexed="48"/>
      </right>
      <top/>
      <bottom style="double">
        <color indexed="48"/>
      </bottom>
      <diagonal/>
    </border>
    <border>
      <left/>
      <right/>
      <top/>
      <bottom style="double">
        <color indexed="53"/>
      </bottom>
      <diagonal/>
    </border>
    <border>
      <left/>
      <right/>
      <top/>
      <bottom style="dotted">
        <color indexed="10"/>
      </bottom>
      <diagonal/>
    </border>
    <border>
      <left style="double">
        <color indexed="64"/>
      </left>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22"/>
      </left>
      <right style="thin">
        <color indexed="22"/>
      </right>
      <top style="thin">
        <color indexed="22"/>
      </top>
      <bottom style="thin">
        <color indexed="22"/>
      </bottom>
      <diagonal/>
    </border>
    <border>
      <left style="thin">
        <color indexed="22"/>
      </left>
      <right/>
      <top style="thin">
        <color indexed="22"/>
      </top>
      <bottom style="thin">
        <color indexed="22"/>
      </bottom>
      <diagonal/>
    </border>
    <border>
      <left/>
      <right style="thin">
        <color indexed="22"/>
      </right>
      <top style="thin">
        <color indexed="22"/>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diagonal/>
    </border>
    <border>
      <left/>
      <right/>
      <top/>
      <bottom style="double">
        <color indexed="64"/>
      </bottom>
      <diagonal/>
    </border>
    <border>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bottom style="dotted">
        <color indexed="64"/>
      </bottom>
      <diagonal/>
    </border>
    <border>
      <left/>
      <right style="thin">
        <color indexed="64"/>
      </right>
      <top style="thin">
        <color indexed="64"/>
      </top>
      <bottom/>
      <diagonal/>
    </border>
    <border>
      <left style="double">
        <color indexed="64"/>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8"/>
      </left>
      <right style="thin">
        <color indexed="8"/>
      </right>
      <top style="thin">
        <color indexed="8"/>
      </top>
      <bottom style="thin">
        <color indexed="8"/>
      </bottom>
      <diagonal/>
    </border>
  </borders>
  <cellStyleXfs count="11">
    <xf numFmtId="0" fontId="0" fillId="0" borderId="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2" fillId="0" borderId="0" applyFill="0" applyBorder="0" applyAlignment="0" applyProtection="0"/>
    <xf numFmtId="0" fontId="80" fillId="0" borderId="0"/>
    <xf numFmtId="0" fontId="1" fillId="0" borderId="0"/>
    <xf numFmtId="0" fontId="2" fillId="0" borderId="0"/>
    <xf numFmtId="0" fontId="80" fillId="0" borderId="0"/>
    <xf numFmtId="0" fontId="3" fillId="0" borderId="0"/>
    <xf numFmtId="9" fontId="1" fillId="0" borderId="0" applyFont="0" applyFill="0" applyBorder="0" applyAlignment="0" applyProtection="0"/>
  </cellStyleXfs>
  <cellXfs count="1172">
    <xf numFmtId="0" fontId="0" fillId="0" borderId="0" xfId="0"/>
    <xf numFmtId="0" fontId="4" fillId="0" borderId="0" xfId="7" applyFont="1"/>
    <xf numFmtId="0" fontId="5" fillId="0" borderId="0" xfId="7" applyFont="1"/>
    <xf numFmtId="0" fontId="6" fillId="0" borderId="0" xfId="7" applyFont="1"/>
    <xf numFmtId="0" fontId="7" fillId="0" borderId="0" xfId="7" applyFont="1"/>
    <xf numFmtId="0" fontId="7" fillId="0" borderId="0" xfId="7" applyFont="1" applyFill="1" applyBorder="1"/>
    <xf numFmtId="0" fontId="8" fillId="0" borderId="0" xfId="7" applyFont="1"/>
    <xf numFmtId="174" fontId="4" fillId="0" borderId="0" xfId="1" applyNumberFormat="1" applyFont="1"/>
    <xf numFmtId="0" fontId="4" fillId="0" borderId="0" xfId="7" applyFont="1" applyFill="1" applyBorder="1"/>
    <xf numFmtId="14" fontId="9" fillId="0" borderId="0" xfId="7" applyNumberFormat="1" applyFont="1" applyFill="1" applyBorder="1"/>
    <xf numFmtId="44" fontId="4" fillId="0" borderId="0" xfId="4" applyFont="1" applyFill="1" applyBorder="1" applyAlignment="1">
      <alignment horizontal="centerContinuous"/>
    </xf>
    <xf numFmtId="0" fontId="2" fillId="0" borderId="0" xfId="7"/>
    <xf numFmtId="0" fontId="4" fillId="0" borderId="0" xfId="7" applyFont="1" applyFill="1"/>
    <xf numFmtId="0" fontId="10" fillId="2" borderId="0" xfId="7" applyFont="1" applyFill="1" applyAlignment="1">
      <alignment horizontal="center"/>
    </xf>
    <xf numFmtId="0" fontId="12" fillId="0" borderId="0" xfId="7" applyFont="1"/>
    <xf numFmtId="9" fontId="7" fillId="0" borderId="0" xfId="10" applyFont="1" applyFill="1" applyBorder="1" applyAlignment="1">
      <alignment textRotation="90"/>
    </xf>
    <xf numFmtId="0" fontId="13" fillId="2" borderId="0" xfId="7" applyFont="1" applyFill="1"/>
    <xf numFmtId="174" fontId="6" fillId="2" borderId="0" xfId="1" applyNumberFormat="1" applyFont="1" applyFill="1"/>
    <xf numFmtId="0" fontId="6" fillId="2" borderId="0" xfId="7" applyFont="1" applyFill="1"/>
    <xf numFmtId="0" fontId="14" fillId="0" borderId="0" xfId="7" applyFont="1" applyFill="1" applyBorder="1" applyAlignment="1">
      <alignment textRotation="90"/>
    </xf>
    <xf numFmtId="174" fontId="14" fillId="0" borderId="0" xfId="1" applyNumberFormat="1" applyFont="1" applyFill="1" applyBorder="1" applyAlignment="1">
      <alignment textRotation="90"/>
    </xf>
    <xf numFmtId="0" fontId="14" fillId="0" borderId="0" xfId="7" applyFont="1" applyFill="1" applyBorder="1" applyAlignment="1"/>
    <xf numFmtId="173" fontId="4" fillId="0" borderId="0" xfId="4" applyNumberFormat="1" applyFont="1" applyFill="1" applyBorder="1"/>
    <xf numFmtId="44" fontId="14" fillId="0" borderId="0" xfId="4" applyFont="1" applyFill="1" applyBorder="1"/>
    <xf numFmtId="9" fontId="7" fillId="0" borderId="0" xfId="10" applyFont="1" applyFill="1" applyBorder="1"/>
    <xf numFmtId="174" fontId="4" fillId="0" borderId="0" xfId="1" applyNumberFormat="1" applyFont="1" applyFill="1" applyBorder="1" applyAlignment="1"/>
    <xf numFmtId="0" fontId="4" fillId="0" borderId="0" xfId="7" applyFont="1" applyFill="1" applyBorder="1" applyAlignment="1"/>
    <xf numFmtId="208" fontId="4" fillId="0" borderId="0" xfId="1" applyNumberFormat="1" applyFont="1" applyFill="1" applyBorder="1"/>
    <xf numFmtId="184" fontId="4" fillId="0" borderId="0" xfId="4" applyNumberFormat="1" applyFont="1" applyFill="1" applyBorder="1"/>
    <xf numFmtId="44" fontId="4" fillId="0" borderId="0" xfId="4" applyFont="1" applyFill="1" applyBorder="1"/>
    <xf numFmtId="0" fontId="15" fillId="0" borderId="0" xfId="7" applyFont="1" applyFill="1" applyAlignment="1">
      <alignment wrapText="1"/>
    </xf>
    <xf numFmtId="0" fontId="16" fillId="3" borderId="0" xfId="7" applyFont="1" applyFill="1" applyAlignment="1">
      <alignment textRotation="73" wrapText="1"/>
    </xf>
    <xf numFmtId="0" fontId="17" fillId="4" borderId="1" xfId="7" applyFont="1" applyFill="1" applyBorder="1" applyAlignment="1">
      <alignment textRotation="73" wrapText="1"/>
    </xf>
    <xf numFmtId="0" fontId="17" fillId="4" borderId="0" xfId="7" applyFont="1" applyFill="1" applyBorder="1" applyAlignment="1">
      <alignment horizontal="center" textRotation="73"/>
    </xf>
    <xf numFmtId="0" fontId="18" fillId="2" borderId="1" xfId="7" applyFont="1" applyFill="1" applyBorder="1" applyAlignment="1">
      <alignment textRotation="73" wrapText="1"/>
    </xf>
    <xf numFmtId="0" fontId="18" fillId="2" borderId="0" xfId="7" applyFont="1" applyFill="1" applyBorder="1" applyAlignment="1">
      <alignment textRotation="73" wrapText="1"/>
    </xf>
    <xf numFmtId="174" fontId="16" fillId="4" borderId="2" xfId="1" applyNumberFormat="1" applyFont="1" applyFill="1" applyBorder="1" applyAlignment="1">
      <alignment textRotation="73" wrapText="1"/>
    </xf>
    <xf numFmtId="0" fontId="16" fillId="4" borderId="3" xfId="7" applyFont="1" applyFill="1" applyBorder="1" applyAlignment="1">
      <alignment textRotation="73" wrapText="1"/>
    </xf>
    <xf numFmtId="0" fontId="16" fillId="4" borderId="2" xfId="7" applyFont="1" applyFill="1" applyBorder="1" applyAlignment="1">
      <alignment textRotation="73" wrapText="1"/>
    </xf>
    <xf numFmtId="0" fontId="16" fillId="4" borderId="4" xfId="7" applyFont="1" applyFill="1" applyBorder="1" applyAlignment="1">
      <alignment textRotation="73" wrapText="1"/>
    </xf>
    <xf numFmtId="0" fontId="16" fillId="4" borderId="5" xfId="7" applyFont="1" applyFill="1" applyBorder="1" applyAlignment="1">
      <alignment textRotation="73" wrapText="1"/>
    </xf>
    <xf numFmtId="0" fontId="16" fillId="4" borderId="0" xfId="7" applyFont="1" applyFill="1" applyBorder="1" applyAlignment="1">
      <alignment textRotation="73" wrapText="1"/>
    </xf>
    <xf numFmtId="174" fontId="18" fillId="4" borderId="0" xfId="1" applyNumberFormat="1" applyFont="1" applyFill="1" applyBorder="1" applyAlignment="1">
      <alignment horizontal="left" textRotation="62"/>
    </xf>
    <xf numFmtId="0" fontId="18" fillId="0" borderId="0" xfId="7" applyFont="1" applyFill="1" applyBorder="1" applyAlignment="1">
      <alignment horizontal="left" textRotation="62"/>
    </xf>
    <xf numFmtId="0" fontId="19" fillId="0" borderId="0" xfId="7" applyFont="1" applyAlignment="1">
      <alignment textRotation="61"/>
    </xf>
    <xf numFmtId="0" fontId="13" fillId="0" borderId="0" xfId="7" applyFont="1" applyFill="1" applyBorder="1" applyAlignment="1">
      <alignment horizontal="center" textRotation="62"/>
    </xf>
    <xf numFmtId="173" fontId="13" fillId="0" borderId="0" xfId="4" applyNumberFormat="1" applyFont="1" applyFill="1" applyBorder="1" applyAlignment="1">
      <alignment horizontal="center" textRotation="62"/>
    </xf>
    <xf numFmtId="174" fontId="13" fillId="0" borderId="0" xfId="4" applyNumberFormat="1" applyFont="1" applyFill="1" applyBorder="1" applyAlignment="1">
      <alignment horizontal="center" textRotation="62"/>
    </xf>
    <xf numFmtId="0" fontId="20" fillId="0" borderId="0" xfId="7" applyFont="1" applyAlignment="1">
      <alignment wrapText="1"/>
    </xf>
    <xf numFmtId="0" fontId="21" fillId="0" borderId="0" xfId="7" applyFont="1" applyFill="1" applyBorder="1" applyAlignment="1">
      <alignment horizontal="center"/>
    </xf>
    <xf numFmtId="174" fontId="14" fillId="0" borderId="0" xfId="1" applyNumberFormat="1" applyFont="1" applyFill="1" applyBorder="1" applyAlignment="1">
      <alignment horizontal="center"/>
    </xf>
    <xf numFmtId="0" fontId="14" fillId="0" borderId="0" xfId="7" applyFont="1" applyFill="1" applyBorder="1" applyAlignment="1">
      <alignment horizontal="center"/>
    </xf>
    <xf numFmtId="9" fontId="14" fillId="0" borderId="0" xfId="10" applyFont="1" applyFill="1" applyBorder="1" applyAlignment="1">
      <alignment horizontal="center"/>
    </xf>
    <xf numFmtId="173" fontId="14" fillId="0" borderId="0" xfId="4" applyNumberFormat="1" applyFont="1" applyFill="1" applyBorder="1" applyAlignment="1">
      <alignment horizontal="center"/>
    </xf>
    <xf numFmtId="174" fontId="4" fillId="0" borderId="0" xfId="4" applyNumberFormat="1" applyFont="1" applyFill="1" applyBorder="1" applyAlignment="1">
      <alignment horizontal="center"/>
    </xf>
    <xf numFmtId="184" fontId="14" fillId="0" borderId="0" xfId="4" applyNumberFormat="1" applyFont="1" applyFill="1" applyBorder="1"/>
    <xf numFmtId="0" fontId="7" fillId="0" borderId="0" xfId="7" applyFont="1" applyFill="1" applyBorder="1" applyAlignment="1"/>
    <xf numFmtId="9" fontId="4" fillId="0" borderId="0" xfId="10" applyFont="1"/>
    <xf numFmtId="174" fontId="4" fillId="0" borderId="0" xfId="7" applyNumberFormat="1" applyFont="1"/>
    <xf numFmtId="174" fontId="14" fillId="0" borderId="0" xfId="1" applyNumberFormat="1" applyFont="1" applyFill="1" applyBorder="1" applyAlignment="1"/>
    <xf numFmtId="174" fontId="14" fillId="0" borderId="0" xfId="1" applyNumberFormat="1" applyFont="1" applyFill="1" applyBorder="1" applyAlignment="1">
      <alignment horizontal="left"/>
    </xf>
    <xf numFmtId="173" fontId="2" fillId="0" borderId="0" xfId="4" applyNumberFormat="1"/>
    <xf numFmtId="0" fontId="6" fillId="5" borderId="0" xfId="7" applyFont="1" applyFill="1"/>
    <xf numFmtId="0" fontId="6" fillId="0" borderId="0" xfId="7" applyFont="1" applyFill="1" applyBorder="1"/>
    <xf numFmtId="0" fontId="6" fillId="6" borderId="0" xfId="7" applyFont="1" applyFill="1"/>
    <xf numFmtId="0" fontId="6" fillId="5" borderId="0" xfId="7" applyFont="1" applyFill="1" applyBorder="1"/>
    <xf numFmtId="0" fontId="6" fillId="0" borderId="0" xfId="7" applyFont="1" applyFill="1"/>
    <xf numFmtId="0" fontId="14" fillId="0" borderId="0" xfId="7" applyFont="1" applyFill="1" applyBorder="1"/>
    <xf numFmtId="0" fontId="7" fillId="0" borderId="0" xfId="7" applyFont="1" applyFill="1"/>
    <xf numFmtId="0" fontId="8" fillId="0" borderId="0" xfId="7" applyFont="1" applyFill="1"/>
    <xf numFmtId="174" fontId="4" fillId="0" borderId="0" xfId="1" applyNumberFormat="1" applyFont="1" applyFill="1"/>
    <xf numFmtId="0" fontId="4" fillId="2" borderId="6" xfId="7" applyFont="1" applyFill="1" applyBorder="1"/>
    <xf numFmtId="0" fontId="4" fillId="2" borderId="7" xfId="7" applyFont="1" applyFill="1" applyBorder="1"/>
    <xf numFmtId="0" fontId="6" fillId="2" borderId="7" xfId="7" applyFont="1" applyFill="1" applyBorder="1"/>
    <xf numFmtId="0" fontId="2" fillId="0" borderId="7" xfId="7" applyBorder="1"/>
    <xf numFmtId="174" fontId="6" fillId="2" borderId="7" xfId="1" applyNumberFormat="1" applyFont="1" applyFill="1" applyBorder="1"/>
    <xf numFmtId="174" fontId="22" fillId="2" borderId="7" xfId="1" applyNumberFormat="1" applyFont="1" applyFill="1" applyBorder="1"/>
    <xf numFmtId="0" fontId="23" fillId="0" borderId="0" xfId="7" applyFont="1" applyFill="1" applyBorder="1"/>
    <xf numFmtId="0" fontId="4" fillId="2" borderId="8" xfId="7" applyFont="1" applyFill="1" applyBorder="1" applyAlignment="1">
      <alignment wrapText="1"/>
    </xf>
    <xf numFmtId="0" fontId="4" fillId="2" borderId="9" xfId="7" applyFont="1" applyFill="1" applyBorder="1" applyAlignment="1">
      <alignment wrapText="1"/>
    </xf>
    <xf numFmtId="0" fontId="6" fillId="2" borderId="9" xfId="7" applyFont="1" applyFill="1" applyBorder="1" applyAlignment="1">
      <alignment wrapText="1"/>
    </xf>
    <xf numFmtId="0" fontId="24" fillId="0" borderId="9" xfId="7" applyFont="1" applyBorder="1" applyAlignment="1">
      <alignment wrapText="1"/>
    </xf>
    <xf numFmtId="174" fontId="6" fillId="2" borderId="9" xfId="1" applyNumberFormat="1" applyFont="1" applyFill="1" applyBorder="1" applyAlignment="1">
      <alignment wrapText="1"/>
    </xf>
    <xf numFmtId="0" fontId="23" fillId="0" borderId="0" xfId="7" applyFont="1" applyFill="1" applyBorder="1" applyAlignment="1">
      <alignment wrapText="1"/>
    </xf>
    <xf numFmtId="0" fontId="4" fillId="2" borderId="0" xfId="7" applyFont="1" applyFill="1"/>
    <xf numFmtId="0" fontId="6" fillId="2" borderId="0" xfId="7" applyFont="1" applyFill="1" applyBorder="1"/>
    <xf numFmtId="0" fontId="25" fillId="2" borderId="0" xfId="7" applyFont="1" applyFill="1" applyBorder="1"/>
    <xf numFmtId="174" fontId="6" fillId="2" borderId="0" xfId="1" applyNumberFormat="1" applyFont="1" applyFill="1" applyBorder="1"/>
    <xf numFmtId="0" fontId="6" fillId="2" borderId="0" xfId="7" applyFont="1" applyFill="1" applyBorder="1" applyAlignment="1"/>
    <xf numFmtId="0" fontId="6" fillId="0" borderId="6" xfId="7" applyFont="1" applyBorder="1"/>
    <xf numFmtId="0" fontId="6" fillId="0" borderId="7" xfId="7" applyFont="1" applyBorder="1"/>
    <xf numFmtId="0" fontId="6" fillId="2" borderId="7" xfId="7" applyNumberFormat="1" applyFont="1" applyFill="1" applyBorder="1"/>
    <xf numFmtId="0" fontId="7" fillId="0" borderId="7" xfId="7" applyFont="1" applyBorder="1"/>
    <xf numFmtId="0" fontId="7" fillId="0" borderId="7" xfId="7" applyFont="1" applyFill="1" applyBorder="1"/>
    <xf numFmtId="1" fontId="2" fillId="0" borderId="7" xfId="7" applyNumberFormat="1" applyBorder="1"/>
    <xf numFmtId="9" fontId="2" fillId="0" borderId="7" xfId="10" applyFont="1" applyBorder="1"/>
    <xf numFmtId="174" fontId="2" fillId="0" borderId="7" xfId="1" applyNumberFormat="1" applyFont="1" applyBorder="1"/>
    <xf numFmtId="174" fontId="2" fillId="0" borderId="7" xfId="1" applyNumberFormat="1" applyFont="1" applyBorder="1" applyAlignment="1"/>
    <xf numFmtId="0" fontId="4" fillId="0" borderId="7" xfId="7" applyFont="1" applyFill="1" applyBorder="1"/>
    <xf numFmtId="0" fontId="4" fillId="0" borderId="7" xfId="7" applyFont="1" applyBorder="1"/>
    <xf numFmtId="0" fontId="4" fillId="0" borderId="10" xfId="7" applyFont="1" applyFill="1" applyBorder="1"/>
    <xf numFmtId="0" fontId="2" fillId="0" borderId="11" xfId="7" applyBorder="1"/>
    <xf numFmtId="0" fontId="2" fillId="0" borderId="0" xfId="7" applyBorder="1"/>
    <xf numFmtId="9" fontId="2" fillId="0" borderId="0" xfId="10" applyFont="1" applyBorder="1"/>
    <xf numFmtId="174" fontId="2" fillId="0" borderId="0" xfId="1" applyNumberFormat="1" applyFont="1" applyBorder="1"/>
    <xf numFmtId="174" fontId="2" fillId="0" borderId="0" xfId="1" applyNumberFormat="1" applyFont="1" applyBorder="1" applyAlignment="1"/>
    <xf numFmtId="0" fontId="2" fillId="0" borderId="12" xfId="7" applyBorder="1"/>
    <xf numFmtId="0" fontId="2" fillId="0" borderId="8" xfId="7" applyBorder="1"/>
    <xf numFmtId="0" fontId="2" fillId="0" borderId="9" xfId="7" applyBorder="1"/>
    <xf numFmtId="9" fontId="2" fillId="0" borderId="9" xfId="10" applyFont="1" applyBorder="1"/>
    <xf numFmtId="174" fontId="2" fillId="0" borderId="9" xfId="1" applyNumberFormat="1" applyFont="1" applyBorder="1"/>
    <xf numFmtId="174" fontId="2" fillId="0" borderId="9" xfId="1" applyNumberFormat="1" applyFont="1" applyBorder="1" applyAlignment="1"/>
    <xf numFmtId="0" fontId="2" fillId="0" borderId="13" xfId="7" applyBorder="1"/>
    <xf numFmtId="0" fontId="8" fillId="0" borderId="0" xfId="7" applyFont="1" applyAlignment="1">
      <alignment wrapText="1"/>
    </xf>
    <xf numFmtId="0" fontId="14" fillId="0" borderId="0" xfId="6" applyFont="1"/>
    <xf numFmtId="0" fontId="1" fillId="0" borderId="0" xfId="6"/>
    <xf numFmtId="167" fontId="1" fillId="0" borderId="0" xfId="10" applyNumberFormat="1"/>
    <xf numFmtId="0" fontId="26" fillId="0" borderId="0" xfId="6" applyFont="1"/>
    <xf numFmtId="0" fontId="9" fillId="0" borderId="0" xfId="6" applyFont="1"/>
    <xf numFmtId="173" fontId="1" fillId="0" borderId="0" xfId="3" applyNumberFormat="1"/>
    <xf numFmtId="173" fontId="1" fillId="0" borderId="0" xfId="6" applyNumberFormat="1"/>
    <xf numFmtId="173" fontId="1" fillId="0" borderId="14" xfId="3" applyNumberFormat="1" applyBorder="1"/>
    <xf numFmtId="0" fontId="1" fillId="0" borderId="14" xfId="6" applyBorder="1"/>
    <xf numFmtId="167" fontId="1" fillId="0" borderId="0" xfId="10" applyNumberFormat="1" applyBorder="1"/>
    <xf numFmtId="0" fontId="27" fillId="0" borderId="0" xfId="6" applyFont="1"/>
    <xf numFmtId="44" fontId="1" fillId="0" borderId="0" xfId="3"/>
    <xf numFmtId="173" fontId="14" fillId="0" borderId="0" xfId="3" applyNumberFormat="1" applyFont="1"/>
    <xf numFmtId="173" fontId="14" fillId="0" borderId="0" xfId="6" applyNumberFormat="1" applyFont="1"/>
    <xf numFmtId="167" fontId="14" fillId="0" borderId="0" xfId="10" applyNumberFormat="1" applyFont="1"/>
    <xf numFmtId="9" fontId="14" fillId="0" borderId="0" xfId="10" applyFont="1"/>
    <xf numFmtId="173" fontId="1" fillId="0" borderId="15" xfId="6" applyNumberFormat="1" applyBorder="1"/>
    <xf numFmtId="173" fontId="1" fillId="0" borderId="0" xfId="6" applyNumberFormat="1" applyBorder="1"/>
    <xf numFmtId="43" fontId="1" fillId="0" borderId="0" xfId="6" applyNumberFormat="1"/>
    <xf numFmtId="0" fontId="1" fillId="0" borderId="0" xfId="6" quotePrefix="1"/>
    <xf numFmtId="0" fontId="3" fillId="0" borderId="0" xfId="9"/>
    <xf numFmtId="0" fontId="3" fillId="2" borderId="0" xfId="9" applyFill="1"/>
    <xf numFmtId="0" fontId="3" fillId="2" borderId="0" xfId="9" applyFill="1" applyBorder="1"/>
    <xf numFmtId="0" fontId="3" fillId="0" borderId="0" xfId="9" applyFont="1"/>
    <xf numFmtId="5" fontId="3" fillId="0" borderId="0" xfId="9" applyNumberFormat="1"/>
    <xf numFmtId="5" fontId="3" fillId="2" borderId="0" xfId="9" applyNumberFormat="1" applyFill="1"/>
    <xf numFmtId="5" fontId="3" fillId="2" borderId="0" xfId="9" applyNumberFormat="1" applyFill="1" applyBorder="1"/>
    <xf numFmtId="5" fontId="3" fillId="0" borderId="0" xfId="3" applyNumberFormat="1" applyFont="1"/>
    <xf numFmtId="0" fontId="4" fillId="0" borderId="0" xfId="6" applyFont="1"/>
    <xf numFmtId="5" fontId="3" fillId="0" borderId="15" xfId="9" applyNumberFormat="1" applyBorder="1"/>
    <xf numFmtId="44" fontId="3" fillId="0" borderId="0" xfId="3" quotePrefix="1" applyFont="1" applyBorder="1"/>
    <xf numFmtId="5" fontId="3" fillId="0" borderId="0" xfId="9" applyNumberFormat="1" applyFont="1"/>
    <xf numFmtId="5" fontId="3" fillId="0" borderId="16" xfId="9" applyNumberFormat="1" applyBorder="1"/>
    <xf numFmtId="0" fontId="28" fillId="0" borderId="0" xfId="7" applyFont="1"/>
    <xf numFmtId="0" fontId="2" fillId="0" borderId="17" xfId="7" applyBorder="1"/>
    <xf numFmtId="0" fontId="2" fillId="0" borderId="17" xfId="7" applyBorder="1" applyAlignment="1">
      <alignment horizontal="center"/>
    </xf>
    <xf numFmtId="0" fontId="2" fillId="0" borderId="18" xfId="7" applyBorder="1" applyAlignment="1">
      <alignment horizontal="center"/>
    </xf>
    <xf numFmtId="0" fontId="29" fillId="0" borderId="19" xfId="7" applyFont="1" applyBorder="1"/>
    <xf numFmtId="0" fontId="2" fillId="0" borderId="19" xfId="7" applyBorder="1"/>
    <xf numFmtId="0" fontId="2" fillId="0" borderId="20" xfId="7" applyBorder="1"/>
    <xf numFmtId="0" fontId="2" fillId="0" borderId="1" xfId="7" applyBorder="1"/>
    <xf numFmtId="0" fontId="2" fillId="0" borderId="1" xfId="7" applyFont="1" applyBorder="1"/>
    <xf numFmtId="0" fontId="2" fillId="0" borderId="21" xfId="7" applyBorder="1"/>
    <xf numFmtId="0" fontId="30" fillId="0" borderId="1" xfId="7" applyFont="1" applyBorder="1"/>
    <xf numFmtId="174" fontId="2" fillId="0" borderId="1" xfId="1" applyNumberFormat="1" applyFont="1" applyBorder="1"/>
    <xf numFmtId="174" fontId="2" fillId="0" borderId="21" xfId="1" applyNumberFormat="1" applyFont="1" applyBorder="1"/>
    <xf numFmtId="174" fontId="2" fillId="0" borderId="22" xfId="1" applyNumberFormat="1" applyFont="1" applyBorder="1"/>
    <xf numFmtId="167" fontId="2" fillId="0" borderId="21" xfId="7" applyNumberFormat="1" applyBorder="1"/>
    <xf numFmtId="0" fontId="29" fillId="0" borderId="1" xfId="7" applyFont="1" applyBorder="1"/>
    <xf numFmtId="0" fontId="31" fillId="0" borderId="0" xfId="7" quotePrefix="1" applyFont="1"/>
    <xf numFmtId="0" fontId="2" fillId="0" borderId="0" xfId="7" quotePrefix="1"/>
    <xf numFmtId="174" fontId="2" fillId="0" borderId="1" xfId="7" applyNumberFormat="1" applyBorder="1"/>
    <xf numFmtId="0" fontId="2" fillId="0" borderId="14" xfId="7" applyBorder="1"/>
    <xf numFmtId="174" fontId="2" fillId="0" borderId="23" xfId="1" applyNumberFormat="1" applyFont="1" applyBorder="1"/>
    <xf numFmtId="174" fontId="2" fillId="0" borderId="24" xfId="1" applyNumberFormat="1" applyFont="1" applyBorder="1"/>
    <xf numFmtId="174" fontId="30" fillId="0" borderId="0" xfId="1" applyNumberFormat="1" applyFont="1"/>
    <xf numFmtId="0" fontId="2" fillId="0" borderId="18" xfId="7" applyBorder="1"/>
    <xf numFmtId="174" fontId="2" fillId="0" borderId="18" xfId="1" applyNumberFormat="1" applyFont="1" applyBorder="1" applyAlignment="1">
      <alignment horizontal="center" wrapText="1"/>
    </xf>
    <xf numFmtId="0" fontId="2" fillId="0" borderId="25" xfId="7" applyFont="1" applyBorder="1" applyAlignment="1">
      <alignment horizontal="center" wrapText="1"/>
    </xf>
    <xf numFmtId="174" fontId="2" fillId="0" borderId="20" xfId="1" applyNumberFormat="1" applyFont="1" applyBorder="1" applyAlignment="1">
      <alignment horizontal="center"/>
    </xf>
    <xf numFmtId="174" fontId="2" fillId="0" borderId="24" xfId="7" applyNumberFormat="1" applyBorder="1"/>
    <xf numFmtId="174" fontId="2" fillId="0" borderId="18" xfId="7" applyNumberFormat="1" applyFont="1" applyBorder="1" applyAlignment="1"/>
    <xf numFmtId="174" fontId="2" fillId="0" borderId="0" xfId="7" applyNumberFormat="1" applyFont="1" applyBorder="1" applyAlignment="1"/>
    <xf numFmtId="174" fontId="2" fillId="0" borderId="0" xfId="7" applyNumberFormat="1" applyBorder="1"/>
    <xf numFmtId="0" fontId="29" fillId="0" borderId="0" xfId="7" applyFont="1" applyBorder="1"/>
    <xf numFmtId="0" fontId="30" fillId="0" borderId="0" xfId="7" applyFont="1" applyBorder="1" applyAlignment="1"/>
    <xf numFmtId="174" fontId="30" fillId="0" borderId="0" xfId="1" applyNumberFormat="1" applyFont="1" applyBorder="1" applyAlignment="1"/>
    <xf numFmtId="0" fontId="31" fillId="0" borderId="0" xfId="7" applyFont="1" applyBorder="1"/>
    <xf numFmtId="0" fontId="2" fillId="0" borderId="0" xfId="7" applyFont="1" applyBorder="1" applyAlignment="1"/>
    <xf numFmtId="10" fontId="30" fillId="0" borderId="0" xfId="10" applyNumberFormat="1" applyFont="1" applyBorder="1"/>
    <xf numFmtId="0" fontId="33" fillId="0" borderId="0" xfId="7" applyFont="1" applyAlignment="1">
      <alignment horizontal="right"/>
    </xf>
    <xf numFmtId="0" fontId="2" fillId="0" borderId="0" xfId="7" applyFont="1" applyAlignment="1">
      <alignment horizontal="center"/>
    </xf>
    <xf numFmtId="0" fontId="2" fillId="0" borderId="0" xfId="7" applyFont="1"/>
    <xf numFmtId="0" fontId="34" fillId="0" borderId="0" xfId="7" applyFont="1"/>
    <xf numFmtId="0" fontId="35" fillId="0" borderId="0" xfId="7" applyFont="1" applyAlignment="1">
      <alignment horizontal="center" wrapText="1"/>
    </xf>
    <xf numFmtId="173" fontId="2" fillId="0" borderId="0" xfId="4" applyNumberFormat="1" applyFill="1"/>
    <xf numFmtId="173" fontId="2" fillId="0" borderId="0" xfId="4" applyNumberFormat="1" applyFont="1"/>
    <xf numFmtId="173" fontId="30" fillId="0" borderId="0" xfId="4" applyNumberFormat="1" applyFont="1"/>
    <xf numFmtId="0" fontId="31" fillId="0" borderId="0" xfId="7" applyFont="1"/>
    <xf numFmtId="174" fontId="2" fillId="0" borderId="0" xfId="1" applyNumberFormat="1" applyFont="1" applyFill="1" applyAlignment="1">
      <alignment horizontal="center"/>
    </xf>
    <xf numFmtId="167" fontId="2" fillId="0" borderId="0" xfId="10" applyNumberFormat="1" applyFont="1"/>
    <xf numFmtId="9" fontId="36" fillId="0" borderId="0" xfId="10" applyFont="1"/>
    <xf numFmtId="0" fontId="2" fillId="0" borderId="14" xfId="7" applyFont="1" applyBorder="1" applyAlignment="1">
      <alignment horizontal="center"/>
    </xf>
    <xf numFmtId="0" fontId="2" fillId="0" borderId="14" xfId="7" quotePrefix="1" applyFont="1" applyBorder="1" applyAlignment="1">
      <alignment horizontal="center"/>
    </xf>
    <xf numFmtId="174" fontId="2" fillId="0" borderId="0" xfId="1" applyNumberFormat="1" applyFont="1"/>
    <xf numFmtId="44" fontId="30" fillId="0" borderId="0" xfId="4" applyFont="1"/>
    <xf numFmtId="173" fontId="2" fillId="0" borderId="0" xfId="7" applyNumberFormat="1" applyFont="1"/>
    <xf numFmtId="44" fontId="2" fillId="0" borderId="14" xfId="4" applyFont="1" applyBorder="1" applyAlignment="1">
      <alignment horizontal="center"/>
    </xf>
    <xf numFmtId="173" fontId="2" fillId="0" borderId="14" xfId="7" applyNumberFormat="1" applyFont="1" applyBorder="1" applyAlignment="1">
      <alignment horizontal="center"/>
    </xf>
    <xf numFmtId="9" fontId="30" fillId="0" borderId="0" xfId="10" applyFont="1"/>
    <xf numFmtId="167" fontId="30" fillId="0" borderId="0" xfId="10" applyNumberFormat="1" applyFont="1" applyAlignment="1">
      <alignment horizontal="right"/>
    </xf>
    <xf numFmtId="167" fontId="30" fillId="0" borderId="0" xfId="10" applyNumberFormat="1" applyFont="1"/>
    <xf numFmtId="167" fontId="30" fillId="0" borderId="0" xfId="7" applyNumberFormat="1" applyFont="1"/>
    <xf numFmtId="170" fontId="2" fillId="0" borderId="0" xfId="1" applyNumberFormat="1" applyFont="1"/>
    <xf numFmtId="8" fontId="2" fillId="0" borderId="0" xfId="7" applyNumberFormat="1"/>
    <xf numFmtId="44" fontId="2" fillId="0" borderId="0" xfId="4" applyFont="1"/>
    <xf numFmtId="167" fontId="2" fillId="0" borderId="0" xfId="4" applyNumberFormat="1" applyFont="1"/>
    <xf numFmtId="0" fontId="2" fillId="0" borderId="0" xfId="7" applyAlignment="1">
      <alignment horizontal="right"/>
    </xf>
    <xf numFmtId="0" fontId="37" fillId="0" borderId="0" xfId="7" applyFont="1"/>
    <xf numFmtId="0" fontId="38" fillId="0" borderId="0" xfId="7" applyFont="1"/>
    <xf numFmtId="173" fontId="2" fillId="0" borderId="0" xfId="4" applyNumberFormat="1" applyBorder="1"/>
    <xf numFmtId="173" fontId="2" fillId="0" borderId="14" xfId="4" applyNumberFormat="1" applyBorder="1"/>
    <xf numFmtId="173" fontId="2" fillId="0" borderId="0" xfId="7" applyNumberFormat="1"/>
    <xf numFmtId="0" fontId="30" fillId="0" borderId="0" xfId="7" applyFont="1" applyAlignment="1">
      <alignment horizontal="right"/>
    </xf>
    <xf numFmtId="0" fontId="2" fillId="0" borderId="14" xfId="7" applyBorder="1" applyAlignment="1">
      <alignment horizontal="center"/>
    </xf>
    <xf numFmtId="183" fontId="2" fillId="0" borderId="0" xfId="4" applyNumberFormat="1"/>
    <xf numFmtId="10" fontId="30" fillId="0" borderId="0" xfId="10" applyNumberFormat="1" applyFont="1"/>
    <xf numFmtId="0" fontId="2" fillId="0" borderId="0" xfId="7" applyAlignment="1">
      <alignment horizontal="center"/>
    </xf>
    <xf numFmtId="0" fontId="2" fillId="0" borderId="0" xfId="7" applyFont="1" applyFill="1" applyBorder="1"/>
    <xf numFmtId="167" fontId="30" fillId="0" borderId="0" xfId="10" applyNumberFormat="1" applyFont="1" applyBorder="1"/>
    <xf numFmtId="0" fontId="29" fillId="0" borderId="0" xfId="7" applyFont="1"/>
    <xf numFmtId="173" fontId="2" fillId="0" borderId="0" xfId="4" applyNumberFormat="1" applyFont="1" applyFill="1" applyBorder="1"/>
    <xf numFmtId="173" fontId="2" fillId="0" borderId="0" xfId="4" applyNumberFormat="1" applyFont="1" applyFill="1" applyBorder="1" applyAlignment="1">
      <alignment horizontal="center"/>
    </xf>
    <xf numFmtId="173" fontId="2" fillId="0" borderId="14" xfId="7" applyNumberFormat="1" applyFont="1" applyBorder="1"/>
    <xf numFmtId="173" fontId="38" fillId="0" borderId="0" xfId="7" applyNumberFormat="1" applyFont="1" applyFill="1" applyBorder="1"/>
    <xf numFmtId="167" fontId="2" fillId="0" borderId="0" xfId="10" applyNumberFormat="1" applyFont="1" applyFill="1" applyBorder="1"/>
    <xf numFmtId="173" fontId="2" fillId="0" borderId="0" xfId="4" applyNumberFormat="1" applyFill="1" applyBorder="1"/>
    <xf numFmtId="0" fontId="31" fillId="0" borderId="0" xfId="7" applyFont="1" applyFill="1" applyBorder="1"/>
    <xf numFmtId="9" fontId="2" fillId="0" borderId="0" xfId="10" applyFont="1" applyFill="1" applyBorder="1"/>
    <xf numFmtId="0" fontId="29" fillId="0" borderId="0" xfId="7" applyFont="1" applyFill="1" applyBorder="1"/>
    <xf numFmtId="0" fontId="30" fillId="0" borderId="0" xfId="7" applyFont="1"/>
    <xf numFmtId="0" fontId="2" fillId="0" borderId="0" xfId="7" quotePrefix="1" applyFont="1"/>
    <xf numFmtId="10" fontId="2" fillId="0" borderId="0" xfId="7" applyNumberFormat="1"/>
    <xf numFmtId="44" fontId="2" fillId="0" borderId="0" xfId="4"/>
    <xf numFmtId="174" fontId="2" fillId="0" borderId="0" xfId="7" applyNumberFormat="1"/>
    <xf numFmtId="2" fontId="2" fillId="0" borderId="0" xfId="7" applyNumberFormat="1" applyFont="1"/>
    <xf numFmtId="173" fontId="2" fillId="0" borderId="14" xfId="7" applyNumberFormat="1" applyBorder="1"/>
    <xf numFmtId="173" fontId="2" fillId="0" borderId="14" xfId="4" applyNumberFormat="1" applyFont="1" applyBorder="1"/>
    <xf numFmtId="0" fontId="32" fillId="0" borderId="0" xfId="7" applyFont="1"/>
    <xf numFmtId="6" fontId="2" fillId="0" borderId="0" xfId="7" applyNumberFormat="1"/>
    <xf numFmtId="6" fontId="2" fillId="0" borderId="14" xfId="7" applyNumberFormat="1" applyBorder="1"/>
    <xf numFmtId="6" fontId="2" fillId="0" borderId="0" xfId="7" applyNumberFormat="1" applyBorder="1"/>
    <xf numFmtId="42" fontId="2" fillId="0" borderId="0" xfId="7" applyNumberFormat="1"/>
    <xf numFmtId="173" fontId="30" fillId="0" borderId="14" xfId="4" applyNumberFormat="1" applyFont="1" applyBorder="1"/>
    <xf numFmtId="10" fontId="2" fillId="0" borderId="0" xfId="10" applyNumberFormat="1" applyFont="1"/>
    <xf numFmtId="0" fontId="39" fillId="0" borderId="0" xfId="7" applyFont="1"/>
    <xf numFmtId="2" fontId="2" fillId="0" borderId="0" xfId="7" applyNumberFormat="1"/>
    <xf numFmtId="0" fontId="2" fillId="0" borderId="0" xfId="7" quotePrefix="1" applyBorder="1"/>
    <xf numFmtId="174" fontId="2" fillId="0" borderId="0" xfId="7" applyNumberFormat="1" applyFont="1"/>
    <xf numFmtId="174" fontId="30" fillId="0" borderId="0" xfId="1" applyNumberFormat="1" applyFont="1" applyBorder="1"/>
    <xf numFmtId="174" fontId="2" fillId="0" borderId="14" xfId="1" applyNumberFormat="1" applyFont="1" applyBorder="1"/>
    <xf numFmtId="0" fontId="38" fillId="0" borderId="14" xfId="7" applyFont="1" applyBorder="1"/>
    <xf numFmtId="0" fontId="2" fillId="0" borderId="14" xfId="7" applyFont="1" applyBorder="1"/>
    <xf numFmtId="174" fontId="38" fillId="0" borderId="0" xfId="1" applyNumberFormat="1" applyFont="1"/>
    <xf numFmtId="167" fontId="2" fillId="0" borderId="0" xfId="10" applyNumberFormat="1" applyFont="1" applyAlignment="1">
      <alignment horizontal="right"/>
    </xf>
    <xf numFmtId="174" fontId="2" fillId="0" borderId="0" xfId="4" applyNumberFormat="1"/>
    <xf numFmtId="173" fontId="30" fillId="0" borderId="25" xfId="4" applyNumberFormat="1" applyFont="1" applyBorder="1"/>
    <xf numFmtId="44" fontId="2" fillId="0" borderId="0" xfId="7" applyNumberFormat="1"/>
    <xf numFmtId="6" fontId="38" fillId="0" borderId="18" xfId="7" applyNumberFormat="1" applyFont="1" applyBorder="1"/>
    <xf numFmtId="0" fontId="2" fillId="0" borderId="6" xfId="7" applyBorder="1"/>
    <xf numFmtId="0" fontId="2" fillId="0" borderId="7" xfId="7" applyFont="1" applyBorder="1"/>
    <xf numFmtId="0" fontId="2" fillId="0" borderId="10" xfId="7" applyBorder="1"/>
    <xf numFmtId="0" fontId="2" fillId="0" borderId="0" xfId="7" applyFont="1" applyBorder="1"/>
    <xf numFmtId="6" fontId="2" fillId="0" borderId="9" xfId="7" applyNumberFormat="1" applyBorder="1"/>
    <xf numFmtId="0" fontId="40" fillId="0" borderId="9" xfId="7" applyFont="1" applyBorder="1"/>
    <xf numFmtId="0" fontId="2" fillId="0" borderId="9" xfId="7" applyFont="1" applyBorder="1"/>
    <xf numFmtId="174" fontId="14" fillId="0" borderId="0" xfId="1" applyNumberFormat="1" applyFont="1" applyAlignment="1">
      <alignment horizontal="center"/>
    </xf>
    <xf numFmtId="0" fontId="41" fillId="0" borderId="0" xfId="7" applyFont="1" applyAlignment="1">
      <alignment horizontal="center"/>
    </xf>
    <xf numFmtId="1" fontId="2" fillId="0" borderId="26" xfId="1" applyNumberFormat="1" applyFont="1" applyBorder="1"/>
    <xf numFmtId="174" fontId="2" fillId="0" borderId="26" xfId="1" applyNumberFormat="1" applyFont="1" applyBorder="1"/>
    <xf numFmtId="0" fontId="42" fillId="0" borderId="0" xfId="7" applyFont="1" applyAlignment="1">
      <alignment horizontal="center"/>
    </xf>
    <xf numFmtId="174" fontId="2" fillId="0" borderId="21" xfId="1" applyNumberFormat="1" applyFont="1" applyBorder="1" applyAlignment="1">
      <alignment horizontal="right"/>
    </xf>
    <xf numFmtId="0" fontId="38" fillId="0" borderId="0" xfId="7" applyFont="1" applyAlignment="1">
      <alignment horizontal="right"/>
    </xf>
    <xf numFmtId="174" fontId="2" fillId="0" borderId="18" xfId="1" applyNumberFormat="1" applyFont="1" applyBorder="1" applyAlignment="1">
      <alignment horizontal="right"/>
    </xf>
    <xf numFmtId="174" fontId="2" fillId="0" borderId="15" xfId="1" applyNumberFormat="1" applyFont="1" applyBorder="1"/>
    <xf numFmtId="0" fontId="2" fillId="0" borderId="0" xfId="7" applyFont="1" applyAlignment="1">
      <alignment horizontal="left"/>
    </xf>
    <xf numFmtId="174" fontId="38" fillId="0" borderId="0" xfId="7" applyNumberFormat="1" applyFont="1" applyAlignment="1">
      <alignment horizontal="right"/>
    </xf>
    <xf numFmtId="174" fontId="38" fillId="0" borderId="18" xfId="1" applyNumberFormat="1" applyFont="1" applyBorder="1" applyAlignment="1">
      <alignment horizontal="right"/>
    </xf>
    <xf numFmtId="174" fontId="38" fillId="0" borderId="15" xfId="1" applyNumberFormat="1" applyFont="1" applyBorder="1"/>
    <xf numFmtId="174" fontId="38" fillId="0" borderId="18" xfId="1" applyNumberFormat="1" applyFont="1" applyBorder="1"/>
    <xf numFmtId="174" fontId="4" fillId="0" borderId="0" xfId="1" applyNumberFormat="1" applyFont="1" applyBorder="1"/>
    <xf numFmtId="174" fontId="4" fillId="0" borderId="21" xfId="1" applyNumberFormat="1" applyFont="1" applyBorder="1"/>
    <xf numFmtId="0" fontId="29" fillId="0" borderId="0" xfId="7" applyFont="1" applyAlignment="1">
      <alignment horizontal="center"/>
    </xf>
    <xf numFmtId="0" fontId="38" fillId="0" borderId="0" xfId="7" applyFont="1" applyAlignment="1">
      <alignment horizontal="left"/>
    </xf>
    <xf numFmtId="174" fontId="38" fillId="0" borderId="21" xfId="1" applyNumberFormat="1" applyFont="1" applyBorder="1" applyAlignment="1">
      <alignment horizontal="right"/>
    </xf>
    <xf numFmtId="174" fontId="38" fillId="0" borderId="0" xfId="1" applyNumberFormat="1" applyFont="1" applyBorder="1"/>
    <xf numFmtId="174" fontId="38" fillId="0" borderId="21" xfId="1" applyNumberFormat="1" applyFont="1" applyBorder="1"/>
    <xf numFmtId="174" fontId="38" fillId="0" borderId="14" xfId="1" applyNumberFormat="1" applyFont="1" applyBorder="1" applyAlignment="1">
      <alignment horizontal="right"/>
    </xf>
    <xf numFmtId="174" fontId="38" fillId="0" borderId="14" xfId="1" applyNumberFormat="1" applyFont="1" applyBorder="1"/>
    <xf numFmtId="174" fontId="38" fillId="0" borderId="24" xfId="1" applyNumberFormat="1" applyFont="1" applyBorder="1"/>
    <xf numFmtId="0" fontId="4" fillId="0" borderId="0" xfId="7" applyFont="1" applyBorder="1"/>
    <xf numFmtId="0" fontId="2" fillId="0" borderId="6" xfId="7" applyFont="1" applyBorder="1"/>
    <xf numFmtId="174" fontId="2" fillId="0" borderId="10" xfId="1" applyNumberFormat="1" applyFont="1" applyBorder="1"/>
    <xf numFmtId="0" fontId="2" fillId="0" borderId="11" xfId="7" applyFont="1" applyBorder="1"/>
    <xf numFmtId="10" fontId="2" fillId="0" borderId="0" xfId="7" applyNumberFormat="1" applyFont="1" applyBorder="1"/>
    <xf numFmtId="174" fontId="2" fillId="0" borderId="12" xfId="1" applyNumberFormat="1" applyFont="1" applyBorder="1"/>
    <xf numFmtId="6" fontId="2" fillId="0" borderId="0" xfId="7" applyNumberFormat="1" applyFont="1" applyBorder="1"/>
    <xf numFmtId="0" fontId="2" fillId="0" borderId="8" xfId="7" applyFont="1" applyBorder="1"/>
    <xf numFmtId="174" fontId="2" fillId="0" borderId="13" xfId="1" applyNumberFormat="1" applyFont="1" applyBorder="1"/>
    <xf numFmtId="9" fontId="2" fillId="0" borderId="0" xfId="7" applyNumberFormat="1"/>
    <xf numFmtId="0" fontId="39" fillId="0" borderId="2" xfId="7" applyFont="1" applyBorder="1"/>
    <xf numFmtId="6" fontId="2" fillId="0" borderId="3" xfId="7" applyNumberFormat="1" applyBorder="1"/>
    <xf numFmtId="2" fontId="28" fillId="0" borderId="0" xfId="7" applyNumberFormat="1" applyFont="1"/>
    <xf numFmtId="2" fontId="34" fillId="0" borderId="0" xfId="7" applyNumberFormat="1" applyFont="1"/>
    <xf numFmtId="2" fontId="30" fillId="0" borderId="0" xfId="1" applyNumberFormat="1" applyFont="1" applyAlignment="1">
      <alignment horizontal="right"/>
    </xf>
    <xf numFmtId="0" fontId="2" fillId="0" borderId="27" xfId="7" applyBorder="1"/>
    <xf numFmtId="0" fontId="29" fillId="0" borderId="11" xfId="7" applyFont="1" applyBorder="1"/>
    <xf numFmtId="174" fontId="2" fillId="0" borderId="27" xfId="1" applyNumberFormat="1" applyFont="1" applyBorder="1"/>
    <xf numFmtId="0" fontId="38" fillId="0" borderId="11" xfId="7" applyFont="1" applyBorder="1" applyAlignment="1">
      <alignment horizontal="right"/>
    </xf>
    <xf numFmtId="0" fontId="29" fillId="0" borderId="11" xfId="7" applyFont="1" applyBorder="1" applyAlignment="1">
      <alignment horizontal="left"/>
    </xf>
    <xf numFmtId="0" fontId="2" fillId="0" borderId="11" xfId="7" applyBorder="1" applyAlignment="1">
      <alignment horizontal="left"/>
    </xf>
    <xf numFmtId="0" fontId="2" fillId="0" borderId="0" xfId="7" applyBorder="1" applyAlignment="1">
      <alignment horizontal="right"/>
    </xf>
    <xf numFmtId="199" fontId="30" fillId="0" borderId="0" xfId="10" applyNumberFormat="1" applyFont="1" applyBorder="1"/>
    <xf numFmtId="199" fontId="30" fillId="0" borderId="12" xfId="10" applyNumberFormat="1" applyFont="1" applyBorder="1"/>
    <xf numFmtId="0" fontId="38" fillId="7" borderId="2" xfId="7" applyFont="1" applyFill="1" applyBorder="1" applyAlignment="1">
      <alignment horizontal="left"/>
    </xf>
    <xf numFmtId="0" fontId="38" fillId="7" borderId="4" xfId="7" applyFont="1" applyFill="1" applyBorder="1" applyAlignment="1">
      <alignment horizontal="right"/>
    </xf>
    <xf numFmtId="174" fontId="38" fillId="7" borderId="4" xfId="1" applyNumberFormat="1" applyFont="1" applyFill="1" applyBorder="1"/>
    <xf numFmtId="174" fontId="38" fillId="7" borderId="3" xfId="1" applyNumberFormat="1" applyFont="1" applyFill="1" applyBorder="1"/>
    <xf numFmtId="0" fontId="2" fillId="0" borderId="11" xfId="7" quotePrefix="1" applyBorder="1"/>
    <xf numFmtId="174" fontId="43" fillId="0" borderId="0" xfId="1" applyNumberFormat="1" applyFont="1" applyBorder="1"/>
    <xf numFmtId="174" fontId="43" fillId="0" borderId="12" xfId="1" applyNumberFormat="1" applyFont="1" applyBorder="1"/>
    <xf numFmtId="0" fontId="38" fillId="7" borderId="2" xfId="7" applyFont="1" applyFill="1" applyBorder="1"/>
    <xf numFmtId="0" fontId="38" fillId="7" borderId="4" xfId="7" applyFont="1" applyFill="1" applyBorder="1" applyAlignment="1">
      <alignment horizontal="center"/>
    </xf>
    <xf numFmtId="174" fontId="2" fillId="7" borderId="4" xfId="7" applyNumberFormat="1" applyFill="1" applyBorder="1"/>
    <xf numFmtId="0" fontId="2" fillId="8" borderId="0" xfId="7" applyFill="1" applyBorder="1"/>
    <xf numFmtId="0" fontId="2" fillId="7" borderId="4" xfId="7" applyFill="1" applyBorder="1"/>
    <xf numFmtId="0" fontId="38" fillId="0" borderId="11" xfId="7" applyFont="1" applyBorder="1"/>
    <xf numFmtId="0" fontId="38" fillId="0" borderId="0" xfId="7" applyFont="1" applyBorder="1" applyAlignment="1">
      <alignment horizontal="center"/>
    </xf>
    <xf numFmtId="174" fontId="38" fillId="0" borderId="12" xfId="1" applyNumberFormat="1" applyFont="1" applyBorder="1"/>
    <xf numFmtId="6" fontId="39" fillId="0" borderId="4" xfId="7" applyNumberFormat="1" applyFont="1" applyBorder="1" applyAlignment="1">
      <alignment horizontal="center"/>
    </xf>
    <xf numFmtId="174" fontId="2" fillId="0" borderId="4" xfId="1" applyNumberFormat="1" applyFont="1" applyBorder="1" applyAlignment="1">
      <alignment horizontal="right"/>
    </xf>
    <xf numFmtId="10" fontId="2" fillId="0" borderId="3" xfId="10" applyNumberFormat="1" applyFont="1" applyBorder="1" applyAlignment="1">
      <alignment horizontal="left"/>
    </xf>
    <xf numFmtId="174" fontId="38" fillId="0" borderId="9" xfId="1" applyNumberFormat="1" applyFont="1" applyBorder="1"/>
    <xf numFmtId="174" fontId="38" fillId="0" borderId="13" xfId="1" applyNumberFormat="1" applyFont="1" applyBorder="1"/>
    <xf numFmtId="0" fontId="29" fillId="0" borderId="6" xfId="7" applyFont="1" applyBorder="1"/>
    <xf numFmtId="0" fontId="30" fillId="0" borderId="0" xfId="7" applyFont="1" applyBorder="1" applyAlignment="1">
      <alignment horizontal="right"/>
    </xf>
    <xf numFmtId="170" fontId="2" fillId="0" borderId="0" xfId="1" applyNumberFormat="1" applyFont="1" applyBorder="1"/>
    <xf numFmtId="170" fontId="2" fillId="0" borderId="12" xfId="1" applyNumberFormat="1" applyFont="1" applyBorder="1"/>
    <xf numFmtId="0" fontId="38" fillId="0" borderId="0" xfId="0" applyFont="1"/>
    <xf numFmtId="0" fontId="2" fillId="0" borderId="0" xfId="0" applyFont="1"/>
    <xf numFmtId="173" fontId="2" fillId="0" borderId="0" xfId="2" applyNumberFormat="1" applyFont="1"/>
    <xf numFmtId="9" fontId="2" fillId="0" borderId="0" xfId="10" applyFont="1"/>
    <xf numFmtId="10" fontId="30" fillId="0" borderId="0" xfId="10" applyNumberFormat="1" applyFont="1" applyAlignment="1">
      <alignment horizontal="right"/>
    </xf>
    <xf numFmtId="0" fontId="28" fillId="0" borderId="0" xfId="0" applyFont="1"/>
    <xf numFmtId="0" fontId="38" fillId="0" borderId="17" xfId="0" applyFont="1" applyBorder="1"/>
    <xf numFmtId="173" fontId="2" fillId="0" borderId="0" xfId="0" applyNumberFormat="1" applyFont="1"/>
    <xf numFmtId="0" fontId="2" fillId="3" borderId="0" xfId="0" applyFont="1" applyFill="1"/>
    <xf numFmtId="0" fontId="34" fillId="0" borderId="0" xfId="0" applyFont="1"/>
    <xf numFmtId="173" fontId="2" fillId="0" borderId="0" xfId="2" applyNumberFormat="1" applyFont="1" applyAlignment="1">
      <alignment horizontal="left"/>
    </xf>
    <xf numFmtId="0" fontId="2" fillId="0" borderId="0" xfId="0" applyFont="1" applyAlignment="1">
      <alignment horizontal="left"/>
    </xf>
    <xf numFmtId="0" fontId="38" fillId="0" borderId="0" xfId="0" applyFont="1" applyBorder="1"/>
    <xf numFmtId="173" fontId="38" fillId="0" borderId="0" xfId="2" applyNumberFormat="1" applyFont="1"/>
    <xf numFmtId="173" fontId="38" fillId="0" borderId="25" xfId="2" applyNumberFormat="1" applyFont="1" applyBorder="1"/>
    <xf numFmtId="173" fontId="38" fillId="0" borderId="0" xfId="2" applyNumberFormat="1" applyFont="1" applyBorder="1"/>
    <xf numFmtId="173" fontId="2" fillId="3" borderId="0" xfId="2" applyNumberFormat="1" applyFont="1" applyFill="1"/>
    <xf numFmtId="173" fontId="2" fillId="0" borderId="0" xfId="2" applyNumberFormat="1" applyFont="1" applyBorder="1"/>
    <xf numFmtId="9" fontId="2" fillId="0" borderId="0" xfId="10" applyFont="1" applyAlignment="1">
      <alignment horizontal="left"/>
    </xf>
    <xf numFmtId="5" fontId="0" fillId="0" borderId="0" xfId="0" applyNumberFormat="1"/>
    <xf numFmtId="0" fontId="44" fillId="0" borderId="0" xfId="7" applyFont="1"/>
    <xf numFmtId="0" fontId="44" fillId="0" borderId="0" xfId="7" quotePrefix="1" applyFont="1" applyBorder="1"/>
    <xf numFmtId="0" fontId="45" fillId="0" borderId="0" xfId="7" applyFont="1"/>
    <xf numFmtId="173" fontId="1" fillId="0" borderId="0" xfId="2" applyNumberFormat="1"/>
    <xf numFmtId="10" fontId="1" fillId="0" borderId="0" xfId="10" applyNumberFormat="1"/>
    <xf numFmtId="5" fontId="1" fillId="0" borderId="0" xfId="10" applyNumberFormat="1"/>
    <xf numFmtId="173" fontId="14" fillId="0" borderId="0" xfId="2" applyNumberFormat="1" applyFont="1" applyAlignment="1">
      <alignment horizontal="left" wrapText="1"/>
    </xf>
    <xf numFmtId="0" fontId="14" fillId="0" borderId="0" xfId="0" applyFont="1"/>
    <xf numFmtId="0" fontId="14" fillId="0" borderId="0" xfId="0" applyFont="1" applyAlignment="1">
      <alignment wrapText="1"/>
    </xf>
    <xf numFmtId="174" fontId="2" fillId="0" borderId="14" xfId="1" applyNumberFormat="1" applyFont="1" applyFill="1" applyBorder="1"/>
    <xf numFmtId="0" fontId="2" fillId="0" borderId="0" xfId="7" applyFill="1"/>
    <xf numFmtId="174" fontId="2" fillId="0" borderId="24" xfId="1" applyNumberFormat="1" applyFont="1" applyFill="1" applyBorder="1"/>
    <xf numFmtId="0" fontId="38" fillId="0" borderId="0" xfId="7" applyFont="1" applyAlignment="1">
      <alignment horizontal="center"/>
    </xf>
    <xf numFmtId="173" fontId="33" fillId="0" borderId="0" xfId="2" applyNumberFormat="1" applyFont="1"/>
    <xf numFmtId="0" fontId="47" fillId="0" borderId="0" xfId="7" applyFont="1"/>
    <xf numFmtId="173" fontId="4" fillId="0" borderId="0" xfId="2" applyNumberFormat="1" applyFont="1"/>
    <xf numFmtId="174" fontId="27" fillId="0" borderId="0" xfId="1" applyNumberFormat="1" applyFont="1"/>
    <xf numFmtId="0" fontId="27" fillId="0" borderId="0" xfId="0" applyFont="1"/>
    <xf numFmtId="0" fontId="0" fillId="0" borderId="0" xfId="0" applyAlignment="1">
      <alignment horizontal="right"/>
    </xf>
    <xf numFmtId="174" fontId="0" fillId="0" borderId="0" xfId="1" applyNumberFormat="1" applyFont="1"/>
    <xf numFmtId="10" fontId="0" fillId="0" borderId="0" xfId="10" applyNumberFormat="1" applyFont="1" applyAlignment="1">
      <alignment horizontal="right"/>
    </xf>
    <xf numFmtId="0" fontId="0" fillId="0" borderId="0" xfId="0" applyAlignment="1">
      <alignment horizontal="left"/>
    </xf>
    <xf numFmtId="10" fontId="0" fillId="0" borderId="0" xfId="10" applyNumberFormat="1" applyFont="1"/>
    <xf numFmtId="0" fontId="48" fillId="0" borderId="0" xfId="0" applyFont="1"/>
    <xf numFmtId="10" fontId="0" fillId="0" borderId="0" xfId="0" applyNumberFormat="1"/>
    <xf numFmtId="0" fontId="10" fillId="9" borderId="28" xfId="0" applyFont="1" applyFill="1" applyBorder="1"/>
    <xf numFmtId="174" fontId="10" fillId="9" borderId="28" xfId="1" applyNumberFormat="1" applyFont="1" applyFill="1" applyBorder="1"/>
    <xf numFmtId="0" fontId="49" fillId="10" borderId="0" xfId="0" applyFont="1" applyFill="1"/>
    <xf numFmtId="174" fontId="49" fillId="10" borderId="0" xfId="1" applyNumberFormat="1" applyFont="1" applyFill="1"/>
    <xf numFmtId="10" fontId="50" fillId="0" borderId="0" xfId="10" applyNumberFormat="1" applyFont="1"/>
    <xf numFmtId="0" fontId="4" fillId="0" borderId="0" xfId="0" applyFont="1" applyFill="1"/>
    <xf numFmtId="10" fontId="4" fillId="0" borderId="0" xfId="0" applyNumberFormat="1" applyFont="1" applyFill="1"/>
    <xf numFmtId="0" fontId="10" fillId="9" borderId="0" xfId="0" applyFont="1" applyFill="1"/>
    <xf numFmtId="10" fontId="10" fillId="9" borderId="0" xfId="0" applyNumberFormat="1" applyFont="1" applyFill="1"/>
    <xf numFmtId="174" fontId="10" fillId="9" borderId="0" xfId="1" applyNumberFormat="1" applyFont="1" applyFill="1"/>
    <xf numFmtId="0" fontId="51" fillId="0" borderId="0" xfId="0" applyFont="1" applyFill="1"/>
    <xf numFmtId="0" fontId="24" fillId="0" borderId="0" xfId="0" applyFont="1"/>
    <xf numFmtId="174" fontId="24" fillId="0" borderId="0" xfId="0" applyNumberFormat="1" applyFont="1"/>
    <xf numFmtId="174" fontId="24" fillId="0" borderId="0" xfId="1" applyNumberFormat="1" applyFont="1"/>
    <xf numFmtId="6" fontId="24" fillId="0" borderId="0" xfId="0" applyNumberFormat="1" applyFont="1"/>
    <xf numFmtId="0" fontId="52" fillId="5" borderId="29" xfId="0" applyFont="1" applyFill="1" applyBorder="1"/>
    <xf numFmtId="174" fontId="52" fillId="5" borderId="30" xfId="0" applyNumberFormat="1" applyFont="1" applyFill="1" applyBorder="1"/>
    <xf numFmtId="0" fontId="0" fillId="0" borderId="0" xfId="0" applyBorder="1"/>
    <xf numFmtId="0" fontId="9" fillId="0" borderId="0" xfId="0" applyFont="1" applyBorder="1"/>
    <xf numFmtId="0" fontId="55" fillId="11" borderId="0" xfId="0" applyFont="1" applyFill="1" applyBorder="1" applyAlignment="1">
      <alignment horizontal="center"/>
    </xf>
    <xf numFmtId="0" fontId="41" fillId="0" borderId="18" xfId="0" applyFont="1" applyBorder="1"/>
    <xf numFmtId="0" fontId="14" fillId="0" borderId="18" xfId="0" applyFont="1" applyBorder="1"/>
    <xf numFmtId="0" fontId="0" fillId="0" borderId="18" xfId="0" applyBorder="1" applyAlignment="1">
      <alignment horizontal="center"/>
    </xf>
    <xf numFmtId="0" fontId="14" fillId="0" borderId="18" xfId="0" applyFont="1" applyBorder="1" applyAlignment="1">
      <alignment wrapText="1"/>
    </xf>
    <xf numFmtId="0" fontId="14" fillId="0" borderId="14" xfId="0" applyFont="1" applyBorder="1" applyAlignment="1">
      <alignment horizontal="center"/>
    </xf>
    <xf numFmtId="0" fontId="14" fillId="0" borderId="0" xfId="0" applyFont="1" applyBorder="1" applyAlignment="1">
      <alignment horizontal="center" wrapText="1"/>
    </xf>
    <xf numFmtId="44" fontId="0" fillId="0" borderId="18" xfId="2" applyFont="1" applyBorder="1"/>
    <xf numFmtId="9" fontId="0" fillId="0" borderId="18" xfId="10" applyFont="1" applyBorder="1" applyAlignment="1">
      <alignment horizontal="center"/>
    </xf>
    <xf numFmtId="0" fontId="0" fillId="0" borderId="18" xfId="0" applyBorder="1"/>
    <xf numFmtId="173" fontId="0" fillId="0" borderId="18" xfId="2" applyNumberFormat="1" applyFont="1" applyBorder="1"/>
    <xf numFmtId="10" fontId="0" fillId="0" borderId="18" xfId="10" applyNumberFormat="1" applyFont="1" applyBorder="1" applyAlignment="1">
      <alignment horizontal="right"/>
    </xf>
    <xf numFmtId="10" fontId="0" fillId="0" borderId="18" xfId="0" applyNumberFormat="1" applyBorder="1" applyAlignment="1">
      <alignment horizontal="center"/>
    </xf>
    <xf numFmtId="0" fontId="14" fillId="0" borderId="20" xfId="0" applyFont="1" applyBorder="1"/>
    <xf numFmtId="0" fontId="14" fillId="0" borderId="0" xfId="0" applyFont="1" applyBorder="1"/>
    <xf numFmtId="10" fontId="0" fillId="0" borderId="0" xfId="0" applyNumberFormat="1" applyBorder="1" applyAlignment="1">
      <alignment horizontal="center"/>
    </xf>
    <xf numFmtId="0" fontId="14" fillId="0" borderId="31" xfId="0" applyFont="1" applyBorder="1"/>
    <xf numFmtId="173" fontId="0" fillId="0" borderId="32" xfId="2" applyNumberFormat="1" applyFont="1" applyBorder="1"/>
    <xf numFmtId="10" fontId="0" fillId="0" borderId="31" xfId="0" applyNumberFormat="1" applyBorder="1" applyAlignment="1">
      <alignment horizontal="right"/>
    </xf>
    <xf numFmtId="0" fontId="56" fillId="11" borderId="0" xfId="0" applyFont="1" applyFill="1" applyBorder="1"/>
    <xf numFmtId="0" fontId="23" fillId="11" borderId="0" xfId="0" applyFont="1" applyFill="1" applyBorder="1"/>
    <xf numFmtId="0" fontId="14" fillId="0" borderId="0" xfId="0" applyFont="1" applyBorder="1" applyAlignment="1">
      <alignment horizontal="center"/>
    </xf>
    <xf numFmtId="10" fontId="4" fillId="0" borderId="18" xfId="0" applyNumberFormat="1" applyFont="1" applyBorder="1" applyAlignment="1">
      <alignment horizontal="right"/>
    </xf>
    <xf numFmtId="10" fontId="0" fillId="0" borderId="18" xfId="0" applyNumberFormat="1" applyBorder="1"/>
    <xf numFmtId="10" fontId="0" fillId="0" borderId="18" xfId="10" applyNumberFormat="1" applyFont="1" applyBorder="1"/>
    <xf numFmtId="0" fontId="14" fillId="0" borderId="31" xfId="0" applyFont="1" applyBorder="1" applyAlignment="1">
      <alignment horizontal="center"/>
    </xf>
    <xf numFmtId="0" fontId="14" fillId="0" borderId="31" xfId="0" applyFont="1" applyBorder="1" applyAlignment="1">
      <alignment horizontal="center" wrapText="1"/>
    </xf>
    <xf numFmtId="0" fontId="14" fillId="0" borderId="24" xfId="0" applyFont="1" applyBorder="1"/>
    <xf numFmtId="10" fontId="0" fillId="0" borderId="24" xfId="10" applyNumberFormat="1" applyFont="1" applyBorder="1"/>
    <xf numFmtId="10" fontId="0" fillId="0" borderId="21" xfId="10" applyNumberFormat="1" applyFont="1" applyBorder="1"/>
    <xf numFmtId="0" fontId="14" fillId="0" borderId="33" xfId="0" applyFont="1" applyBorder="1" applyAlignment="1">
      <alignment horizontal="left"/>
    </xf>
    <xf numFmtId="10" fontId="0" fillId="0" borderId="33" xfId="10" applyNumberFormat="1" applyFont="1" applyBorder="1"/>
    <xf numFmtId="3" fontId="0" fillId="0" borderId="0" xfId="0" applyNumberFormat="1"/>
    <xf numFmtId="0" fontId="49" fillId="0" borderId="0" xfId="0" applyFont="1" applyFill="1"/>
    <xf numFmtId="174" fontId="49" fillId="0" borderId="0" xfId="1" applyNumberFormat="1" applyFont="1" applyFill="1"/>
    <xf numFmtId="173" fontId="0" fillId="0" borderId="19" xfId="2" applyNumberFormat="1" applyFont="1" applyBorder="1"/>
    <xf numFmtId="10" fontId="0" fillId="0" borderId="20" xfId="10" applyNumberFormat="1" applyFont="1" applyBorder="1" applyAlignment="1">
      <alignment horizontal="right"/>
    </xf>
    <xf numFmtId="10" fontId="0" fillId="0" borderId="31" xfId="0" applyNumberFormat="1" applyBorder="1" applyAlignment="1">
      <alignment horizontal="left"/>
    </xf>
    <xf numFmtId="10" fontId="0" fillId="0" borderId="0" xfId="10" applyNumberFormat="1" applyFont="1" applyBorder="1"/>
    <xf numFmtId="10" fontId="0" fillId="0" borderId="20" xfId="10" applyNumberFormat="1" applyFont="1" applyBorder="1"/>
    <xf numFmtId="174" fontId="0" fillId="0" borderId="0" xfId="0" applyNumberFormat="1"/>
    <xf numFmtId="0" fontId="2" fillId="0" borderId="0" xfId="7" applyFont="1" applyFill="1"/>
    <xf numFmtId="173" fontId="2" fillId="5" borderId="0" xfId="4" applyNumberFormat="1" applyFill="1"/>
    <xf numFmtId="174" fontId="2" fillId="5" borderId="0" xfId="4" applyNumberFormat="1" applyFill="1"/>
    <xf numFmtId="0" fontId="9" fillId="0" borderId="0" xfId="0" applyFont="1" applyBorder="1" applyAlignment="1">
      <alignment horizontal="right"/>
    </xf>
    <xf numFmtId="173" fontId="0" fillId="0" borderId="24" xfId="2" applyNumberFormat="1" applyFont="1" applyBorder="1"/>
    <xf numFmtId="173" fontId="0" fillId="0" borderId="0" xfId="2" applyNumberFormat="1" applyFont="1" applyBorder="1"/>
    <xf numFmtId="173" fontId="0" fillId="0" borderId="20" xfId="2" applyNumberFormat="1" applyFont="1" applyBorder="1"/>
    <xf numFmtId="173" fontId="0" fillId="0" borderId="33" xfId="2" applyNumberFormat="1" applyFont="1" applyBorder="1"/>
    <xf numFmtId="174" fontId="2" fillId="0" borderId="22" xfId="7" applyNumberFormat="1" applyBorder="1"/>
    <xf numFmtId="0" fontId="2" fillId="12" borderId="0" xfId="7" applyFont="1" applyFill="1"/>
    <xf numFmtId="0" fontId="14" fillId="0" borderId="0" xfId="0" applyFont="1" applyBorder="1" applyAlignment="1"/>
    <xf numFmtId="0" fontId="14" fillId="9" borderId="34" xfId="0" applyFont="1" applyFill="1" applyBorder="1"/>
    <xf numFmtId="174" fontId="14" fillId="9" borderId="34" xfId="1" applyNumberFormat="1" applyFont="1" applyFill="1" applyBorder="1"/>
    <xf numFmtId="0" fontId="10" fillId="0" borderId="0" xfId="0" applyFont="1" applyFill="1" applyBorder="1"/>
    <xf numFmtId="174" fontId="10" fillId="0" borderId="0" xfId="1" applyNumberFormat="1" applyFont="1" applyFill="1" applyBorder="1"/>
    <xf numFmtId="0" fontId="52" fillId="5" borderId="35" xfId="0" applyFont="1" applyFill="1" applyBorder="1"/>
    <xf numFmtId="174" fontId="52" fillId="5" borderId="36" xfId="0" applyNumberFormat="1" applyFont="1" applyFill="1" applyBorder="1"/>
    <xf numFmtId="0" fontId="52" fillId="5" borderId="37" xfId="0" applyFont="1" applyFill="1" applyBorder="1"/>
    <xf numFmtId="174" fontId="52" fillId="5" borderId="38" xfId="0" applyNumberFormat="1" applyFont="1" applyFill="1" applyBorder="1"/>
    <xf numFmtId="0" fontId="52" fillId="5" borderId="39" xfId="0" applyFont="1" applyFill="1" applyBorder="1"/>
    <xf numFmtId="174" fontId="52" fillId="5" borderId="40" xfId="0" applyNumberFormat="1" applyFont="1" applyFill="1" applyBorder="1"/>
    <xf numFmtId="0" fontId="57" fillId="12" borderId="0" xfId="7" applyFont="1" applyFill="1"/>
    <xf numFmtId="174" fontId="57" fillId="12" borderId="0" xfId="1" applyNumberFormat="1" applyFont="1" applyFill="1" applyBorder="1"/>
    <xf numFmtId="174" fontId="2" fillId="12" borderId="0" xfId="1" applyNumberFormat="1" applyFont="1" applyFill="1" applyBorder="1"/>
    <xf numFmtId="173" fontId="57" fillId="12" borderId="0" xfId="2" applyNumberFormat="1" applyFont="1" applyFill="1"/>
    <xf numFmtId="174" fontId="2" fillId="12" borderId="0" xfId="1" applyNumberFormat="1" applyFont="1" applyFill="1"/>
    <xf numFmtId="174" fontId="57" fillId="12" borderId="0" xfId="1" applyNumberFormat="1" applyFont="1" applyFill="1"/>
    <xf numFmtId="174" fontId="57" fillId="12" borderId="0" xfId="1" quotePrefix="1" applyNumberFormat="1" applyFont="1" applyFill="1"/>
    <xf numFmtId="0" fontId="57" fillId="12" borderId="14" xfId="7" applyFont="1" applyFill="1" applyBorder="1"/>
    <xf numFmtId="5" fontId="24" fillId="0" borderId="0" xfId="10" applyNumberFormat="1" applyFont="1"/>
    <xf numFmtId="0" fontId="30" fillId="0" borderId="0" xfId="0" applyFont="1"/>
    <xf numFmtId="0" fontId="58" fillId="0" borderId="0" xfId="9" applyFont="1"/>
    <xf numFmtId="0" fontId="58" fillId="0" borderId="0" xfId="9" applyFont="1" applyAlignment="1">
      <alignment wrapText="1"/>
    </xf>
    <xf numFmtId="0" fontId="58" fillId="2" borderId="0" xfId="9" applyFont="1" applyFill="1"/>
    <xf numFmtId="0" fontId="58" fillId="2" borderId="0" xfId="9" applyFont="1" applyFill="1" applyBorder="1"/>
    <xf numFmtId="0" fontId="0" fillId="0" borderId="0" xfId="0" applyAlignment="1">
      <alignment horizontal="center"/>
    </xf>
    <xf numFmtId="0" fontId="54" fillId="0" borderId="0" xfId="0" applyFont="1"/>
    <xf numFmtId="174" fontId="1" fillId="0" borderId="0" xfId="1" applyNumberFormat="1"/>
    <xf numFmtId="174" fontId="1" fillId="0" borderId="14" xfId="1" applyNumberFormat="1" applyBorder="1"/>
    <xf numFmtId="0" fontId="15" fillId="0" borderId="0" xfId="0" applyFont="1" applyAlignment="1">
      <alignment horizontal="center"/>
    </xf>
    <xf numFmtId="171" fontId="0" fillId="0" borderId="0" xfId="0" applyNumberFormat="1"/>
    <xf numFmtId="10" fontId="1" fillId="0" borderId="0" xfId="10" applyNumberFormat="1" applyAlignment="1">
      <alignment horizontal="left"/>
    </xf>
    <xf numFmtId="0" fontId="59" fillId="0" borderId="0" xfId="0" applyFont="1"/>
    <xf numFmtId="0" fontId="15" fillId="0" borderId="0" xfId="0" applyFont="1"/>
    <xf numFmtId="0" fontId="54" fillId="0" borderId="0" xfId="0" applyFont="1" applyAlignment="1">
      <alignment horizontal="left"/>
    </xf>
    <xf numFmtId="0" fontId="0" fillId="0" borderId="6" xfId="0" applyBorder="1"/>
    <xf numFmtId="0" fontId="0" fillId="0" borderId="41" xfId="0" applyBorder="1"/>
    <xf numFmtId="0" fontId="0" fillId="0" borderId="42" xfId="0" applyBorder="1"/>
    <xf numFmtId="0" fontId="0" fillId="0" borderId="11" xfId="0" applyBorder="1"/>
    <xf numFmtId="3" fontId="0" fillId="0" borderId="0" xfId="0" applyNumberFormat="1" applyBorder="1"/>
    <xf numFmtId="3" fontId="0" fillId="0" borderId="12" xfId="0" applyNumberFormat="1" applyBorder="1"/>
    <xf numFmtId="3" fontId="0" fillId="0" borderId="14" xfId="0" applyNumberFormat="1" applyBorder="1"/>
    <xf numFmtId="3" fontId="0" fillId="0" borderId="27" xfId="0" applyNumberFormat="1" applyBorder="1"/>
    <xf numFmtId="0" fontId="0" fillId="0" borderId="8" xfId="0" applyBorder="1"/>
    <xf numFmtId="3" fontId="0" fillId="0" borderId="9" xfId="0" applyNumberFormat="1" applyBorder="1"/>
    <xf numFmtId="3" fontId="0" fillId="0" borderId="13" xfId="0" applyNumberFormat="1" applyBorder="1"/>
    <xf numFmtId="9" fontId="1" fillId="0" borderId="0" xfId="10"/>
    <xf numFmtId="0" fontId="14" fillId="0" borderId="0" xfId="6" applyFont="1" applyAlignment="1">
      <alignment horizontal="center"/>
    </xf>
    <xf numFmtId="167" fontId="14" fillId="0" borderId="0" xfId="10" applyNumberFormat="1" applyFont="1" applyAlignment="1">
      <alignment horizontal="center"/>
    </xf>
    <xf numFmtId="0" fontId="42" fillId="0" borderId="0" xfId="6" applyFont="1" applyAlignment="1">
      <alignment horizontal="center"/>
    </xf>
    <xf numFmtId="167" fontId="42" fillId="0" borderId="0" xfId="10" applyNumberFormat="1" applyFont="1" applyAlignment="1">
      <alignment horizontal="center"/>
    </xf>
    <xf numFmtId="0" fontId="42" fillId="0" borderId="0" xfId="0" applyFont="1"/>
    <xf numFmtId="173" fontId="30" fillId="0" borderId="0" xfId="2" applyNumberFormat="1" applyFont="1"/>
    <xf numFmtId="9" fontId="30" fillId="0" borderId="0" xfId="10" applyFont="1" applyAlignment="1">
      <alignment horizontal="right"/>
    </xf>
    <xf numFmtId="2" fontId="60" fillId="0" borderId="0" xfId="7" applyNumberFormat="1" applyFont="1"/>
    <xf numFmtId="173" fontId="2" fillId="0" borderId="0" xfId="2" quotePrefix="1" applyNumberFormat="1" applyFont="1"/>
    <xf numFmtId="6" fontId="0" fillId="0" borderId="0" xfId="0" applyNumberFormat="1"/>
    <xf numFmtId="9" fontId="2" fillId="0" borderId="9" xfId="7" applyNumberFormat="1" applyFont="1" applyBorder="1"/>
    <xf numFmtId="0" fontId="14" fillId="0" borderId="0" xfId="0" applyFont="1" applyAlignment="1">
      <alignment horizontal="left"/>
    </xf>
    <xf numFmtId="207" fontId="14" fillId="0" borderId="0" xfId="0" applyNumberFormat="1" applyFont="1"/>
    <xf numFmtId="0" fontId="14" fillId="0" borderId="0" xfId="0" applyFont="1" applyAlignment="1">
      <alignment horizontal="right"/>
    </xf>
    <xf numFmtId="207" fontId="14" fillId="0" borderId="0" xfId="0" applyNumberFormat="1" applyFont="1" applyAlignment="1">
      <alignment horizontal="right"/>
    </xf>
    <xf numFmtId="207" fontId="0" fillId="0" borderId="0" xfId="0" applyNumberFormat="1"/>
    <xf numFmtId="3" fontId="14" fillId="0" borderId="0" xfId="0" applyNumberFormat="1" applyFont="1" applyAlignment="1">
      <alignment horizontal="right"/>
    </xf>
    <xf numFmtId="0" fontId="0" fillId="0" borderId="43" xfId="0" applyBorder="1" applyAlignment="1">
      <alignment horizontal="left"/>
    </xf>
    <xf numFmtId="207" fontId="0" fillId="0" borderId="43" xfId="0" applyNumberFormat="1" applyBorder="1"/>
    <xf numFmtId="174" fontId="0" fillId="0" borderId="43" xfId="1" applyNumberFormat="1" applyFont="1" applyBorder="1"/>
    <xf numFmtId="3" fontId="0" fillId="0" borderId="43" xfId="0" applyNumberFormat="1" applyBorder="1"/>
    <xf numFmtId="0" fontId="0" fillId="0" borderId="43" xfId="0" applyBorder="1"/>
    <xf numFmtId="0" fontId="0" fillId="0" borderId="0" xfId="0" applyBorder="1" applyAlignment="1">
      <alignment horizontal="left"/>
    </xf>
    <xf numFmtId="207" fontId="0" fillId="0" borderId="0" xfId="0" applyNumberFormat="1" applyBorder="1"/>
    <xf numFmtId="0" fontId="0" fillId="0" borderId="44" xfId="0" applyBorder="1" applyAlignment="1">
      <alignment horizontal="left"/>
    </xf>
    <xf numFmtId="207" fontId="0" fillId="0" borderId="44" xfId="0" applyNumberFormat="1" applyBorder="1"/>
    <xf numFmtId="174" fontId="0" fillId="0" borderId="44" xfId="1" applyNumberFormat="1" applyFont="1" applyBorder="1"/>
    <xf numFmtId="3" fontId="0" fillId="0" borderId="44" xfId="0" applyNumberFormat="1" applyBorder="1"/>
    <xf numFmtId="0" fontId="0" fillId="0" borderId="44" xfId="0" applyBorder="1"/>
    <xf numFmtId="3" fontId="61" fillId="0" borderId="0" xfId="0" applyNumberFormat="1" applyFont="1" applyAlignment="1">
      <alignment horizontal="right"/>
    </xf>
    <xf numFmtId="0" fontId="14" fillId="2" borderId="24" xfId="0" applyFont="1" applyFill="1" applyBorder="1"/>
    <xf numFmtId="173" fontId="14" fillId="2" borderId="24" xfId="2" applyNumberFormat="1" applyFont="1" applyFill="1" applyBorder="1"/>
    <xf numFmtId="10" fontId="14" fillId="2" borderId="24" xfId="10" applyNumberFormat="1" applyFont="1" applyFill="1" applyBorder="1"/>
    <xf numFmtId="0" fontId="14" fillId="2" borderId="33" xfId="0" applyFont="1" applyFill="1" applyBorder="1"/>
    <xf numFmtId="173" fontId="14" fillId="2" borderId="33" xfId="2" applyNumberFormat="1" applyFont="1" applyFill="1" applyBorder="1"/>
    <xf numFmtId="10" fontId="14" fillId="2" borderId="33" xfId="10" applyNumberFormat="1" applyFont="1" applyFill="1" applyBorder="1"/>
    <xf numFmtId="173" fontId="0" fillId="0" borderId="31" xfId="2" applyNumberFormat="1" applyFont="1" applyBorder="1"/>
    <xf numFmtId="10" fontId="0" fillId="0" borderId="31" xfId="10" applyNumberFormat="1" applyFont="1" applyBorder="1"/>
    <xf numFmtId="44" fontId="0" fillId="0" borderId="31" xfId="2" applyFont="1" applyBorder="1"/>
    <xf numFmtId="10" fontId="0" fillId="0" borderId="15" xfId="10" applyNumberFormat="1" applyFont="1" applyBorder="1"/>
    <xf numFmtId="173" fontId="0" fillId="0" borderId="14" xfId="2" applyNumberFormat="1" applyFont="1" applyBorder="1"/>
    <xf numFmtId="10" fontId="0" fillId="0" borderId="14" xfId="10" applyNumberFormat="1" applyFont="1" applyBorder="1"/>
    <xf numFmtId="0" fontId="14" fillId="0" borderId="24" xfId="0" applyFont="1" applyFill="1" applyBorder="1" applyAlignment="1">
      <alignment horizontal="left"/>
    </xf>
    <xf numFmtId="173" fontId="0" fillId="0" borderId="24" xfId="2" applyNumberFormat="1" applyFont="1" applyFill="1" applyBorder="1"/>
    <xf numFmtId="3" fontId="62" fillId="0" borderId="0" xfId="0" applyNumberFormat="1" applyFont="1"/>
    <xf numFmtId="3" fontId="63" fillId="0" borderId="0" xfId="0" applyNumberFormat="1" applyFont="1" applyAlignment="1">
      <alignment horizontal="right"/>
    </xf>
    <xf numFmtId="3" fontId="64" fillId="0" borderId="0" xfId="0" applyNumberFormat="1" applyFont="1" applyAlignment="1">
      <alignment horizontal="right"/>
    </xf>
    <xf numFmtId="0" fontId="14" fillId="5" borderId="0" xfId="0" applyFont="1" applyFill="1" applyAlignment="1">
      <alignment horizontal="right"/>
    </xf>
    <xf numFmtId="174" fontId="0" fillId="5" borderId="0" xfId="1" applyNumberFormat="1" applyFont="1" applyFill="1"/>
    <xf numFmtId="3" fontId="7" fillId="0" borderId="0" xfId="0" applyNumberFormat="1" applyFont="1"/>
    <xf numFmtId="3" fontId="8" fillId="0" borderId="0" xfId="0" applyNumberFormat="1" applyFont="1"/>
    <xf numFmtId="3" fontId="8" fillId="0" borderId="44" xfId="0" applyNumberFormat="1" applyFont="1" applyBorder="1"/>
    <xf numFmtId="3" fontId="8" fillId="0" borderId="43" xfId="0" applyNumberFormat="1" applyFont="1" applyBorder="1"/>
    <xf numFmtId="3" fontId="24" fillId="0" borderId="0" xfId="0" applyNumberFormat="1" applyFont="1"/>
    <xf numFmtId="3" fontId="24" fillId="0" borderId="0" xfId="10" applyNumberFormat="1" applyFont="1"/>
    <xf numFmtId="9" fontId="24" fillId="0" borderId="0" xfId="10" applyFont="1"/>
    <xf numFmtId="3" fontId="24" fillId="0" borderId="44" xfId="0" applyNumberFormat="1" applyFont="1" applyBorder="1"/>
    <xf numFmtId="3" fontId="24" fillId="0" borderId="43" xfId="0" applyNumberFormat="1" applyFont="1" applyBorder="1"/>
    <xf numFmtId="3" fontId="65" fillId="0" borderId="0" xfId="0" applyNumberFormat="1" applyFont="1"/>
    <xf numFmtId="3" fontId="65" fillId="0" borderId="43" xfId="0" applyNumberFormat="1" applyFont="1" applyBorder="1"/>
    <xf numFmtId="3" fontId="65" fillId="0" borderId="44" xfId="0" applyNumberFormat="1" applyFont="1" applyBorder="1"/>
    <xf numFmtId="3" fontId="65" fillId="0" borderId="0" xfId="0" applyNumberFormat="1" applyFont="1" applyBorder="1"/>
    <xf numFmtId="3" fontId="24" fillId="0" borderId="0" xfId="0" applyNumberFormat="1" applyFont="1" applyBorder="1"/>
    <xf numFmtId="3" fontId="13" fillId="0" borderId="0" xfId="0" applyNumberFormat="1" applyFont="1"/>
    <xf numFmtId="3" fontId="66" fillId="0" borderId="0" xfId="0" applyNumberFormat="1" applyFont="1" applyAlignment="1">
      <alignment horizontal="right"/>
    </xf>
    <xf numFmtId="3" fontId="13" fillId="0" borderId="43" xfId="0" applyNumberFormat="1" applyFont="1" applyBorder="1"/>
    <xf numFmtId="3" fontId="13" fillId="0" borderId="44" xfId="0" applyNumberFormat="1" applyFont="1" applyBorder="1"/>
    <xf numFmtId="3" fontId="13" fillId="0" borderId="0" xfId="0" applyNumberFormat="1" applyFont="1" applyBorder="1"/>
    <xf numFmtId="3" fontId="52" fillId="0" borderId="0" xfId="0" applyNumberFormat="1" applyFont="1" applyAlignment="1">
      <alignment horizontal="right"/>
    </xf>
    <xf numFmtId="3" fontId="62" fillId="0" borderId="44" xfId="0" applyNumberFormat="1" applyFont="1" applyBorder="1"/>
    <xf numFmtId="3" fontId="62" fillId="0" borderId="43" xfId="0" applyNumberFormat="1" applyFont="1" applyBorder="1"/>
    <xf numFmtId="3" fontId="7" fillId="0" borderId="44" xfId="0" applyNumberFormat="1" applyFont="1" applyBorder="1"/>
    <xf numFmtId="3" fontId="7" fillId="0" borderId="43" xfId="0" applyNumberFormat="1" applyFont="1" applyBorder="1"/>
    <xf numFmtId="0" fontId="0" fillId="0" borderId="0" xfId="0" applyBorder="1" applyAlignment="1">
      <alignment horizontal="right"/>
    </xf>
    <xf numFmtId="3" fontId="68" fillId="0" borderId="0" xfId="0" applyNumberFormat="1" applyFont="1"/>
    <xf numFmtId="3" fontId="69" fillId="0" borderId="0" xfId="0" applyNumberFormat="1" applyFont="1" applyAlignment="1">
      <alignment horizontal="right"/>
    </xf>
    <xf numFmtId="3" fontId="68" fillId="0" borderId="44" xfId="0" applyNumberFormat="1" applyFont="1" applyBorder="1"/>
    <xf numFmtId="3" fontId="68" fillId="0" borderId="43" xfId="0" applyNumberFormat="1" applyFont="1" applyBorder="1"/>
    <xf numFmtId="3" fontId="69" fillId="0" borderId="0" xfId="0" applyNumberFormat="1" applyFont="1"/>
    <xf numFmtId="1" fontId="2" fillId="0" borderId="0" xfId="1" applyNumberFormat="1" applyFont="1" applyAlignment="1">
      <alignment horizontal="right"/>
    </xf>
    <xf numFmtId="1" fontId="2" fillId="0" borderId="0" xfId="7" applyNumberFormat="1"/>
    <xf numFmtId="0" fontId="60" fillId="0" borderId="0" xfId="0" applyFont="1"/>
    <xf numFmtId="10" fontId="2" fillId="0" borderId="0" xfId="0" applyNumberFormat="1" applyFont="1"/>
    <xf numFmtId="173" fontId="2" fillId="0" borderId="0" xfId="10" applyNumberFormat="1" applyFont="1"/>
    <xf numFmtId="173" fontId="2" fillId="0" borderId="0" xfId="2" applyNumberFormat="1" applyFont="1" applyFill="1"/>
    <xf numFmtId="173" fontId="38" fillId="0" borderId="25" xfId="2" applyNumberFormat="1" applyFont="1" applyFill="1" applyBorder="1"/>
    <xf numFmtId="0" fontId="41" fillId="0" borderId="0" xfId="0" applyFont="1"/>
    <xf numFmtId="173" fontId="0" fillId="0" borderId="0" xfId="2" applyNumberFormat="1" applyFont="1"/>
    <xf numFmtId="0" fontId="0" fillId="0" borderId="0" xfId="0" quotePrefix="1"/>
    <xf numFmtId="0" fontId="0" fillId="0" borderId="7" xfId="0" applyBorder="1"/>
    <xf numFmtId="0" fontId="0" fillId="0" borderId="10" xfId="0" applyBorder="1"/>
    <xf numFmtId="0" fontId="42" fillId="0" borderId="11" xfId="0" applyFont="1" applyBorder="1"/>
    <xf numFmtId="0" fontId="0" fillId="0" borderId="12" xfId="0" applyBorder="1"/>
    <xf numFmtId="174" fontId="0" fillId="0" borderId="0" xfId="0" applyNumberFormat="1" applyBorder="1"/>
    <xf numFmtId="0" fontId="0" fillId="0" borderId="9" xfId="0" applyBorder="1"/>
    <xf numFmtId="0" fontId="0" fillId="0" borderId="13" xfId="0" applyBorder="1"/>
    <xf numFmtId="0" fontId="0" fillId="0" borderId="11" xfId="0" applyBorder="1" applyAlignment="1">
      <alignment wrapText="1"/>
    </xf>
    <xf numFmtId="174" fontId="2" fillId="0" borderId="0" xfId="1" applyNumberFormat="1" applyFont="1" applyFill="1" applyBorder="1"/>
    <xf numFmtId="1" fontId="64" fillId="0" borderId="0" xfId="0" applyNumberFormat="1" applyFont="1"/>
    <xf numFmtId="0" fontId="52" fillId="2" borderId="0" xfId="0" applyFont="1" applyFill="1" applyAlignment="1">
      <alignment horizontal="right"/>
    </xf>
    <xf numFmtId="3" fontId="14" fillId="2" borderId="0" xfId="0" applyNumberFormat="1" applyFont="1" applyFill="1" applyAlignment="1">
      <alignment horizontal="right"/>
    </xf>
    <xf numFmtId="3" fontId="67" fillId="2" borderId="0" xfId="0" applyNumberFormat="1" applyFont="1" applyFill="1" applyAlignment="1">
      <alignment horizontal="right"/>
    </xf>
    <xf numFmtId="3" fontId="52" fillId="2" borderId="0" xfId="0" applyNumberFormat="1" applyFont="1" applyFill="1" applyAlignment="1">
      <alignment horizontal="right"/>
    </xf>
    <xf numFmtId="0" fontId="38" fillId="0" borderId="11" xfId="7" applyFont="1" applyFill="1" applyBorder="1" applyAlignment="1">
      <alignment horizontal="left"/>
    </xf>
    <xf numFmtId="0" fontId="38" fillId="0" borderId="0" xfId="7" applyFont="1" applyFill="1" applyBorder="1" applyAlignment="1">
      <alignment horizontal="right"/>
    </xf>
    <xf numFmtId="174" fontId="38" fillId="0" borderId="0" xfId="1" applyNumberFormat="1" applyFont="1" applyFill="1" applyBorder="1"/>
    <xf numFmtId="174" fontId="38" fillId="0" borderId="12" xfId="1" applyNumberFormat="1" applyFont="1" applyFill="1" applyBorder="1"/>
    <xf numFmtId="6" fontId="2" fillId="0" borderId="0" xfId="7" applyNumberFormat="1" applyFill="1"/>
    <xf numFmtId="0" fontId="38" fillId="0" borderId="0" xfId="7" applyFont="1" applyFill="1"/>
    <xf numFmtId="9" fontId="1" fillId="0" borderId="0" xfId="10" applyNumberFormat="1"/>
    <xf numFmtId="8" fontId="0" fillId="0" borderId="0" xfId="0" applyNumberFormat="1" applyBorder="1"/>
    <xf numFmtId="8" fontId="14" fillId="9" borderId="34" xfId="0" applyNumberFormat="1" applyFont="1" applyFill="1" applyBorder="1"/>
    <xf numFmtId="8" fontId="0" fillId="0" borderId="0" xfId="0" applyNumberFormat="1"/>
    <xf numFmtId="8" fontId="1" fillId="0" borderId="0" xfId="6" applyNumberFormat="1"/>
    <xf numFmtId="9" fontId="4" fillId="0" borderId="0" xfId="6" applyNumberFormat="1" applyFont="1"/>
    <xf numFmtId="0" fontId="0" fillId="10" borderId="0" xfId="0" applyFill="1"/>
    <xf numFmtId="3" fontId="65" fillId="13" borderId="35" xfId="0" applyNumberFormat="1" applyFont="1" applyFill="1" applyBorder="1"/>
    <xf numFmtId="3" fontId="24" fillId="13" borderId="45" xfId="0" applyNumberFormat="1" applyFont="1" applyFill="1" applyBorder="1"/>
    <xf numFmtId="3" fontId="65" fillId="13" borderId="39" xfId="0" applyNumberFormat="1" applyFont="1" applyFill="1" applyBorder="1"/>
    <xf numFmtId="3" fontId="72" fillId="13" borderId="39" xfId="0" applyNumberFormat="1" applyFont="1" applyFill="1" applyBorder="1"/>
    <xf numFmtId="3" fontId="72" fillId="13" borderId="40" xfId="10" applyNumberFormat="1" applyFont="1" applyFill="1" applyBorder="1"/>
    <xf numFmtId="3" fontId="66" fillId="13" borderId="39" xfId="0" applyNumberFormat="1" applyFont="1" applyFill="1" applyBorder="1"/>
    <xf numFmtId="3" fontId="66" fillId="13" borderId="0" xfId="0" applyNumberFormat="1" applyFont="1" applyFill="1" applyBorder="1"/>
    <xf numFmtId="3" fontId="66" fillId="13" borderId="40" xfId="0" applyNumberFormat="1" applyFont="1" applyFill="1" applyBorder="1"/>
    <xf numFmtId="3" fontId="73" fillId="13" borderId="37" xfId="0" applyNumberFormat="1" applyFont="1" applyFill="1" applyBorder="1"/>
    <xf numFmtId="43" fontId="1" fillId="0" borderId="0" xfId="1"/>
    <xf numFmtId="9" fontId="14" fillId="0" borderId="0" xfId="10" applyFont="1" applyAlignment="1">
      <alignment horizontal="right"/>
    </xf>
    <xf numFmtId="14" fontId="0" fillId="0" borderId="0" xfId="0" applyNumberFormat="1"/>
    <xf numFmtId="14" fontId="0" fillId="0" borderId="43" xfId="0" applyNumberFormat="1" applyBorder="1"/>
    <xf numFmtId="14" fontId="0" fillId="0" borderId="44" xfId="0" applyNumberFormat="1" applyBorder="1"/>
    <xf numFmtId="3" fontId="4" fillId="0" borderId="0" xfId="0" applyNumberFormat="1" applyFont="1" applyAlignment="1">
      <alignment horizontal="right"/>
    </xf>
    <xf numFmtId="3" fontId="68" fillId="2" borderId="0" xfId="0" applyNumberFormat="1" applyFont="1" applyFill="1" applyAlignment="1">
      <alignment horizontal="center"/>
    </xf>
    <xf numFmtId="3" fontId="62" fillId="2" borderId="0" xfId="0" applyNumberFormat="1" applyFont="1" applyFill="1" applyAlignment="1">
      <alignment horizontal="center"/>
    </xf>
    <xf numFmtId="0" fontId="75" fillId="0" borderId="0" xfId="0" applyFont="1"/>
    <xf numFmtId="0" fontId="53" fillId="0" borderId="0" xfId="0" applyFont="1"/>
    <xf numFmtId="174" fontId="53" fillId="0" borderId="0" xfId="1" applyNumberFormat="1" applyFont="1" applyAlignment="1">
      <alignment horizontal="right"/>
    </xf>
    <xf numFmtId="174" fontId="75" fillId="0" borderId="0" xfId="1" applyNumberFormat="1" applyFont="1" applyAlignment="1">
      <alignment horizontal="right"/>
    </xf>
    <xf numFmtId="174" fontId="0" fillId="9" borderId="46" xfId="0" applyNumberFormat="1" applyFill="1" applyBorder="1"/>
    <xf numFmtId="0" fontId="0" fillId="9" borderId="47" xfId="0" applyFill="1" applyBorder="1" applyAlignment="1">
      <alignment horizontal="right"/>
    </xf>
    <xf numFmtId="0" fontId="0" fillId="9" borderId="48" xfId="0" applyFill="1" applyBorder="1" applyAlignment="1">
      <alignment horizontal="right"/>
    </xf>
    <xf numFmtId="0" fontId="0" fillId="9" borderId="49" xfId="0" applyFill="1" applyBorder="1"/>
    <xf numFmtId="174" fontId="64" fillId="9" borderId="50" xfId="1" applyNumberFormat="1" applyFont="1" applyFill="1" applyBorder="1"/>
    <xf numFmtId="174" fontId="64" fillId="9" borderId="51" xfId="1" applyNumberFormat="1" applyFont="1" applyFill="1" applyBorder="1"/>
    <xf numFmtId="3" fontId="24" fillId="13" borderId="36" xfId="0" applyNumberFormat="1" applyFont="1" applyFill="1" applyBorder="1"/>
    <xf numFmtId="0" fontId="76" fillId="0" borderId="0" xfId="0" applyFont="1"/>
    <xf numFmtId="0" fontId="77" fillId="0" borderId="0" xfId="0" applyFont="1"/>
    <xf numFmtId="173" fontId="53" fillId="0" borderId="0" xfId="2" applyNumberFormat="1" applyFont="1" applyAlignment="1">
      <alignment horizontal="right"/>
    </xf>
    <xf numFmtId="173" fontId="53" fillId="0" borderId="14" xfId="2" applyNumberFormat="1" applyFont="1" applyBorder="1" applyAlignment="1">
      <alignment horizontal="right"/>
    </xf>
    <xf numFmtId="173" fontId="53" fillId="0" borderId="0" xfId="1" applyNumberFormat="1" applyFont="1" applyAlignment="1">
      <alignment horizontal="right"/>
    </xf>
    <xf numFmtId="10" fontId="53" fillId="0" borderId="0" xfId="10" applyNumberFormat="1" applyFont="1" applyAlignment="1">
      <alignment horizontal="right"/>
    </xf>
    <xf numFmtId="37" fontId="64" fillId="13" borderId="52" xfId="0" applyNumberFormat="1" applyFont="1" applyFill="1" applyBorder="1"/>
    <xf numFmtId="37" fontId="64" fillId="13" borderId="38" xfId="0" applyNumberFormat="1" applyFont="1" applyFill="1" applyBorder="1"/>
    <xf numFmtId="174" fontId="53" fillId="0" borderId="0" xfId="1" applyNumberFormat="1" applyFont="1"/>
    <xf numFmtId="173" fontId="35" fillId="0" borderId="0" xfId="4" applyNumberFormat="1" applyFont="1"/>
    <xf numFmtId="173" fontId="53" fillId="0" borderId="0" xfId="0" applyNumberFormat="1" applyFont="1"/>
    <xf numFmtId="3" fontId="63" fillId="2" borderId="0" xfId="0" applyNumberFormat="1" applyFont="1" applyFill="1"/>
    <xf numFmtId="3" fontId="24" fillId="0" borderId="0" xfId="0" applyNumberFormat="1" applyFont="1" applyFill="1" applyBorder="1"/>
    <xf numFmtId="4" fontId="64" fillId="0" borderId="0" xfId="0" applyNumberFormat="1" applyFont="1" applyFill="1" applyBorder="1"/>
    <xf numFmtId="3" fontId="72" fillId="0" borderId="0" xfId="10" applyNumberFormat="1" applyFont="1" applyFill="1" applyBorder="1"/>
    <xf numFmtId="3" fontId="66" fillId="0" borderId="0" xfId="0" applyNumberFormat="1" applyFont="1" applyFill="1" applyBorder="1"/>
    <xf numFmtId="37" fontId="64" fillId="0" borderId="0" xfId="0" applyNumberFormat="1" applyFont="1" applyFill="1" applyBorder="1"/>
    <xf numFmtId="3" fontId="78" fillId="0" borderId="0" xfId="0" applyNumberFormat="1" applyFont="1"/>
    <xf numFmtId="3" fontId="79" fillId="2" borderId="0" xfId="0" applyNumberFormat="1" applyFont="1" applyFill="1"/>
    <xf numFmtId="0" fontId="0" fillId="0" borderId="53" xfId="0" applyBorder="1" applyAlignment="1">
      <alignment horizontal="left"/>
    </xf>
    <xf numFmtId="14" fontId="0" fillId="0" borderId="53" xfId="0" applyNumberFormat="1" applyBorder="1"/>
    <xf numFmtId="174" fontId="0" fillId="0" borderId="53" xfId="1" applyNumberFormat="1" applyFont="1" applyBorder="1"/>
    <xf numFmtId="3" fontId="65" fillId="0" borderId="53" xfId="0" applyNumberFormat="1" applyFont="1" applyBorder="1"/>
    <xf numFmtId="3" fontId="24" fillId="0" borderId="53" xfId="0" applyNumberFormat="1" applyFont="1" applyBorder="1"/>
    <xf numFmtId="3" fontId="0" fillId="0" borderId="53" xfId="0" applyNumberFormat="1" applyBorder="1"/>
    <xf numFmtId="3" fontId="13" fillId="0" borderId="53" xfId="0" applyNumberFormat="1" applyFont="1" applyBorder="1"/>
    <xf numFmtId="3" fontId="68" fillId="0" borderId="53" xfId="0" applyNumberFormat="1" applyFont="1" applyBorder="1"/>
    <xf numFmtId="3" fontId="4" fillId="0" borderId="53" xfId="0" applyNumberFormat="1" applyFont="1" applyBorder="1" applyAlignment="1">
      <alignment horizontal="right"/>
    </xf>
    <xf numFmtId="0" fontId="0" fillId="0" borderId="53" xfId="0" applyBorder="1"/>
    <xf numFmtId="3" fontId="64" fillId="0" borderId="0" xfId="0" applyNumberFormat="1" applyFont="1"/>
    <xf numFmtId="37" fontId="4" fillId="0" borderId="0" xfId="0" applyNumberFormat="1" applyFont="1" applyAlignment="1">
      <alignment horizontal="right"/>
    </xf>
    <xf numFmtId="174" fontId="0" fillId="12" borderId="0" xfId="1" applyNumberFormat="1" applyFont="1" applyFill="1"/>
    <xf numFmtId="3" fontId="72" fillId="12" borderId="0" xfId="10" applyNumberFormat="1" applyFont="1" applyFill="1" applyBorder="1"/>
    <xf numFmtId="173" fontId="2" fillId="0" borderId="0" xfId="7" applyNumberFormat="1" applyFill="1"/>
    <xf numFmtId="0" fontId="0" fillId="12" borderId="0" xfId="0" applyFill="1"/>
    <xf numFmtId="174" fontId="24" fillId="12" borderId="0" xfId="0" applyNumberFormat="1" applyFont="1" applyFill="1"/>
    <xf numFmtId="0" fontId="2" fillId="12" borderId="0" xfId="7" applyFont="1" applyFill="1" applyBorder="1"/>
    <xf numFmtId="0" fontId="2" fillId="12" borderId="0" xfId="7" applyFill="1"/>
    <xf numFmtId="0" fontId="4" fillId="12" borderId="0" xfId="7" applyFont="1" applyFill="1" applyBorder="1"/>
    <xf numFmtId="0" fontId="4" fillId="12" borderId="0" xfId="7" applyFont="1" applyFill="1"/>
    <xf numFmtId="10" fontId="0" fillId="0" borderId="25" xfId="10" applyNumberFormat="1" applyFont="1" applyBorder="1"/>
    <xf numFmtId="174" fontId="14" fillId="0" borderId="0" xfId="1" applyNumberFormat="1" applyFont="1" applyAlignment="1">
      <alignment horizontal="right"/>
    </xf>
    <xf numFmtId="174" fontId="14" fillId="0" borderId="0" xfId="0" applyNumberFormat="1" applyFont="1" applyAlignment="1">
      <alignment horizontal="right"/>
    </xf>
    <xf numFmtId="254" fontId="64" fillId="5" borderId="40" xfId="0" applyNumberFormat="1" applyFont="1" applyFill="1" applyBorder="1"/>
    <xf numFmtId="3" fontId="0" fillId="0" borderId="0" xfId="0" applyNumberFormat="1" applyAlignment="1">
      <alignment horizontal="right"/>
    </xf>
    <xf numFmtId="3" fontId="14" fillId="0" borderId="0" xfId="0" applyNumberFormat="1" applyFont="1"/>
    <xf numFmtId="3" fontId="0" fillId="0" borderId="54" xfId="0" applyNumberFormat="1" applyBorder="1"/>
    <xf numFmtId="3" fontId="62" fillId="0" borderId="55" xfId="0" applyNumberFormat="1" applyFont="1" applyBorder="1" applyAlignment="1">
      <alignment horizontal="right"/>
    </xf>
    <xf numFmtId="0" fontId="0" fillId="0" borderId="0" xfId="0" applyAlignment="1">
      <alignment textRotation="60"/>
    </xf>
    <xf numFmtId="0" fontId="81" fillId="0" borderId="56" xfId="5" applyFont="1" applyFill="1" applyBorder="1" applyAlignment="1">
      <alignment horizontal="right" wrapText="1"/>
    </xf>
    <xf numFmtId="0" fontId="81" fillId="0" borderId="56" xfId="5" applyFont="1" applyFill="1" applyBorder="1" applyAlignment="1">
      <alignment horizontal="left" wrapText="1"/>
    </xf>
    <xf numFmtId="0" fontId="81" fillId="0" borderId="56" xfId="8" applyFont="1" applyFill="1" applyBorder="1" applyAlignment="1">
      <alignment horizontal="left" wrapText="1"/>
    </xf>
    <xf numFmtId="174" fontId="81" fillId="0" borderId="56" xfId="1" applyNumberFormat="1" applyFont="1" applyFill="1" applyBorder="1" applyAlignment="1">
      <alignment horizontal="right" wrapText="1"/>
    </xf>
    <xf numFmtId="174" fontId="81" fillId="0" borderId="56" xfId="1" applyNumberFormat="1" applyFont="1" applyFill="1" applyBorder="1" applyAlignment="1">
      <alignment horizontal="left" wrapText="1"/>
    </xf>
    <xf numFmtId="0" fontId="81" fillId="0" borderId="56" xfId="8" applyFont="1" applyFill="1" applyBorder="1" applyAlignment="1">
      <alignment horizontal="right" wrapText="1"/>
    </xf>
    <xf numFmtId="1" fontId="81" fillId="0" borderId="56" xfId="8" applyNumberFormat="1" applyFont="1" applyFill="1" applyBorder="1" applyAlignment="1">
      <alignment horizontal="left" wrapText="1"/>
    </xf>
    <xf numFmtId="0" fontId="4" fillId="0" borderId="56" xfId="5" applyFont="1" applyFill="1" applyBorder="1" applyAlignment="1">
      <alignment horizontal="right" wrapText="1"/>
    </xf>
    <xf numFmtId="0" fontId="4" fillId="0" borderId="56" xfId="5" applyFont="1" applyFill="1" applyBorder="1" applyAlignment="1">
      <alignment horizontal="left" wrapText="1"/>
    </xf>
    <xf numFmtId="0" fontId="62" fillId="0" borderId="56" xfId="8" applyFont="1" applyFill="1" applyBorder="1" applyAlignment="1">
      <alignment horizontal="left" wrapText="1"/>
    </xf>
    <xf numFmtId="174" fontId="62" fillId="0" borderId="56" xfId="1" applyNumberFormat="1" applyFont="1" applyFill="1" applyBorder="1" applyAlignment="1">
      <alignment horizontal="right" wrapText="1"/>
    </xf>
    <xf numFmtId="0" fontId="62" fillId="0" borderId="56" xfId="8" applyFont="1" applyFill="1" applyBorder="1" applyAlignment="1">
      <alignment horizontal="right" wrapText="1"/>
    </xf>
    <xf numFmtId="0" fontId="4" fillId="0" borderId="56" xfId="8" applyFont="1" applyFill="1" applyBorder="1" applyAlignment="1">
      <alignment horizontal="left" wrapText="1"/>
    </xf>
    <xf numFmtId="1" fontId="4" fillId="0" borderId="56" xfId="8" applyNumberFormat="1" applyFont="1" applyFill="1" applyBorder="1" applyAlignment="1">
      <alignment horizontal="left" wrapText="1"/>
    </xf>
    <xf numFmtId="0" fontId="0" fillId="6" borderId="56" xfId="0" applyFill="1" applyBorder="1"/>
    <xf numFmtId="0" fontId="0" fillId="0" borderId="56" xfId="0" applyBorder="1"/>
    <xf numFmtId="174" fontId="1" fillId="0" borderId="56" xfId="1" applyNumberFormat="1" applyBorder="1"/>
    <xf numFmtId="1" fontId="0" fillId="6" borderId="56" xfId="0" applyNumberFormat="1" applyFill="1" applyBorder="1"/>
    <xf numFmtId="0" fontId="4" fillId="6" borderId="56" xfId="5" applyFont="1" applyFill="1" applyBorder="1" applyAlignment="1">
      <alignment horizontal="right" wrapText="1"/>
    </xf>
    <xf numFmtId="0" fontId="4" fillId="6" borderId="56" xfId="5" applyFont="1" applyFill="1" applyBorder="1" applyAlignment="1">
      <alignment horizontal="left" wrapText="1"/>
    </xf>
    <xf numFmtId="0" fontId="4" fillId="14" borderId="56" xfId="8" applyFont="1" applyFill="1" applyBorder="1" applyAlignment="1">
      <alignment horizontal="left" wrapText="1"/>
    </xf>
    <xf numFmtId="0" fontId="4" fillId="15" borderId="56" xfId="8" applyFont="1" applyFill="1" applyBorder="1" applyAlignment="1">
      <alignment horizontal="left" wrapText="1"/>
    </xf>
    <xf numFmtId="1" fontId="4" fillId="15" borderId="56" xfId="8" applyNumberFormat="1" applyFont="1" applyFill="1" applyBorder="1" applyAlignment="1">
      <alignment horizontal="left" wrapText="1"/>
    </xf>
    <xf numFmtId="41" fontId="4" fillId="0" borderId="56" xfId="0" applyNumberFormat="1" applyFont="1" applyBorder="1"/>
    <xf numFmtId="41" fontId="82" fillId="0" borderId="56" xfId="0" applyNumberFormat="1" applyFont="1" applyBorder="1"/>
    <xf numFmtId="0" fontId="4" fillId="15" borderId="56" xfId="5" applyFont="1" applyFill="1" applyBorder="1" applyAlignment="1">
      <alignment horizontal="right" wrapText="1"/>
    </xf>
    <xf numFmtId="0" fontId="81" fillId="0" borderId="0" xfId="5" applyFont="1" applyFill="1" applyBorder="1" applyAlignment="1">
      <alignment horizontal="right" wrapText="1"/>
    </xf>
    <xf numFmtId="0" fontId="4" fillId="16" borderId="0" xfId="0" applyFont="1" applyFill="1"/>
    <xf numFmtId="0" fontId="4" fillId="15" borderId="56" xfId="5" applyFont="1" applyFill="1" applyBorder="1" applyAlignment="1">
      <alignment horizontal="left" wrapText="1"/>
    </xf>
    <xf numFmtId="0" fontId="4" fillId="6" borderId="56" xfId="8" applyFont="1" applyFill="1" applyBorder="1" applyAlignment="1">
      <alignment horizontal="left" wrapText="1"/>
    </xf>
    <xf numFmtId="0" fontId="0" fillId="0" borderId="0" xfId="0" applyFill="1"/>
    <xf numFmtId="0" fontId="4" fillId="6" borderId="0" xfId="0" applyFont="1" applyFill="1"/>
    <xf numFmtId="41" fontId="4" fillId="0" borderId="56" xfId="0" applyNumberFormat="1" applyFont="1" applyFill="1" applyBorder="1"/>
    <xf numFmtId="41" fontId="83" fillId="6" borderId="56" xfId="0" applyNumberFormat="1" applyFont="1" applyFill="1" applyBorder="1"/>
    <xf numFmtId="0" fontId="84" fillId="0" borderId="56" xfId="5" applyFont="1" applyFill="1" applyBorder="1" applyAlignment="1">
      <alignment horizontal="right" wrapText="1"/>
    </xf>
    <xf numFmtId="0" fontId="4" fillId="17" borderId="0" xfId="0" applyFont="1" applyFill="1"/>
    <xf numFmtId="0" fontId="4" fillId="17" borderId="56" xfId="8" applyFont="1" applyFill="1" applyBorder="1" applyAlignment="1">
      <alignment horizontal="left" wrapText="1"/>
    </xf>
    <xf numFmtId="0" fontId="0" fillId="6" borderId="0" xfId="0" applyFill="1"/>
    <xf numFmtId="0" fontId="81" fillId="6" borderId="56" xfId="5" applyFont="1" applyFill="1" applyBorder="1" applyAlignment="1">
      <alignment horizontal="right" wrapText="1"/>
    </xf>
    <xf numFmtId="0" fontId="62" fillId="15" borderId="56" xfId="8" applyFont="1" applyFill="1" applyBorder="1" applyAlignment="1">
      <alignment horizontal="left" wrapText="1"/>
    </xf>
    <xf numFmtId="0" fontId="81" fillId="0" borderId="57" xfId="5" applyFont="1" applyFill="1" applyBorder="1" applyAlignment="1">
      <alignment horizontal="right" wrapText="1"/>
    </xf>
    <xf numFmtId="0" fontId="81" fillId="0" borderId="58" xfId="5" applyFont="1" applyFill="1" applyBorder="1" applyAlignment="1">
      <alignment horizontal="right" wrapText="1"/>
    </xf>
    <xf numFmtId="0" fontId="81" fillId="0" borderId="59" xfId="5" applyFont="1" applyFill="1" applyBorder="1" applyAlignment="1">
      <alignment horizontal="right" wrapText="1"/>
    </xf>
    <xf numFmtId="41" fontId="4" fillId="0" borderId="0" xfId="0" applyNumberFormat="1" applyFont="1"/>
    <xf numFmtId="0" fontId="0" fillId="16" borderId="0" xfId="0" applyFill="1"/>
    <xf numFmtId="0" fontId="81" fillId="6" borderId="56" xfId="5" applyFont="1" applyFill="1" applyBorder="1" applyAlignment="1">
      <alignment horizontal="left" wrapText="1"/>
    </xf>
    <xf numFmtId="0" fontId="81" fillId="14" borderId="56" xfId="8" applyFont="1" applyFill="1" applyBorder="1" applyAlignment="1">
      <alignment horizontal="left" wrapText="1"/>
    </xf>
    <xf numFmtId="0" fontId="81" fillId="15" borderId="56" xfId="8" applyFont="1" applyFill="1" applyBorder="1" applyAlignment="1">
      <alignment horizontal="left" wrapText="1"/>
    </xf>
    <xf numFmtId="1" fontId="62" fillId="15" borderId="56" xfId="8" applyNumberFormat="1" applyFont="1" applyFill="1" applyBorder="1" applyAlignment="1">
      <alignment horizontal="left" wrapText="1"/>
    </xf>
    <xf numFmtId="0" fontId="81" fillId="15" borderId="56" xfId="5" applyFont="1" applyFill="1" applyBorder="1" applyAlignment="1">
      <alignment horizontal="right" wrapText="1"/>
    </xf>
    <xf numFmtId="41" fontId="4" fillId="0" borderId="0" xfId="0" applyNumberFormat="1" applyFont="1" applyBorder="1"/>
    <xf numFmtId="0" fontId="62" fillId="0" borderId="0" xfId="0" applyFont="1" applyFill="1"/>
    <xf numFmtId="0" fontId="62" fillId="6" borderId="0" xfId="0" applyFont="1" applyFill="1"/>
    <xf numFmtId="1" fontId="4" fillId="6" borderId="56" xfId="8" applyNumberFormat="1" applyFont="1" applyFill="1" applyBorder="1" applyAlignment="1">
      <alignment horizontal="left" wrapText="1"/>
    </xf>
    <xf numFmtId="0" fontId="4" fillId="0" borderId="56" xfId="0" applyFont="1" applyFill="1" applyBorder="1"/>
    <xf numFmtId="0" fontId="4" fillId="0" borderId="0" xfId="0" applyFont="1"/>
    <xf numFmtId="41" fontId="83" fillId="0" borderId="56" xfId="0" applyNumberFormat="1" applyFont="1" applyBorder="1"/>
    <xf numFmtId="3" fontId="62" fillId="0" borderId="56" xfId="8" applyNumberFormat="1" applyFont="1" applyFill="1" applyBorder="1" applyAlignment="1">
      <alignment horizontal="right" wrapText="1"/>
    </xf>
    <xf numFmtId="0" fontId="4" fillId="0" borderId="0" xfId="5" applyFont="1" applyFill="1" applyBorder="1" applyAlignment="1">
      <alignment horizontal="right" wrapText="1"/>
    </xf>
    <xf numFmtId="0" fontId="62" fillId="6" borderId="56" xfId="5" applyFont="1" applyFill="1" applyBorder="1" applyAlignment="1">
      <alignment horizontal="right" wrapText="1"/>
    </xf>
    <xf numFmtId="0" fontId="4" fillId="15" borderId="0" xfId="8" applyFont="1" applyFill="1" applyBorder="1" applyAlignment="1">
      <alignment horizontal="left" wrapText="1"/>
    </xf>
    <xf numFmtId="1" fontId="4" fillId="15" borderId="0" xfId="8" applyNumberFormat="1" applyFont="1" applyFill="1" applyBorder="1" applyAlignment="1">
      <alignment horizontal="left" wrapText="1"/>
    </xf>
    <xf numFmtId="0" fontId="4" fillId="15" borderId="0" xfId="5" applyFont="1" applyFill="1" applyBorder="1" applyAlignment="1">
      <alignment horizontal="right" wrapText="1"/>
    </xf>
    <xf numFmtId="1" fontId="4" fillId="0" borderId="56" xfId="0" applyNumberFormat="1" applyFont="1" applyBorder="1"/>
    <xf numFmtId="41" fontId="14" fillId="0" borderId="56" xfId="0" applyNumberFormat="1" applyFont="1" applyBorder="1"/>
    <xf numFmtId="0" fontId="81" fillId="15" borderId="56" xfId="5" applyFont="1" applyFill="1" applyBorder="1" applyAlignment="1">
      <alignment horizontal="left" wrapText="1"/>
    </xf>
    <xf numFmtId="0" fontId="81" fillId="0" borderId="0" xfId="5" applyFont="1" applyFill="1" applyBorder="1" applyAlignment="1">
      <alignment horizontal="left" wrapText="1"/>
    </xf>
    <xf numFmtId="0" fontId="81" fillId="0" borderId="0" xfId="8" applyFont="1" applyFill="1" applyBorder="1" applyAlignment="1">
      <alignment horizontal="left" wrapText="1"/>
    </xf>
    <xf numFmtId="174" fontId="81" fillId="0" borderId="0" xfId="1" applyNumberFormat="1" applyFont="1" applyFill="1" applyBorder="1" applyAlignment="1">
      <alignment horizontal="right" wrapText="1"/>
    </xf>
    <xf numFmtId="0" fontId="81" fillId="0" borderId="0" xfId="8" applyFont="1" applyFill="1" applyBorder="1" applyAlignment="1">
      <alignment horizontal="right" wrapText="1"/>
    </xf>
    <xf numFmtId="1" fontId="81" fillId="0" borderId="0" xfId="8" applyNumberFormat="1" applyFont="1" applyFill="1" applyBorder="1" applyAlignment="1">
      <alignment horizontal="left" wrapText="1"/>
    </xf>
    <xf numFmtId="174" fontId="81" fillId="0" borderId="60" xfId="1" applyNumberFormat="1" applyFont="1" applyFill="1" applyBorder="1" applyAlignment="1">
      <alignment horizontal="left" wrapText="1"/>
    </xf>
    <xf numFmtId="174" fontId="14" fillId="0" borderId="0" xfId="1" applyNumberFormat="1" applyFont="1"/>
    <xf numFmtId="174" fontId="14" fillId="0" borderId="26" xfId="1" applyNumberFormat="1" applyFont="1" applyBorder="1"/>
    <xf numFmtId="0" fontId="14" fillId="0" borderId="61" xfId="0" applyFont="1" applyBorder="1"/>
    <xf numFmtId="174" fontId="14" fillId="0" borderId="61" xfId="1" applyNumberFormat="1" applyFont="1" applyBorder="1"/>
    <xf numFmtId="174" fontId="14" fillId="0" borderId="61" xfId="0" applyNumberFormat="1" applyFont="1" applyBorder="1"/>
    <xf numFmtId="0" fontId="85" fillId="0" borderId="0" xfId="6" applyFont="1"/>
    <xf numFmtId="0" fontId="1" fillId="0" borderId="0" xfId="6" applyBorder="1"/>
    <xf numFmtId="0" fontId="4" fillId="0" borderId="0" xfId="0" applyFont="1" applyBorder="1"/>
    <xf numFmtId="174" fontId="14" fillId="0" borderId="0" xfId="1" applyNumberFormat="1" applyFont="1" applyBorder="1"/>
    <xf numFmtId="0" fontId="0" fillId="6" borderId="0" xfId="0" applyFill="1" applyBorder="1"/>
    <xf numFmtId="41" fontId="4" fillId="0" borderId="0" xfId="0" applyNumberFormat="1" applyFont="1" applyFill="1" applyBorder="1"/>
    <xf numFmtId="41" fontId="4" fillId="16" borderId="0" xfId="0" applyNumberFormat="1" applyFont="1" applyFill="1" applyBorder="1"/>
    <xf numFmtId="0" fontId="81" fillId="0" borderId="60" xfId="5" applyFont="1" applyFill="1" applyBorder="1" applyAlignment="1">
      <alignment horizontal="right" wrapText="1"/>
    </xf>
    <xf numFmtId="3" fontId="4" fillId="0" borderId="56" xfId="0" applyNumberFormat="1" applyFont="1" applyBorder="1"/>
    <xf numFmtId="41" fontId="83" fillId="0" borderId="0" xfId="0" applyNumberFormat="1" applyFont="1" applyBorder="1"/>
    <xf numFmtId="0" fontId="4" fillId="0" borderId="0" xfId="0" applyNumberFormat="1" applyFont="1" applyBorder="1"/>
    <xf numFmtId="41" fontId="83" fillId="6" borderId="0" xfId="0" applyNumberFormat="1" applyFont="1" applyFill="1" applyBorder="1"/>
    <xf numFmtId="174" fontId="2" fillId="0" borderId="0" xfId="7" applyNumberFormat="1" applyFill="1"/>
    <xf numFmtId="0" fontId="28" fillId="0" borderId="0" xfId="7" applyFont="1" applyFill="1"/>
    <xf numFmtId="0" fontId="34" fillId="0" borderId="0" xfId="7" applyFont="1" applyFill="1"/>
    <xf numFmtId="0" fontId="30" fillId="0" borderId="0" xfId="7" applyFont="1" applyFill="1" applyAlignment="1">
      <alignment horizontal="right"/>
    </xf>
    <xf numFmtId="167" fontId="30" fillId="0" borderId="0" xfId="10" applyNumberFormat="1" applyFont="1" applyFill="1" applyAlignment="1">
      <alignment horizontal="right"/>
    </xf>
    <xf numFmtId="167" fontId="30" fillId="0" borderId="0" xfId="10" applyNumberFormat="1" applyFont="1" applyFill="1"/>
    <xf numFmtId="10" fontId="2" fillId="0" borderId="0" xfId="10" applyNumberFormat="1" applyFont="1" applyFill="1" applyAlignment="1">
      <alignment horizontal="right"/>
    </xf>
    <xf numFmtId="0" fontId="2" fillId="0" borderId="14" xfId="7" applyFont="1" applyFill="1" applyBorder="1" applyAlignment="1">
      <alignment horizontal="center"/>
    </xf>
    <xf numFmtId="0" fontId="2" fillId="0" borderId="0" xfId="7" applyFill="1" applyBorder="1" applyAlignment="1">
      <alignment horizontal="center"/>
    </xf>
    <xf numFmtId="173" fontId="2" fillId="0" borderId="0" xfId="7" applyNumberFormat="1" applyFont="1" applyFill="1"/>
    <xf numFmtId="174" fontId="2" fillId="0" borderId="0" xfId="1" applyNumberFormat="1" applyFont="1" applyFill="1"/>
    <xf numFmtId="0" fontId="2" fillId="0" borderId="0" xfId="7" applyFill="1" applyBorder="1"/>
    <xf numFmtId="10" fontId="30" fillId="0" borderId="0" xfId="10" applyNumberFormat="1" applyFont="1" applyFill="1"/>
    <xf numFmtId="0" fontId="2" fillId="0" borderId="0" xfId="7" applyFill="1" applyAlignment="1">
      <alignment horizontal="center"/>
    </xf>
    <xf numFmtId="0" fontId="2" fillId="0" borderId="14" xfId="7" applyFill="1" applyBorder="1" applyAlignment="1">
      <alignment horizontal="center"/>
    </xf>
    <xf numFmtId="167" fontId="2" fillId="0" borderId="0" xfId="10" applyNumberFormat="1" applyFont="1" applyFill="1"/>
    <xf numFmtId="0" fontId="31" fillId="0" borderId="0" xfId="7" applyFont="1" applyFill="1"/>
    <xf numFmtId="167" fontId="2" fillId="0" borderId="14" xfId="10" applyNumberFormat="1" applyFont="1" applyFill="1" applyBorder="1" applyAlignment="1">
      <alignment horizontal="center"/>
    </xf>
    <xf numFmtId="173" fontId="2" fillId="0" borderId="0" xfId="4" applyNumberFormat="1" applyFont="1" applyFill="1"/>
    <xf numFmtId="167" fontId="30" fillId="0" borderId="0" xfId="10" applyNumberFormat="1" applyFont="1" applyFill="1" applyBorder="1"/>
    <xf numFmtId="173" fontId="30" fillId="0" borderId="14" xfId="4" applyNumberFormat="1" applyFont="1" applyFill="1" applyBorder="1" applyAlignment="1">
      <alignment horizontal="left"/>
    </xf>
    <xf numFmtId="167" fontId="30" fillId="0" borderId="14" xfId="10" applyNumberFormat="1" applyFont="1" applyFill="1" applyBorder="1"/>
    <xf numFmtId="9" fontId="30" fillId="0" borderId="0" xfId="10" applyFont="1" applyFill="1"/>
    <xf numFmtId="0" fontId="29" fillId="0" borderId="0" xfId="7" applyFont="1" applyFill="1"/>
    <xf numFmtId="173" fontId="2" fillId="0" borderId="0" xfId="7" applyNumberFormat="1" applyFont="1" applyFill="1" applyBorder="1"/>
    <xf numFmtId="173" fontId="38" fillId="0" borderId="0" xfId="7" applyNumberFormat="1" applyFont="1" applyFill="1"/>
    <xf numFmtId="9" fontId="30" fillId="0" borderId="0" xfId="10" applyFont="1" applyFill="1" applyAlignment="1">
      <alignment horizontal="center"/>
    </xf>
    <xf numFmtId="174" fontId="0" fillId="0" borderId="0" xfId="1" applyNumberFormat="1" applyFont="1" applyFill="1"/>
    <xf numFmtId="253" fontId="0" fillId="0" borderId="0" xfId="0" applyNumberFormat="1" applyFill="1"/>
    <xf numFmtId="174" fontId="0" fillId="0" borderId="0" xfId="0" applyNumberFormat="1" applyFill="1"/>
    <xf numFmtId="0" fontId="2" fillId="0" borderId="0" xfId="7" quotePrefix="1" applyFont="1" applyFill="1"/>
    <xf numFmtId="10" fontId="0" fillId="0" borderId="0" xfId="0" applyNumberFormat="1" applyFill="1"/>
    <xf numFmtId="1" fontId="2" fillId="0" borderId="0" xfId="4" applyNumberFormat="1" applyFont="1" applyFill="1"/>
    <xf numFmtId="8" fontId="2" fillId="0" borderId="0" xfId="7" applyNumberFormat="1" applyFont="1" applyFill="1"/>
    <xf numFmtId="167" fontId="2" fillId="0" borderId="0" xfId="7" applyNumberFormat="1" applyFill="1"/>
    <xf numFmtId="0" fontId="30" fillId="0" borderId="0" xfId="7" applyFont="1" applyFill="1"/>
    <xf numFmtId="44" fontId="30" fillId="0" borderId="0" xfId="4" applyFont="1" applyFill="1"/>
    <xf numFmtId="43" fontId="2" fillId="0" borderId="0" xfId="7" applyNumberFormat="1" applyFill="1"/>
    <xf numFmtId="1" fontId="38" fillId="0" borderId="0" xfId="4" applyNumberFormat="1" applyFont="1" applyFill="1"/>
    <xf numFmtId="3" fontId="2" fillId="0" borderId="0" xfId="7" applyNumberFormat="1" applyFont="1" applyFill="1" applyAlignment="1">
      <alignment horizontal="center"/>
    </xf>
    <xf numFmtId="3" fontId="2" fillId="0" borderId="0" xfId="7" applyNumberFormat="1" applyFill="1"/>
    <xf numFmtId="10" fontId="38" fillId="0" borderId="0" xfId="7" applyNumberFormat="1" applyFont="1" applyFill="1"/>
    <xf numFmtId="10" fontId="2" fillId="0" borderId="0" xfId="7" applyNumberFormat="1" applyFont="1" applyFill="1"/>
    <xf numFmtId="10" fontId="2" fillId="0" borderId="0" xfId="7" applyNumberFormat="1" applyFill="1"/>
    <xf numFmtId="10" fontId="2" fillId="0" borderId="0" xfId="10" applyNumberFormat="1" applyFont="1" applyFill="1" applyAlignment="1">
      <alignment horizontal="center"/>
    </xf>
    <xf numFmtId="44" fontId="2" fillId="0" borderId="0" xfId="4" applyFill="1"/>
    <xf numFmtId="173" fontId="2" fillId="0" borderId="0" xfId="4" applyNumberFormat="1" applyFill="1" applyAlignment="1">
      <alignment horizontal="center"/>
    </xf>
    <xf numFmtId="2" fontId="2" fillId="0" borderId="0" xfId="7" applyNumberFormat="1" applyFont="1" applyFill="1"/>
    <xf numFmtId="173" fontId="2" fillId="0" borderId="0" xfId="7" applyNumberFormat="1" applyFill="1" applyBorder="1"/>
    <xf numFmtId="173" fontId="2" fillId="0" borderId="0" xfId="7" applyNumberFormat="1" applyFont="1" applyFill="1" applyBorder="1" applyAlignment="1">
      <alignment horizontal="right"/>
    </xf>
    <xf numFmtId="173" fontId="2" fillId="0" borderId="17" xfId="4" applyNumberFormat="1" applyFont="1" applyFill="1" applyBorder="1"/>
    <xf numFmtId="173" fontId="2" fillId="0" borderId="15" xfId="4" applyNumberFormat="1" applyFont="1" applyFill="1" applyBorder="1"/>
    <xf numFmtId="173" fontId="2" fillId="0" borderId="25" xfId="4" applyNumberFormat="1" applyFont="1" applyFill="1" applyBorder="1"/>
    <xf numFmtId="173" fontId="2" fillId="0" borderId="14" xfId="4" applyNumberFormat="1" applyFont="1" applyFill="1" applyBorder="1"/>
    <xf numFmtId="174" fontId="2" fillId="0" borderId="14" xfId="4" applyNumberFormat="1" applyFont="1" applyFill="1" applyBorder="1"/>
    <xf numFmtId="0" fontId="2" fillId="0" borderId="0" xfId="7" applyFont="1" applyFill="1" applyAlignment="1">
      <alignment horizontal="center"/>
    </xf>
    <xf numFmtId="8" fontId="2" fillId="0" borderId="0" xfId="7" applyNumberFormat="1" applyFill="1"/>
    <xf numFmtId="6" fontId="38" fillId="0" borderId="18" xfId="7" applyNumberFormat="1" applyFont="1" applyFill="1" applyBorder="1"/>
    <xf numFmtId="0" fontId="38" fillId="0" borderId="19" xfId="7" applyFont="1" applyFill="1" applyBorder="1"/>
    <xf numFmtId="0" fontId="38" fillId="0" borderId="23" xfId="7" applyFont="1" applyFill="1" applyBorder="1"/>
    <xf numFmtId="6" fontId="38" fillId="0" borderId="62" xfId="7" applyNumberFormat="1" applyFont="1" applyFill="1" applyBorder="1"/>
    <xf numFmtId="0" fontId="86" fillId="0" borderId="0" xfId="0" applyFont="1"/>
    <xf numFmtId="0" fontId="87" fillId="0" borderId="0" xfId="0" applyFont="1" applyAlignment="1">
      <alignment horizontal="center"/>
    </xf>
    <xf numFmtId="0" fontId="8" fillId="10" borderId="63" xfId="0" applyFont="1" applyFill="1" applyBorder="1"/>
    <xf numFmtId="0" fontId="86" fillId="0" borderId="0" xfId="0" applyFont="1" applyAlignment="1">
      <alignment horizontal="center"/>
    </xf>
    <xf numFmtId="0" fontId="0" fillId="9" borderId="63" xfId="0" applyFill="1" applyBorder="1"/>
    <xf numFmtId="0" fontId="0" fillId="6" borderId="63" xfId="0" applyFill="1" applyBorder="1"/>
    <xf numFmtId="0" fontId="61" fillId="10" borderId="64" xfId="0" applyFont="1" applyFill="1" applyBorder="1" applyAlignment="1">
      <alignment horizontal="center"/>
    </xf>
    <xf numFmtId="0" fontId="14" fillId="9" borderId="64" xfId="0" applyFont="1" applyFill="1" applyBorder="1" applyAlignment="1">
      <alignment horizontal="center"/>
    </xf>
    <xf numFmtId="0" fontId="66" fillId="6" borderId="64" xfId="0" applyFont="1" applyFill="1" applyBorder="1" applyAlignment="1">
      <alignment horizontal="center"/>
    </xf>
    <xf numFmtId="9" fontId="0" fillId="0" borderId="0" xfId="0" applyNumberFormat="1"/>
    <xf numFmtId="0" fontId="14" fillId="6" borderId="65" xfId="0" applyFont="1" applyFill="1" applyBorder="1" applyAlignment="1">
      <alignment horizontal="center"/>
    </xf>
    <xf numFmtId="8" fontId="2" fillId="0" borderId="0" xfId="7" applyNumberFormat="1" applyFill="1" applyBorder="1"/>
    <xf numFmtId="173" fontId="38" fillId="0" borderId="22" xfId="7" applyNumberFormat="1" applyFont="1" applyFill="1" applyBorder="1"/>
    <xf numFmtId="0" fontId="8" fillId="10" borderId="64" xfId="0" applyFont="1" applyFill="1" applyBorder="1"/>
    <xf numFmtId="0" fontId="0" fillId="9" borderId="64" xfId="0" applyFill="1" applyBorder="1"/>
    <xf numFmtId="0" fontId="0" fillId="18" borderId="63" xfId="0" applyFill="1" applyBorder="1"/>
    <xf numFmtId="0" fontId="52" fillId="18" borderId="64" xfId="0" applyFont="1" applyFill="1" applyBorder="1" applyAlignment="1">
      <alignment horizontal="center"/>
    </xf>
    <xf numFmtId="0" fontId="14" fillId="18" borderId="65" xfId="0" applyFont="1" applyFill="1" applyBorder="1" applyAlignment="1">
      <alignment horizontal="center"/>
    </xf>
    <xf numFmtId="0" fontId="63" fillId="9" borderId="64" xfId="0" applyFont="1" applyFill="1" applyBorder="1" applyAlignment="1">
      <alignment horizontal="center"/>
    </xf>
    <xf numFmtId="0" fontId="14" fillId="9" borderId="65" xfId="0" applyFont="1" applyFill="1" applyBorder="1" applyAlignment="1">
      <alignment horizontal="center"/>
    </xf>
    <xf numFmtId="0" fontId="0" fillId="19" borderId="63" xfId="0" applyFill="1" applyBorder="1"/>
    <xf numFmtId="0" fontId="88" fillId="19" borderId="64" xfId="0" applyFont="1" applyFill="1" applyBorder="1" applyAlignment="1">
      <alignment horizontal="center"/>
    </xf>
    <xf numFmtId="0" fontId="0" fillId="10" borderId="64" xfId="0" applyFill="1" applyBorder="1"/>
    <xf numFmtId="0" fontId="88" fillId="19" borderId="65" xfId="0" applyFont="1" applyFill="1" applyBorder="1" applyAlignment="1">
      <alignment horizontal="center"/>
    </xf>
    <xf numFmtId="0" fontId="10" fillId="20" borderId="63" xfId="0" applyFont="1" applyFill="1" applyBorder="1" applyAlignment="1">
      <alignment horizontal="center"/>
    </xf>
    <xf numFmtId="0" fontId="10" fillId="20" borderId="64" xfId="0" applyFont="1" applyFill="1" applyBorder="1" applyAlignment="1">
      <alignment horizontal="center"/>
    </xf>
    <xf numFmtId="0" fontId="10" fillId="20" borderId="65" xfId="0" applyFont="1" applyFill="1" applyBorder="1" applyAlignment="1">
      <alignment horizontal="center"/>
    </xf>
    <xf numFmtId="0" fontId="10" fillId="9" borderId="64" xfId="0" applyFont="1" applyFill="1" applyBorder="1" applyAlignment="1">
      <alignment horizontal="center"/>
    </xf>
    <xf numFmtId="0" fontId="0" fillId="17" borderId="63" xfId="0" applyFill="1" applyBorder="1"/>
    <xf numFmtId="0" fontId="89" fillId="17" borderId="64" xfId="0" applyFont="1" applyFill="1" applyBorder="1" applyAlignment="1">
      <alignment horizontal="center"/>
    </xf>
    <xf numFmtId="0" fontId="14" fillId="17" borderId="65" xfId="0" applyFont="1" applyFill="1" applyBorder="1" applyAlignment="1">
      <alignment horizontal="center"/>
    </xf>
    <xf numFmtId="0" fontId="86" fillId="0" borderId="43" xfId="0" applyFont="1" applyBorder="1"/>
    <xf numFmtId="0" fontId="8" fillId="10" borderId="66" xfId="0" applyFont="1" applyFill="1" applyBorder="1"/>
    <xf numFmtId="0" fontId="0" fillId="10" borderId="66" xfId="0" applyFill="1" applyBorder="1"/>
    <xf numFmtId="0" fontId="68" fillId="21" borderId="63" xfId="0" applyFont="1" applyFill="1" applyBorder="1"/>
    <xf numFmtId="0" fontId="69" fillId="21" borderId="64" xfId="0" applyFont="1" applyFill="1" applyBorder="1" applyAlignment="1">
      <alignment horizontal="center"/>
    </xf>
    <xf numFmtId="0" fontId="69" fillId="21" borderId="65" xfId="0" applyFont="1" applyFill="1" applyBorder="1" applyAlignment="1">
      <alignment horizontal="center"/>
    </xf>
    <xf numFmtId="0" fontId="0" fillId="10" borderId="65" xfId="0" applyFill="1" applyBorder="1"/>
    <xf numFmtId="0" fontId="0" fillId="9" borderId="65" xfId="0" applyFill="1" applyBorder="1"/>
    <xf numFmtId="173" fontId="2" fillId="6" borderId="0" xfId="4" applyNumberFormat="1" applyFill="1"/>
    <xf numFmtId="3" fontId="24" fillId="0" borderId="0" xfId="0" applyNumberFormat="1" applyFont="1" applyAlignment="1">
      <alignment horizontal="right"/>
    </xf>
    <xf numFmtId="3" fontId="42" fillId="0" borderId="0" xfId="0" applyNumberFormat="1" applyFont="1" applyAlignment="1">
      <alignment horizontal="center"/>
    </xf>
    <xf numFmtId="167" fontId="33" fillId="0" borderId="0" xfId="10" applyNumberFormat="1" applyFont="1" applyFill="1"/>
    <xf numFmtId="6" fontId="38" fillId="0" borderId="67" xfId="7" applyNumberFormat="1" applyFont="1" applyFill="1" applyBorder="1"/>
    <xf numFmtId="0" fontId="38" fillId="0" borderId="1" xfId="7" applyFont="1" applyFill="1" applyBorder="1"/>
    <xf numFmtId="6" fontId="38" fillId="0" borderId="0" xfId="7" applyNumberFormat="1" applyFont="1" applyFill="1" applyBorder="1"/>
    <xf numFmtId="6" fontId="38" fillId="0" borderId="1" xfId="7" applyNumberFormat="1" applyFont="1" applyFill="1" applyBorder="1"/>
    <xf numFmtId="10" fontId="38" fillId="0" borderId="22" xfId="10" applyNumberFormat="1" applyFont="1" applyFill="1" applyBorder="1"/>
    <xf numFmtId="9" fontId="2" fillId="0" borderId="0" xfId="7" applyNumberFormat="1" applyFill="1"/>
    <xf numFmtId="10" fontId="0" fillId="0" borderId="0" xfId="10" applyNumberFormat="1" applyFont="1" applyFill="1"/>
    <xf numFmtId="173" fontId="1" fillId="0" borderId="0" xfId="10" applyNumberFormat="1"/>
    <xf numFmtId="1" fontId="81" fillId="0" borderId="56" xfId="5" applyNumberFormat="1" applyFont="1" applyFill="1" applyBorder="1" applyAlignment="1">
      <alignment horizontal="right" wrapText="1"/>
    </xf>
    <xf numFmtId="0" fontId="84" fillId="15" borderId="56" xfId="5" applyFont="1" applyFill="1" applyBorder="1" applyAlignment="1">
      <alignment horizontal="right" wrapText="1"/>
    </xf>
    <xf numFmtId="9" fontId="38" fillId="0" borderId="14" xfId="10" applyFont="1" applyFill="1" applyBorder="1" applyAlignment="1">
      <alignment horizontal="center"/>
    </xf>
    <xf numFmtId="0" fontId="38" fillId="0" borderId="14" xfId="7" applyFont="1" applyFill="1" applyBorder="1" applyAlignment="1">
      <alignment horizontal="center"/>
    </xf>
    <xf numFmtId="0" fontId="38" fillId="0" borderId="0" xfId="7" applyFont="1" applyFill="1" applyAlignment="1">
      <alignment horizontal="center"/>
    </xf>
    <xf numFmtId="9" fontId="2" fillId="0" borderId="0" xfId="10" applyFont="1" applyFill="1"/>
    <xf numFmtId="10" fontId="2" fillId="0" borderId="0" xfId="10" applyNumberFormat="1" applyFont="1" applyFill="1"/>
    <xf numFmtId="0" fontId="90" fillId="0" borderId="0" xfId="0" applyFont="1"/>
    <xf numFmtId="0" fontId="38" fillId="0" borderId="0" xfId="7" applyFont="1" applyFill="1" applyAlignment="1">
      <alignment wrapText="1"/>
    </xf>
    <xf numFmtId="6" fontId="38" fillId="0" borderId="0" xfId="7" applyNumberFormat="1" applyFont="1" applyFill="1"/>
    <xf numFmtId="6" fontId="38" fillId="0" borderId="22" xfId="7" applyNumberFormat="1" applyFont="1" applyFill="1" applyBorder="1"/>
    <xf numFmtId="9" fontId="38" fillId="0" borderId="62" xfId="7" applyNumberFormat="1" applyFont="1" applyFill="1" applyBorder="1"/>
    <xf numFmtId="0" fontId="2" fillId="16" borderId="0" xfId="7" applyFill="1"/>
    <xf numFmtId="173" fontId="2" fillId="16" borderId="0" xfId="4" applyNumberFormat="1" applyFill="1"/>
    <xf numFmtId="174" fontId="38" fillId="0" borderId="20" xfId="1" applyNumberFormat="1" applyFont="1" applyBorder="1"/>
    <xf numFmtId="9" fontId="42" fillId="0" borderId="0" xfId="0" applyNumberFormat="1" applyFont="1"/>
    <xf numFmtId="0" fontId="86" fillId="0" borderId="43" xfId="0" applyFont="1" applyBorder="1" applyAlignment="1">
      <alignment horizontal="center"/>
    </xf>
    <xf numFmtId="0" fontId="14" fillId="9" borderId="63" xfId="0" applyFont="1" applyFill="1" applyBorder="1" applyAlignment="1">
      <alignment horizontal="center"/>
    </xf>
    <xf numFmtId="0" fontId="10" fillId="22" borderId="63" xfId="0" applyFont="1" applyFill="1" applyBorder="1" applyAlignment="1">
      <alignment horizontal="center"/>
    </xf>
    <xf numFmtId="0" fontId="10" fillId="22" borderId="64" xfId="0" applyFont="1" applyFill="1" applyBorder="1" applyAlignment="1">
      <alignment horizontal="center"/>
    </xf>
    <xf numFmtId="0" fontId="10" fillId="22" borderId="65" xfId="0" applyFont="1" applyFill="1" applyBorder="1" applyAlignment="1">
      <alignment horizontal="center"/>
    </xf>
    <xf numFmtId="3" fontId="0" fillId="6" borderId="0" xfId="0" applyNumberFormat="1" applyFill="1"/>
    <xf numFmtId="0" fontId="0" fillId="6" borderId="0" xfId="0" applyFill="1" applyBorder="1" applyAlignment="1">
      <alignment horizontal="right"/>
    </xf>
    <xf numFmtId="0" fontId="0" fillId="6" borderId="0" xfId="0" applyFill="1" applyAlignment="1">
      <alignment horizontal="right"/>
    </xf>
    <xf numFmtId="3" fontId="14" fillId="0" borderId="0" xfId="0" applyNumberFormat="1" applyFont="1" applyAlignment="1">
      <alignment horizontal="left"/>
    </xf>
    <xf numFmtId="173" fontId="57" fillId="12" borderId="0" xfId="2" applyNumberFormat="1" applyFont="1" applyFill="1" applyBorder="1"/>
    <xf numFmtId="0" fontId="90" fillId="0" borderId="6" xfId="0" applyFont="1" applyBorder="1"/>
    <xf numFmtId="169" fontId="0" fillId="0" borderId="0" xfId="0" applyNumberFormat="1" applyBorder="1"/>
    <xf numFmtId="169" fontId="0" fillId="0" borderId="12" xfId="0" applyNumberFormat="1" applyBorder="1"/>
    <xf numFmtId="43" fontId="4" fillId="0" borderId="0" xfId="1" applyFont="1"/>
    <xf numFmtId="169" fontId="0" fillId="0" borderId="9" xfId="0" applyNumberFormat="1" applyBorder="1"/>
    <xf numFmtId="169" fontId="0" fillId="0" borderId="13" xfId="0" applyNumberFormat="1" applyBorder="1"/>
    <xf numFmtId="0" fontId="83" fillId="0" borderId="11" xfId="0" applyFont="1" applyBorder="1" applyAlignment="1">
      <alignment wrapText="1"/>
    </xf>
    <xf numFmtId="173" fontId="0" fillId="0" borderId="0" xfId="0" applyNumberFormat="1"/>
    <xf numFmtId="167" fontId="0" fillId="0" borderId="0" xfId="10" applyNumberFormat="1" applyFont="1"/>
    <xf numFmtId="0" fontId="6" fillId="0" borderId="0" xfId="0" applyFont="1"/>
    <xf numFmtId="173" fontId="6" fillId="0" borderId="0" xfId="0" applyNumberFormat="1" applyFont="1"/>
    <xf numFmtId="43" fontId="0" fillId="0" borderId="0" xfId="0" applyNumberFormat="1"/>
    <xf numFmtId="173" fontId="2" fillId="19" borderId="0" xfId="4" applyNumberFormat="1" applyFill="1"/>
    <xf numFmtId="0" fontId="62" fillId="16" borderId="0" xfId="0" applyFont="1" applyFill="1" applyBorder="1" applyAlignment="1">
      <alignment horizontal="right"/>
    </xf>
    <xf numFmtId="0" fontId="10" fillId="6" borderId="0" xfId="0" applyFont="1" applyFill="1"/>
    <xf numFmtId="173" fontId="6" fillId="6" borderId="0" xfId="0" applyNumberFormat="1" applyFont="1" applyFill="1"/>
    <xf numFmtId="0" fontId="0" fillId="0" borderId="0" xfId="0" applyFill="1" applyBorder="1"/>
    <xf numFmtId="174" fontId="0" fillId="0" borderId="0" xfId="0" applyNumberFormat="1" applyFill="1" applyBorder="1"/>
    <xf numFmtId="0" fontId="0" fillId="0" borderId="0" xfId="0" applyFill="1" applyBorder="1" applyAlignment="1">
      <alignment horizontal="right"/>
    </xf>
    <xf numFmtId="174" fontId="64" fillId="0" borderId="0" xfId="1" applyNumberFormat="1" applyFont="1" applyFill="1" applyBorder="1"/>
    <xf numFmtId="174" fontId="0" fillId="0" borderId="0" xfId="1" applyNumberFormat="1" applyFont="1" applyFill="1" applyBorder="1"/>
    <xf numFmtId="0" fontId="14" fillId="0" borderId="0" xfId="0" applyFont="1" applyFill="1" applyBorder="1" applyAlignment="1">
      <alignment horizontal="right"/>
    </xf>
    <xf numFmtId="10" fontId="24" fillId="0" borderId="0" xfId="10" applyNumberFormat="1" applyFont="1"/>
    <xf numFmtId="0" fontId="0" fillId="0" borderId="68" xfId="0" applyBorder="1"/>
    <xf numFmtId="2" fontId="0" fillId="0" borderId="69" xfId="0" applyNumberFormat="1" applyBorder="1"/>
    <xf numFmtId="0" fontId="0" fillId="0" borderId="70" xfId="0" applyBorder="1"/>
    <xf numFmtId="0" fontId="0" fillId="0" borderId="71" xfId="0" applyBorder="1"/>
    <xf numFmtId="174" fontId="0" fillId="0" borderId="71" xfId="1" applyNumberFormat="1" applyFont="1" applyBorder="1"/>
    <xf numFmtId="43" fontId="0" fillId="0" borderId="71" xfId="0" applyNumberFormat="1" applyBorder="1"/>
    <xf numFmtId="174" fontId="0" fillId="0" borderId="71" xfId="0" applyNumberFormat="1" applyBorder="1"/>
    <xf numFmtId="0" fontId="0" fillId="0" borderId="72" xfId="0" applyBorder="1"/>
    <xf numFmtId="6" fontId="0" fillId="0" borderId="73" xfId="0" applyNumberFormat="1" applyBorder="1"/>
    <xf numFmtId="10" fontId="62" fillId="0" borderId="0" xfId="0" applyNumberFormat="1" applyFont="1"/>
    <xf numFmtId="0" fontId="91" fillId="0" borderId="11" xfId="0" applyFont="1" applyBorder="1" applyAlignment="1">
      <alignment wrapText="1"/>
    </xf>
    <xf numFmtId="0" fontId="91" fillId="0" borderId="11" xfId="0" applyFont="1" applyBorder="1" applyAlignment="1">
      <alignment horizontal="left" wrapText="1"/>
    </xf>
    <xf numFmtId="0" fontId="62" fillId="0" borderId="0" xfId="0" applyFont="1" applyBorder="1"/>
    <xf numFmtId="174" fontId="62" fillId="0" borderId="0" xfId="2" applyNumberFormat="1" applyFont="1" applyBorder="1"/>
    <xf numFmtId="6" fontId="0" fillId="0" borderId="0" xfId="0" applyNumberFormat="1" applyBorder="1"/>
    <xf numFmtId="0" fontId="62" fillId="0" borderId="0" xfId="0" applyFont="1" applyFill="1" applyBorder="1" applyAlignment="1">
      <alignment horizontal="right"/>
    </xf>
    <xf numFmtId="10" fontId="62" fillId="0" borderId="0" xfId="10" applyNumberFormat="1" applyFont="1"/>
    <xf numFmtId="10" fontId="14" fillId="0" borderId="0" xfId="10" applyNumberFormat="1" applyFont="1"/>
    <xf numFmtId="3" fontId="4" fillId="0" borderId="0" xfId="0" applyNumberFormat="1" applyFont="1" applyFill="1" applyBorder="1" applyAlignment="1">
      <alignment horizontal="right"/>
    </xf>
    <xf numFmtId="173" fontId="30" fillId="0" borderId="0" xfId="2" applyNumberFormat="1" applyFont="1" applyFill="1"/>
    <xf numFmtId="6" fontId="2" fillId="0" borderId="0" xfId="7" applyNumberFormat="1" applyFont="1"/>
    <xf numFmtId="0" fontId="14" fillId="0" borderId="0" xfId="0" applyFont="1" applyFill="1" applyBorder="1" applyAlignment="1">
      <alignment horizontal="center"/>
    </xf>
    <xf numFmtId="3" fontId="4" fillId="0" borderId="0" xfId="0" applyNumberFormat="1" applyFont="1" applyFill="1" applyBorder="1"/>
    <xf numFmtId="0" fontId="81" fillId="0" borderId="74" xfId="5" applyFont="1" applyFill="1" applyBorder="1" applyAlignment="1">
      <alignment horizontal="center" vertical="center" wrapText="1"/>
    </xf>
    <xf numFmtId="174" fontId="38" fillId="23" borderId="14" xfId="1" applyNumberFormat="1" applyFont="1" applyFill="1" applyBorder="1"/>
    <xf numFmtId="174" fontId="2" fillId="23" borderId="0" xfId="1" applyNumberFormat="1" applyFont="1" applyFill="1" applyBorder="1"/>
    <xf numFmtId="173" fontId="2" fillId="23" borderId="0" xfId="2" applyNumberFormat="1" applyFont="1" applyFill="1"/>
    <xf numFmtId="174" fontId="0" fillId="23" borderId="0" xfId="1" applyNumberFormat="1" applyFont="1" applyFill="1"/>
    <xf numFmtId="10" fontId="0" fillId="23" borderId="0" xfId="10" applyNumberFormat="1" applyFont="1" applyFill="1"/>
    <xf numFmtId="174" fontId="0" fillId="23" borderId="0" xfId="0" applyNumberFormat="1" applyFill="1"/>
    <xf numFmtId="0" fontId="0" fillId="23" borderId="0" xfId="0" applyFill="1" applyAlignment="1">
      <alignment horizontal="left"/>
    </xf>
    <xf numFmtId="174" fontId="38" fillId="23" borderId="0" xfId="1" applyNumberFormat="1" applyFont="1" applyFill="1" applyBorder="1"/>
    <xf numFmtId="174" fontId="38" fillId="23" borderId="15" xfId="1" applyNumberFormat="1" applyFont="1" applyFill="1" applyBorder="1"/>
    <xf numFmtId="174" fontId="2" fillId="23" borderId="15" xfId="1" applyNumberFormat="1" applyFont="1" applyFill="1" applyBorder="1"/>
    <xf numFmtId="3" fontId="2" fillId="23" borderId="0" xfId="7" applyNumberFormat="1" applyFont="1" applyFill="1" applyAlignment="1">
      <alignment horizontal="center"/>
    </xf>
    <xf numFmtId="10" fontId="2" fillId="23" borderId="0" xfId="10" applyNumberFormat="1" applyFont="1" applyFill="1" applyAlignment="1">
      <alignment horizontal="center"/>
    </xf>
    <xf numFmtId="10" fontId="30" fillId="23" borderId="0" xfId="10" applyNumberFormat="1" applyFont="1" applyFill="1" applyAlignment="1">
      <alignment horizontal="right"/>
    </xf>
    <xf numFmtId="3" fontId="2" fillId="6" borderId="0" xfId="7" applyNumberFormat="1" applyFont="1" applyFill="1" applyAlignment="1">
      <alignment horizontal="center"/>
    </xf>
    <xf numFmtId="173" fontId="2" fillId="6" borderId="0" xfId="4" applyNumberFormat="1" applyFont="1" applyFill="1" applyBorder="1"/>
    <xf numFmtId="173" fontId="38" fillId="6" borderId="0" xfId="7" applyNumberFormat="1" applyFont="1" applyFill="1"/>
    <xf numFmtId="174" fontId="38" fillId="6" borderId="0" xfId="7" applyNumberFormat="1" applyFont="1" applyFill="1"/>
    <xf numFmtId="167" fontId="2" fillId="6" borderId="0" xfId="10" applyNumberFormat="1" applyFont="1" applyFill="1"/>
    <xf numFmtId="167" fontId="30" fillId="6" borderId="0" xfId="10" applyNumberFormat="1" applyFont="1" applyFill="1"/>
    <xf numFmtId="173" fontId="2" fillId="6" borderId="0" xfId="7" applyNumberFormat="1" applyFont="1" applyFill="1"/>
    <xf numFmtId="173" fontId="2" fillId="6" borderId="0" xfId="4" applyNumberFormat="1" applyFont="1" applyFill="1"/>
    <xf numFmtId="173" fontId="1" fillId="6" borderId="0" xfId="3" applyNumberFormat="1" applyFill="1"/>
    <xf numFmtId="174" fontId="14" fillId="6" borderId="61" xfId="0" applyNumberFormat="1" applyFont="1" applyFill="1" applyBorder="1"/>
    <xf numFmtId="173" fontId="2" fillId="6" borderId="0" xfId="4" applyNumberFormat="1" applyFill="1" applyBorder="1"/>
    <xf numFmtId="174" fontId="2" fillId="6" borderId="0" xfId="1" applyNumberFormat="1" applyFont="1" applyFill="1"/>
    <xf numFmtId="174" fontId="2" fillId="6" borderId="0" xfId="7" applyNumberFormat="1" applyFill="1"/>
    <xf numFmtId="173" fontId="14" fillId="6" borderId="0" xfId="3" applyNumberFormat="1" applyFont="1" applyFill="1"/>
    <xf numFmtId="173" fontId="1" fillId="6" borderId="0" xfId="6" applyNumberFormat="1" applyFill="1" applyBorder="1"/>
    <xf numFmtId="9" fontId="14" fillId="6" borderId="0" xfId="10" applyFont="1" applyFill="1"/>
    <xf numFmtId="173" fontId="2" fillId="6" borderId="0" xfId="7" applyNumberFormat="1" applyFont="1" applyFill="1" applyBorder="1"/>
    <xf numFmtId="173" fontId="2" fillId="6" borderId="14" xfId="7" applyNumberFormat="1" applyFont="1" applyFill="1" applyBorder="1"/>
    <xf numFmtId="173" fontId="2" fillId="23" borderId="0" xfId="7" applyNumberFormat="1" applyFont="1" applyFill="1"/>
    <xf numFmtId="173" fontId="2" fillId="23" borderId="0" xfId="7" applyNumberFormat="1" applyFill="1"/>
    <xf numFmtId="173" fontId="1" fillId="23" borderId="0" xfId="2" applyNumberFormat="1" applyFill="1"/>
    <xf numFmtId="174" fontId="2" fillId="23" borderId="0" xfId="4" applyNumberFormat="1" applyFill="1"/>
    <xf numFmtId="173" fontId="2" fillId="23" borderId="0" xfId="4" applyNumberFormat="1" applyFill="1"/>
    <xf numFmtId="10" fontId="30" fillId="23" borderId="0" xfId="10" applyNumberFormat="1" applyFont="1" applyFill="1"/>
    <xf numFmtId="173" fontId="2" fillId="23" borderId="0" xfId="4" applyNumberFormat="1" applyFont="1" applyFill="1"/>
    <xf numFmtId="173" fontId="1" fillId="23" borderId="0" xfId="3" applyNumberFormat="1" applyFill="1"/>
    <xf numFmtId="174" fontId="14" fillId="23" borderId="26" xfId="1" applyNumberFormat="1" applyFont="1" applyFill="1" applyBorder="1"/>
    <xf numFmtId="167" fontId="2" fillId="23" borderId="0" xfId="4" applyNumberFormat="1" applyFont="1" applyFill="1"/>
    <xf numFmtId="167" fontId="2" fillId="23" borderId="0" xfId="10" applyNumberFormat="1" applyFont="1" applyFill="1"/>
    <xf numFmtId="174" fontId="2" fillId="23" borderId="14" xfId="1" applyNumberFormat="1" applyFont="1" applyFill="1" applyBorder="1"/>
    <xf numFmtId="174" fontId="2" fillId="23" borderId="0" xfId="7" applyNumberFormat="1" applyFill="1" applyBorder="1"/>
    <xf numFmtId="5" fontId="0" fillId="23" borderId="0" xfId="0" applyNumberFormat="1" applyFill="1"/>
    <xf numFmtId="173" fontId="2" fillId="23" borderId="0" xfId="4" applyNumberFormat="1" applyFill="1" applyAlignment="1">
      <alignment horizontal="center"/>
    </xf>
    <xf numFmtId="167" fontId="30" fillId="23" borderId="0" xfId="10" applyNumberFormat="1" applyFont="1" applyFill="1" applyAlignment="1">
      <alignment horizontal="right"/>
    </xf>
    <xf numFmtId="174" fontId="2" fillId="23" borderId="0" xfId="1" applyNumberFormat="1" applyFont="1" applyFill="1"/>
    <xf numFmtId="183" fontId="2" fillId="23" borderId="0" xfId="4" applyNumberFormat="1" applyFill="1"/>
    <xf numFmtId="183" fontId="30" fillId="23" borderId="0" xfId="4" applyNumberFormat="1" applyFont="1" applyFill="1"/>
    <xf numFmtId="183" fontId="2" fillId="23" borderId="0" xfId="4" applyNumberFormat="1" applyFill="1" applyBorder="1"/>
    <xf numFmtId="208" fontId="30" fillId="23" borderId="0" xfId="1" applyNumberFormat="1" applyFont="1" applyFill="1"/>
    <xf numFmtId="254" fontId="64" fillId="23" borderId="0" xfId="10" applyNumberFormat="1" applyFont="1" applyFill="1" applyBorder="1"/>
    <xf numFmtId="174" fontId="0" fillId="23" borderId="53" xfId="1" applyNumberFormat="1" applyFont="1" applyFill="1" applyBorder="1"/>
    <xf numFmtId="2" fontId="30" fillId="23" borderId="0" xfId="7" applyNumberFormat="1" applyFont="1" applyFill="1"/>
    <xf numFmtId="9" fontId="30" fillId="23" borderId="0" xfId="10" applyFont="1" applyFill="1"/>
    <xf numFmtId="0" fontId="2" fillId="23" borderId="0" xfId="7" applyFont="1" applyFill="1"/>
    <xf numFmtId="167" fontId="30" fillId="23" borderId="0" xfId="7" applyNumberFormat="1" applyFont="1" applyFill="1"/>
    <xf numFmtId="0" fontId="2" fillId="23" borderId="0" xfId="7" applyNumberFormat="1" applyFont="1" applyFill="1"/>
    <xf numFmtId="173" fontId="2" fillId="23" borderId="0" xfId="4" applyNumberFormat="1" applyFont="1" applyFill="1" applyBorder="1"/>
    <xf numFmtId="44" fontId="2" fillId="23" borderId="0" xfId="7" applyNumberFormat="1" applyFont="1" applyFill="1"/>
    <xf numFmtId="44" fontId="30" fillId="23" borderId="0" xfId="4" applyFont="1" applyFill="1"/>
    <xf numFmtId="44" fontId="2" fillId="23" borderId="0" xfId="7" applyNumberFormat="1" applyFont="1" applyFill="1" applyBorder="1"/>
    <xf numFmtId="44" fontId="2" fillId="23" borderId="0" xfId="4" applyFont="1" applyFill="1"/>
    <xf numFmtId="167" fontId="30" fillId="23" borderId="0" xfId="10" applyNumberFormat="1" applyFont="1" applyFill="1"/>
    <xf numFmtId="173" fontId="2" fillId="23" borderId="0" xfId="7" applyNumberFormat="1" applyFont="1" applyFill="1" applyBorder="1"/>
    <xf numFmtId="10" fontId="0" fillId="23" borderId="0" xfId="0" applyNumberFormat="1" applyFill="1"/>
    <xf numFmtId="174" fontId="1" fillId="23" borderId="0" xfId="1" applyNumberFormat="1" applyFill="1"/>
    <xf numFmtId="3" fontId="0" fillId="23" borderId="0" xfId="0" applyNumberFormat="1" applyFill="1" applyBorder="1"/>
    <xf numFmtId="10" fontId="1" fillId="23" borderId="0" xfId="10" applyNumberFormat="1" applyFill="1" applyAlignment="1">
      <alignment horizontal="left"/>
    </xf>
    <xf numFmtId="174" fontId="2" fillId="23" borderId="0" xfId="7" applyNumberFormat="1" applyFill="1"/>
    <xf numFmtId="173" fontId="2" fillId="23" borderId="14" xfId="7" applyNumberFormat="1" applyFill="1" applyBorder="1"/>
    <xf numFmtId="174" fontId="2" fillId="23" borderId="0" xfId="4" applyNumberFormat="1" applyFont="1" applyFill="1"/>
    <xf numFmtId="173" fontId="30" fillId="23" borderId="0" xfId="4" applyNumberFormat="1" applyFont="1" applyFill="1"/>
    <xf numFmtId="173" fontId="2" fillId="6" borderId="0" xfId="7" applyNumberFormat="1" applyFill="1"/>
    <xf numFmtId="167" fontId="2" fillId="23" borderId="0" xfId="10" applyNumberFormat="1" applyFont="1" applyFill="1" applyAlignment="1">
      <alignment horizontal="right"/>
    </xf>
    <xf numFmtId="174" fontId="0" fillId="6" borderId="0" xfId="1" applyNumberFormat="1" applyFont="1" applyFill="1"/>
    <xf numFmtId="174" fontId="2" fillId="23" borderId="14" xfId="4" applyNumberFormat="1" applyFont="1" applyFill="1" applyBorder="1"/>
    <xf numFmtId="174" fontId="2" fillId="6" borderId="14" xfId="1" applyNumberFormat="1" applyFont="1" applyFill="1" applyBorder="1"/>
    <xf numFmtId="0" fontId="92" fillId="0" borderId="74" xfId="5" applyFont="1" applyFill="1" applyBorder="1" applyAlignment="1">
      <alignment horizontal="center" vertical="center" wrapText="1"/>
    </xf>
    <xf numFmtId="0" fontId="83" fillId="0" borderId="0" xfId="0" applyFont="1" applyAlignment="1">
      <alignment textRotation="60"/>
    </xf>
    <xf numFmtId="0" fontId="92" fillId="0" borderId="56" xfId="5" applyFont="1" applyFill="1" applyBorder="1" applyAlignment="1">
      <alignment horizontal="right" wrapText="1"/>
    </xf>
    <xf numFmtId="0" fontId="92" fillId="0" borderId="56" xfId="5" applyFont="1" applyFill="1" applyBorder="1" applyAlignment="1">
      <alignment horizontal="left" wrapText="1"/>
    </xf>
    <xf numFmtId="0" fontId="92" fillId="0" borderId="56" xfId="8" applyFont="1" applyFill="1" applyBorder="1" applyAlignment="1">
      <alignment horizontal="left" wrapText="1"/>
    </xf>
    <xf numFmtId="174" fontId="92" fillId="0" borderId="56" xfId="1" applyNumberFormat="1" applyFont="1" applyFill="1" applyBorder="1" applyAlignment="1">
      <alignment horizontal="right" wrapText="1"/>
    </xf>
    <xf numFmtId="174" fontId="92" fillId="0" borderId="56" xfId="1" applyNumberFormat="1" applyFont="1" applyFill="1" applyBorder="1" applyAlignment="1">
      <alignment horizontal="left" wrapText="1"/>
    </xf>
    <xf numFmtId="0" fontId="92" fillId="0" borderId="56" xfId="8" applyFont="1" applyFill="1" applyBorder="1" applyAlignment="1">
      <alignment horizontal="right" wrapText="1"/>
    </xf>
    <xf numFmtId="174" fontId="83" fillId="0" borderId="0" xfId="1" applyNumberFormat="1" applyFont="1"/>
    <xf numFmtId="1" fontId="92" fillId="0" borderId="56" xfId="8" applyNumberFormat="1" applyFont="1" applyFill="1" applyBorder="1" applyAlignment="1">
      <alignment horizontal="left" wrapText="1"/>
    </xf>
    <xf numFmtId="0" fontId="83" fillId="0" borderId="0" xfId="0" applyFont="1"/>
    <xf numFmtId="0" fontId="83" fillId="0" borderId="56" xfId="5" applyFont="1" applyFill="1" applyBorder="1" applyAlignment="1">
      <alignment horizontal="right" wrapText="1"/>
    </xf>
    <xf numFmtId="0" fontId="83" fillId="0" borderId="56" xfId="5" applyFont="1" applyFill="1" applyBorder="1" applyAlignment="1">
      <alignment horizontal="left" wrapText="1"/>
    </xf>
    <xf numFmtId="0" fontId="86" fillId="0" borderId="56" xfId="8" applyFont="1" applyFill="1" applyBorder="1" applyAlignment="1">
      <alignment horizontal="left" wrapText="1"/>
    </xf>
    <xf numFmtId="174" fontId="86" fillId="0" borderId="56" xfId="1" applyNumberFormat="1" applyFont="1" applyFill="1" applyBorder="1" applyAlignment="1">
      <alignment horizontal="right" wrapText="1"/>
    </xf>
    <xf numFmtId="0" fontId="86" fillId="0" borderId="56" xfId="8" applyFont="1" applyFill="1" applyBorder="1" applyAlignment="1">
      <alignment horizontal="right" wrapText="1"/>
    </xf>
    <xf numFmtId="0" fontId="83" fillId="0" borderId="56" xfId="8" applyFont="1" applyFill="1" applyBorder="1" applyAlignment="1">
      <alignment horizontal="left" wrapText="1"/>
    </xf>
    <xf numFmtId="1" fontId="83" fillId="0" borderId="56" xfId="8" applyNumberFormat="1" applyFont="1" applyFill="1" applyBorder="1" applyAlignment="1">
      <alignment horizontal="left" wrapText="1"/>
    </xf>
    <xf numFmtId="41" fontId="83" fillId="0" borderId="0" xfId="0" applyNumberFormat="1" applyFont="1" applyFill="1" applyBorder="1"/>
    <xf numFmtId="0" fontId="83" fillId="0" borderId="0" xfId="0" applyFont="1" applyFill="1"/>
    <xf numFmtId="0" fontId="83" fillId="6" borderId="56" xfId="0" applyFont="1" applyFill="1" applyBorder="1"/>
    <xf numFmtId="0" fontId="83" fillId="0" borderId="56" xfId="0" applyFont="1" applyBorder="1"/>
    <xf numFmtId="174" fontId="83" fillId="0" borderId="56" xfId="1" applyNumberFormat="1" applyFont="1" applyBorder="1"/>
    <xf numFmtId="1" fontId="83" fillId="6" borderId="56" xfId="0" applyNumberFormat="1" applyFont="1" applyFill="1" applyBorder="1"/>
    <xf numFmtId="0" fontId="83" fillId="6" borderId="0" xfId="0" applyFont="1" applyFill="1" applyBorder="1"/>
    <xf numFmtId="0" fontId="83" fillId="6" borderId="56" xfId="5" applyFont="1" applyFill="1" applyBorder="1" applyAlignment="1">
      <alignment horizontal="right" wrapText="1"/>
    </xf>
    <xf numFmtId="0" fontId="83" fillId="6" borderId="56" xfId="5" applyFont="1" applyFill="1" applyBorder="1" applyAlignment="1">
      <alignment horizontal="left" wrapText="1"/>
    </xf>
    <xf numFmtId="0" fontId="83" fillId="14" borderId="56" xfId="8" applyFont="1" applyFill="1" applyBorder="1" applyAlignment="1">
      <alignment horizontal="left" wrapText="1"/>
    </xf>
    <xf numFmtId="0" fontId="83" fillId="15" borderId="56" xfId="8" applyFont="1" applyFill="1" applyBorder="1" applyAlignment="1">
      <alignment horizontal="left" wrapText="1"/>
    </xf>
    <xf numFmtId="1" fontId="83" fillId="15" borderId="56" xfId="8" applyNumberFormat="1" applyFont="1" applyFill="1" applyBorder="1" applyAlignment="1">
      <alignment horizontal="left" wrapText="1"/>
    </xf>
    <xf numFmtId="0" fontId="83" fillId="15" borderId="56" xfId="5" applyFont="1" applyFill="1" applyBorder="1" applyAlignment="1">
      <alignment horizontal="right" wrapText="1"/>
    </xf>
    <xf numFmtId="0" fontId="92" fillId="0" borderId="0" xfId="5" applyFont="1" applyFill="1" applyBorder="1" applyAlignment="1">
      <alignment horizontal="right" wrapText="1"/>
    </xf>
    <xf numFmtId="0" fontId="83" fillId="16" borderId="0" xfId="0" applyFont="1" applyFill="1"/>
    <xf numFmtId="0" fontId="83" fillId="15" borderId="56" xfId="5" applyFont="1" applyFill="1" applyBorder="1" applyAlignment="1">
      <alignment horizontal="left" wrapText="1"/>
    </xf>
    <xf numFmtId="0" fontId="83" fillId="6" borderId="56" xfId="8" applyFont="1" applyFill="1" applyBorder="1" applyAlignment="1">
      <alignment horizontal="left" wrapText="1"/>
    </xf>
    <xf numFmtId="41" fontId="83" fillId="0" borderId="0" xfId="0" applyNumberFormat="1" applyFont="1"/>
    <xf numFmtId="1" fontId="92" fillId="0" borderId="56" xfId="5" applyNumberFormat="1" applyFont="1" applyFill="1" applyBorder="1" applyAlignment="1">
      <alignment horizontal="right" wrapText="1"/>
    </xf>
    <xf numFmtId="0" fontId="83" fillId="6" borderId="0" xfId="0" applyFont="1" applyFill="1"/>
    <xf numFmtId="41" fontId="83" fillId="0" borderId="56" xfId="0" applyNumberFormat="1" applyFont="1" applyFill="1" applyBorder="1"/>
    <xf numFmtId="0" fontId="83" fillId="17" borderId="0" xfId="0" applyFont="1" applyFill="1"/>
    <xf numFmtId="0" fontId="83" fillId="17" borderId="56" xfId="8" applyFont="1" applyFill="1" applyBorder="1" applyAlignment="1">
      <alignment horizontal="left" wrapText="1"/>
    </xf>
    <xf numFmtId="0" fontId="92" fillId="6" borderId="56" xfId="5" applyFont="1" applyFill="1" applyBorder="1" applyAlignment="1">
      <alignment horizontal="right" wrapText="1"/>
    </xf>
    <xf numFmtId="0" fontId="86" fillId="15" borderId="56" xfId="8" applyFont="1" applyFill="1" applyBorder="1" applyAlignment="1">
      <alignment horizontal="left" wrapText="1"/>
    </xf>
    <xf numFmtId="0" fontId="92" fillId="0" borderId="60" xfId="5" applyFont="1" applyFill="1" applyBorder="1" applyAlignment="1">
      <alignment horizontal="right" wrapText="1"/>
    </xf>
    <xf numFmtId="0" fontId="92" fillId="0" borderId="57" xfId="5" applyFont="1" applyFill="1" applyBorder="1" applyAlignment="1">
      <alignment horizontal="right" wrapText="1"/>
    </xf>
    <xf numFmtId="0" fontId="92" fillId="0" borderId="58" xfId="5" applyFont="1" applyFill="1" applyBorder="1" applyAlignment="1">
      <alignment horizontal="right" wrapText="1"/>
    </xf>
    <xf numFmtId="0" fontId="92" fillId="0" borderId="59" xfId="5" applyFont="1" applyFill="1" applyBorder="1" applyAlignment="1">
      <alignment horizontal="right" wrapText="1"/>
    </xf>
    <xf numFmtId="0" fontId="92" fillId="6" borderId="56" xfId="5" applyFont="1" applyFill="1" applyBorder="1" applyAlignment="1">
      <alignment horizontal="left" wrapText="1"/>
    </xf>
    <xf numFmtId="0" fontId="92" fillId="14" borderId="56" xfId="8" applyFont="1" applyFill="1" applyBorder="1" applyAlignment="1">
      <alignment horizontal="left" wrapText="1"/>
    </xf>
    <xf numFmtId="0" fontId="92" fillId="15" borderId="56" xfId="8" applyFont="1" applyFill="1" applyBorder="1" applyAlignment="1">
      <alignment horizontal="left" wrapText="1"/>
    </xf>
    <xf numFmtId="1" fontId="86" fillId="15" borderId="56" xfId="8" applyNumberFormat="1" applyFont="1" applyFill="1" applyBorder="1" applyAlignment="1">
      <alignment horizontal="left" wrapText="1"/>
    </xf>
    <xf numFmtId="0" fontId="92" fillId="15" borderId="56" xfId="5" applyFont="1" applyFill="1" applyBorder="1" applyAlignment="1">
      <alignment horizontal="right" wrapText="1"/>
    </xf>
    <xf numFmtId="0" fontId="86" fillId="0" borderId="0" xfId="0" applyFont="1" applyFill="1"/>
    <xf numFmtId="0" fontId="86" fillId="6" borderId="0" xfId="0" applyFont="1" applyFill="1"/>
    <xf numFmtId="1" fontId="83" fillId="6" borderId="56" xfId="8" applyNumberFormat="1" applyFont="1" applyFill="1" applyBorder="1" applyAlignment="1">
      <alignment horizontal="left" wrapText="1"/>
    </xf>
    <xf numFmtId="0" fontId="83" fillId="0" borderId="56" xfId="0" applyFont="1" applyFill="1" applyBorder="1"/>
    <xf numFmtId="0" fontId="83" fillId="0" borderId="0" xfId="0" applyNumberFormat="1" applyFont="1" applyBorder="1"/>
    <xf numFmtId="41" fontId="83" fillId="16" borderId="0" xfId="0" applyNumberFormat="1" applyFont="1" applyFill="1" applyBorder="1"/>
    <xf numFmtId="0" fontId="83" fillId="15" borderId="0" xfId="5" applyFont="1" applyFill="1" applyBorder="1" applyAlignment="1">
      <alignment horizontal="right" wrapText="1"/>
    </xf>
    <xf numFmtId="0" fontId="83" fillId="0" borderId="0" xfId="5" applyFont="1" applyFill="1" applyBorder="1" applyAlignment="1">
      <alignment horizontal="right" wrapText="1"/>
    </xf>
    <xf numFmtId="3" fontId="86" fillId="0" borderId="56" xfId="8" applyNumberFormat="1" applyFont="1" applyFill="1" applyBorder="1" applyAlignment="1">
      <alignment horizontal="right" wrapText="1"/>
    </xf>
    <xf numFmtId="3" fontId="83" fillId="0" borderId="56" xfId="0" applyNumberFormat="1" applyFont="1" applyBorder="1"/>
    <xf numFmtId="0" fontId="86" fillId="6" borderId="56" xfId="5" applyFont="1" applyFill="1" applyBorder="1" applyAlignment="1">
      <alignment horizontal="right" wrapText="1"/>
    </xf>
    <xf numFmtId="0" fontId="83" fillId="15" borderId="0" xfId="8" applyFont="1" applyFill="1" applyBorder="1" applyAlignment="1">
      <alignment horizontal="left" wrapText="1"/>
    </xf>
    <xf numFmtId="1" fontId="83" fillId="15" borderId="0" xfId="8" applyNumberFormat="1" applyFont="1" applyFill="1" applyBorder="1" applyAlignment="1">
      <alignment horizontal="left" wrapText="1"/>
    </xf>
    <xf numFmtId="1" fontId="83" fillId="0" borderId="56" xfId="0" applyNumberFormat="1" applyFont="1" applyBorder="1"/>
    <xf numFmtId="41" fontId="91" fillId="0" borderId="56" xfId="0" applyNumberFormat="1" applyFont="1" applyBorder="1"/>
    <xf numFmtId="0" fontId="83" fillId="0" borderId="0" xfId="0" applyFont="1" applyBorder="1"/>
    <xf numFmtId="0" fontId="92" fillId="15" borderId="56" xfId="5" applyFont="1" applyFill="1" applyBorder="1" applyAlignment="1">
      <alignment horizontal="left" wrapText="1"/>
    </xf>
    <xf numFmtId="0" fontId="92" fillId="0" borderId="0" xfId="5" applyFont="1" applyFill="1" applyBorder="1" applyAlignment="1">
      <alignment horizontal="left" wrapText="1"/>
    </xf>
    <xf numFmtId="0" fontId="92" fillId="0" borderId="0" xfId="8" applyFont="1" applyFill="1" applyBorder="1" applyAlignment="1">
      <alignment horizontal="left" wrapText="1"/>
    </xf>
    <xf numFmtId="174" fontId="92" fillId="0" borderId="0" xfId="1" applyNumberFormat="1" applyFont="1" applyFill="1" applyBorder="1" applyAlignment="1">
      <alignment horizontal="right" wrapText="1"/>
    </xf>
    <xf numFmtId="0" fontId="92" fillId="0" borderId="0" xfId="8" applyFont="1" applyFill="1" applyBorder="1" applyAlignment="1">
      <alignment horizontal="right" wrapText="1"/>
    </xf>
    <xf numFmtId="174" fontId="83" fillId="0" borderId="0" xfId="1" applyNumberFormat="1" applyFont="1" applyBorder="1"/>
    <xf numFmtId="1" fontId="92" fillId="0" borderId="0" xfId="8" applyNumberFormat="1" applyFont="1" applyFill="1" applyBorder="1" applyAlignment="1">
      <alignment horizontal="left" wrapText="1"/>
    </xf>
    <xf numFmtId="174" fontId="92" fillId="0" borderId="60" xfId="1" applyNumberFormat="1" applyFont="1" applyFill="1" applyBorder="1" applyAlignment="1">
      <alignment horizontal="left" wrapText="1"/>
    </xf>
    <xf numFmtId="174" fontId="91" fillId="0" borderId="0" xfId="1" applyNumberFormat="1" applyFont="1" applyBorder="1"/>
    <xf numFmtId="174" fontId="91" fillId="0" borderId="26" xfId="1" applyNumberFormat="1" applyFont="1" applyBorder="1"/>
    <xf numFmtId="174" fontId="91" fillId="23" borderId="26" xfId="1" applyNumberFormat="1" applyFont="1" applyFill="1" applyBorder="1"/>
    <xf numFmtId="174" fontId="91" fillId="0" borderId="0" xfId="1" applyNumberFormat="1" applyFont="1"/>
    <xf numFmtId="0" fontId="91" fillId="0" borderId="0" xfId="0" applyFont="1" applyBorder="1"/>
    <xf numFmtId="0" fontId="91" fillId="0" borderId="61" xfId="0" applyFont="1" applyBorder="1"/>
    <xf numFmtId="174" fontId="91" fillId="0" borderId="61" xfId="1" applyNumberFormat="1" applyFont="1" applyBorder="1"/>
    <xf numFmtId="174" fontId="91" fillId="6" borderId="61" xfId="0" applyNumberFormat="1" applyFont="1" applyFill="1" applyBorder="1"/>
    <xf numFmtId="174" fontId="91" fillId="0" borderId="61" xfId="0" applyNumberFormat="1" applyFont="1" applyBorder="1"/>
    <xf numFmtId="0" fontId="91" fillId="0" borderId="0" xfId="0" applyFont="1"/>
    <xf numFmtId="0" fontId="83" fillId="24" borderId="0" xfId="0" applyFont="1" applyFill="1"/>
    <xf numFmtId="174" fontId="91" fillId="24" borderId="0" xfId="1" applyNumberFormat="1" applyFont="1" applyFill="1"/>
    <xf numFmtId="0" fontId="91" fillId="24" borderId="0" xfId="0" applyFont="1" applyFill="1"/>
    <xf numFmtId="0" fontId="91" fillId="0" borderId="26" xfId="1" applyNumberFormat="1" applyFont="1" applyBorder="1"/>
    <xf numFmtId="41" fontId="91" fillId="0" borderId="0" xfId="0" applyNumberFormat="1" applyFont="1"/>
    <xf numFmtId="41" fontId="91" fillId="0" borderId="14" xfId="0" applyNumberFormat="1" applyFont="1" applyBorder="1"/>
    <xf numFmtId="0" fontId="93" fillId="24" borderId="0" xfId="0" applyFont="1" applyFill="1" applyAlignment="1">
      <alignment horizontal="center" vertical="center" textRotation="90"/>
    </xf>
    <xf numFmtId="0" fontId="93" fillId="24" borderId="0" xfId="0" applyFont="1" applyFill="1" applyAlignment="1">
      <alignment horizontal="center" vertical="center" textRotation="90" wrapText="1"/>
    </xf>
    <xf numFmtId="41" fontId="91" fillId="0" borderId="26" xfId="1" applyNumberFormat="1" applyFont="1" applyBorder="1"/>
    <xf numFmtId="0" fontId="94" fillId="2" borderId="0" xfId="0" applyFont="1" applyFill="1" applyAlignment="1">
      <alignment textRotation="60"/>
    </xf>
    <xf numFmtId="0" fontId="94" fillId="2" borderId="0" xfId="0" applyFont="1" applyFill="1"/>
    <xf numFmtId="174" fontId="95" fillId="2" borderId="0" xfId="1" applyNumberFormat="1" applyFont="1" applyFill="1"/>
    <xf numFmtId="0" fontId="95" fillId="2" borderId="0" xfId="0" applyFont="1" applyFill="1"/>
    <xf numFmtId="0" fontId="7" fillId="2" borderId="0" xfId="7" applyFont="1" applyFill="1" applyBorder="1" applyAlignment="1">
      <alignment horizontal="center"/>
    </xf>
    <xf numFmtId="0" fontId="11" fillId="2" borderId="0" xfId="7" applyFont="1" applyFill="1" applyAlignment="1">
      <alignment horizontal="center"/>
    </xf>
    <xf numFmtId="174" fontId="10" fillId="2" borderId="0" xfId="1" applyNumberFormat="1" applyFont="1" applyFill="1" applyBorder="1" applyAlignment="1">
      <alignment horizontal="center" wrapText="1"/>
    </xf>
    <xf numFmtId="0" fontId="2" fillId="0" borderId="20" xfId="7" applyBorder="1" applyAlignment="1">
      <alignment wrapText="1"/>
    </xf>
    <xf numFmtId="0" fontId="2" fillId="0" borderId="24" xfId="7" applyBorder="1" applyAlignment="1">
      <alignment wrapText="1"/>
    </xf>
    <xf numFmtId="0" fontId="2" fillId="0" borderId="20" xfId="7" applyBorder="1" applyAlignment="1"/>
    <xf numFmtId="0" fontId="2" fillId="0" borderId="24" xfId="7" applyBorder="1" applyAlignment="1"/>
    <xf numFmtId="0" fontId="29" fillId="0" borderId="0" xfId="7" applyFont="1" applyAlignment="1">
      <alignment horizontal="left"/>
    </xf>
    <xf numFmtId="0" fontId="32" fillId="0" borderId="0" xfId="7" applyFont="1" applyAlignment="1">
      <alignment horizontal="left"/>
    </xf>
    <xf numFmtId="174" fontId="2" fillId="0" borderId="20" xfId="1" applyNumberFormat="1" applyFont="1" applyBorder="1" applyAlignment="1">
      <alignment horizontal="center"/>
    </xf>
    <xf numFmtId="0" fontId="2" fillId="0" borderId="24" xfId="7" applyFont="1" applyBorder="1" applyAlignment="1">
      <alignment horizontal="center"/>
    </xf>
    <xf numFmtId="174" fontId="2" fillId="0" borderId="20" xfId="1" applyNumberFormat="1" applyFont="1" applyBorder="1" applyAlignment="1"/>
    <xf numFmtId="0" fontId="2" fillId="0" borderId="24" xfId="7" applyFont="1" applyBorder="1" applyAlignment="1"/>
    <xf numFmtId="0" fontId="41" fillId="0" borderId="0" xfId="0" applyFont="1" applyBorder="1" applyAlignment="1">
      <alignment horizontal="center"/>
    </xf>
    <xf numFmtId="0" fontId="55" fillId="11" borderId="0" xfId="0" applyFont="1" applyFill="1" applyBorder="1" applyAlignment="1">
      <alignment horizontal="center"/>
    </xf>
    <xf numFmtId="0" fontId="0" fillId="0" borderId="18" xfId="0" applyBorder="1" applyAlignment="1">
      <alignment horizontal="center"/>
    </xf>
    <xf numFmtId="0" fontId="0" fillId="0" borderId="17" xfId="0" applyBorder="1" applyAlignment="1">
      <alignment horizontal="center"/>
    </xf>
    <xf numFmtId="0" fontId="0" fillId="0" borderId="25" xfId="0" applyBorder="1" applyAlignment="1">
      <alignment horizontal="center"/>
    </xf>
    <xf numFmtId="0" fontId="14" fillId="2" borderId="17" xfId="0" applyFont="1" applyFill="1" applyBorder="1" applyAlignment="1">
      <alignment horizontal="center"/>
    </xf>
    <xf numFmtId="0" fontId="14" fillId="2" borderId="25" xfId="0" applyFont="1" applyFill="1" applyBorder="1" applyAlignment="1">
      <alignment horizontal="center"/>
    </xf>
    <xf numFmtId="0" fontId="41" fillId="0" borderId="18" xfId="0" applyFont="1" applyBorder="1" applyAlignment="1">
      <alignment horizontal="center"/>
    </xf>
    <xf numFmtId="14" fontId="0" fillId="0" borderId="18" xfId="0" applyNumberFormat="1" applyBorder="1" applyAlignment="1">
      <alignment horizontal="center"/>
    </xf>
    <xf numFmtId="0" fontId="14" fillId="0" borderId="0" xfId="0" applyFont="1" applyBorder="1" applyAlignment="1">
      <alignment horizontal="center"/>
    </xf>
  </cellXfs>
  <cellStyles count="11">
    <cellStyle name="Comma" xfId="1" builtinId="3"/>
    <cellStyle name="Currency" xfId="2" builtinId="4"/>
    <cellStyle name="Currency_Simon Revised  Baseline - kg revised" xfId="3"/>
    <cellStyle name="Currency_simon8_06" xfId="4"/>
    <cellStyle name="Normal" xfId="0" builtinId="0"/>
    <cellStyle name="Normal_Expense Data" xfId="5"/>
    <cellStyle name="Normal_Simon Revised  Baseline - kg revised" xfId="6"/>
    <cellStyle name="Normal_simon8_06" xfId="7"/>
    <cellStyle name="Normal_Site Data" xfId="8"/>
    <cellStyle name="Normal_The big 1998 query" xfId="9"/>
    <cellStyle name="Percent" xfId="10"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3.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externalLink" Target="externalLinks/externalLink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22403258655804481"/>
          <c:y val="9.0278083896497593E-2"/>
          <c:w val="0.74745417515274948"/>
          <c:h val="0.72569690516799978"/>
        </c:manualLayout>
      </c:layout>
      <c:barChart>
        <c:barDir val="col"/>
        <c:grouping val="clustered"/>
        <c:varyColors val="0"/>
        <c:ser>
          <c:idx val="0"/>
          <c:order val="0"/>
          <c:tx>
            <c:v>Kevin's Cash Flows</c:v>
          </c:tx>
          <c:spPr>
            <a:solidFill>
              <a:srgbClr val="9999FF"/>
            </a:solidFill>
            <a:ln w="12700">
              <a:solidFill>
                <a:srgbClr val="000000"/>
              </a:solidFill>
              <a:prstDash val="solid"/>
            </a:ln>
          </c:spPr>
          <c:invertIfNegative val="0"/>
          <c:cat>
            <c:numRef>
              <c:f>'wholesale services'!$D$108:$M$108</c:f>
              <c:numCache>
                <c:formatCode>General</c:formatCode>
                <c:ptCount val="10"/>
                <c:pt idx="0" formatCode="0">
                  <c:v>1</c:v>
                </c:pt>
                <c:pt idx="1">
                  <c:v>2</c:v>
                </c:pt>
                <c:pt idx="2">
                  <c:v>3</c:v>
                </c:pt>
                <c:pt idx="3">
                  <c:v>4</c:v>
                </c:pt>
                <c:pt idx="4">
                  <c:v>5</c:v>
                </c:pt>
                <c:pt idx="5">
                  <c:v>6</c:v>
                </c:pt>
                <c:pt idx="6">
                  <c:v>7</c:v>
                </c:pt>
                <c:pt idx="7">
                  <c:v>8</c:v>
                </c:pt>
                <c:pt idx="8">
                  <c:v>9</c:v>
                </c:pt>
                <c:pt idx="9">
                  <c:v>10</c:v>
                </c:pt>
              </c:numCache>
            </c:numRef>
          </c:cat>
          <c:val>
            <c:numRef>
              <c:f>'wholesale services'!$D$129:$M$129</c:f>
              <c:numCache>
                <c:formatCode>_("$"* #,##0_);_("$"* \(#,##0\);_("$"* "-"??_);_(@_)</c:formatCode>
                <c:ptCount val="10"/>
                <c:pt idx="0">
                  <c:v>-30159911.979066245</c:v>
                </c:pt>
                <c:pt idx="1">
                  <c:v>604425.30732981116</c:v>
                </c:pt>
                <c:pt idx="2">
                  <c:v>7014652.3875531033</c:v>
                </c:pt>
                <c:pt idx="3">
                  <c:v>7340312.6283478588</c:v>
                </c:pt>
                <c:pt idx="4">
                  <c:v>7670185.8782621473</c:v>
                </c:pt>
                <c:pt idx="5">
                  <c:v>8004686.6492987722</c:v>
                </c:pt>
                <c:pt idx="6">
                  <c:v>8344227.6267294362</c:v>
                </c:pt>
                <c:pt idx="7">
                  <c:v>8687133.8703411296</c:v>
                </c:pt>
                <c:pt idx="8">
                  <c:v>9035825.1257613376</c:v>
                </c:pt>
                <c:pt idx="9">
                  <c:v>9387469.9249793291</c:v>
                </c:pt>
              </c:numCache>
            </c:numRef>
          </c:val>
          <c:extLst>
            <c:ext xmlns:c16="http://schemas.microsoft.com/office/drawing/2014/chart" uri="{C3380CC4-5D6E-409C-BE32-E72D297353CC}">
              <c16:uniqueId val="{00000000-68C8-407E-B130-34A3A7CF7FA6}"/>
            </c:ext>
          </c:extLst>
        </c:ser>
        <c:ser>
          <c:idx val="1"/>
          <c:order val="1"/>
          <c:tx>
            <c:v>Adjusted Cash Flows</c:v>
          </c:tx>
          <c:spPr>
            <a:solidFill>
              <a:srgbClr val="993366"/>
            </a:solidFill>
            <a:ln w="12700">
              <a:solidFill>
                <a:srgbClr val="000000"/>
              </a:solidFill>
              <a:prstDash val="solid"/>
            </a:ln>
          </c:spPr>
          <c:invertIfNegative val="0"/>
          <c:cat>
            <c:numRef>
              <c:f>'wholesale services'!$D$108:$M$108</c:f>
              <c:numCache>
                <c:formatCode>General</c:formatCode>
                <c:ptCount val="10"/>
                <c:pt idx="0" formatCode="0">
                  <c:v>1</c:v>
                </c:pt>
                <c:pt idx="1">
                  <c:v>2</c:v>
                </c:pt>
                <c:pt idx="2">
                  <c:v>3</c:v>
                </c:pt>
                <c:pt idx="3">
                  <c:v>4</c:v>
                </c:pt>
                <c:pt idx="4">
                  <c:v>5</c:v>
                </c:pt>
                <c:pt idx="5">
                  <c:v>6</c:v>
                </c:pt>
                <c:pt idx="6">
                  <c:v>7</c:v>
                </c:pt>
                <c:pt idx="7">
                  <c:v>8</c:v>
                </c:pt>
                <c:pt idx="8">
                  <c:v>9</c:v>
                </c:pt>
                <c:pt idx="9">
                  <c:v>10</c:v>
                </c:pt>
              </c:numCache>
            </c:numRef>
          </c:cat>
          <c:val>
            <c:numRef>
              <c:f>'wholesale services'!$D$140:$M$140</c:f>
              <c:numCache>
                <c:formatCode>_("$"* #,##0_);_("$"* \(#,##0\);_("$"* "-"??_);_(@_)</c:formatCode>
                <c:ptCount val="10"/>
                <c:pt idx="0">
                  <c:v>-1720871.9790662453</c:v>
                </c:pt>
                <c:pt idx="1">
                  <c:v>595936.03723735828</c:v>
                </c:pt>
                <c:pt idx="2">
                  <c:v>1316657.2634421596</c:v>
                </c:pt>
                <c:pt idx="3">
                  <c:v>1642317.5042369151</c:v>
                </c:pt>
                <c:pt idx="4">
                  <c:v>1972190.7541512037</c:v>
                </c:pt>
                <c:pt idx="5">
                  <c:v>2306691.5251878286</c:v>
                </c:pt>
                <c:pt idx="6">
                  <c:v>2646232.5026184926</c:v>
                </c:pt>
                <c:pt idx="7">
                  <c:v>2989138.746230186</c:v>
                </c:pt>
                <c:pt idx="8">
                  <c:v>3337830.0016503939</c:v>
                </c:pt>
                <c:pt idx="9">
                  <c:v>3689474.8008683855</c:v>
                </c:pt>
              </c:numCache>
            </c:numRef>
          </c:val>
          <c:extLst>
            <c:ext xmlns:c16="http://schemas.microsoft.com/office/drawing/2014/chart" uri="{C3380CC4-5D6E-409C-BE32-E72D297353CC}">
              <c16:uniqueId val="{00000001-68C8-407E-B130-34A3A7CF7FA6}"/>
            </c:ext>
          </c:extLst>
        </c:ser>
        <c:dLbls>
          <c:showLegendKey val="0"/>
          <c:showVal val="0"/>
          <c:showCatName val="0"/>
          <c:showSerName val="0"/>
          <c:showPercent val="0"/>
          <c:showBubbleSize val="0"/>
        </c:dLbls>
        <c:gapWidth val="150"/>
        <c:axId val="1093428752"/>
        <c:axId val="1"/>
      </c:barChart>
      <c:catAx>
        <c:axId val="1093428752"/>
        <c:scaling>
          <c:orientation val="minMax"/>
        </c:scaling>
        <c:delete val="0"/>
        <c:axPos val="b"/>
        <c:numFmt formatCode="0"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_(&quot;$&quot;* #,##0_);_(&quot;$&quot;* \(#,##0\);_(&quot;$&quot;* &quot;-&quot;??_);_(@_)"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093428752"/>
        <c:crosses val="autoZero"/>
        <c:crossBetween val="between"/>
      </c:valAx>
      <c:spPr>
        <a:solidFill>
          <a:srgbClr val="C0C0C0"/>
        </a:solidFill>
        <a:ln w="12700">
          <a:solidFill>
            <a:srgbClr val="808080"/>
          </a:solidFill>
          <a:prstDash val="solid"/>
        </a:ln>
      </c:spPr>
    </c:plotArea>
    <c:legend>
      <c:legendPos val="b"/>
      <c:layout>
        <c:manualLayout>
          <c:xMode val="edge"/>
          <c:yMode val="edge"/>
          <c:x val="0.31771894093686354"/>
          <c:y val="0.89236413697691841"/>
          <c:w val="0.55804480651731159"/>
          <c:h val="8.3333615904459313E-2"/>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150" b="1" i="0" u="none" strike="noStrike" baseline="0">
                <a:solidFill>
                  <a:srgbClr val="000000"/>
                </a:solidFill>
                <a:latin typeface="Arial"/>
                <a:ea typeface="Arial"/>
                <a:cs typeface="Arial"/>
              </a:defRPr>
            </a:pPr>
            <a:r>
              <a:rPr lang="en-US"/>
              <a:t>SPG Value by Segment (NPV)</a:t>
            </a:r>
          </a:p>
        </c:rich>
      </c:tx>
      <c:layout>
        <c:manualLayout>
          <c:xMode val="edge"/>
          <c:yMode val="edge"/>
          <c:x val="0.33846153846153848"/>
          <c:y val="3.937007874015748E-2"/>
        </c:manualLayout>
      </c:layout>
      <c:overlay val="0"/>
      <c:spPr>
        <a:noFill/>
        <a:ln w="25400">
          <a:noFill/>
        </a:ln>
      </c:spPr>
    </c:title>
    <c:autoTitleDeleted val="0"/>
    <c:view3D>
      <c:rotX val="15"/>
      <c:rotY val="0"/>
      <c:rAngAx val="0"/>
      <c:perspective val="0"/>
    </c:view3D>
    <c:floor>
      <c:thickness val="0"/>
    </c:floor>
    <c:sideWall>
      <c:thickness val="0"/>
    </c:sideWall>
    <c:backWall>
      <c:thickness val="0"/>
    </c:backWall>
    <c:plotArea>
      <c:layout>
        <c:manualLayout>
          <c:layoutTarget val="inner"/>
          <c:xMode val="edge"/>
          <c:yMode val="edge"/>
          <c:x val="0.17692307692307693"/>
          <c:y val="0.35826771653543305"/>
          <c:w val="0.43230769230769228"/>
          <c:h val="0.43700787401574803"/>
        </c:manualLayout>
      </c:layout>
      <c:pie3DChart>
        <c:varyColors val="1"/>
        <c:ser>
          <c:idx val="0"/>
          <c:order val="0"/>
          <c:spPr>
            <a:solidFill>
              <a:srgbClr val="9999FF"/>
            </a:solidFill>
            <a:ln w="12700">
              <a:solidFill>
                <a:srgbClr val="000000"/>
              </a:solidFill>
              <a:prstDash val="solid"/>
            </a:ln>
          </c:spPr>
          <c:dPt>
            <c:idx val="0"/>
            <c:bubble3D val="0"/>
            <c:extLst>
              <c:ext xmlns:c16="http://schemas.microsoft.com/office/drawing/2014/chart" uri="{C3380CC4-5D6E-409C-BE32-E72D297353CC}">
                <c16:uniqueId val="{00000000-D501-4042-8146-981B33E7FBDA}"/>
              </c:ext>
            </c:extLst>
          </c:dPt>
          <c:dPt>
            <c:idx val="1"/>
            <c:bubble3D val="0"/>
            <c:spPr>
              <a:solidFill>
                <a:srgbClr val="993366"/>
              </a:solidFill>
              <a:ln w="12700">
                <a:solidFill>
                  <a:srgbClr val="000000"/>
                </a:solidFill>
                <a:prstDash val="solid"/>
              </a:ln>
            </c:spPr>
            <c:extLst>
              <c:ext xmlns:c16="http://schemas.microsoft.com/office/drawing/2014/chart" uri="{C3380CC4-5D6E-409C-BE32-E72D297353CC}">
                <c16:uniqueId val="{00000001-D501-4042-8146-981B33E7FBDA}"/>
              </c:ext>
            </c:extLst>
          </c:dPt>
          <c:dPt>
            <c:idx val="2"/>
            <c:bubble3D val="0"/>
            <c:spPr>
              <a:solidFill>
                <a:srgbClr val="FFFFCC"/>
              </a:solidFill>
              <a:ln w="12700">
                <a:solidFill>
                  <a:srgbClr val="000000"/>
                </a:solidFill>
                <a:prstDash val="solid"/>
              </a:ln>
            </c:spPr>
            <c:extLst>
              <c:ext xmlns:c16="http://schemas.microsoft.com/office/drawing/2014/chart" uri="{C3380CC4-5D6E-409C-BE32-E72D297353CC}">
                <c16:uniqueId val="{00000002-D501-4042-8146-981B33E7FBDA}"/>
              </c:ext>
            </c:extLst>
          </c:dPt>
          <c:dLbls>
            <c:numFmt formatCode="0%" sourceLinked="0"/>
            <c:spPr>
              <a:noFill/>
              <a:ln w="25400">
                <a:noFill/>
              </a:ln>
            </c:spPr>
            <c:txPr>
              <a:bodyPr wrap="square" lIns="38100" tIns="19050" rIns="38100" bIns="19050" anchor="ctr">
                <a:spAutoFit/>
              </a:bodyPr>
              <a:lstStyle/>
              <a:p>
                <a:pPr>
                  <a:defRPr sz="950" b="0" i="0" u="none" strike="noStrike" baseline="0">
                    <a:solidFill>
                      <a:srgbClr val="000000"/>
                    </a:solidFill>
                    <a:latin typeface="Arial"/>
                    <a:ea typeface="Arial"/>
                    <a:cs typeface="Arial"/>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charts!$A$4:$A$6</c:f>
              <c:strCache>
                <c:ptCount val="3"/>
                <c:pt idx="0">
                  <c:v>Wholesale Services</c:v>
                </c:pt>
                <c:pt idx="1">
                  <c:v>Redistribution</c:v>
                </c:pt>
                <c:pt idx="2">
                  <c:v>Upfront Payment</c:v>
                </c:pt>
              </c:strCache>
            </c:strRef>
          </c:cat>
          <c:val>
            <c:numRef>
              <c:f>charts!$B$4:$B$6</c:f>
              <c:numCache>
                <c:formatCode>_("$"* #,##0_);_("$"* \(#,##0\);_("$"* "-"??_);_(@_)</c:formatCode>
                <c:ptCount val="3"/>
                <c:pt idx="0">
                  <c:v>43121531.416585565</c:v>
                </c:pt>
                <c:pt idx="1">
                  <c:v>24894539.754962429</c:v>
                </c:pt>
                <c:pt idx="2">
                  <c:v>3773584.9056603773</c:v>
                </c:pt>
              </c:numCache>
            </c:numRef>
          </c:val>
          <c:extLst>
            <c:ext xmlns:c16="http://schemas.microsoft.com/office/drawing/2014/chart" uri="{C3380CC4-5D6E-409C-BE32-E72D297353CC}">
              <c16:uniqueId val="{00000003-D501-4042-8146-981B33E7FBDA}"/>
            </c:ext>
          </c:extLst>
        </c:ser>
        <c:dLbls>
          <c:showLegendKey val="0"/>
          <c:showVal val="1"/>
          <c:showCatName val="0"/>
          <c:showSerName val="0"/>
          <c:showPercent val="0"/>
          <c:showBubbleSize val="0"/>
          <c:showLeaderLines val="1"/>
        </c:dLbls>
      </c:pie3DChart>
      <c:spPr>
        <a:noFill/>
        <a:ln w="25400">
          <a:noFill/>
        </a:ln>
      </c:spPr>
    </c:plotArea>
    <c:legend>
      <c:legendPos val="r"/>
      <c:layout>
        <c:manualLayout>
          <c:xMode val="edge"/>
          <c:yMode val="edge"/>
          <c:x val="0.78153846153846152"/>
          <c:y val="0.452755905511811"/>
          <c:w val="0.20615384615384616"/>
          <c:h val="0.25196850393700787"/>
        </c:manualLayout>
      </c:layout>
      <c:overlay val="0"/>
      <c:spPr>
        <a:solidFill>
          <a:srgbClr val="FFFFFF"/>
        </a:solidFill>
        <a:ln w="3175">
          <a:solidFill>
            <a:srgbClr val="000000"/>
          </a:solidFill>
          <a:prstDash val="solid"/>
        </a:ln>
      </c:spPr>
      <c:txPr>
        <a:bodyPr/>
        <a:lstStyle/>
        <a:p>
          <a:pPr>
            <a:defRPr sz="870" b="0" i="0" u="none" strike="noStrike" baseline="0">
              <a:solidFill>
                <a:srgbClr val="000000"/>
              </a:solidFill>
              <a:latin typeface="Arial"/>
              <a:ea typeface="Arial"/>
              <a:cs typeface="Arial"/>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95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EESO Value by Segment (NPV)</a:t>
            </a:r>
          </a:p>
        </c:rich>
      </c:tx>
      <c:layout>
        <c:manualLayout>
          <c:xMode val="edge"/>
          <c:yMode val="edge"/>
          <c:x val="0.32089575624982236"/>
          <c:y val="3.7735918587703768E-2"/>
        </c:manualLayout>
      </c:layout>
      <c:overlay val="0"/>
      <c:spPr>
        <a:noFill/>
        <a:ln w="25400">
          <a:noFill/>
        </a:ln>
      </c:spPr>
    </c:title>
    <c:autoTitleDeleted val="0"/>
    <c:view3D>
      <c:rotX val="15"/>
      <c:rotY val="0"/>
      <c:rAngAx val="0"/>
      <c:perspective val="0"/>
    </c:view3D>
    <c:floor>
      <c:thickness val="0"/>
    </c:floor>
    <c:sideWall>
      <c:thickness val="0"/>
    </c:sideWall>
    <c:backWall>
      <c:thickness val="0"/>
    </c:backWall>
    <c:plotArea>
      <c:layout>
        <c:manualLayout>
          <c:layoutTarget val="inner"/>
          <c:xMode val="edge"/>
          <c:yMode val="edge"/>
          <c:x val="0.17313445453478787"/>
          <c:y val="0.35094404286564501"/>
          <c:w val="0.44626898194742737"/>
          <c:h val="0.44905743119367481"/>
        </c:manualLayout>
      </c:layout>
      <c:pie3DChart>
        <c:varyColors val="1"/>
        <c:ser>
          <c:idx val="0"/>
          <c:order val="0"/>
          <c:spPr>
            <a:solidFill>
              <a:srgbClr val="9999FF"/>
            </a:solidFill>
            <a:ln w="12700">
              <a:solidFill>
                <a:srgbClr val="000000"/>
              </a:solidFill>
              <a:prstDash val="solid"/>
            </a:ln>
          </c:spPr>
          <c:dPt>
            <c:idx val="0"/>
            <c:bubble3D val="0"/>
            <c:extLst>
              <c:ext xmlns:c16="http://schemas.microsoft.com/office/drawing/2014/chart" uri="{C3380CC4-5D6E-409C-BE32-E72D297353CC}">
                <c16:uniqueId val="{00000000-914B-4451-B922-6173D0701FBA}"/>
              </c:ext>
            </c:extLst>
          </c:dPt>
          <c:dPt>
            <c:idx val="1"/>
            <c:bubble3D val="0"/>
            <c:spPr>
              <a:solidFill>
                <a:srgbClr val="993366"/>
              </a:solidFill>
              <a:ln w="12700">
                <a:solidFill>
                  <a:srgbClr val="000000"/>
                </a:solidFill>
                <a:prstDash val="solid"/>
              </a:ln>
            </c:spPr>
            <c:extLst>
              <c:ext xmlns:c16="http://schemas.microsoft.com/office/drawing/2014/chart" uri="{C3380CC4-5D6E-409C-BE32-E72D297353CC}">
                <c16:uniqueId val="{00000001-914B-4451-B922-6173D0701FBA}"/>
              </c:ext>
            </c:extLst>
          </c:dPt>
          <c:dPt>
            <c:idx val="2"/>
            <c:bubble3D val="0"/>
            <c:spPr>
              <a:solidFill>
                <a:srgbClr val="FFFFCC"/>
              </a:solidFill>
              <a:ln w="12700">
                <a:solidFill>
                  <a:srgbClr val="000000"/>
                </a:solidFill>
                <a:prstDash val="solid"/>
              </a:ln>
            </c:spPr>
            <c:extLst>
              <c:ext xmlns:c16="http://schemas.microsoft.com/office/drawing/2014/chart" uri="{C3380CC4-5D6E-409C-BE32-E72D297353CC}">
                <c16:uniqueId val="{00000002-914B-4451-B922-6173D0701FBA}"/>
              </c:ext>
            </c:extLst>
          </c:dPt>
          <c:dLbls>
            <c:numFmt formatCode="0%" sourceLinked="0"/>
            <c:spPr>
              <a:noFill/>
              <a:ln w="25400">
                <a:noFill/>
              </a:ln>
            </c:spPr>
            <c:txPr>
              <a:bodyPr wrap="square" lIns="38100" tIns="19050" rIns="38100" bIns="19050" anchor="ctr">
                <a:spAutoFit/>
              </a:bodyPr>
              <a:lstStyle/>
              <a:p>
                <a:pPr>
                  <a:defRPr sz="1000" b="0" i="0" u="none" strike="noStrike" baseline="0">
                    <a:solidFill>
                      <a:srgbClr val="000000"/>
                    </a:solidFill>
                    <a:latin typeface="Arial"/>
                    <a:ea typeface="Arial"/>
                    <a:cs typeface="Arial"/>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charts!$A$20:$A$22</c:f>
              <c:strCache>
                <c:ptCount val="3"/>
                <c:pt idx="0">
                  <c:v>EESO</c:v>
                </c:pt>
                <c:pt idx="1">
                  <c:v>Wholesale Services</c:v>
                </c:pt>
                <c:pt idx="2">
                  <c:v>Redistribution</c:v>
                </c:pt>
              </c:strCache>
            </c:strRef>
          </c:cat>
          <c:val>
            <c:numRef>
              <c:f>charts!$B$20:$B$22</c:f>
              <c:numCache>
                <c:formatCode>_("$"* #,##0_);_("$"* \(#,##0\);_("$"* "-"??_);_(@_)</c:formatCode>
                <c:ptCount val="3"/>
                <c:pt idx="0" formatCode="General">
                  <c:v>0</c:v>
                </c:pt>
                <c:pt idx="1">
                  <c:v>5096302.9619304715</c:v>
                </c:pt>
                <c:pt idx="2">
                  <c:v>10256443.044769729</c:v>
                </c:pt>
              </c:numCache>
            </c:numRef>
          </c:val>
          <c:extLst>
            <c:ext xmlns:c16="http://schemas.microsoft.com/office/drawing/2014/chart" uri="{C3380CC4-5D6E-409C-BE32-E72D297353CC}">
              <c16:uniqueId val="{00000003-914B-4451-B922-6173D0701FBA}"/>
            </c:ext>
          </c:extLst>
        </c:ser>
        <c:dLbls>
          <c:showLegendKey val="0"/>
          <c:showVal val="0"/>
          <c:showCatName val="0"/>
          <c:showSerName val="0"/>
          <c:showPercent val="1"/>
          <c:showBubbleSize val="0"/>
          <c:showLeaderLines val="1"/>
        </c:dLbls>
      </c:pie3DChart>
      <c:spPr>
        <a:noFill/>
        <a:ln w="25400">
          <a:noFill/>
        </a:ln>
      </c:spPr>
    </c:plotArea>
    <c:legend>
      <c:legendPos val="r"/>
      <c:layout>
        <c:manualLayout>
          <c:xMode val="edge"/>
          <c:yMode val="edge"/>
          <c:x val="0.78806027581351723"/>
          <c:y val="0.45660461491121557"/>
          <c:w val="0.20000014575570324"/>
          <c:h val="0.2415098789613041"/>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SPG Value by Segment (NPV)</a:t>
            </a:r>
          </a:p>
        </c:rich>
      </c:tx>
      <c:layout>
        <c:manualLayout>
          <c:xMode val="edge"/>
          <c:yMode val="edge"/>
          <c:x val="0.32307692307692309"/>
          <c:y val="3.6900435490002832E-2"/>
        </c:manualLayout>
      </c:layout>
      <c:overlay val="0"/>
      <c:spPr>
        <a:noFill/>
        <a:ln w="25400">
          <a:noFill/>
        </a:ln>
      </c:spPr>
    </c:title>
    <c:autoTitleDeleted val="0"/>
    <c:view3D>
      <c:rotX val="15"/>
      <c:rotY val="0"/>
      <c:rAngAx val="0"/>
      <c:perspective val="0"/>
    </c:view3D>
    <c:floor>
      <c:thickness val="0"/>
    </c:floor>
    <c:sideWall>
      <c:thickness val="0"/>
    </c:sideWall>
    <c:backWall>
      <c:thickness val="0"/>
    </c:backWall>
    <c:plotArea>
      <c:layout>
        <c:manualLayout>
          <c:layoutTarget val="inner"/>
          <c:xMode val="edge"/>
          <c:yMode val="edge"/>
          <c:x val="0.14461538461538462"/>
          <c:y val="0.3468640936060266"/>
          <c:w val="0.48"/>
          <c:h val="0.45387535652703481"/>
        </c:manualLayout>
      </c:layout>
      <c:pie3DChart>
        <c:varyColors val="1"/>
        <c:ser>
          <c:idx val="0"/>
          <c:order val="0"/>
          <c:spPr>
            <a:solidFill>
              <a:srgbClr val="9999FF"/>
            </a:solidFill>
            <a:ln w="12700">
              <a:solidFill>
                <a:srgbClr val="000000"/>
              </a:solidFill>
              <a:prstDash val="solid"/>
            </a:ln>
          </c:spPr>
          <c:dPt>
            <c:idx val="0"/>
            <c:bubble3D val="0"/>
            <c:extLst>
              <c:ext xmlns:c16="http://schemas.microsoft.com/office/drawing/2014/chart" uri="{C3380CC4-5D6E-409C-BE32-E72D297353CC}">
                <c16:uniqueId val="{00000000-762B-47A9-851B-AD9495258C3D}"/>
              </c:ext>
            </c:extLst>
          </c:dPt>
          <c:dPt>
            <c:idx val="1"/>
            <c:bubble3D val="0"/>
            <c:spPr>
              <a:solidFill>
                <a:srgbClr val="993366"/>
              </a:solidFill>
              <a:ln w="12700">
                <a:solidFill>
                  <a:srgbClr val="000000"/>
                </a:solidFill>
                <a:prstDash val="solid"/>
              </a:ln>
            </c:spPr>
            <c:extLst>
              <c:ext xmlns:c16="http://schemas.microsoft.com/office/drawing/2014/chart" uri="{C3380CC4-5D6E-409C-BE32-E72D297353CC}">
                <c16:uniqueId val="{00000001-762B-47A9-851B-AD9495258C3D}"/>
              </c:ext>
            </c:extLst>
          </c:dPt>
          <c:dPt>
            <c:idx val="2"/>
            <c:bubble3D val="0"/>
            <c:spPr>
              <a:solidFill>
                <a:srgbClr val="FFFFCC"/>
              </a:solidFill>
              <a:ln w="12700">
                <a:solidFill>
                  <a:srgbClr val="000000"/>
                </a:solidFill>
                <a:prstDash val="solid"/>
              </a:ln>
            </c:spPr>
            <c:extLst>
              <c:ext xmlns:c16="http://schemas.microsoft.com/office/drawing/2014/chart" uri="{C3380CC4-5D6E-409C-BE32-E72D297353CC}">
                <c16:uniqueId val="{00000002-762B-47A9-851B-AD9495258C3D}"/>
              </c:ext>
            </c:extLst>
          </c:dPt>
          <c:dPt>
            <c:idx val="3"/>
            <c:bubble3D val="0"/>
            <c:spPr>
              <a:solidFill>
                <a:srgbClr val="CCFFFF"/>
              </a:solidFill>
              <a:ln w="12700">
                <a:solidFill>
                  <a:srgbClr val="000000"/>
                </a:solidFill>
                <a:prstDash val="solid"/>
              </a:ln>
            </c:spPr>
            <c:extLst>
              <c:ext xmlns:c16="http://schemas.microsoft.com/office/drawing/2014/chart" uri="{C3380CC4-5D6E-409C-BE32-E72D297353CC}">
                <c16:uniqueId val="{00000003-762B-47A9-851B-AD9495258C3D}"/>
              </c:ext>
            </c:extLst>
          </c:dPt>
          <c:dLbls>
            <c:numFmt formatCode="0%" sourceLinked="0"/>
            <c:spPr>
              <a:noFill/>
              <a:ln w="25400">
                <a:noFill/>
              </a:ln>
            </c:spPr>
            <c:txPr>
              <a:bodyPr wrap="square" lIns="38100" tIns="19050" rIns="38100" bIns="19050" anchor="ctr">
                <a:spAutoFit/>
              </a:bodyPr>
              <a:lstStyle/>
              <a:p>
                <a:pPr>
                  <a:defRPr sz="1025" b="0" i="0" u="none" strike="noStrike" baseline="0">
                    <a:solidFill>
                      <a:srgbClr val="000000"/>
                    </a:solidFill>
                    <a:latin typeface="Arial"/>
                    <a:ea typeface="Arial"/>
                    <a:cs typeface="Arial"/>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[3]charts!$A$4:$A$7</c:f>
              <c:strCache>
                <c:ptCount val="4"/>
                <c:pt idx="0">
                  <c:v>Wholesale Services</c:v>
                </c:pt>
                <c:pt idx="1">
                  <c:v>Redistribution</c:v>
                </c:pt>
                <c:pt idx="2">
                  <c:v>Upfront Payment</c:v>
                </c:pt>
                <c:pt idx="3">
                  <c:v>FM Alliance</c:v>
                </c:pt>
              </c:strCache>
            </c:strRef>
          </c:cat>
          <c:val>
            <c:numRef>
              <c:f>[3]charts!$B$4:$B$7</c:f>
              <c:numCache>
                <c:formatCode>General</c:formatCode>
                <c:ptCount val="4"/>
                <c:pt idx="0">
                  <c:v>39172451.085797161</c:v>
                </c:pt>
                <c:pt idx="1">
                  <c:v>4375724.9979190379</c:v>
                </c:pt>
                <c:pt idx="2">
                  <c:v>3703703.7037037034</c:v>
                </c:pt>
                <c:pt idx="3">
                  <c:v>26192705.006078307</c:v>
                </c:pt>
              </c:numCache>
            </c:numRef>
          </c:val>
          <c:extLst>
            <c:ext xmlns:c16="http://schemas.microsoft.com/office/drawing/2014/chart" uri="{C3380CC4-5D6E-409C-BE32-E72D297353CC}">
              <c16:uniqueId val="{00000004-762B-47A9-851B-AD9495258C3D}"/>
            </c:ext>
          </c:extLst>
        </c:ser>
        <c:dLbls>
          <c:showLegendKey val="0"/>
          <c:showVal val="1"/>
          <c:showCatName val="0"/>
          <c:showSerName val="0"/>
          <c:showPercent val="0"/>
          <c:showBubbleSize val="0"/>
          <c:showLeaderLines val="1"/>
        </c:dLbls>
      </c:pie3DChart>
      <c:spPr>
        <a:noFill/>
        <a:ln w="25400">
          <a:noFill/>
        </a:ln>
      </c:spPr>
    </c:plotArea>
    <c:legend>
      <c:legendPos val="r"/>
      <c:layout>
        <c:manualLayout>
          <c:xMode val="edge"/>
          <c:yMode val="edge"/>
          <c:x val="0.7630769230769231"/>
          <c:y val="0.4095948339390314"/>
          <c:w val="0.22461538461538461"/>
          <c:h val="0.32841387586102516"/>
        </c:manualLayout>
      </c:layout>
      <c:overlay val="0"/>
      <c:spPr>
        <a:solidFill>
          <a:srgbClr val="FFFFFF"/>
        </a:solidFill>
        <a:ln w="3175">
          <a:solidFill>
            <a:srgbClr val="000000"/>
          </a:solidFill>
          <a:prstDash val="solid"/>
        </a:ln>
      </c:spPr>
      <c:txPr>
        <a:bodyPr/>
        <a:lstStyle/>
        <a:p>
          <a:pPr>
            <a:defRPr sz="940" b="0" i="0" u="none" strike="noStrike" baseline="0">
              <a:solidFill>
                <a:srgbClr val="000000"/>
              </a:solidFill>
              <a:latin typeface="Arial"/>
              <a:ea typeface="Arial"/>
              <a:cs typeface="Arial"/>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25"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EESO Value by Segment (NPV)</a:t>
            </a:r>
          </a:p>
        </c:rich>
      </c:tx>
      <c:layout>
        <c:manualLayout>
          <c:xMode val="edge"/>
          <c:yMode val="edge"/>
          <c:x val="0.32089575624982236"/>
          <c:y val="3.7735918587703768E-2"/>
        </c:manualLayout>
      </c:layout>
      <c:overlay val="0"/>
      <c:spPr>
        <a:noFill/>
        <a:ln w="25400">
          <a:noFill/>
        </a:ln>
      </c:spPr>
    </c:title>
    <c:autoTitleDeleted val="0"/>
    <c:view3D>
      <c:rotX val="15"/>
      <c:rotY val="0"/>
      <c:rAngAx val="0"/>
      <c:perspective val="0"/>
    </c:view3D>
    <c:floor>
      <c:thickness val="0"/>
    </c:floor>
    <c:sideWall>
      <c:thickness val="0"/>
    </c:sideWall>
    <c:backWall>
      <c:thickness val="0"/>
    </c:backWall>
    <c:plotArea>
      <c:layout>
        <c:manualLayout>
          <c:layoutTarget val="inner"/>
          <c:xMode val="edge"/>
          <c:yMode val="edge"/>
          <c:x val="0.17313445453478787"/>
          <c:y val="0.35094404286564501"/>
          <c:w val="0.44626898194742737"/>
          <c:h val="0.44905743119367481"/>
        </c:manualLayout>
      </c:layout>
      <c:pie3DChart>
        <c:varyColors val="1"/>
        <c:ser>
          <c:idx val="0"/>
          <c:order val="0"/>
          <c:spPr>
            <a:solidFill>
              <a:srgbClr val="9999FF"/>
            </a:solidFill>
            <a:ln w="12700">
              <a:solidFill>
                <a:srgbClr val="000000"/>
              </a:solidFill>
              <a:prstDash val="solid"/>
            </a:ln>
          </c:spPr>
          <c:dPt>
            <c:idx val="0"/>
            <c:bubble3D val="0"/>
            <c:extLst>
              <c:ext xmlns:c16="http://schemas.microsoft.com/office/drawing/2014/chart" uri="{C3380CC4-5D6E-409C-BE32-E72D297353CC}">
                <c16:uniqueId val="{00000000-FC15-44EC-9813-4F43F36A414F}"/>
              </c:ext>
            </c:extLst>
          </c:dPt>
          <c:dPt>
            <c:idx val="1"/>
            <c:bubble3D val="0"/>
            <c:spPr>
              <a:solidFill>
                <a:srgbClr val="993366"/>
              </a:solidFill>
              <a:ln w="12700">
                <a:solidFill>
                  <a:srgbClr val="000000"/>
                </a:solidFill>
                <a:prstDash val="solid"/>
              </a:ln>
            </c:spPr>
            <c:extLst>
              <c:ext xmlns:c16="http://schemas.microsoft.com/office/drawing/2014/chart" uri="{C3380CC4-5D6E-409C-BE32-E72D297353CC}">
                <c16:uniqueId val="{00000001-FC15-44EC-9813-4F43F36A414F}"/>
              </c:ext>
            </c:extLst>
          </c:dPt>
          <c:dPt>
            <c:idx val="2"/>
            <c:bubble3D val="0"/>
            <c:spPr>
              <a:solidFill>
                <a:srgbClr val="FFFFCC"/>
              </a:solidFill>
              <a:ln w="12700">
                <a:solidFill>
                  <a:srgbClr val="000000"/>
                </a:solidFill>
                <a:prstDash val="solid"/>
              </a:ln>
            </c:spPr>
            <c:extLst>
              <c:ext xmlns:c16="http://schemas.microsoft.com/office/drawing/2014/chart" uri="{C3380CC4-5D6E-409C-BE32-E72D297353CC}">
                <c16:uniqueId val="{00000002-FC15-44EC-9813-4F43F36A414F}"/>
              </c:ext>
            </c:extLst>
          </c:dPt>
          <c:dLbls>
            <c:numFmt formatCode="0%" sourceLinked="0"/>
            <c:spPr>
              <a:noFill/>
              <a:ln w="25400">
                <a:noFill/>
              </a:ln>
            </c:spPr>
            <c:txPr>
              <a:bodyPr wrap="square" lIns="38100" tIns="19050" rIns="38100" bIns="19050" anchor="ctr">
                <a:spAutoFit/>
              </a:bodyPr>
              <a:lstStyle/>
              <a:p>
                <a:pPr>
                  <a:defRPr sz="1000" b="0" i="0" u="none" strike="noStrike" baseline="0">
                    <a:solidFill>
                      <a:srgbClr val="000000"/>
                    </a:solidFill>
                    <a:latin typeface="Arial"/>
                    <a:ea typeface="Arial"/>
                    <a:cs typeface="Arial"/>
                  </a:defRPr>
                </a:pPr>
                <a:endParaRPr lang="en-US"/>
              </a:p>
            </c:txPr>
            <c:showLegendKey val="0"/>
            <c:showVal val="0"/>
            <c:showCatName val="0"/>
            <c:showSerName val="0"/>
            <c:showPercent val="1"/>
            <c:showBubbleSize val="0"/>
            <c:showLeaderLines val="1"/>
            <c:extLst>
              <c:ext xmlns:c15="http://schemas.microsoft.com/office/drawing/2012/chart" uri="{CE6537A1-D6FC-4f65-9D91-7224C49458BB}"/>
            </c:extLst>
          </c:dLbls>
          <c:cat>
            <c:strRef>
              <c:f>[3]charts!$A$21:$A$23</c:f>
              <c:strCache>
                <c:ptCount val="3"/>
                <c:pt idx="0">
                  <c:v>Wholesale Services</c:v>
                </c:pt>
                <c:pt idx="1">
                  <c:v>Redistribution</c:v>
                </c:pt>
                <c:pt idx="2">
                  <c:v>FM Alliance</c:v>
                </c:pt>
              </c:strCache>
            </c:strRef>
          </c:cat>
          <c:val>
            <c:numRef>
              <c:f>[3]charts!$B$21:$B$23</c:f>
              <c:numCache>
                <c:formatCode>General</c:formatCode>
                <c:ptCount val="3"/>
                <c:pt idx="0">
                  <c:v>10209122.229190443</c:v>
                </c:pt>
                <c:pt idx="1">
                  <c:v>14762436.796069315</c:v>
                </c:pt>
                <c:pt idx="2">
                  <c:v>1534837.2975119564</c:v>
                </c:pt>
              </c:numCache>
            </c:numRef>
          </c:val>
          <c:extLst>
            <c:ext xmlns:c16="http://schemas.microsoft.com/office/drawing/2014/chart" uri="{C3380CC4-5D6E-409C-BE32-E72D297353CC}">
              <c16:uniqueId val="{00000003-FC15-44EC-9813-4F43F36A414F}"/>
            </c:ext>
          </c:extLst>
        </c:ser>
        <c:dLbls>
          <c:showLegendKey val="0"/>
          <c:showVal val="0"/>
          <c:showCatName val="0"/>
          <c:showSerName val="0"/>
          <c:showPercent val="1"/>
          <c:showBubbleSize val="0"/>
          <c:showLeaderLines val="1"/>
        </c:dLbls>
      </c:pie3DChart>
      <c:spPr>
        <a:noFill/>
        <a:ln w="25400">
          <a:noFill/>
        </a:ln>
      </c:spPr>
    </c:plotArea>
    <c:legend>
      <c:legendPos val="r"/>
      <c:layout>
        <c:manualLayout>
          <c:xMode val="edge"/>
          <c:yMode val="edge"/>
          <c:x val="0.78806027581351723"/>
          <c:y val="0.45660461491121557"/>
          <c:w val="0.20000014575570324"/>
          <c:h val="0.2415098789613041"/>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zero"/>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707838479809977"/>
          <c:y val="9.0278083896497593E-2"/>
          <c:w val="0.61520190023752974"/>
          <c:h val="0.67014116123169365"/>
        </c:manualLayout>
      </c:layout>
      <c:lineChart>
        <c:grouping val="standard"/>
        <c:varyColors val="0"/>
        <c:ser>
          <c:idx val="0"/>
          <c:order val="0"/>
          <c:tx>
            <c:strRef>
              <c:f>[3]charts!$A$45</c:f>
              <c:strCache>
                <c:ptCount val="1"/>
                <c:pt idx="0">
                  <c:v>Forecasts Under Outsource</c:v>
                </c:pt>
              </c:strCache>
            </c:strRef>
          </c:tx>
          <c:spPr>
            <a:ln w="12700">
              <a:solidFill>
                <a:srgbClr val="000080"/>
              </a:solidFill>
              <a:prstDash val="solid"/>
            </a:ln>
          </c:spPr>
          <c:marker>
            <c:symbol val="none"/>
          </c:marker>
          <c:cat>
            <c:numRef>
              <c:f>[3]charts!$B$44:$K$44</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[3]charts!$B$45:$K$45</c:f>
              <c:numCache>
                <c:formatCode>General</c:formatCode>
                <c:ptCount val="10"/>
                <c:pt idx="0">
                  <c:v>12251522.541030942</c:v>
                </c:pt>
                <c:pt idx="1">
                  <c:v>13617292.006097978</c:v>
                </c:pt>
                <c:pt idx="2">
                  <c:v>15240147.488118811</c:v>
                </c:pt>
                <c:pt idx="3">
                  <c:v>15818591.026264848</c:v>
                </c:pt>
                <c:pt idx="4">
                  <c:v>15818591.026264848</c:v>
                </c:pt>
                <c:pt idx="5">
                  <c:v>15818591.026264848</c:v>
                </c:pt>
                <c:pt idx="6">
                  <c:v>15818591.026264848</c:v>
                </c:pt>
                <c:pt idx="7">
                  <c:v>15818591.026264848</c:v>
                </c:pt>
                <c:pt idx="8">
                  <c:v>15818591.026264848</c:v>
                </c:pt>
                <c:pt idx="9">
                  <c:v>15818591.026264848</c:v>
                </c:pt>
              </c:numCache>
            </c:numRef>
          </c:val>
          <c:smooth val="0"/>
          <c:extLst>
            <c:ext xmlns:c16="http://schemas.microsoft.com/office/drawing/2014/chart" uri="{C3380CC4-5D6E-409C-BE32-E72D297353CC}">
              <c16:uniqueId val="{00000000-DB8B-4E0C-B88A-0FE13D1749BB}"/>
            </c:ext>
          </c:extLst>
        </c:ser>
        <c:ser>
          <c:idx val="1"/>
          <c:order val="1"/>
          <c:tx>
            <c:strRef>
              <c:f>[3]charts!$A$46</c:f>
              <c:strCache>
                <c:ptCount val="1"/>
                <c:pt idx="0">
                  <c:v>Current Business Forecasts</c:v>
                </c:pt>
              </c:strCache>
            </c:strRef>
          </c:tx>
          <c:spPr>
            <a:ln w="12700">
              <a:solidFill>
                <a:srgbClr val="FF00FF"/>
              </a:solidFill>
              <a:prstDash val="solid"/>
            </a:ln>
          </c:spPr>
          <c:marker>
            <c:symbol val="none"/>
          </c:marker>
          <c:cat>
            <c:numRef>
              <c:f>[3]charts!$B$44:$K$44</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[3]charts!$B$46:$K$46</c:f>
              <c:numCache>
                <c:formatCode>General</c:formatCode>
                <c:ptCount val="10"/>
                <c:pt idx="0">
                  <c:v>10912236.763886802</c:v>
                </c:pt>
                <c:pt idx="1">
                  <c:v>11773236.763886802</c:v>
                </c:pt>
                <c:pt idx="2">
                  <c:v>13774236.763886802</c:v>
                </c:pt>
                <c:pt idx="3">
                  <c:v>14913236.763886802</c:v>
                </c:pt>
                <c:pt idx="4">
                  <c:v>15312236.763886802</c:v>
                </c:pt>
                <c:pt idx="5">
                  <c:v>15911236.763886802</c:v>
                </c:pt>
                <c:pt idx="6">
                  <c:v>16087236.763886802</c:v>
                </c:pt>
                <c:pt idx="7">
                  <c:v>16087236.763886802</c:v>
                </c:pt>
                <c:pt idx="8">
                  <c:v>16087236.763886802</c:v>
                </c:pt>
                <c:pt idx="9">
                  <c:v>16087236.763886802</c:v>
                </c:pt>
              </c:numCache>
            </c:numRef>
          </c:val>
          <c:smooth val="0"/>
          <c:extLst>
            <c:ext xmlns:c16="http://schemas.microsoft.com/office/drawing/2014/chart" uri="{C3380CC4-5D6E-409C-BE32-E72D297353CC}">
              <c16:uniqueId val="{00000001-DB8B-4E0C-B88A-0FE13D1749BB}"/>
            </c:ext>
          </c:extLst>
        </c:ser>
        <c:dLbls>
          <c:showLegendKey val="0"/>
          <c:showVal val="0"/>
          <c:showCatName val="0"/>
          <c:showSerName val="0"/>
          <c:showPercent val="0"/>
          <c:showBubbleSize val="0"/>
        </c:dLbls>
        <c:smooth val="0"/>
        <c:axId val="1096571552"/>
        <c:axId val="1"/>
      </c:lineChart>
      <c:catAx>
        <c:axId val="1096571552"/>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a:t>Year</a:t>
                </a:r>
              </a:p>
            </c:rich>
          </c:tx>
          <c:layout>
            <c:manualLayout>
              <c:xMode val="edge"/>
              <c:yMode val="edge"/>
              <c:x val="0.41567695961995249"/>
              <c:y val="0.86805849900478449"/>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title>
          <c:tx>
            <c:rich>
              <a:bodyPr/>
              <a:lstStyle/>
              <a:p>
                <a:pPr>
                  <a:defRPr sz="1000" b="1" i="0" u="none" strike="noStrike" baseline="0">
                    <a:solidFill>
                      <a:srgbClr val="000000"/>
                    </a:solidFill>
                    <a:latin typeface="Arial"/>
                    <a:ea typeface="Arial"/>
                    <a:cs typeface="Arial"/>
                  </a:defRPr>
                </a:pPr>
                <a:r>
                  <a:rPr lang="en-US"/>
                  <a:t>Margin for SPG</a:t>
                </a:r>
              </a:p>
            </c:rich>
          </c:tx>
          <c:layout>
            <c:manualLayout>
              <c:xMode val="edge"/>
              <c:yMode val="edge"/>
              <c:x val="1.9002375296912115E-2"/>
              <c:y val="0.25000084771337794"/>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096571552"/>
        <c:crosses val="autoZero"/>
        <c:crossBetween val="between"/>
      </c:valAx>
      <c:spPr>
        <a:solidFill>
          <a:srgbClr val="C0C0C0"/>
        </a:solidFill>
        <a:ln w="12700">
          <a:solidFill>
            <a:srgbClr val="808080"/>
          </a:solidFill>
          <a:prstDash val="solid"/>
        </a:ln>
      </c:spPr>
    </c:plotArea>
    <c:legend>
      <c:legendPos val="r"/>
      <c:layout>
        <c:manualLayout>
          <c:xMode val="edge"/>
          <c:yMode val="edge"/>
          <c:x val="0.75534441805225649"/>
          <c:y val="0.35069563359793293"/>
          <c:w val="0.23515439429928742"/>
          <c:h val="0.14930606182882294"/>
        </c:manualLayout>
      </c:layout>
      <c:overlay val="0"/>
      <c:spPr>
        <a:solidFill>
          <a:srgbClr val="FFFFFF"/>
        </a:solidFill>
        <a:ln w="3175">
          <a:solidFill>
            <a:srgbClr val="000000"/>
          </a:solidFill>
          <a:prstDash val="solid"/>
        </a:ln>
      </c:spPr>
      <c:txPr>
        <a:bodyPr/>
        <a:lstStyle/>
        <a:p>
          <a:pPr>
            <a:defRPr sz="920"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0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000000"/>
                </a:solidFill>
                <a:latin typeface="Arial"/>
                <a:ea typeface="Arial"/>
                <a:cs typeface="Arial"/>
              </a:defRPr>
            </a:pPr>
            <a:r>
              <a:rPr lang="en-US"/>
              <a:t>Deal Cash Flows</a:t>
            </a:r>
          </a:p>
        </c:rich>
      </c:tx>
      <c:layout>
        <c:manualLayout>
          <c:xMode val="edge"/>
          <c:yMode val="edge"/>
          <c:x val="0.3712746953196332"/>
          <c:y val="3.1180400890868598E-2"/>
        </c:manualLayout>
      </c:layout>
      <c:overlay val="0"/>
      <c:spPr>
        <a:noFill/>
        <a:ln w="25400">
          <a:noFill/>
        </a:ln>
      </c:spPr>
    </c:title>
    <c:autoTitleDeleted val="0"/>
    <c:view3D>
      <c:rotX val="14"/>
      <c:hPercent val="123"/>
      <c:rotY val="44"/>
      <c:depthPercent val="100"/>
      <c:rAngAx val="1"/>
    </c:view3D>
    <c:floor>
      <c:thickness val="0"/>
      <c:spPr>
        <a:solidFill>
          <a:srgbClr val="C0C0C0"/>
        </a:solidFill>
        <a:ln w="3175">
          <a:solidFill>
            <a:srgbClr val="000000"/>
          </a:solidFill>
          <a:prstDash val="solid"/>
        </a:ln>
      </c:spPr>
    </c:floor>
    <c:sideWall>
      <c:thickness val="0"/>
      <c:spPr>
        <a:noFill/>
        <a:ln w="12700">
          <a:solidFill>
            <a:srgbClr val="808080"/>
          </a:solidFill>
          <a:prstDash val="solid"/>
        </a:ln>
      </c:spPr>
    </c:sideWall>
    <c:backWall>
      <c:thickness val="0"/>
      <c:spPr>
        <a:noFill/>
        <a:ln w="12700">
          <a:solidFill>
            <a:srgbClr val="808080"/>
          </a:solidFill>
          <a:prstDash val="solid"/>
        </a:ln>
      </c:spPr>
    </c:backWall>
    <c:plotArea>
      <c:layout>
        <c:manualLayout>
          <c:layoutTarget val="inner"/>
          <c:xMode val="edge"/>
          <c:yMode val="edge"/>
          <c:x val="0.22764287888211085"/>
          <c:y val="6.9042316258351888E-2"/>
          <c:w val="0.75067949345648466"/>
          <c:h val="0.81291759465478841"/>
        </c:manualLayout>
      </c:layout>
      <c:bar3DChart>
        <c:barDir val="col"/>
        <c:grouping val="clustered"/>
        <c:varyColors val="0"/>
        <c:ser>
          <c:idx val="0"/>
          <c:order val="0"/>
          <c:tx>
            <c:v>Mid</c:v>
          </c:tx>
          <c:spPr>
            <a:solidFill>
              <a:srgbClr val="9999FF"/>
            </a:solidFill>
            <a:ln w="12700">
              <a:solidFill>
                <a:srgbClr val="000000"/>
              </a:solidFill>
              <a:prstDash val="solid"/>
            </a:ln>
          </c:spPr>
          <c:invertIfNegative val="0"/>
          <c:cat>
            <c:numRef>
              <c:f>'Re-Whole'!$C$81:$C$90</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'Re-Whole'!$K$81:$K$90</c:f>
              <c:numCache>
                <c:formatCode>#,##0</c:formatCode>
                <c:ptCount val="10"/>
                <c:pt idx="0">
                  <c:v>-1720871.9790662453</c:v>
                </c:pt>
                <c:pt idx="1">
                  <c:v>595936.03723735828</c:v>
                </c:pt>
                <c:pt idx="2">
                  <c:v>1316657.2634421596</c:v>
                </c:pt>
                <c:pt idx="3">
                  <c:v>1642317.5042369151</c:v>
                </c:pt>
                <c:pt idx="4">
                  <c:v>1972190.7541512037</c:v>
                </c:pt>
                <c:pt idx="5">
                  <c:v>2306691.5251878286</c:v>
                </c:pt>
                <c:pt idx="6">
                  <c:v>2646232.5026184926</c:v>
                </c:pt>
                <c:pt idx="7">
                  <c:v>2989138.746230186</c:v>
                </c:pt>
                <c:pt idx="8">
                  <c:v>3337830.0016503939</c:v>
                </c:pt>
                <c:pt idx="9">
                  <c:v>3689474.8008683855</c:v>
                </c:pt>
              </c:numCache>
            </c:numRef>
          </c:val>
          <c:extLst>
            <c:ext xmlns:c16="http://schemas.microsoft.com/office/drawing/2014/chart" uri="{C3380CC4-5D6E-409C-BE32-E72D297353CC}">
              <c16:uniqueId val="{00000000-73B8-495F-ABB2-6D39F3A12563}"/>
            </c:ext>
          </c:extLst>
        </c:ser>
        <c:ser>
          <c:idx val="1"/>
          <c:order val="1"/>
          <c:tx>
            <c:v>Offer</c:v>
          </c:tx>
          <c:spPr>
            <a:solidFill>
              <a:srgbClr val="993366"/>
            </a:solidFill>
            <a:ln w="12700">
              <a:solidFill>
                <a:srgbClr val="000000"/>
              </a:solidFill>
              <a:prstDash val="solid"/>
            </a:ln>
          </c:spPr>
          <c:invertIfNegative val="0"/>
          <c:cat>
            <c:numRef>
              <c:f>'Re-Whole'!$C$81:$C$90</c:f>
              <c:numCache>
                <c:formatCode>General</c:formatCode>
                <c:ptCount val="10"/>
                <c:pt idx="0">
                  <c:v>1</c:v>
                </c:pt>
                <c:pt idx="1">
                  <c:v>2</c:v>
                </c:pt>
                <c:pt idx="2">
                  <c:v>3</c:v>
                </c:pt>
                <c:pt idx="3">
                  <c:v>4</c:v>
                </c:pt>
                <c:pt idx="4">
                  <c:v>5</c:v>
                </c:pt>
                <c:pt idx="5">
                  <c:v>6</c:v>
                </c:pt>
                <c:pt idx="6">
                  <c:v>7</c:v>
                </c:pt>
                <c:pt idx="7">
                  <c:v>8</c:v>
                </c:pt>
                <c:pt idx="8">
                  <c:v>9</c:v>
                </c:pt>
                <c:pt idx="9">
                  <c:v>10</c:v>
                </c:pt>
              </c:numCache>
            </c:numRef>
          </c:cat>
          <c:val>
            <c:numRef>
              <c:f>'Re-Whole'!$J$81:$J$90</c:f>
              <c:numCache>
                <c:formatCode>#,##0</c:formatCode>
                <c:ptCount val="10"/>
                <c:pt idx="0">
                  <c:v>-2980602.0456872806</c:v>
                </c:pt>
                <c:pt idx="1">
                  <c:v>-791121.05650198553</c:v>
                </c:pt>
                <c:pt idx="2">
                  <c:v>-102817.12816380803</c:v>
                </c:pt>
                <c:pt idx="3">
                  <c:v>214114.83834304567</c:v>
                </c:pt>
                <c:pt idx="4">
                  <c:v>535254.64081259724</c:v>
                </c:pt>
                <c:pt idx="5">
                  <c:v>861030.81402215268</c:v>
                </c:pt>
                <c:pt idx="6">
                  <c:v>1191869.9992408743</c:v>
                </c:pt>
                <c:pt idx="7">
                  <c:v>1526025.9410025394</c:v>
                </c:pt>
                <c:pt idx="8">
                  <c:v>1866014.3487621835</c:v>
                </c:pt>
                <c:pt idx="9">
                  <c:v>2208885.214153572</c:v>
                </c:pt>
              </c:numCache>
            </c:numRef>
          </c:val>
          <c:extLst>
            <c:ext xmlns:c16="http://schemas.microsoft.com/office/drawing/2014/chart" uri="{C3380CC4-5D6E-409C-BE32-E72D297353CC}">
              <c16:uniqueId val="{00000001-73B8-495F-ABB2-6D39F3A12563}"/>
            </c:ext>
          </c:extLst>
        </c:ser>
        <c:dLbls>
          <c:showLegendKey val="0"/>
          <c:showVal val="0"/>
          <c:showCatName val="0"/>
          <c:showSerName val="0"/>
          <c:showPercent val="0"/>
          <c:showBubbleSize val="0"/>
        </c:dLbls>
        <c:gapWidth val="150"/>
        <c:shape val="box"/>
        <c:axId val="1098233392"/>
        <c:axId val="1"/>
        <c:axId val="0"/>
      </c:bar3DChart>
      <c:catAx>
        <c:axId val="109823339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Year</a:t>
                </a:r>
              </a:p>
            </c:rich>
          </c:tx>
          <c:layout>
            <c:manualLayout>
              <c:xMode val="edge"/>
              <c:yMode val="edge"/>
              <c:x val="0.54742692302602847"/>
              <c:y val="0.89309576837416482"/>
            </c:manualLayout>
          </c:layout>
          <c:overlay val="0"/>
          <c:spPr>
            <a:noFill/>
            <a:ln w="25400">
              <a:noFill/>
            </a:ln>
          </c:spPr>
        </c:title>
        <c:numFmt formatCode="General" sourceLinked="1"/>
        <c:majorTickMark val="out"/>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098233392"/>
        <c:crosses val="autoZero"/>
        <c:crossBetween val="between"/>
      </c:valAx>
      <c:spPr>
        <a:noFill/>
        <a:ln w="25400">
          <a:noFill/>
        </a:ln>
      </c:spPr>
    </c:plotArea>
    <c:legend>
      <c:legendPos val="r"/>
      <c:layout>
        <c:manualLayout>
          <c:xMode val="edge"/>
          <c:yMode val="edge"/>
          <c:x val="5.6910719720527712E-2"/>
          <c:y val="0.9376391982182628"/>
          <c:w val="0.23577298169932911"/>
          <c:h val="5.3452115812917596E-2"/>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000000"/>
                </a:solidFill>
                <a:latin typeface="Arial"/>
                <a:ea typeface="Arial"/>
                <a:cs typeface="Arial"/>
              </a:defRPr>
            </a:pPr>
            <a:r>
              <a:rPr lang="en-US"/>
              <a:t>Deal Cash Flows</a:t>
            </a:r>
          </a:p>
        </c:rich>
      </c:tx>
      <c:layout>
        <c:manualLayout>
          <c:xMode val="edge"/>
          <c:yMode val="edge"/>
          <c:x val="0.3712746953196332"/>
          <c:y val="3.1180400890868598E-2"/>
        </c:manualLayout>
      </c:layout>
      <c:overlay val="0"/>
      <c:spPr>
        <a:noFill/>
        <a:ln w="25400">
          <a:noFill/>
        </a:ln>
      </c:spPr>
    </c:title>
    <c:autoTitleDeleted val="0"/>
    <c:view3D>
      <c:rotX val="14"/>
      <c:hPercent val="123"/>
      <c:rotY val="44"/>
      <c:depthPercent val="100"/>
      <c:rAngAx val="1"/>
    </c:view3D>
    <c:floor>
      <c:thickness val="0"/>
      <c:spPr>
        <a:solidFill>
          <a:srgbClr val="C0C0C0"/>
        </a:solidFill>
        <a:ln w="3175">
          <a:solidFill>
            <a:srgbClr val="000000"/>
          </a:solidFill>
          <a:prstDash val="solid"/>
        </a:ln>
      </c:spPr>
    </c:floor>
    <c:sideWall>
      <c:thickness val="0"/>
      <c:spPr>
        <a:solidFill>
          <a:srgbClr val="FFFFFF"/>
        </a:solidFill>
        <a:ln w="3175">
          <a:solidFill>
            <a:srgbClr val="000000"/>
          </a:solidFill>
          <a:prstDash val="solid"/>
        </a:ln>
      </c:spPr>
    </c:sideWall>
    <c:backWall>
      <c:thickness val="0"/>
      <c:spPr>
        <a:solidFill>
          <a:srgbClr val="FFFFFF"/>
        </a:solidFill>
        <a:ln w="3175">
          <a:solidFill>
            <a:srgbClr val="000000"/>
          </a:solidFill>
          <a:prstDash val="solid"/>
        </a:ln>
      </c:spPr>
    </c:backWall>
    <c:plotArea>
      <c:layout>
        <c:manualLayout>
          <c:layoutTarget val="inner"/>
          <c:xMode val="edge"/>
          <c:yMode val="edge"/>
          <c:x val="0.22764287888211085"/>
          <c:y val="6.9042316258351888E-2"/>
          <c:w val="0.75067949345648466"/>
          <c:h val="0.86636971046770606"/>
        </c:manualLayout>
      </c:layout>
      <c:bar3DChart>
        <c:barDir val="col"/>
        <c:grouping val="clustered"/>
        <c:varyColors val="0"/>
        <c:ser>
          <c:idx val="0"/>
          <c:order val="0"/>
          <c:tx>
            <c:v>Mid</c:v>
          </c:tx>
          <c:spPr>
            <a:solidFill>
              <a:srgbClr val="9999FF"/>
            </a:solidFill>
            <a:ln w="12700">
              <a:solidFill>
                <a:srgbClr val="000000"/>
              </a:solidFill>
              <a:prstDash val="solid"/>
            </a:ln>
          </c:spPr>
          <c:invertIfNegative val="0"/>
          <c:cat>
            <c:numRef>
              <c:f>Breakout!$C$11:$L$11</c:f>
              <c:numCache>
                <c:formatCode>_(* #,##0_);_(* \(#,##0\);_(* "-"??_);_(@_)</c:formatCode>
                <c:ptCount val="10"/>
                <c:pt idx="0">
                  <c:v>1</c:v>
                </c:pt>
                <c:pt idx="1">
                  <c:v>2</c:v>
                </c:pt>
                <c:pt idx="2">
                  <c:v>3</c:v>
                </c:pt>
                <c:pt idx="3">
                  <c:v>4</c:v>
                </c:pt>
                <c:pt idx="4">
                  <c:v>5</c:v>
                </c:pt>
                <c:pt idx="5">
                  <c:v>6</c:v>
                </c:pt>
                <c:pt idx="6">
                  <c:v>7</c:v>
                </c:pt>
                <c:pt idx="7">
                  <c:v>8</c:v>
                </c:pt>
                <c:pt idx="8">
                  <c:v>9</c:v>
                </c:pt>
                <c:pt idx="9">
                  <c:v>10</c:v>
                </c:pt>
              </c:numCache>
            </c:numRef>
          </c:cat>
          <c:val>
            <c:numRef>
              <c:f>'Re-Redis'!$E$81:$E$90</c:f>
              <c:numCache>
                <c:formatCode>#,##0</c:formatCode>
                <c:ptCount val="10"/>
                <c:pt idx="0">
                  <c:v>-764310.77734543011</c:v>
                </c:pt>
                <c:pt idx="1">
                  <c:v>-789416.10684319399</c:v>
                </c:pt>
                <c:pt idx="2">
                  <c:v>2101421.6987657268</c:v>
                </c:pt>
                <c:pt idx="3">
                  <c:v>2299591.7539086062</c:v>
                </c:pt>
                <c:pt idx="4">
                  <c:v>3693244.3358910289</c:v>
                </c:pt>
                <c:pt idx="5">
                  <c:v>3699213.497570334</c:v>
                </c:pt>
                <c:pt idx="6">
                  <c:v>3706076.5749434102</c:v>
                </c:pt>
                <c:pt idx="7">
                  <c:v>3713827.961548565</c:v>
                </c:pt>
                <c:pt idx="8">
                  <c:v>5691471.6059061754</c:v>
                </c:pt>
                <c:pt idx="9">
                  <c:v>5700984.211618444</c:v>
                </c:pt>
              </c:numCache>
            </c:numRef>
          </c:val>
          <c:extLst>
            <c:ext xmlns:c16="http://schemas.microsoft.com/office/drawing/2014/chart" uri="{C3380CC4-5D6E-409C-BE32-E72D297353CC}">
              <c16:uniqueId val="{00000000-170E-4ACD-85AB-0D76A17CD16E}"/>
            </c:ext>
          </c:extLst>
        </c:ser>
        <c:ser>
          <c:idx val="1"/>
          <c:order val="1"/>
          <c:tx>
            <c:v>Offer</c:v>
          </c:tx>
          <c:spPr>
            <a:solidFill>
              <a:srgbClr val="993366"/>
            </a:solidFill>
            <a:ln w="12700">
              <a:solidFill>
                <a:srgbClr val="000000"/>
              </a:solidFill>
              <a:prstDash val="solid"/>
            </a:ln>
          </c:spPr>
          <c:invertIfNegative val="0"/>
          <c:cat>
            <c:numRef>
              <c:f>Breakout!$C$11:$L$11</c:f>
              <c:numCache>
                <c:formatCode>_(* #,##0_);_(* \(#,##0\);_(* "-"??_);_(@_)</c:formatCode>
                <c:ptCount val="10"/>
                <c:pt idx="0">
                  <c:v>1</c:v>
                </c:pt>
                <c:pt idx="1">
                  <c:v>2</c:v>
                </c:pt>
                <c:pt idx="2">
                  <c:v>3</c:v>
                </c:pt>
                <c:pt idx="3">
                  <c:v>4</c:v>
                </c:pt>
                <c:pt idx="4">
                  <c:v>5</c:v>
                </c:pt>
                <c:pt idx="5">
                  <c:v>6</c:v>
                </c:pt>
                <c:pt idx="6">
                  <c:v>7</c:v>
                </c:pt>
                <c:pt idx="7">
                  <c:v>8</c:v>
                </c:pt>
                <c:pt idx="8">
                  <c:v>9</c:v>
                </c:pt>
                <c:pt idx="9">
                  <c:v>10</c:v>
                </c:pt>
              </c:numCache>
            </c:numRef>
          </c:cat>
          <c:val>
            <c:numRef>
              <c:f>'Re-Redis'!$D$81:$D$90</c:f>
              <c:numCache>
                <c:formatCode>#,##0</c:formatCode>
                <c:ptCount val="10"/>
                <c:pt idx="0">
                  <c:v>-886077.20997076482</c:v>
                </c:pt>
                <c:pt idx="1">
                  <c:v>-911576.270523699</c:v>
                </c:pt>
                <c:pt idx="2">
                  <c:v>1977904.2678291108</c:v>
                </c:pt>
                <c:pt idx="3">
                  <c:v>2173957.5207767729</c:v>
                </c:pt>
                <c:pt idx="4">
                  <c:v>3565032.550961839</c:v>
                </c:pt>
                <c:pt idx="5">
                  <c:v>3567966.6091164332</c:v>
                </c:pt>
                <c:pt idx="6">
                  <c:v>3571340.0590603147</c:v>
                </c:pt>
                <c:pt idx="7">
                  <c:v>3575150.1450154502</c:v>
                </c:pt>
                <c:pt idx="8">
                  <c:v>5548403.4856902938</c:v>
                </c:pt>
                <c:pt idx="9">
                  <c:v>5553079.2743287999</c:v>
                </c:pt>
              </c:numCache>
            </c:numRef>
          </c:val>
          <c:extLst>
            <c:ext xmlns:c16="http://schemas.microsoft.com/office/drawing/2014/chart" uri="{C3380CC4-5D6E-409C-BE32-E72D297353CC}">
              <c16:uniqueId val="{00000001-170E-4ACD-85AB-0D76A17CD16E}"/>
            </c:ext>
          </c:extLst>
        </c:ser>
        <c:dLbls>
          <c:showLegendKey val="0"/>
          <c:showVal val="0"/>
          <c:showCatName val="0"/>
          <c:showSerName val="0"/>
          <c:showPercent val="0"/>
          <c:showBubbleSize val="0"/>
        </c:dLbls>
        <c:gapWidth val="150"/>
        <c:shape val="box"/>
        <c:axId val="1098239424"/>
        <c:axId val="1"/>
        <c:axId val="0"/>
      </c:bar3DChart>
      <c:catAx>
        <c:axId val="1098239424"/>
        <c:scaling>
          <c:orientation val="minMax"/>
        </c:scaling>
        <c:delete val="0"/>
        <c:axPos val="b"/>
        <c:numFmt formatCode="_(* #,##0_);_(* \(#,##0\);_(* &quot;-&quot;??_);_(@_)" sourceLinked="1"/>
        <c:majorTickMark val="out"/>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098239424"/>
        <c:crosses val="autoZero"/>
        <c:crossBetween val="between"/>
      </c:valAx>
      <c:spPr>
        <a:noFill/>
        <a:ln w="25400">
          <a:noFill/>
        </a:ln>
      </c:spPr>
    </c:plotArea>
    <c:legend>
      <c:legendPos val="r"/>
      <c:layout>
        <c:manualLayout>
          <c:xMode val="edge"/>
          <c:yMode val="edge"/>
          <c:x val="5.6910719720527712E-2"/>
          <c:y val="0.9376391982182628"/>
          <c:w val="0.23577298169932911"/>
          <c:h val="5.3452115812917596E-2"/>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900" b="1" i="0" u="none" strike="noStrike" baseline="0">
                <a:solidFill>
                  <a:srgbClr val="000000"/>
                </a:solidFill>
                <a:latin typeface="Arial"/>
                <a:ea typeface="Arial"/>
                <a:cs typeface="Arial"/>
              </a:defRPr>
            </a:pPr>
            <a:r>
              <a:rPr lang="en-US"/>
              <a:t>Deal Cash Flows</a:t>
            </a:r>
          </a:p>
        </c:rich>
      </c:tx>
      <c:layout>
        <c:manualLayout>
          <c:xMode val="edge"/>
          <c:yMode val="edge"/>
          <c:x val="0.3712746953196332"/>
          <c:y val="3.1180400890868598E-2"/>
        </c:manualLayout>
      </c:layout>
      <c:overlay val="0"/>
      <c:spPr>
        <a:noFill/>
        <a:ln w="25400">
          <a:noFill/>
        </a:ln>
      </c:spPr>
    </c:title>
    <c:autoTitleDeleted val="0"/>
    <c:view3D>
      <c:rotX val="14"/>
      <c:hPercent val="123"/>
      <c:rotY val="44"/>
      <c:depthPercent val="100"/>
      <c:rAngAx val="1"/>
    </c:view3D>
    <c:floor>
      <c:thickness val="0"/>
      <c:spPr>
        <a:solidFill>
          <a:srgbClr val="C0C0C0"/>
        </a:solidFill>
        <a:ln w="3175">
          <a:solidFill>
            <a:srgbClr val="000000"/>
          </a:solidFill>
          <a:prstDash val="solid"/>
        </a:ln>
      </c:spPr>
    </c:floor>
    <c:sideWall>
      <c:thickness val="0"/>
      <c:spPr>
        <a:solidFill>
          <a:srgbClr val="FFFFFF"/>
        </a:solidFill>
        <a:ln w="3175">
          <a:solidFill>
            <a:srgbClr val="000000"/>
          </a:solidFill>
          <a:prstDash val="solid"/>
        </a:ln>
      </c:spPr>
    </c:sideWall>
    <c:backWall>
      <c:thickness val="0"/>
      <c:spPr>
        <a:solidFill>
          <a:srgbClr val="FFFFFF"/>
        </a:solidFill>
        <a:ln w="3175">
          <a:solidFill>
            <a:srgbClr val="000000"/>
          </a:solidFill>
          <a:prstDash val="solid"/>
        </a:ln>
      </c:spPr>
    </c:backWall>
    <c:plotArea>
      <c:layout>
        <c:manualLayout>
          <c:layoutTarget val="inner"/>
          <c:xMode val="edge"/>
          <c:yMode val="edge"/>
          <c:x val="0.22764287888211085"/>
          <c:y val="6.9042316258351888E-2"/>
          <c:w val="0.75067949345648466"/>
          <c:h val="0.86636971046770606"/>
        </c:manualLayout>
      </c:layout>
      <c:bar3DChart>
        <c:barDir val="col"/>
        <c:grouping val="clustered"/>
        <c:varyColors val="0"/>
        <c:ser>
          <c:idx val="0"/>
          <c:order val="0"/>
          <c:tx>
            <c:v>Mid</c:v>
          </c:tx>
          <c:spPr>
            <a:solidFill>
              <a:srgbClr val="9999FF"/>
            </a:solidFill>
            <a:ln w="12700">
              <a:solidFill>
                <a:srgbClr val="000000"/>
              </a:solidFill>
              <a:prstDash val="solid"/>
            </a:ln>
          </c:spPr>
          <c:invertIfNegative val="0"/>
          <c:cat>
            <c:numRef>
              <c:f>Breakout!$C$11:$L$11</c:f>
              <c:numCache>
                <c:formatCode>_(* #,##0_);_(* \(#,##0\);_(* "-"??_);_(@_)</c:formatCode>
                <c:ptCount val="10"/>
                <c:pt idx="0">
                  <c:v>1</c:v>
                </c:pt>
                <c:pt idx="1">
                  <c:v>2</c:v>
                </c:pt>
                <c:pt idx="2">
                  <c:v>3</c:v>
                </c:pt>
                <c:pt idx="3">
                  <c:v>4</c:v>
                </c:pt>
                <c:pt idx="4">
                  <c:v>5</c:v>
                </c:pt>
                <c:pt idx="5">
                  <c:v>6</c:v>
                </c:pt>
                <c:pt idx="6">
                  <c:v>7</c:v>
                </c:pt>
                <c:pt idx="7">
                  <c:v>8</c:v>
                </c:pt>
                <c:pt idx="8">
                  <c:v>9</c:v>
                </c:pt>
                <c:pt idx="9">
                  <c:v>10</c:v>
                </c:pt>
              </c:numCache>
            </c:numRef>
          </c:cat>
          <c:val>
            <c:numRef>
              <c:f>'Re-FM'!$E$81:$E$90</c:f>
              <c:numCache>
                <c:formatCode>#,##0</c:formatCode>
                <c:ptCount val="10"/>
                <c:pt idx="0">
                  <c:v>-3800000</c:v>
                </c:pt>
                <c:pt idx="1">
                  <c:v>350000</c:v>
                </c:pt>
                <c:pt idx="2">
                  <c:v>500000</c:v>
                </c:pt>
                <c:pt idx="3">
                  <c:v>650000</c:v>
                </c:pt>
                <c:pt idx="4">
                  <c:v>800000</c:v>
                </c:pt>
                <c:pt idx="5">
                  <c:v>950000</c:v>
                </c:pt>
                <c:pt idx="6">
                  <c:v>1100000</c:v>
                </c:pt>
                <c:pt idx="7">
                  <c:v>1250000</c:v>
                </c:pt>
                <c:pt idx="8">
                  <c:v>1400000</c:v>
                </c:pt>
                <c:pt idx="9">
                  <c:v>1550000</c:v>
                </c:pt>
              </c:numCache>
            </c:numRef>
          </c:val>
          <c:extLst>
            <c:ext xmlns:c16="http://schemas.microsoft.com/office/drawing/2014/chart" uri="{C3380CC4-5D6E-409C-BE32-E72D297353CC}">
              <c16:uniqueId val="{00000000-D420-47A2-A048-26530C23E10D}"/>
            </c:ext>
          </c:extLst>
        </c:ser>
        <c:ser>
          <c:idx val="1"/>
          <c:order val="1"/>
          <c:tx>
            <c:v>Offer</c:v>
          </c:tx>
          <c:spPr>
            <a:solidFill>
              <a:srgbClr val="993366"/>
            </a:solidFill>
            <a:ln w="12700">
              <a:solidFill>
                <a:srgbClr val="000000"/>
              </a:solidFill>
              <a:prstDash val="solid"/>
            </a:ln>
          </c:spPr>
          <c:invertIfNegative val="0"/>
          <c:cat>
            <c:numRef>
              <c:f>Breakout!$C$11:$L$11</c:f>
              <c:numCache>
                <c:formatCode>_(* #,##0_);_(* \(#,##0\);_(* "-"??_);_(@_)</c:formatCode>
                <c:ptCount val="10"/>
                <c:pt idx="0">
                  <c:v>1</c:v>
                </c:pt>
                <c:pt idx="1">
                  <c:v>2</c:v>
                </c:pt>
                <c:pt idx="2">
                  <c:v>3</c:v>
                </c:pt>
                <c:pt idx="3">
                  <c:v>4</c:v>
                </c:pt>
                <c:pt idx="4">
                  <c:v>5</c:v>
                </c:pt>
                <c:pt idx="5">
                  <c:v>6</c:v>
                </c:pt>
                <c:pt idx="6">
                  <c:v>7</c:v>
                </c:pt>
                <c:pt idx="7">
                  <c:v>8</c:v>
                </c:pt>
                <c:pt idx="8">
                  <c:v>9</c:v>
                </c:pt>
                <c:pt idx="9">
                  <c:v>10</c:v>
                </c:pt>
              </c:numCache>
            </c:numRef>
          </c:cat>
          <c:val>
            <c:numRef>
              <c:f>'Re-FM'!$D$81:$D$90</c:f>
              <c:numCache>
                <c:formatCode>#,##0</c:formatCode>
                <c:ptCount val="10"/>
                <c:pt idx="0">
                  <c:v>-3800000</c:v>
                </c:pt>
                <c:pt idx="1">
                  <c:v>350000</c:v>
                </c:pt>
                <c:pt idx="2">
                  <c:v>500000</c:v>
                </c:pt>
                <c:pt idx="3">
                  <c:v>650000</c:v>
                </c:pt>
                <c:pt idx="4">
                  <c:v>800000</c:v>
                </c:pt>
                <c:pt idx="5">
                  <c:v>950000</c:v>
                </c:pt>
                <c:pt idx="6">
                  <c:v>1100000</c:v>
                </c:pt>
                <c:pt idx="7">
                  <c:v>1250000</c:v>
                </c:pt>
                <c:pt idx="8">
                  <c:v>1400000</c:v>
                </c:pt>
                <c:pt idx="9">
                  <c:v>1550000</c:v>
                </c:pt>
              </c:numCache>
            </c:numRef>
          </c:val>
          <c:extLst>
            <c:ext xmlns:c16="http://schemas.microsoft.com/office/drawing/2014/chart" uri="{C3380CC4-5D6E-409C-BE32-E72D297353CC}">
              <c16:uniqueId val="{00000001-D420-47A2-A048-26530C23E10D}"/>
            </c:ext>
          </c:extLst>
        </c:ser>
        <c:dLbls>
          <c:showLegendKey val="0"/>
          <c:showVal val="0"/>
          <c:showCatName val="0"/>
          <c:showSerName val="0"/>
          <c:showPercent val="0"/>
          <c:showBubbleSize val="0"/>
        </c:dLbls>
        <c:gapWidth val="150"/>
        <c:shape val="box"/>
        <c:axId val="1098237568"/>
        <c:axId val="1"/>
        <c:axId val="0"/>
      </c:bar3DChart>
      <c:catAx>
        <c:axId val="1098237568"/>
        <c:scaling>
          <c:orientation val="minMax"/>
        </c:scaling>
        <c:delete val="0"/>
        <c:axPos val="b"/>
        <c:numFmt formatCode="_(* #,##0_);_(* \(#,##0\);_(* &quot;-&quot;??_);_(@_)" sourceLinked="1"/>
        <c:majorTickMark val="out"/>
        <c:minorTickMark val="none"/>
        <c:tickLblPos val="low"/>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auto val="1"/>
        <c:lblAlgn val="ctr"/>
        <c:lblOffset val="100"/>
        <c:tickLblSkip val="1"/>
        <c:tickMarkSkip val="1"/>
        <c:noMultiLvlLbl val="0"/>
      </c:catAx>
      <c:valAx>
        <c:axId val="1"/>
        <c:scaling>
          <c:orientation val="minMax"/>
        </c:scaling>
        <c:delete val="0"/>
        <c:axPos val="l"/>
        <c:majorGridlines>
          <c:spPr>
            <a:ln w="3175">
              <a:solidFill>
                <a:srgbClr val="000000"/>
              </a:solidFill>
              <a:prstDash val="solid"/>
            </a:ln>
          </c:spPr>
        </c:majorGridlines>
        <c:numFmt formatCode="\$#,##0" sourceLinked="0"/>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098237568"/>
        <c:crosses val="autoZero"/>
        <c:crossBetween val="between"/>
      </c:valAx>
      <c:spPr>
        <a:noFill/>
        <a:ln w="25400">
          <a:noFill/>
        </a:ln>
      </c:spPr>
    </c:plotArea>
    <c:legend>
      <c:legendPos val="r"/>
      <c:layout>
        <c:manualLayout>
          <c:xMode val="edge"/>
          <c:yMode val="edge"/>
          <c:x val="5.6910719720527712E-2"/>
          <c:y val="0.9376391982182628"/>
          <c:w val="0.23577298169932911"/>
          <c:h val="5.3452115812917596E-2"/>
        </c:manualLayout>
      </c:layout>
      <c:overlay val="0"/>
      <c:spPr>
        <a:solidFill>
          <a:srgbClr val="FFFFFF"/>
        </a:solidFill>
        <a:ln w="3175">
          <a:solidFill>
            <a:srgbClr val="000000"/>
          </a:solidFill>
          <a:prstDash val="solid"/>
        </a:ln>
      </c:spPr>
      <c:txPr>
        <a:bodyPr/>
        <a:lstStyle/>
        <a:p>
          <a:pPr>
            <a:defRPr sz="73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6.xml"/><Relationship Id="rId4" Type="http://schemas.openxmlformats.org/officeDocument/2006/relationships/chart" Target="../charts/chart5.xml"/></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7.xml"/></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8.xml"/></Relationships>
</file>

<file path=xl/drawings/_rels/drawing7.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chart" Target="../charts/chart9.xml"/></Relationships>
</file>

<file path=xl/drawings/_rels/vmlDrawing7.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8.vml.rels><?xml version="1.0" encoding="UTF-8" standalone="yes"?>
<Relationships xmlns="http://schemas.openxmlformats.org/package/2006/relationships"><Relationship Id="rId1" Type="http://schemas.openxmlformats.org/officeDocument/2006/relationships/image" Target="../media/image1.emf"/></Relationships>
</file>

<file path=xl/drawings/_rels/vmlDrawing9.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xdr:col>
      <xdr:colOff>3086100</xdr:colOff>
      <xdr:row>152</xdr:row>
      <xdr:rowOff>0</xdr:rowOff>
    </xdr:from>
    <xdr:to>
      <xdr:col>5</xdr:col>
      <xdr:colOff>809625</xdr:colOff>
      <xdr:row>168</xdr:row>
      <xdr:rowOff>152400</xdr:rowOff>
    </xdr:to>
    <xdr:graphicFrame macro="">
      <xdr:nvGraphicFramePr>
        <xdr:cNvPr id="3706" name="Chart 634">
          <a:extLst>
            <a:ext uri="{FF2B5EF4-FFF2-40B4-BE49-F238E27FC236}">
              <a16:creationId xmlns:a16="http://schemas.microsoft.com/office/drawing/2014/main" id="{1A85FFB1-6242-F649-5865-88A3D94D03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762000</xdr:colOff>
      <xdr:row>73</xdr:row>
      <xdr:rowOff>142875</xdr:rowOff>
    </xdr:from>
    <xdr:to>
      <xdr:col>4</xdr:col>
      <xdr:colOff>990600</xdr:colOff>
      <xdr:row>75</xdr:row>
      <xdr:rowOff>152400</xdr:rowOff>
    </xdr:to>
    <xdr:sp macro="" textlink="">
      <xdr:nvSpPr>
        <xdr:cNvPr id="3785" name="Text Box 713">
          <a:extLst>
            <a:ext uri="{FF2B5EF4-FFF2-40B4-BE49-F238E27FC236}">
              <a16:creationId xmlns:a16="http://schemas.microsoft.com/office/drawing/2014/main" id="{2A5BB969-BB2B-934A-E72D-4577961D39F2}"/>
            </a:ext>
          </a:extLst>
        </xdr:cNvPr>
        <xdr:cNvSpPr txBox="1">
          <a:spLocks noChangeArrowheads="1"/>
        </xdr:cNvSpPr>
      </xdr:nvSpPr>
      <xdr:spPr bwMode="auto">
        <a:xfrm>
          <a:off x="5619750" y="13335000"/>
          <a:ext cx="1457325" cy="333375"/>
        </a:xfrm>
        <a:prstGeom prst="rect">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Changed on 09/17 from 50% to 83.3%.</a:t>
          </a:r>
        </a:p>
      </xdr:txBody>
    </xdr:sp>
    <xdr:clientData/>
  </xdr:twoCellAnchor>
  <xdr:twoCellAnchor>
    <xdr:from>
      <xdr:col>3</xdr:col>
      <xdr:colOff>9525</xdr:colOff>
      <xdr:row>75</xdr:row>
      <xdr:rowOff>57150</xdr:rowOff>
    </xdr:from>
    <xdr:to>
      <xdr:col>3</xdr:col>
      <xdr:colOff>733425</xdr:colOff>
      <xdr:row>77</xdr:row>
      <xdr:rowOff>142875</xdr:rowOff>
    </xdr:to>
    <xdr:sp macro="" textlink="">
      <xdr:nvSpPr>
        <xdr:cNvPr id="3786" name="Line 714">
          <a:extLst>
            <a:ext uri="{FF2B5EF4-FFF2-40B4-BE49-F238E27FC236}">
              <a16:creationId xmlns:a16="http://schemas.microsoft.com/office/drawing/2014/main" id="{15761B97-9F08-AA58-F17F-A95193A8685A}"/>
            </a:ext>
          </a:extLst>
        </xdr:cNvPr>
        <xdr:cNvSpPr>
          <a:spLocks noChangeShapeType="1"/>
        </xdr:cNvSpPr>
      </xdr:nvSpPr>
      <xdr:spPr bwMode="auto">
        <a:xfrm flipH="1">
          <a:off x="4867275" y="13573125"/>
          <a:ext cx="723900" cy="4095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95250</xdr:colOff>
      <xdr:row>130</xdr:row>
      <xdr:rowOff>47625</xdr:rowOff>
    </xdr:from>
    <xdr:to>
      <xdr:col>6</xdr:col>
      <xdr:colOff>752475</xdr:colOff>
      <xdr:row>132</xdr:row>
      <xdr:rowOff>114300</xdr:rowOff>
    </xdr:to>
    <xdr:sp macro="" textlink="">
      <xdr:nvSpPr>
        <xdr:cNvPr id="3787" name="Text Box 715">
          <a:extLst>
            <a:ext uri="{FF2B5EF4-FFF2-40B4-BE49-F238E27FC236}">
              <a16:creationId xmlns:a16="http://schemas.microsoft.com/office/drawing/2014/main" id="{213FF6E7-5216-C8FC-F8BD-460A9D0E313F}"/>
            </a:ext>
          </a:extLst>
        </xdr:cNvPr>
        <xdr:cNvSpPr txBox="1">
          <a:spLocks noChangeArrowheads="1"/>
        </xdr:cNvSpPr>
      </xdr:nvSpPr>
      <xdr:spPr bwMode="auto">
        <a:xfrm>
          <a:off x="7315200" y="22212300"/>
          <a:ext cx="1724025" cy="390525"/>
        </a:xfrm>
        <a:prstGeom prst="rect">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Changed on 09/17 for real drawdown schedule.</a:t>
          </a:r>
        </a:p>
      </xdr:txBody>
    </xdr:sp>
    <xdr:clientData/>
  </xdr:twoCellAnchor>
  <xdr:twoCellAnchor>
    <xdr:from>
      <xdr:col>4</xdr:col>
      <xdr:colOff>1095375</xdr:colOff>
      <xdr:row>118</xdr:row>
      <xdr:rowOff>152400</xdr:rowOff>
    </xdr:from>
    <xdr:to>
      <xdr:col>5</xdr:col>
      <xdr:colOff>685800</xdr:colOff>
      <xdr:row>130</xdr:row>
      <xdr:rowOff>28575</xdr:rowOff>
    </xdr:to>
    <xdr:sp macro="" textlink="">
      <xdr:nvSpPr>
        <xdr:cNvPr id="3788" name="Line 716">
          <a:extLst>
            <a:ext uri="{FF2B5EF4-FFF2-40B4-BE49-F238E27FC236}">
              <a16:creationId xmlns:a16="http://schemas.microsoft.com/office/drawing/2014/main" id="{48B859F8-0777-B2EA-8405-6615644F91C6}"/>
            </a:ext>
          </a:extLst>
        </xdr:cNvPr>
        <xdr:cNvSpPr>
          <a:spLocks noChangeShapeType="1"/>
        </xdr:cNvSpPr>
      </xdr:nvSpPr>
      <xdr:spPr bwMode="auto">
        <a:xfrm flipH="1" flipV="1">
          <a:off x="7181850" y="20383500"/>
          <a:ext cx="723900" cy="18097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133350</xdr:colOff>
      <xdr:row>98</xdr:row>
      <xdr:rowOff>85725</xdr:rowOff>
    </xdr:from>
    <xdr:to>
      <xdr:col>6</xdr:col>
      <xdr:colOff>619125</xdr:colOff>
      <xdr:row>100</xdr:row>
      <xdr:rowOff>66675</xdr:rowOff>
    </xdr:to>
    <xdr:sp macro="" textlink="">
      <xdr:nvSpPr>
        <xdr:cNvPr id="3789" name="Text Box 717">
          <a:extLst>
            <a:ext uri="{FF2B5EF4-FFF2-40B4-BE49-F238E27FC236}">
              <a16:creationId xmlns:a16="http://schemas.microsoft.com/office/drawing/2014/main" id="{76BACD55-E74D-4E94-CFE7-3D8FD790B54F}"/>
            </a:ext>
          </a:extLst>
        </xdr:cNvPr>
        <xdr:cNvSpPr txBox="1">
          <a:spLocks noChangeArrowheads="1"/>
        </xdr:cNvSpPr>
      </xdr:nvSpPr>
      <xdr:spPr bwMode="auto">
        <a:xfrm>
          <a:off x="7353300" y="17325975"/>
          <a:ext cx="1552575" cy="381000"/>
        </a:xfrm>
        <a:prstGeom prst="rect">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Changed on 09/17 based on capital amortization.</a:t>
          </a:r>
        </a:p>
      </xdr:txBody>
    </xdr:sp>
    <xdr:clientData/>
  </xdr:twoCellAnchor>
  <xdr:twoCellAnchor>
    <xdr:from>
      <xdr:col>5</xdr:col>
      <xdr:colOff>104775</xdr:colOff>
      <xdr:row>100</xdr:row>
      <xdr:rowOff>66675</xdr:rowOff>
    </xdr:from>
    <xdr:to>
      <xdr:col>5</xdr:col>
      <xdr:colOff>314325</xdr:colOff>
      <xdr:row>104</xdr:row>
      <xdr:rowOff>0</xdr:rowOff>
    </xdr:to>
    <xdr:sp macro="" textlink="">
      <xdr:nvSpPr>
        <xdr:cNvPr id="3790" name="Line 718">
          <a:extLst>
            <a:ext uri="{FF2B5EF4-FFF2-40B4-BE49-F238E27FC236}">
              <a16:creationId xmlns:a16="http://schemas.microsoft.com/office/drawing/2014/main" id="{3AC32388-0E34-C97F-FD98-14C726EDD614}"/>
            </a:ext>
          </a:extLst>
        </xdr:cNvPr>
        <xdr:cNvSpPr>
          <a:spLocks noChangeShapeType="1"/>
        </xdr:cNvSpPr>
      </xdr:nvSpPr>
      <xdr:spPr bwMode="auto">
        <a:xfrm flipH="1">
          <a:off x="7324725" y="17706975"/>
          <a:ext cx="209550" cy="5810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609600</xdr:colOff>
      <xdr:row>68</xdr:row>
      <xdr:rowOff>114300</xdr:rowOff>
    </xdr:from>
    <xdr:to>
      <xdr:col>4</xdr:col>
      <xdr:colOff>904875</xdr:colOff>
      <xdr:row>70</xdr:row>
      <xdr:rowOff>133350</xdr:rowOff>
    </xdr:to>
    <xdr:sp macro="" textlink="">
      <xdr:nvSpPr>
        <xdr:cNvPr id="3791" name="Text Box 719">
          <a:extLst>
            <a:ext uri="{FF2B5EF4-FFF2-40B4-BE49-F238E27FC236}">
              <a16:creationId xmlns:a16="http://schemas.microsoft.com/office/drawing/2014/main" id="{89324E5F-9AEE-E418-5AE2-644F8CD93BFD}"/>
            </a:ext>
          </a:extLst>
        </xdr:cNvPr>
        <xdr:cNvSpPr txBox="1">
          <a:spLocks noChangeArrowheads="1"/>
        </xdr:cNvSpPr>
      </xdr:nvSpPr>
      <xdr:spPr bwMode="auto">
        <a:xfrm>
          <a:off x="5467350" y="12487275"/>
          <a:ext cx="1524000" cy="352425"/>
        </a:xfrm>
        <a:prstGeom prst="rect">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Changed on 09/17 on the mid from 3.83 to 3.87.</a:t>
          </a:r>
        </a:p>
      </xdr:txBody>
    </xdr:sp>
    <xdr:clientData/>
  </xdr:twoCellAnchor>
  <xdr:twoCellAnchor>
    <xdr:from>
      <xdr:col>3</xdr:col>
      <xdr:colOff>9525</xdr:colOff>
      <xdr:row>70</xdr:row>
      <xdr:rowOff>114300</xdr:rowOff>
    </xdr:from>
    <xdr:to>
      <xdr:col>3</xdr:col>
      <xdr:colOff>561975</xdr:colOff>
      <xdr:row>72</xdr:row>
      <xdr:rowOff>66675</xdr:rowOff>
    </xdr:to>
    <xdr:sp macro="" textlink="">
      <xdr:nvSpPr>
        <xdr:cNvPr id="3792" name="Line 720">
          <a:extLst>
            <a:ext uri="{FF2B5EF4-FFF2-40B4-BE49-F238E27FC236}">
              <a16:creationId xmlns:a16="http://schemas.microsoft.com/office/drawing/2014/main" id="{218910E3-6306-CEDC-BE19-681CF70617BC}"/>
            </a:ext>
          </a:extLst>
        </xdr:cNvPr>
        <xdr:cNvSpPr>
          <a:spLocks noChangeShapeType="1"/>
        </xdr:cNvSpPr>
      </xdr:nvSpPr>
      <xdr:spPr bwMode="auto">
        <a:xfrm flipH="1">
          <a:off x="4867275" y="12820650"/>
          <a:ext cx="552450" cy="2762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19050</xdr:colOff>
      <xdr:row>0</xdr:row>
      <xdr:rowOff>104775</xdr:rowOff>
    </xdr:from>
    <xdr:to>
      <xdr:col>11</xdr:col>
      <xdr:colOff>428625</xdr:colOff>
      <xdr:row>15</xdr:row>
      <xdr:rowOff>95250</xdr:rowOff>
    </xdr:to>
    <xdr:graphicFrame macro="">
      <xdr:nvGraphicFramePr>
        <xdr:cNvPr id="1025" name="Chart 1">
          <a:extLst>
            <a:ext uri="{FF2B5EF4-FFF2-40B4-BE49-F238E27FC236}">
              <a16:creationId xmlns:a16="http://schemas.microsoft.com/office/drawing/2014/main" id="{41CD4E79-F23D-3A74-A0F6-72BDB7AD11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495300</xdr:colOff>
      <xdr:row>19</xdr:row>
      <xdr:rowOff>19050</xdr:rowOff>
    </xdr:from>
    <xdr:to>
      <xdr:col>11</xdr:col>
      <xdr:colOff>371475</xdr:colOff>
      <xdr:row>34</xdr:row>
      <xdr:rowOff>114300</xdr:rowOff>
    </xdr:to>
    <xdr:graphicFrame macro="">
      <xdr:nvGraphicFramePr>
        <xdr:cNvPr id="1026" name="Chart 2">
          <a:extLst>
            <a:ext uri="{FF2B5EF4-FFF2-40B4-BE49-F238E27FC236}">
              <a16:creationId xmlns:a16="http://schemas.microsoft.com/office/drawing/2014/main" id="{7B2EA2E7-0D7A-1973-C86F-A8570FF386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19050</xdr:colOff>
      <xdr:row>0</xdr:row>
      <xdr:rowOff>104775</xdr:rowOff>
    </xdr:from>
    <xdr:to>
      <xdr:col>11</xdr:col>
      <xdr:colOff>428625</xdr:colOff>
      <xdr:row>16</xdr:row>
      <xdr:rowOff>95250</xdr:rowOff>
    </xdr:to>
    <xdr:graphicFrame macro="">
      <xdr:nvGraphicFramePr>
        <xdr:cNvPr id="1028" name="Chart 4">
          <a:extLst>
            <a:ext uri="{FF2B5EF4-FFF2-40B4-BE49-F238E27FC236}">
              <a16:creationId xmlns:a16="http://schemas.microsoft.com/office/drawing/2014/main" id="{4CEC6549-16FC-6F6B-704C-A9DFBA2E35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495300</xdr:colOff>
      <xdr:row>20</xdr:row>
      <xdr:rowOff>19050</xdr:rowOff>
    </xdr:from>
    <xdr:to>
      <xdr:col>11</xdr:col>
      <xdr:colOff>371475</xdr:colOff>
      <xdr:row>35</xdr:row>
      <xdr:rowOff>114300</xdr:rowOff>
    </xdr:to>
    <xdr:graphicFrame macro="">
      <xdr:nvGraphicFramePr>
        <xdr:cNvPr id="1029" name="Chart 5">
          <a:extLst>
            <a:ext uri="{FF2B5EF4-FFF2-40B4-BE49-F238E27FC236}">
              <a16:creationId xmlns:a16="http://schemas.microsoft.com/office/drawing/2014/main" id="{183E2516-8BAA-1CA7-2A39-8E8839E584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142875</xdr:colOff>
      <xdr:row>47</xdr:row>
      <xdr:rowOff>19050</xdr:rowOff>
    </xdr:from>
    <xdr:to>
      <xdr:col>8</xdr:col>
      <xdr:colOff>552450</xdr:colOff>
      <xdr:row>64</xdr:row>
      <xdr:rowOff>9525</xdr:rowOff>
    </xdr:to>
    <xdr:graphicFrame macro="">
      <xdr:nvGraphicFramePr>
        <xdr:cNvPr id="1030" name="Chart 6">
          <a:extLst>
            <a:ext uri="{FF2B5EF4-FFF2-40B4-BE49-F238E27FC236}">
              <a16:creationId xmlns:a16="http://schemas.microsoft.com/office/drawing/2014/main" id="{CBF4F7D6-DD6C-8625-244F-26E54069D3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257175</xdr:colOff>
      <xdr:row>25</xdr:row>
      <xdr:rowOff>142875</xdr:rowOff>
    </xdr:from>
    <xdr:to>
      <xdr:col>5</xdr:col>
      <xdr:colOff>581025</xdr:colOff>
      <xdr:row>26</xdr:row>
      <xdr:rowOff>228600</xdr:rowOff>
    </xdr:to>
    <xdr:sp macro="" textlink="">
      <xdr:nvSpPr>
        <xdr:cNvPr id="4188" name="Text Box 92">
          <a:extLst>
            <a:ext uri="{FF2B5EF4-FFF2-40B4-BE49-F238E27FC236}">
              <a16:creationId xmlns:a16="http://schemas.microsoft.com/office/drawing/2014/main" id="{EF4778ED-5AC2-4561-F4CD-851FE54DA002}"/>
            </a:ext>
          </a:extLst>
        </xdr:cNvPr>
        <xdr:cNvSpPr txBox="1">
          <a:spLocks noChangeArrowheads="1"/>
        </xdr:cNvSpPr>
      </xdr:nvSpPr>
      <xdr:spPr bwMode="auto">
        <a:xfrm>
          <a:off x="6200775" y="4972050"/>
          <a:ext cx="1295400" cy="247650"/>
        </a:xfrm>
        <a:prstGeom prst="rect">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Changed on 10/01.</a:t>
          </a:r>
        </a:p>
      </xdr:txBody>
    </xdr:sp>
    <xdr:clientData/>
  </xdr:twoCellAnchor>
  <xdr:twoCellAnchor>
    <xdr:from>
      <xdr:col>3</xdr:col>
      <xdr:colOff>1076325</xdr:colOff>
      <xdr:row>23</xdr:row>
      <xdr:rowOff>38100</xdr:rowOff>
    </xdr:from>
    <xdr:to>
      <xdr:col>4</xdr:col>
      <xdr:colOff>266700</xdr:colOff>
      <xdr:row>25</xdr:row>
      <xdr:rowOff>85725</xdr:rowOff>
    </xdr:to>
    <xdr:sp macro="" textlink="">
      <xdr:nvSpPr>
        <xdr:cNvPr id="4189" name="Line 93">
          <a:extLst>
            <a:ext uri="{FF2B5EF4-FFF2-40B4-BE49-F238E27FC236}">
              <a16:creationId xmlns:a16="http://schemas.microsoft.com/office/drawing/2014/main" id="{44FD7608-EE61-14D4-D141-CA9B77852E5C}"/>
            </a:ext>
          </a:extLst>
        </xdr:cNvPr>
        <xdr:cNvSpPr>
          <a:spLocks noChangeShapeType="1"/>
        </xdr:cNvSpPr>
      </xdr:nvSpPr>
      <xdr:spPr bwMode="auto">
        <a:xfrm flipH="1" flipV="1">
          <a:off x="5924550" y="4543425"/>
          <a:ext cx="28575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4.xml><?xml version="1.0" encoding="utf-8"?>
<xdr:wsDr xmlns:xdr="http://schemas.openxmlformats.org/drawingml/2006/spreadsheetDrawing" xmlns:a="http://schemas.openxmlformats.org/drawingml/2006/main">
  <xdr:twoCellAnchor>
    <xdr:from>
      <xdr:col>33</xdr:col>
      <xdr:colOff>257175</xdr:colOff>
      <xdr:row>0</xdr:row>
      <xdr:rowOff>114300</xdr:rowOff>
    </xdr:from>
    <xdr:to>
      <xdr:col>34</xdr:col>
      <xdr:colOff>800100</xdr:colOff>
      <xdr:row>3</xdr:row>
      <xdr:rowOff>114300</xdr:rowOff>
    </xdr:to>
    <xdr:sp macro="" textlink="">
      <xdr:nvSpPr>
        <xdr:cNvPr id="19844" name="Text Box 388">
          <a:extLst>
            <a:ext uri="{FF2B5EF4-FFF2-40B4-BE49-F238E27FC236}">
              <a16:creationId xmlns:a16="http://schemas.microsoft.com/office/drawing/2014/main" id="{8CEEECBC-FC82-3B7C-7F63-3C3E6599F683}"/>
            </a:ext>
          </a:extLst>
        </xdr:cNvPr>
        <xdr:cNvSpPr txBox="1">
          <a:spLocks noChangeArrowheads="1"/>
        </xdr:cNvSpPr>
      </xdr:nvSpPr>
      <xdr:spPr bwMode="auto">
        <a:xfrm>
          <a:off x="28489275" y="114300"/>
          <a:ext cx="1428750" cy="514350"/>
        </a:xfrm>
        <a:prstGeom prst="rect">
          <a:avLst/>
        </a:prstGeom>
        <a:solidFill>
          <a:srgbClr xmlns:mc="http://schemas.openxmlformats.org/markup-compatibility/2006" xmlns:a14="http://schemas.microsoft.com/office/drawing/2010/main" val="FFFFCC" mc:Ignorable="a14" a14:legacySpreadsheetColorIndex="26"/>
        </a:solidFill>
        <a:ln w="38100" cmpd="dbl">
          <a:solidFill>
            <a:srgbClr xmlns:mc="http://schemas.openxmlformats.org/markup-compatibility/2006" xmlns:a14="http://schemas.microsoft.com/office/drawing/2010/main" val="FFCC00" mc:Ignorable="a14" a14:legacySpreadsheetColorIndex="51"/>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FF6600"/>
              </a:solidFill>
              <a:latin typeface="Arial"/>
              <a:cs typeface="Arial"/>
            </a:rPr>
            <a:t>Click to rerun mid and offer scenarios.</a:t>
          </a:r>
        </a:p>
      </xdr:txBody>
    </xdr:sp>
    <xdr:clientData/>
  </xdr:twoCellAnchor>
  <mc:AlternateContent xmlns:mc="http://schemas.openxmlformats.org/markup-compatibility/2006">
    <mc:Choice xmlns:a14="http://schemas.microsoft.com/office/drawing/2010/main" Requires="a14">
      <xdr:twoCellAnchor editAs="oneCell">
        <xdr:from>
          <xdr:col>32</xdr:col>
          <xdr:colOff>314325</xdr:colOff>
          <xdr:row>4</xdr:row>
          <xdr:rowOff>123825</xdr:rowOff>
        </xdr:from>
        <xdr:to>
          <xdr:col>33</xdr:col>
          <xdr:colOff>381000</xdr:colOff>
          <xdr:row>6</xdr:row>
          <xdr:rowOff>76200</xdr:rowOff>
        </xdr:to>
        <xdr:sp macro="" textlink="">
          <xdr:nvSpPr>
            <xdr:cNvPr id="20022" name="Button 566" hidden="1">
              <a:extLst>
                <a:ext uri="{63B3BB69-23CF-44E3-9099-C40C66FF867C}">
                  <a14:compatExt spid="_x0000_s20022"/>
                </a:ext>
                <a:ext uri="{FF2B5EF4-FFF2-40B4-BE49-F238E27FC236}">
                  <a16:creationId xmlns:a16="http://schemas.microsoft.com/office/drawing/2014/main" id="{A8850B36-5BC0-2F62-CFA9-0A83CEC31D57}"/>
                </a:ext>
              </a:extLst>
            </xdr:cNvPr>
            <xdr:cNvSpPr/>
          </xdr:nvSpPr>
          <xdr:spPr bwMode="auto">
            <a:xfrm>
              <a:off x="0" y="0"/>
              <a:ext cx="0" cy="0"/>
            </a:xfrm>
            <a:prstGeom prst="rect">
              <a:avLst/>
            </a:prstGeom>
            <a:noFill/>
            <a:ln w="9525">
              <a:miter lim="800000"/>
              <a:headEnd/>
              <a:tailEnd/>
            </a:ln>
            <a:effectLst/>
            <a:extLst>
              <a:ext uri="{AF507438-7753-43E0-B8FC-AC1667EBCBE1}">
                <a14:hiddenEffects>
                  <a:effectLst>
                    <a:outerShdw dist="35921" dir="2700000" algn="ctr" rotWithShape="0">
                      <a:srgbClr val="808080"/>
                    </a:outerShdw>
                  </a:effectLst>
                </a14:hiddenEffects>
              </a:ext>
            </a:extLst>
          </xdr:spPr>
          <xdr:txBody>
            <a:bodyPr vertOverflow="clip" wrap="square" lIns="27432" tIns="22860" rIns="27432" bIns="22860" anchor="ctr" upright="1"/>
            <a:lstStyle/>
            <a:p>
              <a:pPr algn="ctr" rtl="0">
                <a:defRPr sz="1000"/>
              </a:pPr>
              <a:r>
                <a:rPr lang="en-US" sz="1000" b="1" i="1" u="none" strike="noStrike" baseline="0">
                  <a:solidFill>
                    <a:srgbClr val="000080"/>
                  </a:solidFill>
                  <a:latin typeface="Arial"/>
                  <a:cs typeface="Arial"/>
                </a:rPr>
                <a:t>Rerun Offer</a:t>
              </a:r>
            </a:p>
          </xdr:txBody>
        </xdr:sp>
        <xdr:clientData fPrintsWithSheet="0"/>
      </xdr:twoCellAnchor>
    </mc:Choice>
    <mc:Fallback/>
  </mc:AlternateContent>
  <xdr:twoCellAnchor>
    <xdr:from>
      <xdr:col>33</xdr:col>
      <xdr:colOff>123825</xdr:colOff>
      <xdr:row>2</xdr:row>
      <xdr:rowOff>152400</xdr:rowOff>
    </xdr:from>
    <xdr:to>
      <xdr:col>33</xdr:col>
      <xdr:colOff>228600</xdr:colOff>
      <xdr:row>4</xdr:row>
      <xdr:rowOff>104775</xdr:rowOff>
    </xdr:to>
    <xdr:sp macro="" textlink="">
      <xdr:nvSpPr>
        <xdr:cNvPr id="20189" name="Line 733">
          <a:extLst>
            <a:ext uri="{FF2B5EF4-FFF2-40B4-BE49-F238E27FC236}">
              <a16:creationId xmlns:a16="http://schemas.microsoft.com/office/drawing/2014/main" id="{D10D010A-6BD0-00C1-1A0B-886A48DE62D4}"/>
            </a:ext>
          </a:extLst>
        </xdr:cNvPr>
        <xdr:cNvSpPr>
          <a:spLocks noChangeShapeType="1"/>
        </xdr:cNvSpPr>
      </xdr:nvSpPr>
      <xdr:spPr bwMode="auto">
        <a:xfrm flipH="1">
          <a:off x="28355925" y="485775"/>
          <a:ext cx="104775" cy="3143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28575</xdr:colOff>
      <xdr:row>68</xdr:row>
      <xdr:rowOff>142875</xdr:rowOff>
    </xdr:from>
    <xdr:to>
      <xdr:col>7</xdr:col>
      <xdr:colOff>1562100</xdr:colOff>
      <xdr:row>76</xdr:row>
      <xdr:rowOff>95250</xdr:rowOff>
    </xdr:to>
    <xdr:sp macro="" textlink="">
      <xdr:nvSpPr>
        <xdr:cNvPr id="9217" name="Text Box 1">
          <a:extLst>
            <a:ext uri="{FF2B5EF4-FFF2-40B4-BE49-F238E27FC236}">
              <a16:creationId xmlns:a16="http://schemas.microsoft.com/office/drawing/2014/main" id="{8BF395D5-1C95-A088-7B14-BE95B7C45356}"/>
            </a:ext>
          </a:extLst>
        </xdr:cNvPr>
        <xdr:cNvSpPr txBox="1">
          <a:spLocks noChangeArrowheads="1"/>
        </xdr:cNvSpPr>
      </xdr:nvSpPr>
      <xdr:spPr bwMode="auto">
        <a:xfrm>
          <a:off x="266700" y="11553825"/>
          <a:ext cx="8315325" cy="1247775"/>
        </a:xfrm>
        <a:prstGeom prst="rect">
          <a:avLst/>
        </a:prstGeom>
        <a:solidFill>
          <a:srgbClr xmlns:mc="http://schemas.openxmlformats.org/markup-compatibility/2006" xmlns:a14="http://schemas.microsoft.com/office/drawing/2010/main" val="FFFFFF" mc:Ignorable="a14" a14:legacySpreadsheetColorIndex="9"/>
        </a:solidFill>
        <a:ln w="38100" cmpd="dbl">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defRPr sz="1000"/>
          </a:pPr>
          <a:r>
            <a:rPr lang="en-US" sz="1200" b="0" i="0" u="none" strike="noStrike" baseline="0">
              <a:solidFill>
                <a:srgbClr val="000000"/>
              </a:solidFill>
              <a:latin typeface="Arial"/>
              <a:cs typeface="Arial"/>
            </a:rPr>
            <a:t>This is only for commodity part of the Simmon deal. The scope of the deal includes wholly-owned only. EESO will save 9.5% off its commodity baseline. Commodities include power, gas, water/waste water. For the total discount, 5.5% of the savings will be paid in the form of lease payment to the customer. </a:t>
          </a:r>
        </a:p>
        <a:p>
          <a:pPr algn="l" rtl="0">
            <a:defRPr sz="1000"/>
          </a:pPr>
          <a:r>
            <a:rPr lang="en-US" sz="1200" b="0" i="0" u="none" strike="noStrike" baseline="0">
              <a:solidFill>
                <a:srgbClr val="000000"/>
              </a:solidFill>
              <a:latin typeface="Arial"/>
              <a:cs typeface="Arial"/>
            </a:rPr>
            <a:t>The total DSM capital expenditure is $33.2 million. The capital interest rate is 9.45%. The consumption premium is 1.5% of the NPV revenues. There is a negative NPV of $4.3 million for Account Management that is not included in this summary sheet. The discount rate used is 7%.</a:t>
          </a:r>
        </a:p>
        <a:p>
          <a:pPr algn="l" rtl="0">
            <a:defRPr sz="1000"/>
          </a:pPr>
          <a:endParaRPr lang="en-US" sz="1200" b="0" i="0" u="none" strike="noStrike" baseline="0">
            <a:solidFill>
              <a:srgbClr val="000000"/>
            </a:solidFill>
            <a:latin typeface="Arial"/>
            <a:cs typeface="Arial"/>
          </a:endParaRPr>
        </a:p>
        <a:p>
          <a:pPr algn="l" rtl="0">
            <a:defRPr sz="1000"/>
          </a:pPr>
          <a:endParaRPr lang="en-US" sz="1200" b="0" i="0" u="none" strike="noStrike" baseline="0">
            <a:solidFill>
              <a:srgbClr val="000000"/>
            </a:solidFill>
            <a:latin typeface="Arial"/>
            <a:cs typeface="Arial"/>
          </a:endParaRPr>
        </a:p>
      </xdr:txBody>
    </xdr:sp>
    <xdr:clientData/>
  </xdr:twoCellAnchor>
  <xdr:twoCellAnchor>
    <xdr:from>
      <xdr:col>1</xdr:col>
      <xdr:colOff>0</xdr:colOff>
      <xdr:row>2</xdr:row>
      <xdr:rowOff>0</xdr:rowOff>
    </xdr:from>
    <xdr:to>
      <xdr:col>8</xdr:col>
      <xdr:colOff>0</xdr:colOff>
      <xdr:row>3</xdr:row>
      <xdr:rowOff>0</xdr:rowOff>
    </xdr:to>
    <xdr:sp macro="" textlink="">
      <xdr:nvSpPr>
        <xdr:cNvPr id="9218" name="Rectangle 2">
          <a:extLst>
            <a:ext uri="{FF2B5EF4-FFF2-40B4-BE49-F238E27FC236}">
              <a16:creationId xmlns:a16="http://schemas.microsoft.com/office/drawing/2014/main" id="{51C49E39-9F63-13A4-14E4-B0534D3F589D}"/>
            </a:ext>
          </a:extLst>
        </xdr:cNvPr>
        <xdr:cNvSpPr>
          <a:spLocks noChangeArrowheads="1"/>
        </xdr:cNvSpPr>
      </xdr:nvSpPr>
      <xdr:spPr bwMode="auto">
        <a:xfrm>
          <a:off x="238125" y="323850"/>
          <a:ext cx="8362950" cy="20002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sp>
    <xdr:clientData/>
  </xdr:twoCellAnchor>
  <xdr:twoCellAnchor>
    <xdr:from>
      <xdr:col>1</xdr:col>
      <xdr:colOff>0</xdr:colOff>
      <xdr:row>29</xdr:row>
      <xdr:rowOff>0</xdr:rowOff>
    </xdr:from>
    <xdr:to>
      <xdr:col>4</xdr:col>
      <xdr:colOff>0</xdr:colOff>
      <xdr:row>30</xdr:row>
      <xdr:rowOff>0</xdr:rowOff>
    </xdr:to>
    <xdr:sp macro="" textlink="">
      <xdr:nvSpPr>
        <xdr:cNvPr id="9219" name="Rectangle 3">
          <a:extLst>
            <a:ext uri="{FF2B5EF4-FFF2-40B4-BE49-F238E27FC236}">
              <a16:creationId xmlns:a16="http://schemas.microsoft.com/office/drawing/2014/main" id="{79C5EB87-EAF7-B8C7-5835-BDF711BE0567}"/>
            </a:ext>
          </a:extLst>
        </xdr:cNvPr>
        <xdr:cNvSpPr>
          <a:spLocks noChangeArrowheads="1"/>
        </xdr:cNvSpPr>
      </xdr:nvSpPr>
      <xdr:spPr bwMode="auto">
        <a:xfrm>
          <a:off x="238125" y="4800600"/>
          <a:ext cx="3524250" cy="16192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sy="50000" kx="-2453608"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xdr:from>
      <xdr:col>1</xdr:col>
      <xdr:colOff>0</xdr:colOff>
      <xdr:row>39</xdr:row>
      <xdr:rowOff>0</xdr:rowOff>
    </xdr:from>
    <xdr:to>
      <xdr:col>4</xdr:col>
      <xdr:colOff>0</xdr:colOff>
      <xdr:row>40</xdr:row>
      <xdr:rowOff>0</xdr:rowOff>
    </xdr:to>
    <xdr:sp macro="" textlink="">
      <xdr:nvSpPr>
        <xdr:cNvPr id="9220" name="Rectangle 4">
          <a:extLst>
            <a:ext uri="{FF2B5EF4-FFF2-40B4-BE49-F238E27FC236}">
              <a16:creationId xmlns:a16="http://schemas.microsoft.com/office/drawing/2014/main" id="{D139C5D0-A9B6-DC84-F1C0-8767C6114340}"/>
            </a:ext>
          </a:extLst>
        </xdr:cNvPr>
        <xdr:cNvSpPr>
          <a:spLocks noChangeArrowheads="1"/>
        </xdr:cNvSpPr>
      </xdr:nvSpPr>
      <xdr:spPr bwMode="auto">
        <a:xfrm>
          <a:off x="238125" y="6419850"/>
          <a:ext cx="3524250" cy="16192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sy="50000" kx="-2453608"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xdr:from>
      <xdr:col>5</xdr:col>
      <xdr:colOff>238125</xdr:colOff>
      <xdr:row>41</xdr:row>
      <xdr:rowOff>38100</xdr:rowOff>
    </xdr:from>
    <xdr:to>
      <xdr:col>8</xdr:col>
      <xdr:colOff>0</xdr:colOff>
      <xdr:row>66</xdr:row>
      <xdr:rowOff>9525</xdr:rowOff>
    </xdr:to>
    <xdr:graphicFrame macro="">
      <xdr:nvGraphicFramePr>
        <xdr:cNvPr id="9221" name="Chart 5">
          <a:extLst>
            <a:ext uri="{FF2B5EF4-FFF2-40B4-BE49-F238E27FC236}">
              <a16:creationId xmlns:a16="http://schemas.microsoft.com/office/drawing/2014/main" id="{221460F6-E2F1-D364-9785-AAA415E995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29</xdr:row>
      <xdr:rowOff>0</xdr:rowOff>
    </xdr:from>
    <xdr:to>
      <xdr:col>8</xdr:col>
      <xdr:colOff>0</xdr:colOff>
      <xdr:row>30</xdr:row>
      <xdr:rowOff>0</xdr:rowOff>
    </xdr:to>
    <xdr:sp macro="" textlink="">
      <xdr:nvSpPr>
        <xdr:cNvPr id="9222" name="Rectangle 6">
          <a:extLst>
            <a:ext uri="{FF2B5EF4-FFF2-40B4-BE49-F238E27FC236}">
              <a16:creationId xmlns:a16="http://schemas.microsoft.com/office/drawing/2014/main" id="{8CBE0DB6-712F-FF3F-7237-46399824C572}"/>
            </a:ext>
          </a:extLst>
        </xdr:cNvPr>
        <xdr:cNvSpPr>
          <a:spLocks noChangeArrowheads="1"/>
        </xdr:cNvSpPr>
      </xdr:nvSpPr>
      <xdr:spPr bwMode="auto">
        <a:xfrm>
          <a:off x="5934075" y="4800600"/>
          <a:ext cx="2667000" cy="16192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sy="50000" kx="-2453608"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editAs="oneCell">
    <xdr:from>
      <xdr:col>1</xdr:col>
      <xdr:colOff>628650</xdr:colOff>
      <xdr:row>4</xdr:row>
      <xdr:rowOff>85725</xdr:rowOff>
    </xdr:from>
    <xdr:to>
      <xdr:col>2</xdr:col>
      <xdr:colOff>9525</xdr:colOff>
      <xdr:row>9</xdr:row>
      <xdr:rowOff>171450</xdr:rowOff>
    </xdr:to>
    <xdr:pic>
      <xdr:nvPicPr>
        <xdr:cNvPr id="9223" name="Picture 7">
          <a:extLst>
            <a:ext uri="{FF2B5EF4-FFF2-40B4-BE49-F238E27FC236}">
              <a16:creationId xmlns:a16="http://schemas.microsoft.com/office/drawing/2014/main" id="{69C3A062-8542-E55F-05ED-D1298D81DF0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6775" y="733425"/>
          <a:ext cx="933450" cy="9334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mc:AlternateContent xmlns:mc="http://schemas.openxmlformats.org/markup-compatibility/2006">
    <mc:Choice xmlns:a14="http://schemas.microsoft.com/office/drawing/2010/main" Requires="a14">
      <xdr:twoCellAnchor editAs="oneCell">
        <xdr:from>
          <xdr:col>6</xdr:col>
          <xdr:colOff>533400</xdr:colOff>
          <xdr:row>5</xdr:row>
          <xdr:rowOff>123825</xdr:rowOff>
        </xdr:from>
        <xdr:to>
          <xdr:col>7</xdr:col>
          <xdr:colOff>1000125</xdr:colOff>
          <xdr:row>9</xdr:row>
          <xdr:rowOff>0</xdr:rowOff>
        </xdr:to>
        <xdr:sp macro="" textlink="">
          <xdr:nvSpPr>
            <xdr:cNvPr id="9224" name="Object 8" hidden="1">
              <a:extLst>
                <a:ext uri="{63B3BB69-23CF-44E3-9099-C40C66FF867C}">
                  <a14:compatExt spid="_x0000_s9224"/>
                </a:ext>
                <a:ext uri="{FF2B5EF4-FFF2-40B4-BE49-F238E27FC236}">
                  <a16:creationId xmlns:a16="http://schemas.microsoft.com/office/drawing/2014/main" id="{346FE5C3-7CE8-5C7D-0D86-0E56BF73CAB9}"/>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twoCellAnchor>
    <xdr:from>
      <xdr:col>7</xdr:col>
      <xdr:colOff>1152525</xdr:colOff>
      <xdr:row>93</xdr:row>
      <xdr:rowOff>114300</xdr:rowOff>
    </xdr:from>
    <xdr:to>
      <xdr:col>9</xdr:col>
      <xdr:colOff>552450</xdr:colOff>
      <xdr:row>95</xdr:row>
      <xdr:rowOff>28575</xdr:rowOff>
    </xdr:to>
    <xdr:sp macro="" textlink="">
      <xdr:nvSpPr>
        <xdr:cNvPr id="9277" name="Line 61">
          <a:extLst>
            <a:ext uri="{FF2B5EF4-FFF2-40B4-BE49-F238E27FC236}">
              <a16:creationId xmlns:a16="http://schemas.microsoft.com/office/drawing/2014/main" id="{5C6A4853-103D-BED8-F287-E41C9BEE2668}"/>
            </a:ext>
          </a:extLst>
        </xdr:cNvPr>
        <xdr:cNvSpPr>
          <a:spLocks noChangeShapeType="1"/>
        </xdr:cNvSpPr>
      </xdr:nvSpPr>
      <xdr:spPr bwMode="auto">
        <a:xfrm>
          <a:off x="8172450" y="15573375"/>
          <a:ext cx="1152525" cy="2381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9</xdr:col>
      <xdr:colOff>1066800</xdr:colOff>
      <xdr:row>93</xdr:row>
      <xdr:rowOff>66675</xdr:rowOff>
    </xdr:from>
    <xdr:to>
      <xdr:col>10</xdr:col>
      <xdr:colOff>733425</xdr:colOff>
      <xdr:row>95</xdr:row>
      <xdr:rowOff>28575</xdr:rowOff>
    </xdr:to>
    <xdr:sp macro="" textlink="">
      <xdr:nvSpPr>
        <xdr:cNvPr id="9278" name="Line 62">
          <a:extLst>
            <a:ext uri="{FF2B5EF4-FFF2-40B4-BE49-F238E27FC236}">
              <a16:creationId xmlns:a16="http://schemas.microsoft.com/office/drawing/2014/main" id="{1F65F9DB-D894-79D5-97DF-ABB2BEB20740}"/>
            </a:ext>
          </a:extLst>
        </xdr:cNvPr>
        <xdr:cNvSpPr>
          <a:spLocks noChangeShapeType="1"/>
        </xdr:cNvSpPr>
      </xdr:nvSpPr>
      <xdr:spPr bwMode="auto">
        <a:xfrm flipH="1">
          <a:off x="9839325" y="15525750"/>
          <a:ext cx="1085850" cy="2857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76200</xdr:colOff>
      <xdr:row>67</xdr:row>
      <xdr:rowOff>47625</xdr:rowOff>
    </xdr:from>
    <xdr:to>
      <xdr:col>8</xdr:col>
      <xdr:colOff>28575</xdr:colOff>
      <xdr:row>76</xdr:row>
      <xdr:rowOff>19050</xdr:rowOff>
    </xdr:to>
    <xdr:sp macro="" textlink="">
      <xdr:nvSpPr>
        <xdr:cNvPr id="10241" name="Text Box 1">
          <a:extLst>
            <a:ext uri="{FF2B5EF4-FFF2-40B4-BE49-F238E27FC236}">
              <a16:creationId xmlns:a16="http://schemas.microsoft.com/office/drawing/2014/main" id="{D487291B-94CB-147D-3A36-6BE26DC6AE7D}"/>
            </a:ext>
          </a:extLst>
        </xdr:cNvPr>
        <xdr:cNvSpPr txBox="1">
          <a:spLocks noChangeArrowheads="1"/>
        </xdr:cNvSpPr>
      </xdr:nvSpPr>
      <xdr:spPr bwMode="auto">
        <a:xfrm>
          <a:off x="314325" y="11296650"/>
          <a:ext cx="8201025" cy="1428750"/>
        </a:xfrm>
        <a:prstGeom prst="rect">
          <a:avLst/>
        </a:prstGeom>
        <a:solidFill>
          <a:srgbClr xmlns:mc="http://schemas.openxmlformats.org/markup-compatibility/2006" xmlns:a14="http://schemas.microsoft.com/office/drawing/2010/main" val="FFFFFF" mc:Ignorable="a14" a14:legacySpreadsheetColorIndex="9"/>
        </a:solidFill>
        <a:ln w="38100" cmpd="dbl">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defRPr sz="1000"/>
          </a:pPr>
          <a:r>
            <a:rPr lang="en-US" sz="1200" b="0" i="0" u="none" strike="noStrike" baseline="0">
              <a:solidFill>
                <a:srgbClr val="000000"/>
              </a:solidFill>
              <a:latin typeface="Arial"/>
              <a:cs typeface="Arial"/>
            </a:rPr>
            <a:t>This is only for redistribution part of the Simmon deal. The negative cash flows in the first couple of years are mainly caused by the fixed payment to Simon by Contract.</a:t>
          </a:r>
        </a:p>
      </xdr:txBody>
    </xdr:sp>
    <xdr:clientData/>
  </xdr:twoCellAnchor>
  <xdr:twoCellAnchor>
    <xdr:from>
      <xdr:col>1</xdr:col>
      <xdr:colOff>0</xdr:colOff>
      <xdr:row>2</xdr:row>
      <xdr:rowOff>0</xdr:rowOff>
    </xdr:from>
    <xdr:to>
      <xdr:col>8</xdr:col>
      <xdr:colOff>0</xdr:colOff>
      <xdr:row>3</xdr:row>
      <xdr:rowOff>0</xdr:rowOff>
    </xdr:to>
    <xdr:sp macro="" textlink="">
      <xdr:nvSpPr>
        <xdr:cNvPr id="10242" name="Rectangle 2">
          <a:extLst>
            <a:ext uri="{FF2B5EF4-FFF2-40B4-BE49-F238E27FC236}">
              <a16:creationId xmlns:a16="http://schemas.microsoft.com/office/drawing/2014/main" id="{F0313FD4-EFCB-3FC6-A69E-16037BF199E7}"/>
            </a:ext>
          </a:extLst>
        </xdr:cNvPr>
        <xdr:cNvSpPr>
          <a:spLocks noChangeArrowheads="1"/>
        </xdr:cNvSpPr>
      </xdr:nvSpPr>
      <xdr:spPr bwMode="auto">
        <a:xfrm>
          <a:off x="238125" y="323850"/>
          <a:ext cx="8248650" cy="20002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sp>
    <xdr:clientData/>
  </xdr:twoCellAnchor>
  <xdr:twoCellAnchor>
    <xdr:from>
      <xdr:col>1</xdr:col>
      <xdr:colOff>0</xdr:colOff>
      <xdr:row>28</xdr:row>
      <xdr:rowOff>0</xdr:rowOff>
    </xdr:from>
    <xdr:to>
      <xdr:col>4</xdr:col>
      <xdr:colOff>0</xdr:colOff>
      <xdr:row>29</xdr:row>
      <xdr:rowOff>0</xdr:rowOff>
    </xdr:to>
    <xdr:sp macro="" textlink="">
      <xdr:nvSpPr>
        <xdr:cNvPr id="10243" name="Rectangle 3">
          <a:extLst>
            <a:ext uri="{FF2B5EF4-FFF2-40B4-BE49-F238E27FC236}">
              <a16:creationId xmlns:a16="http://schemas.microsoft.com/office/drawing/2014/main" id="{AC6E775C-7DFD-4EC8-1B4F-3D5291BC48C6}"/>
            </a:ext>
          </a:extLst>
        </xdr:cNvPr>
        <xdr:cNvSpPr>
          <a:spLocks noChangeArrowheads="1"/>
        </xdr:cNvSpPr>
      </xdr:nvSpPr>
      <xdr:spPr bwMode="auto">
        <a:xfrm>
          <a:off x="238125" y="4638675"/>
          <a:ext cx="3514725" cy="16192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sy="50000" kx="-2453608"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xdr:from>
      <xdr:col>1</xdr:col>
      <xdr:colOff>0</xdr:colOff>
      <xdr:row>37</xdr:row>
      <xdr:rowOff>0</xdr:rowOff>
    </xdr:from>
    <xdr:to>
      <xdr:col>4</xdr:col>
      <xdr:colOff>0</xdr:colOff>
      <xdr:row>38</xdr:row>
      <xdr:rowOff>0</xdr:rowOff>
    </xdr:to>
    <xdr:sp macro="" textlink="">
      <xdr:nvSpPr>
        <xdr:cNvPr id="10244" name="Rectangle 4">
          <a:extLst>
            <a:ext uri="{FF2B5EF4-FFF2-40B4-BE49-F238E27FC236}">
              <a16:creationId xmlns:a16="http://schemas.microsoft.com/office/drawing/2014/main" id="{FC3EE04C-A95B-665B-858F-076B070AE15A}"/>
            </a:ext>
          </a:extLst>
        </xdr:cNvPr>
        <xdr:cNvSpPr>
          <a:spLocks noChangeArrowheads="1"/>
        </xdr:cNvSpPr>
      </xdr:nvSpPr>
      <xdr:spPr bwMode="auto">
        <a:xfrm>
          <a:off x="238125" y="6096000"/>
          <a:ext cx="3514725" cy="16192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sy="50000" kx="-2453608"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xdr:from>
      <xdr:col>5</xdr:col>
      <xdr:colOff>238125</xdr:colOff>
      <xdr:row>39</xdr:row>
      <xdr:rowOff>38100</xdr:rowOff>
    </xdr:from>
    <xdr:to>
      <xdr:col>8</xdr:col>
      <xdr:colOff>0</xdr:colOff>
      <xdr:row>64</xdr:row>
      <xdr:rowOff>9525</xdr:rowOff>
    </xdr:to>
    <xdr:graphicFrame macro="">
      <xdr:nvGraphicFramePr>
        <xdr:cNvPr id="10245" name="Chart 5">
          <a:extLst>
            <a:ext uri="{FF2B5EF4-FFF2-40B4-BE49-F238E27FC236}">
              <a16:creationId xmlns:a16="http://schemas.microsoft.com/office/drawing/2014/main" id="{F628C58C-170D-6204-EEA0-3870A69B08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28</xdr:row>
      <xdr:rowOff>0</xdr:rowOff>
    </xdr:from>
    <xdr:to>
      <xdr:col>8</xdr:col>
      <xdr:colOff>0</xdr:colOff>
      <xdr:row>29</xdr:row>
      <xdr:rowOff>0</xdr:rowOff>
    </xdr:to>
    <xdr:sp macro="" textlink="">
      <xdr:nvSpPr>
        <xdr:cNvPr id="10246" name="Rectangle 6">
          <a:extLst>
            <a:ext uri="{FF2B5EF4-FFF2-40B4-BE49-F238E27FC236}">
              <a16:creationId xmlns:a16="http://schemas.microsoft.com/office/drawing/2014/main" id="{D549F3FC-24D8-7033-763F-25C681DDC123}"/>
            </a:ext>
          </a:extLst>
        </xdr:cNvPr>
        <xdr:cNvSpPr>
          <a:spLocks noChangeArrowheads="1"/>
        </xdr:cNvSpPr>
      </xdr:nvSpPr>
      <xdr:spPr bwMode="auto">
        <a:xfrm>
          <a:off x="5819775" y="4638675"/>
          <a:ext cx="2667000" cy="16192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sy="50000" kx="-2453608"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editAs="oneCell">
    <xdr:from>
      <xdr:col>1</xdr:col>
      <xdr:colOff>628650</xdr:colOff>
      <xdr:row>4</xdr:row>
      <xdr:rowOff>85725</xdr:rowOff>
    </xdr:from>
    <xdr:to>
      <xdr:col>2</xdr:col>
      <xdr:colOff>19050</xdr:colOff>
      <xdr:row>9</xdr:row>
      <xdr:rowOff>171450</xdr:rowOff>
    </xdr:to>
    <xdr:pic>
      <xdr:nvPicPr>
        <xdr:cNvPr id="10247" name="Picture 7">
          <a:extLst>
            <a:ext uri="{FF2B5EF4-FFF2-40B4-BE49-F238E27FC236}">
              <a16:creationId xmlns:a16="http://schemas.microsoft.com/office/drawing/2014/main" id="{210DC646-E9E1-1E11-D9DC-BC79356B778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6775" y="733425"/>
          <a:ext cx="933450" cy="9334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mc:AlternateContent xmlns:mc="http://schemas.openxmlformats.org/markup-compatibility/2006">
    <mc:Choice xmlns:a14="http://schemas.microsoft.com/office/drawing/2010/main" Requires="a14">
      <xdr:twoCellAnchor editAs="oneCell">
        <xdr:from>
          <xdr:col>6</xdr:col>
          <xdr:colOff>533400</xdr:colOff>
          <xdr:row>5</xdr:row>
          <xdr:rowOff>123825</xdr:rowOff>
        </xdr:from>
        <xdr:to>
          <xdr:col>7</xdr:col>
          <xdr:colOff>1000125</xdr:colOff>
          <xdr:row>9</xdr:row>
          <xdr:rowOff>0</xdr:rowOff>
        </xdr:to>
        <xdr:sp macro="" textlink="">
          <xdr:nvSpPr>
            <xdr:cNvPr id="10248" name="Object 8" hidden="1">
              <a:extLst>
                <a:ext uri="{63B3BB69-23CF-44E3-9099-C40C66FF867C}">
                  <a14:compatExt spid="_x0000_s10248"/>
                </a:ext>
                <a:ext uri="{FF2B5EF4-FFF2-40B4-BE49-F238E27FC236}">
                  <a16:creationId xmlns:a16="http://schemas.microsoft.com/office/drawing/2014/main" id="{4CD8BC6B-C20E-0B3B-9454-5972EF62DB64}"/>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7.xml><?xml version="1.0" encoding="utf-8"?>
<xdr:wsDr xmlns:xdr="http://schemas.openxmlformats.org/drawingml/2006/spreadsheetDrawing" xmlns:a="http://schemas.openxmlformats.org/drawingml/2006/main">
  <xdr:twoCellAnchor>
    <xdr:from>
      <xdr:col>1</xdr:col>
      <xdr:colOff>28575</xdr:colOff>
      <xdr:row>67</xdr:row>
      <xdr:rowOff>9525</xdr:rowOff>
    </xdr:from>
    <xdr:to>
      <xdr:col>7</xdr:col>
      <xdr:colOff>1562100</xdr:colOff>
      <xdr:row>75</xdr:row>
      <xdr:rowOff>142875</xdr:rowOff>
    </xdr:to>
    <xdr:sp macro="" textlink="">
      <xdr:nvSpPr>
        <xdr:cNvPr id="14337" name="Text Box 1">
          <a:extLst>
            <a:ext uri="{FF2B5EF4-FFF2-40B4-BE49-F238E27FC236}">
              <a16:creationId xmlns:a16="http://schemas.microsoft.com/office/drawing/2014/main" id="{0419489C-C87D-F055-F335-1DEF6EBA70FE}"/>
            </a:ext>
          </a:extLst>
        </xdr:cNvPr>
        <xdr:cNvSpPr txBox="1">
          <a:spLocks noChangeArrowheads="1"/>
        </xdr:cNvSpPr>
      </xdr:nvSpPr>
      <xdr:spPr bwMode="auto">
        <a:xfrm>
          <a:off x="266700" y="11258550"/>
          <a:ext cx="8191500" cy="1428750"/>
        </a:xfrm>
        <a:prstGeom prst="rect">
          <a:avLst/>
        </a:prstGeom>
        <a:solidFill>
          <a:srgbClr xmlns:mc="http://schemas.openxmlformats.org/markup-compatibility/2006" xmlns:a14="http://schemas.microsoft.com/office/drawing/2010/main" val="FFFFFF" mc:Ignorable="a14" a14:legacySpreadsheetColorIndex="9"/>
        </a:solidFill>
        <a:ln w="38100" cmpd="dbl">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defRPr sz="1000"/>
          </a:pPr>
          <a:r>
            <a:rPr lang="en-US" sz="1200" b="0" i="0" u="none" strike="noStrike" baseline="0">
              <a:solidFill>
                <a:srgbClr val="000000"/>
              </a:solidFill>
              <a:latin typeface="Arial"/>
              <a:cs typeface="Arial"/>
            </a:rPr>
            <a:t>This is only for FM Alliance part of the Simmon deal. The total current baseline for FM revenue is about $30 million. The model is based on 7.5% Enron's share of FM services.</a:t>
          </a:r>
        </a:p>
      </xdr:txBody>
    </xdr:sp>
    <xdr:clientData/>
  </xdr:twoCellAnchor>
  <xdr:twoCellAnchor>
    <xdr:from>
      <xdr:col>1</xdr:col>
      <xdr:colOff>0</xdr:colOff>
      <xdr:row>2</xdr:row>
      <xdr:rowOff>0</xdr:rowOff>
    </xdr:from>
    <xdr:to>
      <xdr:col>8</xdr:col>
      <xdr:colOff>0</xdr:colOff>
      <xdr:row>3</xdr:row>
      <xdr:rowOff>0</xdr:rowOff>
    </xdr:to>
    <xdr:sp macro="" textlink="">
      <xdr:nvSpPr>
        <xdr:cNvPr id="14338" name="Rectangle 2">
          <a:extLst>
            <a:ext uri="{FF2B5EF4-FFF2-40B4-BE49-F238E27FC236}">
              <a16:creationId xmlns:a16="http://schemas.microsoft.com/office/drawing/2014/main" id="{678183A4-C588-7E41-6BC5-ED343168FAF4}"/>
            </a:ext>
          </a:extLst>
        </xdr:cNvPr>
        <xdr:cNvSpPr>
          <a:spLocks noChangeArrowheads="1"/>
        </xdr:cNvSpPr>
      </xdr:nvSpPr>
      <xdr:spPr bwMode="auto">
        <a:xfrm>
          <a:off x="238125" y="323850"/>
          <a:ext cx="8239125" cy="20002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AF507438-7753-43E0-B8FC-AC1667EBCBE1}">
            <a14:hiddenEffects xmlns:a14="http://schemas.microsoft.com/office/drawing/2010/main">
              <a:effectLst>
                <a:outerShdw dist="35921" dir="2700000" algn="ctr" rotWithShape="0">
                  <a:srgbClr val="808080"/>
                </a:outerShdw>
              </a:effectLst>
            </a14:hiddenEffects>
          </a:ext>
          <a:ext uri="{53640926-AAD7-44D8-BBD7-CCE9431645EC}">
            <a14:shadowObscured xmlns:a14="http://schemas.microsoft.com/office/drawing/2010/main" val="1"/>
          </a:ext>
        </a:extLst>
      </xdr:spPr>
    </xdr:sp>
    <xdr:clientData/>
  </xdr:twoCellAnchor>
  <xdr:twoCellAnchor>
    <xdr:from>
      <xdr:col>1</xdr:col>
      <xdr:colOff>0</xdr:colOff>
      <xdr:row>28</xdr:row>
      <xdr:rowOff>0</xdr:rowOff>
    </xdr:from>
    <xdr:to>
      <xdr:col>4</xdr:col>
      <xdr:colOff>0</xdr:colOff>
      <xdr:row>29</xdr:row>
      <xdr:rowOff>0</xdr:rowOff>
    </xdr:to>
    <xdr:sp macro="" textlink="">
      <xdr:nvSpPr>
        <xdr:cNvPr id="14339" name="Rectangle 3">
          <a:extLst>
            <a:ext uri="{FF2B5EF4-FFF2-40B4-BE49-F238E27FC236}">
              <a16:creationId xmlns:a16="http://schemas.microsoft.com/office/drawing/2014/main" id="{13266B89-DD1B-98AA-D666-C0CE0912EE94}"/>
            </a:ext>
          </a:extLst>
        </xdr:cNvPr>
        <xdr:cNvSpPr>
          <a:spLocks noChangeArrowheads="1"/>
        </xdr:cNvSpPr>
      </xdr:nvSpPr>
      <xdr:spPr bwMode="auto">
        <a:xfrm>
          <a:off x="238125" y="4638675"/>
          <a:ext cx="3505200" cy="16192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sy="50000" kx="-2453608"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xdr:from>
      <xdr:col>1</xdr:col>
      <xdr:colOff>0</xdr:colOff>
      <xdr:row>37</xdr:row>
      <xdr:rowOff>0</xdr:rowOff>
    </xdr:from>
    <xdr:to>
      <xdr:col>4</xdr:col>
      <xdr:colOff>0</xdr:colOff>
      <xdr:row>38</xdr:row>
      <xdr:rowOff>0</xdr:rowOff>
    </xdr:to>
    <xdr:sp macro="" textlink="">
      <xdr:nvSpPr>
        <xdr:cNvPr id="14340" name="Rectangle 4">
          <a:extLst>
            <a:ext uri="{FF2B5EF4-FFF2-40B4-BE49-F238E27FC236}">
              <a16:creationId xmlns:a16="http://schemas.microsoft.com/office/drawing/2014/main" id="{B545D473-5939-E97E-B707-92FDEBFC2DC7}"/>
            </a:ext>
          </a:extLst>
        </xdr:cNvPr>
        <xdr:cNvSpPr>
          <a:spLocks noChangeArrowheads="1"/>
        </xdr:cNvSpPr>
      </xdr:nvSpPr>
      <xdr:spPr bwMode="auto">
        <a:xfrm>
          <a:off x="238125" y="6096000"/>
          <a:ext cx="3505200" cy="16192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sy="50000" kx="-2453608"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xdr:from>
      <xdr:col>5</xdr:col>
      <xdr:colOff>238125</xdr:colOff>
      <xdr:row>39</xdr:row>
      <xdr:rowOff>38100</xdr:rowOff>
    </xdr:from>
    <xdr:to>
      <xdr:col>8</xdr:col>
      <xdr:colOff>0</xdr:colOff>
      <xdr:row>64</xdr:row>
      <xdr:rowOff>9525</xdr:rowOff>
    </xdr:to>
    <xdr:graphicFrame macro="">
      <xdr:nvGraphicFramePr>
        <xdr:cNvPr id="14341" name="Chart 5">
          <a:extLst>
            <a:ext uri="{FF2B5EF4-FFF2-40B4-BE49-F238E27FC236}">
              <a16:creationId xmlns:a16="http://schemas.microsoft.com/office/drawing/2014/main" id="{787941F3-F099-DD11-AA88-70005846A4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28</xdr:row>
      <xdr:rowOff>0</xdr:rowOff>
    </xdr:from>
    <xdr:to>
      <xdr:col>8</xdr:col>
      <xdr:colOff>0</xdr:colOff>
      <xdr:row>29</xdr:row>
      <xdr:rowOff>0</xdr:rowOff>
    </xdr:to>
    <xdr:sp macro="" textlink="">
      <xdr:nvSpPr>
        <xdr:cNvPr id="14342" name="Rectangle 6">
          <a:extLst>
            <a:ext uri="{FF2B5EF4-FFF2-40B4-BE49-F238E27FC236}">
              <a16:creationId xmlns:a16="http://schemas.microsoft.com/office/drawing/2014/main" id="{18A36FE8-87C4-4BCF-7DA6-3E47FB57236A}"/>
            </a:ext>
          </a:extLst>
        </xdr:cNvPr>
        <xdr:cNvSpPr>
          <a:spLocks noChangeArrowheads="1"/>
        </xdr:cNvSpPr>
      </xdr:nvSpPr>
      <xdr:spPr bwMode="auto">
        <a:xfrm>
          <a:off x="5810250" y="4638675"/>
          <a:ext cx="2667000" cy="161925"/>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ffectLst>
          <a:outerShdw sy="50000" kx="-2453608" rotWithShape="0">
            <a:srgbClr val="808080"/>
          </a:outerShdw>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53640926-AAD7-44D8-BBD7-CCE9431645EC}">
            <a14:shadowObscured xmlns:a14="http://schemas.microsoft.com/office/drawing/2010/main" val="1"/>
          </a:ext>
        </a:extLst>
      </xdr:spPr>
    </xdr:sp>
    <xdr:clientData/>
  </xdr:twoCellAnchor>
  <xdr:twoCellAnchor editAs="oneCell">
    <xdr:from>
      <xdr:col>1</xdr:col>
      <xdr:colOff>628650</xdr:colOff>
      <xdr:row>4</xdr:row>
      <xdr:rowOff>85725</xdr:rowOff>
    </xdr:from>
    <xdr:to>
      <xdr:col>2</xdr:col>
      <xdr:colOff>28575</xdr:colOff>
      <xdr:row>9</xdr:row>
      <xdr:rowOff>171450</xdr:rowOff>
    </xdr:to>
    <xdr:pic>
      <xdr:nvPicPr>
        <xdr:cNvPr id="14343" name="Picture 7">
          <a:extLst>
            <a:ext uri="{FF2B5EF4-FFF2-40B4-BE49-F238E27FC236}">
              <a16:creationId xmlns:a16="http://schemas.microsoft.com/office/drawing/2014/main" id="{79A1B507-D089-D5A7-E2C8-A67490F318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66775" y="733425"/>
          <a:ext cx="933450" cy="933450"/>
        </a:xfrm>
        <a:prstGeom prst="rect">
          <a:avLst/>
        </a:prstGeom>
        <a:noFill/>
        <a:ln>
          <a:noFill/>
        </a:ln>
        <a:effectLst/>
        <a:extLst>
          <a:ext uri="{909E8E84-426E-40DD-AFC4-6F175D3DCCD1}">
            <a14:hiddenFill xmlns:a14="http://schemas.microsoft.com/office/drawing/2010/main">
              <a:solidFill>
                <a:srgbClr xmlns:mc="http://schemas.openxmlformats.org/markup-compatibility/2006" val="000000" mc:Ignorable="a14" a14:legacySpreadsheetColorIndex="64"/>
              </a:solidFill>
            </a14:hiddenFill>
          </a:ext>
          <a:ext uri="{91240B29-F687-4F45-9708-019B960494DF}">
            <a14:hiddenLine xmlns:a14="http://schemas.microsoft.com/office/drawing/2010/main" w="1">
              <a:solidFill>
                <a:srgbClr xmlns:mc="http://schemas.openxmlformats.org/markup-compatibility/2006" val="FFFFFF" mc:Ignorable="a14" a14:legacySpreadsheetColorIndex="65"/>
              </a:solidFill>
              <a:miter lim="800000"/>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mc:AlternateContent xmlns:mc="http://schemas.openxmlformats.org/markup-compatibility/2006">
    <mc:Choice xmlns:a14="http://schemas.microsoft.com/office/drawing/2010/main" Requires="a14">
      <xdr:twoCellAnchor editAs="oneCell">
        <xdr:from>
          <xdr:col>6</xdr:col>
          <xdr:colOff>533400</xdr:colOff>
          <xdr:row>5</xdr:row>
          <xdr:rowOff>123825</xdr:rowOff>
        </xdr:from>
        <xdr:to>
          <xdr:col>7</xdr:col>
          <xdr:colOff>1000125</xdr:colOff>
          <xdr:row>9</xdr:row>
          <xdr:rowOff>0</xdr:rowOff>
        </xdr:to>
        <xdr:sp macro="" textlink="">
          <xdr:nvSpPr>
            <xdr:cNvPr id="14344" name="Object 8" hidden="1">
              <a:extLst>
                <a:ext uri="{63B3BB69-23CF-44E3-9099-C40C66FF867C}">
                  <a14:compatExt spid="_x0000_s14344"/>
                </a:ext>
                <a:ext uri="{FF2B5EF4-FFF2-40B4-BE49-F238E27FC236}">
                  <a16:creationId xmlns:a16="http://schemas.microsoft.com/office/drawing/2014/main" id="{75D0506E-E302-44E5-F550-12088312BA68}"/>
                </a:ext>
              </a:extLst>
            </xdr:cNvPr>
            <xdr:cNvSpPr/>
          </xdr:nvSpPr>
          <xdr:spPr bwMode="auto">
            <a:xfrm>
              <a:off x="0" y="0"/>
              <a:ext cx="0" cy="0"/>
            </a:xfrm>
            <a:prstGeom prst="rect">
              <a:avLst/>
            </a:prstGeom>
            <a:solidFill>
              <a:srgbClr val="FFFFFF" mc:Ignorable="a14" a14:legacySpreadsheetColorIndex="65"/>
            </a:solidFill>
            <a:ln>
              <a:noFill/>
            </a:ln>
            <a:effectLst/>
            <a:extLst>
              <a:ext uri="{91240B29-F687-4F45-9708-019B960494DF}">
                <a14:hiddenLine w="9525">
                  <a:solidFill>
                    <a:srgbClr val="000000" mc:Ignorable="a14" a14:legacySpreadsheetColorIndex="64"/>
                  </a:solidFill>
                  <a:miter lim="800000"/>
                  <a:headEnd/>
                  <a:tailEnd/>
                </a14:hiddenLine>
              </a:ex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drawings/drawing8.xml><?xml version="1.0" encoding="utf-8"?>
<xdr:wsDr xmlns:xdr="http://schemas.openxmlformats.org/drawingml/2006/spreadsheetDrawing" xmlns:a="http://schemas.openxmlformats.org/drawingml/2006/main">
  <xdr:twoCellAnchor>
    <xdr:from>
      <xdr:col>7</xdr:col>
      <xdr:colOff>371475</xdr:colOff>
      <xdr:row>4</xdr:row>
      <xdr:rowOff>9525</xdr:rowOff>
    </xdr:from>
    <xdr:to>
      <xdr:col>12</xdr:col>
      <xdr:colOff>85725</xdr:colOff>
      <xdr:row>15</xdr:row>
      <xdr:rowOff>76200</xdr:rowOff>
    </xdr:to>
    <xdr:sp macro="" textlink="">
      <xdr:nvSpPr>
        <xdr:cNvPr id="24585" name="Text Box 9">
          <a:extLst>
            <a:ext uri="{FF2B5EF4-FFF2-40B4-BE49-F238E27FC236}">
              <a16:creationId xmlns:a16="http://schemas.microsoft.com/office/drawing/2014/main" id="{9CB231A7-0A15-C85C-AC79-D73B0B9E920F}"/>
            </a:ext>
          </a:extLst>
        </xdr:cNvPr>
        <xdr:cNvSpPr txBox="1">
          <a:spLocks noChangeArrowheads="1"/>
        </xdr:cNvSpPr>
      </xdr:nvSpPr>
      <xdr:spPr bwMode="auto">
        <a:xfrm>
          <a:off x="7591425" y="800100"/>
          <a:ext cx="3190875" cy="2257425"/>
        </a:xfrm>
        <a:prstGeom prst="rect">
          <a:avLst/>
        </a:prstGeom>
        <a:solidFill>
          <a:srgbClr xmlns:mc="http://schemas.openxmlformats.org/markup-compatibility/2006" xmlns:a14="http://schemas.microsoft.com/office/drawing/2010/main" val="CC99FF" mc:Ignorable="a14" a14:legacySpreadsheetColorIndex="46"/>
        </a:solidFill>
        <a:ln w="38100" cmpd="dbl">
          <a:solidFill>
            <a:srgbClr xmlns:mc="http://schemas.openxmlformats.org/markup-compatibility/2006" xmlns:a14="http://schemas.microsoft.com/office/drawing/2010/main" val="008000" mc:Ignorable="a14" a14:legacySpreadsheetColorIndex="17"/>
          </a:solidFill>
          <a:miter lim="800000"/>
          <a:headEnd/>
          <a:tailEnd/>
        </a:ln>
      </xdr:spPr>
      <xdr:txBody>
        <a:bodyPr vertOverflow="clip" wrap="square" lIns="36576" tIns="27432" rIns="0" bIns="0" anchor="t" upright="1"/>
        <a:lstStyle/>
        <a:p>
          <a:pPr algn="l" rtl="0">
            <a:defRPr sz="1000"/>
          </a:pPr>
          <a:r>
            <a:rPr lang="en-US" sz="1200" b="1" i="0" u="none" strike="noStrike" baseline="0">
              <a:solidFill>
                <a:srgbClr val="000000"/>
              </a:solidFill>
              <a:latin typeface="Arial"/>
              <a:cs typeface="Arial"/>
            </a:rPr>
            <a:t>The difference is caused by:</a:t>
          </a:r>
        </a:p>
        <a:p>
          <a:pPr algn="l" rtl="0">
            <a:defRPr sz="1000"/>
          </a:pPr>
          <a:endParaRPr lang="en-US" sz="1200" b="0" i="0" u="none" strike="noStrike" baseline="0">
            <a:solidFill>
              <a:srgbClr val="000000"/>
            </a:solidFill>
            <a:latin typeface="Arial"/>
            <a:cs typeface="Arial"/>
          </a:endParaRPr>
        </a:p>
        <a:p>
          <a:pPr algn="l" rtl="0">
            <a:defRPr sz="1000"/>
          </a:pPr>
          <a:r>
            <a:rPr lang="en-US" sz="1200" b="0" i="0" u="none" strike="noStrike" baseline="0">
              <a:solidFill>
                <a:srgbClr val="000000"/>
              </a:solidFill>
              <a:latin typeface="Arial"/>
              <a:cs typeface="Arial"/>
            </a:rPr>
            <a:t>1. Kevin uses fixed % as consumption savings. Jun uses fixed $ as consumption savings. This is about $1.5M differnece at the offer and $2.8M at the mid. </a:t>
          </a:r>
        </a:p>
        <a:p>
          <a:pPr algn="l" rtl="0">
            <a:defRPr sz="1000"/>
          </a:pPr>
          <a:endParaRPr lang="en-US" sz="1200" b="0" i="0" u="none" strike="noStrike" baseline="0">
            <a:solidFill>
              <a:srgbClr val="000000"/>
            </a:solidFill>
            <a:latin typeface="Arial"/>
            <a:cs typeface="Arial"/>
          </a:endParaRPr>
        </a:p>
        <a:p>
          <a:pPr algn="l" rtl="0">
            <a:defRPr sz="1000"/>
          </a:pPr>
          <a:r>
            <a:rPr lang="en-US" sz="1200" b="0" i="0" u="none" strike="noStrike" baseline="0">
              <a:solidFill>
                <a:srgbClr val="000000"/>
              </a:solidFill>
              <a:latin typeface="Arial"/>
              <a:cs typeface="Arial"/>
            </a:rPr>
            <a:t>2. Jun's model is using monthly construction drawdown and accrued interest during construction. This is about $0.3M difference.</a:t>
          </a:r>
        </a:p>
        <a:p>
          <a:pPr algn="l" rtl="0">
            <a:defRPr sz="1000"/>
          </a:pPr>
          <a:endParaRPr lang="en-US" sz="1200" b="0" i="0" u="none" strike="noStrike" baseline="0">
            <a:solidFill>
              <a:srgbClr val="000000"/>
            </a:solidFill>
            <a:latin typeface="Arial"/>
            <a:cs typeface="Arial"/>
          </a:endParaRPr>
        </a:p>
        <a:p>
          <a:pPr algn="l" rtl="0">
            <a:defRPr sz="1000"/>
          </a:pPr>
          <a:endParaRPr lang="en-US" sz="1200" b="0" i="0" u="none" strike="noStrike" baseline="0">
            <a:solidFill>
              <a:srgbClr val="000000"/>
            </a:solidFill>
            <a:latin typeface="Arial"/>
            <a:cs typeface="Arial"/>
          </a:endParaRPr>
        </a:p>
      </xdr:txBody>
    </xdr:sp>
    <xdr:clientData/>
  </xdr:twoCellAnchor>
  <xdr:twoCellAnchor>
    <xdr:from>
      <xdr:col>6</xdr:col>
      <xdr:colOff>66675</xdr:colOff>
      <xdr:row>7</xdr:row>
      <xdr:rowOff>133350</xdr:rowOff>
    </xdr:from>
    <xdr:to>
      <xdr:col>7</xdr:col>
      <xdr:colOff>333375</xdr:colOff>
      <xdr:row>7</xdr:row>
      <xdr:rowOff>133350</xdr:rowOff>
    </xdr:to>
    <xdr:sp macro="" textlink="">
      <xdr:nvSpPr>
        <xdr:cNvPr id="24586" name="Line 10">
          <a:extLst>
            <a:ext uri="{FF2B5EF4-FFF2-40B4-BE49-F238E27FC236}">
              <a16:creationId xmlns:a16="http://schemas.microsoft.com/office/drawing/2014/main" id="{F1149486-BC9A-0A20-3D74-412730CD38E3}"/>
            </a:ext>
          </a:extLst>
        </xdr:cNvPr>
        <xdr:cNvSpPr>
          <a:spLocks noChangeShapeType="1"/>
        </xdr:cNvSpPr>
      </xdr:nvSpPr>
      <xdr:spPr bwMode="auto">
        <a:xfrm flipH="1">
          <a:off x="6677025" y="1514475"/>
          <a:ext cx="876300" cy="0"/>
        </a:xfrm>
        <a:prstGeom prst="line">
          <a:avLst/>
        </a:prstGeom>
        <a:noFill/>
        <a:ln w="2857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mc:AlternateContent xmlns:mc="http://schemas.openxmlformats.org/markup-compatibility/2006">
    <mc:Choice xmlns:a14="http://schemas.microsoft.com/office/drawing/2010/main" Requires="a14">
      <xdr:twoCellAnchor editAs="oneCell">
        <xdr:from>
          <xdr:col>7</xdr:col>
          <xdr:colOff>866775</xdr:colOff>
          <xdr:row>19</xdr:row>
          <xdr:rowOff>76200</xdr:rowOff>
        </xdr:from>
        <xdr:to>
          <xdr:col>9</xdr:col>
          <xdr:colOff>152400</xdr:colOff>
          <xdr:row>21</xdr:row>
          <xdr:rowOff>9525</xdr:rowOff>
        </xdr:to>
        <xdr:sp macro="" textlink="">
          <xdr:nvSpPr>
            <xdr:cNvPr id="24596" name="Button 20" hidden="1">
              <a:extLst>
                <a:ext uri="{63B3BB69-23CF-44E3-9099-C40C66FF867C}">
                  <a14:compatExt spid="_x0000_s24596"/>
                </a:ext>
                <a:ext uri="{FF2B5EF4-FFF2-40B4-BE49-F238E27FC236}">
                  <a16:creationId xmlns:a16="http://schemas.microsoft.com/office/drawing/2014/main" id="{BD942E72-971A-711F-C50D-EDCE8998F28F}"/>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Mid/Offer</a:t>
              </a:r>
            </a:p>
          </xdr:txBody>
        </xdr:sp>
        <xdr:clientData fPrintsWithSheet="0"/>
      </xdr:twoCellAnchor>
    </mc:Choice>
    <mc:Fallback/>
  </mc:AlternateContent>
</xdr:wsDr>
</file>

<file path=xl/drawings/drawing9.xml><?xml version="1.0" encoding="utf-8"?>
<xdr:wsDr xmlns:xdr="http://schemas.openxmlformats.org/drawingml/2006/spreadsheetDrawing" xmlns:a="http://schemas.openxmlformats.org/drawingml/2006/main">
  <xdr:twoCellAnchor>
    <xdr:from>
      <xdr:col>3</xdr:col>
      <xdr:colOff>85725</xdr:colOff>
      <xdr:row>6</xdr:row>
      <xdr:rowOff>19050</xdr:rowOff>
    </xdr:from>
    <xdr:to>
      <xdr:col>3</xdr:col>
      <xdr:colOff>990600</xdr:colOff>
      <xdr:row>6</xdr:row>
      <xdr:rowOff>19050</xdr:rowOff>
    </xdr:to>
    <xdr:sp macro="" textlink="">
      <xdr:nvSpPr>
        <xdr:cNvPr id="28673" name="Line 1">
          <a:extLst>
            <a:ext uri="{FF2B5EF4-FFF2-40B4-BE49-F238E27FC236}">
              <a16:creationId xmlns:a16="http://schemas.microsoft.com/office/drawing/2014/main" id="{F93BD636-9C57-968F-1507-B0D138CE4AE6}"/>
            </a:ext>
          </a:extLst>
        </xdr:cNvPr>
        <xdr:cNvSpPr>
          <a:spLocks noChangeShapeType="1"/>
        </xdr:cNvSpPr>
      </xdr:nvSpPr>
      <xdr:spPr bwMode="auto">
        <a:xfrm>
          <a:off x="1914525" y="1143000"/>
          <a:ext cx="9048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76200</xdr:colOff>
      <xdr:row>6</xdr:row>
      <xdr:rowOff>142875</xdr:rowOff>
    </xdr:from>
    <xdr:to>
      <xdr:col>3</xdr:col>
      <xdr:colOff>933450</xdr:colOff>
      <xdr:row>6</xdr:row>
      <xdr:rowOff>142875</xdr:rowOff>
    </xdr:to>
    <xdr:sp macro="" textlink="">
      <xdr:nvSpPr>
        <xdr:cNvPr id="28674" name="Line 2">
          <a:extLst>
            <a:ext uri="{FF2B5EF4-FFF2-40B4-BE49-F238E27FC236}">
              <a16:creationId xmlns:a16="http://schemas.microsoft.com/office/drawing/2014/main" id="{9E3C05C5-38DF-0DF5-9379-981236D70A18}"/>
            </a:ext>
          </a:extLst>
        </xdr:cNvPr>
        <xdr:cNvSpPr>
          <a:spLocks noChangeShapeType="1"/>
        </xdr:cNvSpPr>
      </xdr:nvSpPr>
      <xdr:spPr bwMode="auto">
        <a:xfrm flipH="1">
          <a:off x="1905000" y="1266825"/>
          <a:ext cx="8572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85725</xdr:colOff>
      <xdr:row>11</xdr:row>
      <xdr:rowOff>19050</xdr:rowOff>
    </xdr:from>
    <xdr:to>
      <xdr:col>3</xdr:col>
      <xdr:colOff>971550</xdr:colOff>
      <xdr:row>11</xdr:row>
      <xdr:rowOff>19050</xdr:rowOff>
    </xdr:to>
    <xdr:sp macro="" textlink="">
      <xdr:nvSpPr>
        <xdr:cNvPr id="28675" name="Line 3">
          <a:extLst>
            <a:ext uri="{FF2B5EF4-FFF2-40B4-BE49-F238E27FC236}">
              <a16:creationId xmlns:a16="http://schemas.microsoft.com/office/drawing/2014/main" id="{7276DF68-50FB-52D2-FEE6-BF60AFB5A52A}"/>
            </a:ext>
          </a:extLst>
        </xdr:cNvPr>
        <xdr:cNvSpPr>
          <a:spLocks noChangeShapeType="1"/>
        </xdr:cNvSpPr>
      </xdr:nvSpPr>
      <xdr:spPr bwMode="auto">
        <a:xfrm>
          <a:off x="1914525" y="1971675"/>
          <a:ext cx="8858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38100</xdr:colOff>
      <xdr:row>11</xdr:row>
      <xdr:rowOff>142875</xdr:rowOff>
    </xdr:from>
    <xdr:to>
      <xdr:col>3</xdr:col>
      <xdr:colOff>914400</xdr:colOff>
      <xdr:row>11</xdr:row>
      <xdr:rowOff>142875</xdr:rowOff>
    </xdr:to>
    <xdr:sp macro="" textlink="">
      <xdr:nvSpPr>
        <xdr:cNvPr id="28676" name="Line 4">
          <a:extLst>
            <a:ext uri="{FF2B5EF4-FFF2-40B4-BE49-F238E27FC236}">
              <a16:creationId xmlns:a16="http://schemas.microsoft.com/office/drawing/2014/main" id="{279007CE-6F61-B41B-ADEC-BDF3062A93FD}"/>
            </a:ext>
          </a:extLst>
        </xdr:cNvPr>
        <xdr:cNvSpPr>
          <a:spLocks noChangeShapeType="1"/>
        </xdr:cNvSpPr>
      </xdr:nvSpPr>
      <xdr:spPr bwMode="auto">
        <a:xfrm flipH="1">
          <a:off x="1866900" y="2095500"/>
          <a:ext cx="8763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95250</xdr:colOff>
      <xdr:row>21</xdr:row>
      <xdr:rowOff>28575</xdr:rowOff>
    </xdr:from>
    <xdr:to>
      <xdr:col>3</xdr:col>
      <xdr:colOff>1038225</xdr:colOff>
      <xdr:row>21</xdr:row>
      <xdr:rowOff>28575</xdr:rowOff>
    </xdr:to>
    <xdr:sp macro="" textlink="">
      <xdr:nvSpPr>
        <xdr:cNvPr id="28677" name="Line 5">
          <a:extLst>
            <a:ext uri="{FF2B5EF4-FFF2-40B4-BE49-F238E27FC236}">
              <a16:creationId xmlns:a16="http://schemas.microsoft.com/office/drawing/2014/main" id="{A4EEBC7B-5F01-BAB9-9054-8D268D146455}"/>
            </a:ext>
          </a:extLst>
        </xdr:cNvPr>
        <xdr:cNvSpPr>
          <a:spLocks noChangeShapeType="1"/>
        </xdr:cNvSpPr>
      </xdr:nvSpPr>
      <xdr:spPr bwMode="auto">
        <a:xfrm flipV="1">
          <a:off x="1924050" y="3676650"/>
          <a:ext cx="9429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76200</xdr:colOff>
      <xdr:row>21</xdr:row>
      <xdr:rowOff>133350</xdr:rowOff>
    </xdr:from>
    <xdr:to>
      <xdr:col>3</xdr:col>
      <xdr:colOff>1019175</xdr:colOff>
      <xdr:row>21</xdr:row>
      <xdr:rowOff>133350</xdr:rowOff>
    </xdr:to>
    <xdr:sp macro="" textlink="">
      <xdr:nvSpPr>
        <xdr:cNvPr id="28678" name="Line 6">
          <a:extLst>
            <a:ext uri="{FF2B5EF4-FFF2-40B4-BE49-F238E27FC236}">
              <a16:creationId xmlns:a16="http://schemas.microsoft.com/office/drawing/2014/main" id="{0A7822DF-1D0C-7311-4877-8DF997BC2047}"/>
            </a:ext>
          </a:extLst>
        </xdr:cNvPr>
        <xdr:cNvSpPr>
          <a:spLocks noChangeShapeType="1"/>
        </xdr:cNvSpPr>
      </xdr:nvSpPr>
      <xdr:spPr bwMode="auto">
        <a:xfrm flipH="1">
          <a:off x="1905000" y="3781425"/>
          <a:ext cx="9429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104775</xdr:colOff>
      <xdr:row>26</xdr:row>
      <xdr:rowOff>28575</xdr:rowOff>
    </xdr:from>
    <xdr:to>
      <xdr:col>3</xdr:col>
      <xdr:colOff>1019175</xdr:colOff>
      <xdr:row>26</xdr:row>
      <xdr:rowOff>28575</xdr:rowOff>
    </xdr:to>
    <xdr:sp macro="" textlink="">
      <xdr:nvSpPr>
        <xdr:cNvPr id="28679" name="Line 7">
          <a:extLst>
            <a:ext uri="{FF2B5EF4-FFF2-40B4-BE49-F238E27FC236}">
              <a16:creationId xmlns:a16="http://schemas.microsoft.com/office/drawing/2014/main" id="{6C3FB524-6735-BD72-DDC9-A7CCE6966BBF}"/>
            </a:ext>
          </a:extLst>
        </xdr:cNvPr>
        <xdr:cNvSpPr>
          <a:spLocks noChangeShapeType="1"/>
        </xdr:cNvSpPr>
      </xdr:nvSpPr>
      <xdr:spPr bwMode="auto">
        <a:xfrm>
          <a:off x="1933575" y="4505325"/>
          <a:ext cx="9144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95250</xdr:colOff>
      <xdr:row>26</xdr:row>
      <xdr:rowOff>133350</xdr:rowOff>
    </xdr:from>
    <xdr:to>
      <xdr:col>3</xdr:col>
      <xdr:colOff>933450</xdr:colOff>
      <xdr:row>26</xdr:row>
      <xdr:rowOff>133350</xdr:rowOff>
    </xdr:to>
    <xdr:sp macro="" textlink="">
      <xdr:nvSpPr>
        <xdr:cNvPr id="28680" name="Line 8">
          <a:extLst>
            <a:ext uri="{FF2B5EF4-FFF2-40B4-BE49-F238E27FC236}">
              <a16:creationId xmlns:a16="http://schemas.microsoft.com/office/drawing/2014/main" id="{D7272EF7-7BAA-F19C-6AAD-75C92AB462E6}"/>
            </a:ext>
          </a:extLst>
        </xdr:cNvPr>
        <xdr:cNvSpPr>
          <a:spLocks noChangeShapeType="1"/>
        </xdr:cNvSpPr>
      </xdr:nvSpPr>
      <xdr:spPr bwMode="auto">
        <a:xfrm flipH="1">
          <a:off x="1924050" y="4610100"/>
          <a:ext cx="8382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66675</xdr:colOff>
      <xdr:row>26</xdr:row>
      <xdr:rowOff>76200</xdr:rowOff>
    </xdr:from>
    <xdr:to>
      <xdr:col>5</xdr:col>
      <xdr:colOff>1076325</xdr:colOff>
      <xdr:row>26</xdr:row>
      <xdr:rowOff>76200</xdr:rowOff>
    </xdr:to>
    <xdr:sp macro="" textlink="">
      <xdr:nvSpPr>
        <xdr:cNvPr id="28681" name="Line 9">
          <a:extLst>
            <a:ext uri="{FF2B5EF4-FFF2-40B4-BE49-F238E27FC236}">
              <a16:creationId xmlns:a16="http://schemas.microsoft.com/office/drawing/2014/main" id="{A9FFC009-2498-02B0-42D0-C3D132F1B01A}"/>
            </a:ext>
          </a:extLst>
        </xdr:cNvPr>
        <xdr:cNvSpPr>
          <a:spLocks noChangeShapeType="1"/>
        </xdr:cNvSpPr>
      </xdr:nvSpPr>
      <xdr:spPr bwMode="auto">
        <a:xfrm flipH="1">
          <a:off x="4019550" y="4552950"/>
          <a:ext cx="10096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66675</xdr:colOff>
      <xdr:row>24</xdr:row>
      <xdr:rowOff>66675</xdr:rowOff>
    </xdr:from>
    <xdr:to>
      <xdr:col>5</xdr:col>
      <xdr:colOff>1076325</xdr:colOff>
      <xdr:row>24</xdr:row>
      <xdr:rowOff>66675</xdr:rowOff>
    </xdr:to>
    <xdr:sp macro="" textlink="">
      <xdr:nvSpPr>
        <xdr:cNvPr id="28682" name="Line 10">
          <a:extLst>
            <a:ext uri="{FF2B5EF4-FFF2-40B4-BE49-F238E27FC236}">
              <a16:creationId xmlns:a16="http://schemas.microsoft.com/office/drawing/2014/main" id="{2CF504D7-D127-4A43-A112-73D7A5E779CE}"/>
            </a:ext>
          </a:extLst>
        </xdr:cNvPr>
        <xdr:cNvSpPr>
          <a:spLocks noChangeShapeType="1"/>
        </xdr:cNvSpPr>
      </xdr:nvSpPr>
      <xdr:spPr bwMode="auto">
        <a:xfrm flipH="1">
          <a:off x="4019550" y="4210050"/>
          <a:ext cx="10096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76200</xdr:colOff>
      <xdr:row>13</xdr:row>
      <xdr:rowOff>95250</xdr:rowOff>
    </xdr:from>
    <xdr:to>
      <xdr:col>5</xdr:col>
      <xdr:colOff>1076325</xdr:colOff>
      <xdr:row>13</xdr:row>
      <xdr:rowOff>95250</xdr:rowOff>
    </xdr:to>
    <xdr:sp macro="" textlink="">
      <xdr:nvSpPr>
        <xdr:cNvPr id="28683" name="Line 11">
          <a:extLst>
            <a:ext uri="{FF2B5EF4-FFF2-40B4-BE49-F238E27FC236}">
              <a16:creationId xmlns:a16="http://schemas.microsoft.com/office/drawing/2014/main" id="{4EF06814-42B3-3274-4F53-051FFA68D152}"/>
            </a:ext>
          </a:extLst>
        </xdr:cNvPr>
        <xdr:cNvSpPr>
          <a:spLocks noChangeShapeType="1"/>
        </xdr:cNvSpPr>
      </xdr:nvSpPr>
      <xdr:spPr bwMode="auto">
        <a:xfrm>
          <a:off x="4029075" y="2381250"/>
          <a:ext cx="10001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76200</xdr:colOff>
      <xdr:row>15</xdr:row>
      <xdr:rowOff>85725</xdr:rowOff>
    </xdr:from>
    <xdr:to>
      <xdr:col>5</xdr:col>
      <xdr:colOff>1076325</xdr:colOff>
      <xdr:row>15</xdr:row>
      <xdr:rowOff>85725</xdr:rowOff>
    </xdr:to>
    <xdr:sp macro="" textlink="">
      <xdr:nvSpPr>
        <xdr:cNvPr id="28684" name="Line 12">
          <a:extLst>
            <a:ext uri="{FF2B5EF4-FFF2-40B4-BE49-F238E27FC236}">
              <a16:creationId xmlns:a16="http://schemas.microsoft.com/office/drawing/2014/main" id="{8071A984-A2B5-8963-AAF4-DD10659B74FA}"/>
            </a:ext>
          </a:extLst>
        </xdr:cNvPr>
        <xdr:cNvSpPr>
          <a:spLocks noChangeShapeType="1"/>
        </xdr:cNvSpPr>
      </xdr:nvSpPr>
      <xdr:spPr bwMode="auto">
        <a:xfrm>
          <a:off x="4029075" y="2705100"/>
          <a:ext cx="10001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66675</xdr:colOff>
      <xdr:row>19</xdr:row>
      <xdr:rowOff>85725</xdr:rowOff>
    </xdr:from>
    <xdr:to>
      <xdr:col>5</xdr:col>
      <xdr:colOff>1066800</xdr:colOff>
      <xdr:row>19</xdr:row>
      <xdr:rowOff>85725</xdr:rowOff>
    </xdr:to>
    <xdr:sp macro="" textlink="">
      <xdr:nvSpPr>
        <xdr:cNvPr id="28685" name="Line 13">
          <a:extLst>
            <a:ext uri="{FF2B5EF4-FFF2-40B4-BE49-F238E27FC236}">
              <a16:creationId xmlns:a16="http://schemas.microsoft.com/office/drawing/2014/main" id="{59A9EB78-15BF-C7EF-5E5D-03049E096DBA}"/>
            </a:ext>
          </a:extLst>
        </xdr:cNvPr>
        <xdr:cNvSpPr>
          <a:spLocks noChangeShapeType="1"/>
        </xdr:cNvSpPr>
      </xdr:nvSpPr>
      <xdr:spPr bwMode="auto">
        <a:xfrm>
          <a:off x="4019550" y="3400425"/>
          <a:ext cx="10001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66675</xdr:colOff>
      <xdr:row>17</xdr:row>
      <xdr:rowOff>85725</xdr:rowOff>
    </xdr:from>
    <xdr:to>
      <xdr:col>5</xdr:col>
      <xdr:colOff>1066800</xdr:colOff>
      <xdr:row>17</xdr:row>
      <xdr:rowOff>85725</xdr:rowOff>
    </xdr:to>
    <xdr:sp macro="" textlink="">
      <xdr:nvSpPr>
        <xdr:cNvPr id="28686" name="Line 14">
          <a:extLst>
            <a:ext uri="{FF2B5EF4-FFF2-40B4-BE49-F238E27FC236}">
              <a16:creationId xmlns:a16="http://schemas.microsoft.com/office/drawing/2014/main" id="{B91D4AA1-8B45-4752-FBCE-9788B038237F}"/>
            </a:ext>
          </a:extLst>
        </xdr:cNvPr>
        <xdr:cNvSpPr>
          <a:spLocks noChangeShapeType="1"/>
        </xdr:cNvSpPr>
      </xdr:nvSpPr>
      <xdr:spPr bwMode="auto">
        <a:xfrm>
          <a:off x="4019550" y="3028950"/>
          <a:ext cx="10001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104775</xdr:colOff>
      <xdr:row>16</xdr:row>
      <xdr:rowOff>133350</xdr:rowOff>
    </xdr:from>
    <xdr:to>
      <xdr:col>3</xdr:col>
      <xdr:colOff>981075</xdr:colOff>
      <xdr:row>16</xdr:row>
      <xdr:rowOff>133350</xdr:rowOff>
    </xdr:to>
    <xdr:sp macro="" textlink="">
      <xdr:nvSpPr>
        <xdr:cNvPr id="28687" name="Line 15">
          <a:extLst>
            <a:ext uri="{FF2B5EF4-FFF2-40B4-BE49-F238E27FC236}">
              <a16:creationId xmlns:a16="http://schemas.microsoft.com/office/drawing/2014/main" id="{A772C642-A4D1-8223-A683-F8EC0D06F5A1}"/>
            </a:ext>
          </a:extLst>
        </xdr:cNvPr>
        <xdr:cNvSpPr>
          <a:spLocks noChangeShapeType="1"/>
        </xdr:cNvSpPr>
      </xdr:nvSpPr>
      <xdr:spPr bwMode="auto">
        <a:xfrm flipH="1">
          <a:off x="1933575" y="2914650"/>
          <a:ext cx="8763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142875</xdr:colOff>
      <xdr:row>16</xdr:row>
      <xdr:rowOff>28575</xdr:rowOff>
    </xdr:from>
    <xdr:to>
      <xdr:col>3</xdr:col>
      <xdr:colOff>1009650</xdr:colOff>
      <xdr:row>16</xdr:row>
      <xdr:rowOff>28575</xdr:rowOff>
    </xdr:to>
    <xdr:sp macro="" textlink="">
      <xdr:nvSpPr>
        <xdr:cNvPr id="28688" name="Line 16">
          <a:extLst>
            <a:ext uri="{FF2B5EF4-FFF2-40B4-BE49-F238E27FC236}">
              <a16:creationId xmlns:a16="http://schemas.microsoft.com/office/drawing/2014/main" id="{1E11C8E2-39F7-14EA-4698-F175EBB852C2}"/>
            </a:ext>
          </a:extLst>
        </xdr:cNvPr>
        <xdr:cNvSpPr>
          <a:spLocks noChangeShapeType="1"/>
        </xdr:cNvSpPr>
      </xdr:nvSpPr>
      <xdr:spPr bwMode="auto">
        <a:xfrm>
          <a:off x="1971675" y="2809875"/>
          <a:ext cx="8667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114300</xdr:colOff>
      <xdr:row>31</xdr:row>
      <xdr:rowOff>28575</xdr:rowOff>
    </xdr:from>
    <xdr:to>
      <xdr:col>3</xdr:col>
      <xdr:colOff>1028700</xdr:colOff>
      <xdr:row>31</xdr:row>
      <xdr:rowOff>28575</xdr:rowOff>
    </xdr:to>
    <xdr:sp macro="" textlink="">
      <xdr:nvSpPr>
        <xdr:cNvPr id="28689" name="Line 17">
          <a:extLst>
            <a:ext uri="{FF2B5EF4-FFF2-40B4-BE49-F238E27FC236}">
              <a16:creationId xmlns:a16="http://schemas.microsoft.com/office/drawing/2014/main" id="{D07E2C72-551E-3885-6F40-72FD63C0D6BF}"/>
            </a:ext>
          </a:extLst>
        </xdr:cNvPr>
        <xdr:cNvSpPr>
          <a:spLocks noChangeShapeType="1"/>
        </xdr:cNvSpPr>
      </xdr:nvSpPr>
      <xdr:spPr bwMode="auto">
        <a:xfrm>
          <a:off x="1943100" y="5334000"/>
          <a:ext cx="9144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114300</xdr:colOff>
      <xdr:row>31</xdr:row>
      <xdr:rowOff>142875</xdr:rowOff>
    </xdr:from>
    <xdr:to>
      <xdr:col>3</xdr:col>
      <xdr:colOff>952500</xdr:colOff>
      <xdr:row>31</xdr:row>
      <xdr:rowOff>142875</xdr:rowOff>
    </xdr:to>
    <xdr:sp macro="" textlink="">
      <xdr:nvSpPr>
        <xdr:cNvPr id="28690" name="Line 18">
          <a:extLst>
            <a:ext uri="{FF2B5EF4-FFF2-40B4-BE49-F238E27FC236}">
              <a16:creationId xmlns:a16="http://schemas.microsoft.com/office/drawing/2014/main" id="{B89747E3-BC3F-9CEA-4412-E8D08985C5A7}"/>
            </a:ext>
          </a:extLst>
        </xdr:cNvPr>
        <xdr:cNvSpPr>
          <a:spLocks noChangeShapeType="1"/>
        </xdr:cNvSpPr>
      </xdr:nvSpPr>
      <xdr:spPr bwMode="auto">
        <a:xfrm flipH="1">
          <a:off x="1943100" y="5448300"/>
          <a:ext cx="8382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123825</xdr:colOff>
      <xdr:row>37</xdr:row>
      <xdr:rowOff>133350</xdr:rowOff>
    </xdr:from>
    <xdr:to>
      <xdr:col>3</xdr:col>
      <xdr:colOff>962025</xdr:colOff>
      <xdr:row>37</xdr:row>
      <xdr:rowOff>133350</xdr:rowOff>
    </xdr:to>
    <xdr:sp macro="" textlink="">
      <xdr:nvSpPr>
        <xdr:cNvPr id="28691" name="Line 19">
          <a:extLst>
            <a:ext uri="{FF2B5EF4-FFF2-40B4-BE49-F238E27FC236}">
              <a16:creationId xmlns:a16="http://schemas.microsoft.com/office/drawing/2014/main" id="{303AF2A7-3FFD-351B-586A-C3153472152B}"/>
            </a:ext>
          </a:extLst>
        </xdr:cNvPr>
        <xdr:cNvSpPr>
          <a:spLocks noChangeShapeType="1"/>
        </xdr:cNvSpPr>
      </xdr:nvSpPr>
      <xdr:spPr bwMode="auto">
        <a:xfrm flipH="1">
          <a:off x="1952625" y="6438900"/>
          <a:ext cx="8382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161925</xdr:colOff>
      <xdr:row>37</xdr:row>
      <xdr:rowOff>19050</xdr:rowOff>
    </xdr:from>
    <xdr:to>
      <xdr:col>3</xdr:col>
      <xdr:colOff>1047750</xdr:colOff>
      <xdr:row>37</xdr:row>
      <xdr:rowOff>19050</xdr:rowOff>
    </xdr:to>
    <xdr:sp macro="" textlink="">
      <xdr:nvSpPr>
        <xdr:cNvPr id="28692" name="Line 20">
          <a:extLst>
            <a:ext uri="{FF2B5EF4-FFF2-40B4-BE49-F238E27FC236}">
              <a16:creationId xmlns:a16="http://schemas.microsoft.com/office/drawing/2014/main" id="{1509901A-CEE3-3F32-0E71-A91624841380}"/>
            </a:ext>
          </a:extLst>
        </xdr:cNvPr>
        <xdr:cNvSpPr>
          <a:spLocks noChangeShapeType="1"/>
        </xdr:cNvSpPr>
      </xdr:nvSpPr>
      <xdr:spPr bwMode="auto">
        <a:xfrm>
          <a:off x="1990725" y="6324600"/>
          <a:ext cx="8858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923925</xdr:colOff>
      <xdr:row>5</xdr:row>
      <xdr:rowOff>114300</xdr:rowOff>
    </xdr:from>
    <xdr:to>
      <xdr:col>1</xdr:col>
      <xdr:colOff>133350</xdr:colOff>
      <xdr:row>31</xdr:row>
      <xdr:rowOff>114300</xdr:rowOff>
    </xdr:to>
    <xdr:sp macro="" textlink="">
      <xdr:nvSpPr>
        <xdr:cNvPr id="28693" name="AutoShape 21">
          <a:extLst>
            <a:ext uri="{FF2B5EF4-FFF2-40B4-BE49-F238E27FC236}">
              <a16:creationId xmlns:a16="http://schemas.microsoft.com/office/drawing/2014/main" id="{D229426A-6EC4-8467-543A-B554619E7D00}"/>
            </a:ext>
          </a:extLst>
        </xdr:cNvPr>
        <xdr:cNvSpPr>
          <a:spLocks/>
        </xdr:cNvSpPr>
      </xdr:nvSpPr>
      <xdr:spPr bwMode="auto">
        <a:xfrm>
          <a:off x="323850" y="1076325"/>
          <a:ext cx="133350" cy="4343400"/>
        </a:xfrm>
        <a:prstGeom prst="leftBrace">
          <a:avLst>
            <a:gd name="adj1" fmla="val 271429"/>
            <a:gd name="adj2" fmla="val 50000"/>
          </a:avLst>
        </a:prstGeom>
        <a:noFill/>
        <a:ln w="1587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Lst>
      </xdr:spPr>
    </xdr:sp>
    <xdr:clientData/>
  </xdr:twoCellAnchor>
  <xdr:twoCellAnchor>
    <xdr:from>
      <xdr:col>5</xdr:col>
      <xdr:colOff>66675</xdr:colOff>
      <xdr:row>21</xdr:row>
      <xdr:rowOff>85725</xdr:rowOff>
    </xdr:from>
    <xdr:to>
      <xdr:col>5</xdr:col>
      <xdr:colOff>1076325</xdr:colOff>
      <xdr:row>21</xdr:row>
      <xdr:rowOff>85725</xdr:rowOff>
    </xdr:to>
    <xdr:sp macro="" textlink="">
      <xdr:nvSpPr>
        <xdr:cNvPr id="28694" name="Line 22">
          <a:extLst>
            <a:ext uri="{FF2B5EF4-FFF2-40B4-BE49-F238E27FC236}">
              <a16:creationId xmlns:a16="http://schemas.microsoft.com/office/drawing/2014/main" id="{3D50AC3A-CE5B-0867-0973-B5FF76313DB3}"/>
            </a:ext>
          </a:extLst>
        </xdr:cNvPr>
        <xdr:cNvSpPr>
          <a:spLocks noChangeShapeType="1"/>
        </xdr:cNvSpPr>
      </xdr:nvSpPr>
      <xdr:spPr bwMode="auto">
        <a:xfrm>
          <a:off x="4019550" y="3733800"/>
          <a:ext cx="10096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133350</xdr:colOff>
      <xdr:row>11</xdr:row>
      <xdr:rowOff>76200</xdr:rowOff>
    </xdr:from>
    <xdr:to>
      <xdr:col>5</xdr:col>
      <xdr:colOff>1076325</xdr:colOff>
      <xdr:row>11</xdr:row>
      <xdr:rowOff>76200</xdr:rowOff>
    </xdr:to>
    <xdr:sp macro="" textlink="">
      <xdr:nvSpPr>
        <xdr:cNvPr id="28695" name="Line 23">
          <a:extLst>
            <a:ext uri="{FF2B5EF4-FFF2-40B4-BE49-F238E27FC236}">
              <a16:creationId xmlns:a16="http://schemas.microsoft.com/office/drawing/2014/main" id="{4EB3540C-4AF3-F449-B77F-D15E06694627}"/>
            </a:ext>
          </a:extLst>
        </xdr:cNvPr>
        <xdr:cNvSpPr>
          <a:spLocks noChangeShapeType="1"/>
        </xdr:cNvSpPr>
      </xdr:nvSpPr>
      <xdr:spPr bwMode="auto">
        <a:xfrm>
          <a:off x="4086225" y="2028825"/>
          <a:ext cx="9429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142875</xdr:colOff>
      <xdr:row>9</xdr:row>
      <xdr:rowOff>95250</xdr:rowOff>
    </xdr:from>
    <xdr:to>
      <xdr:col>5</xdr:col>
      <xdr:colOff>1066800</xdr:colOff>
      <xdr:row>9</xdr:row>
      <xdr:rowOff>95250</xdr:rowOff>
    </xdr:to>
    <xdr:sp macro="" textlink="">
      <xdr:nvSpPr>
        <xdr:cNvPr id="28696" name="Line 24">
          <a:extLst>
            <a:ext uri="{FF2B5EF4-FFF2-40B4-BE49-F238E27FC236}">
              <a16:creationId xmlns:a16="http://schemas.microsoft.com/office/drawing/2014/main" id="{B5895406-54F0-C742-FD6A-ACEEF41ABDDD}"/>
            </a:ext>
          </a:extLst>
        </xdr:cNvPr>
        <xdr:cNvSpPr>
          <a:spLocks noChangeShapeType="1"/>
        </xdr:cNvSpPr>
      </xdr:nvSpPr>
      <xdr:spPr bwMode="auto">
        <a:xfrm>
          <a:off x="4095750" y="1714500"/>
          <a:ext cx="9239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0</xdr:colOff>
      <xdr:row>15</xdr:row>
      <xdr:rowOff>19050</xdr:rowOff>
    </xdr:from>
    <xdr:to>
      <xdr:col>0</xdr:col>
      <xdr:colOff>276225</xdr:colOff>
      <xdr:row>21</xdr:row>
      <xdr:rowOff>123825</xdr:rowOff>
    </xdr:to>
    <xdr:sp macro="" textlink="">
      <xdr:nvSpPr>
        <xdr:cNvPr id="28697" name="Text Box 25">
          <a:extLst>
            <a:ext uri="{FF2B5EF4-FFF2-40B4-BE49-F238E27FC236}">
              <a16:creationId xmlns:a16="http://schemas.microsoft.com/office/drawing/2014/main" id="{28827B14-8C26-0AE0-DAD5-F2CFF789E80B}"/>
            </a:ext>
          </a:extLst>
        </xdr:cNvPr>
        <xdr:cNvSpPr txBox="1">
          <a:spLocks noChangeArrowheads="1"/>
        </xdr:cNvSpPr>
      </xdr:nvSpPr>
      <xdr:spPr bwMode="auto">
        <a:xfrm>
          <a:off x="0" y="2638425"/>
          <a:ext cx="276225" cy="113347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vert270" wrap="square" lIns="36576" tIns="27432" rIns="0" bIns="0" anchor="t" upright="1"/>
        <a:lstStyle/>
        <a:p>
          <a:pPr algn="r" rtl="0">
            <a:defRPr sz="1000"/>
          </a:pPr>
          <a:r>
            <a:rPr lang="en-US" sz="1400" b="1" i="0" u="none" strike="noStrike" baseline="0">
              <a:solidFill>
                <a:srgbClr val="000000"/>
              </a:solidFill>
              <a:latin typeface="Arial"/>
              <a:cs typeface="Arial"/>
            </a:rPr>
            <a:t>Wholesale</a:t>
          </a:r>
        </a:p>
      </xdr:txBody>
    </xdr:sp>
    <xdr:clientData/>
  </xdr:twoCellAnchor>
  <xdr:twoCellAnchor>
    <xdr:from>
      <xdr:col>3</xdr:col>
      <xdr:colOff>85725</xdr:colOff>
      <xdr:row>42</xdr:row>
      <xdr:rowOff>19050</xdr:rowOff>
    </xdr:from>
    <xdr:to>
      <xdr:col>3</xdr:col>
      <xdr:colOff>990600</xdr:colOff>
      <xdr:row>42</xdr:row>
      <xdr:rowOff>19050</xdr:rowOff>
    </xdr:to>
    <xdr:sp macro="" textlink="">
      <xdr:nvSpPr>
        <xdr:cNvPr id="28698" name="Line 26">
          <a:extLst>
            <a:ext uri="{FF2B5EF4-FFF2-40B4-BE49-F238E27FC236}">
              <a16:creationId xmlns:a16="http://schemas.microsoft.com/office/drawing/2014/main" id="{03F61897-C9F0-EE1B-E9E1-AC3BE562E566}"/>
            </a:ext>
          </a:extLst>
        </xdr:cNvPr>
        <xdr:cNvSpPr>
          <a:spLocks noChangeShapeType="1"/>
        </xdr:cNvSpPr>
      </xdr:nvSpPr>
      <xdr:spPr bwMode="auto">
        <a:xfrm>
          <a:off x="1914525" y="7153275"/>
          <a:ext cx="9048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76200</xdr:colOff>
      <xdr:row>42</xdr:row>
      <xdr:rowOff>142875</xdr:rowOff>
    </xdr:from>
    <xdr:to>
      <xdr:col>3</xdr:col>
      <xdr:colOff>933450</xdr:colOff>
      <xdr:row>42</xdr:row>
      <xdr:rowOff>142875</xdr:rowOff>
    </xdr:to>
    <xdr:sp macro="" textlink="">
      <xdr:nvSpPr>
        <xdr:cNvPr id="28699" name="Line 27">
          <a:extLst>
            <a:ext uri="{FF2B5EF4-FFF2-40B4-BE49-F238E27FC236}">
              <a16:creationId xmlns:a16="http://schemas.microsoft.com/office/drawing/2014/main" id="{147AA9A7-5EC6-0E83-C085-923986E5402F}"/>
            </a:ext>
          </a:extLst>
        </xdr:cNvPr>
        <xdr:cNvSpPr>
          <a:spLocks noChangeShapeType="1"/>
        </xdr:cNvSpPr>
      </xdr:nvSpPr>
      <xdr:spPr bwMode="auto">
        <a:xfrm flipH="1">
          <a:off x="1905000" y="7277100"/>
          <a:ext cx="8572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95250</xdr:colOff>
      <xdr:row>37</xdr:row>
      <xdr:rowOff>76200</xdr:rowOff>
    </xdr:from>
    <xdr:to>
      <xdr:col>5</xdr:col>
      <xdr:colOff>1085850</xdr:colOff>
      <xdr:row>37</xdr:row>
      <xdr:rowOff>76200</xdr:rowOff>
    </xdr:to>
    <xdr:sp macro="" textlink="">
      <xdr:nvSpPr>
        <xdr:cNvPr id="28700" name="Line 28">
          <a:extLst>
            <a:ext uri="{FF2B5EF4-FFF2-40B4-BE49-F238E27FC236}">
              <a16:creationId xmlns:a16="http://schemas.microsoft.com/office/drawing/2014/main" id="{5161D670-B271-82EB-8A41-B5A13D7947F9}"/>
            </a:ext>
          </a:extLst>
        </xdr:cNvPr>
        <xdr:cNvSpPr>
          <a:spLocks noChangeShapeType="1"/>
        </xdr:cNvSpPr>
      </xdr:nvSpPr>
      <xdr:spPr bwMode="auto">
        <a:xfrm>
          <a:off x="4048125" y="6381750"/>
          <a:ext cx="9906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76200</xdr:colOff>
      <xdr:row>39</xdr:row>
      <xdr:rowOff>85725</xdr:rowOff>
    </xdr:from>
    <xdr:to>
      <xdr:col>5</xdr:col>
      <xdr:colOff>1104900</xdr:colOff>
      <xdr:row>39</xdr:row>
      <xdr:rowOff>85725</xdr:rowOff>
    </xdr:to>
    <xdr:sp macro="" textlink="">
      <xdr:nvSpPr>
        <xdr:cNvPr id="28701" name="Line 29">
          <a:extLst>
            <a:ext uri="{FF2B5EF4-FFF2-40B4-BE49-F238E27FC236}">
              <a16:creationId xmlns:a16="http://schemas.microsoft.com/office/drawing/2014/main" id="{D04B2CFD-AFB4-3D94-C489-B33AE0620A40}"/>
            </a:ext>
          </a:extLst>
        </xdr:cNvPr>
        <xdr:cNvSpPr>
          <a:spLocks noChangeShapeType="1"/>
        </xdr:cNvSpPr>
      </xdr:nvSpPr>
      <xdr:spPr bwMode="auto">
        <a:xfrm>
          <a:off x="4029075" y="6724650"/>
          <a:ext cx="10287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85725</xdr:colOff>
      <xdr:row>43</xdr:row>
      <xdr:rowOff>104775</xdr:rowOff>
    </xdr:from>
    <xdr:to>
      <xdr:col>5</xdr:col>
      <xdr:colOff>1085850</xdr:colOff>
      <xdr:row>43</xdr:row>
      <xdr:rowOff>104775</xdr:rowOff>
    </xdr:to>
    <xdr:sp macro="" textlink="">
      <xdr:nvSpPr>
        <xdr:cNvPr id="28702" name="Line 30">
          <a:extLst>
            <a:ext uri="{FF2B5EF4-FFF2-40B4-BE49-F238E27FC236}">
              <a16:creationId xmlns:a16="http://schemas.microsoft.com/office/drawing/2014/main" id="{071A295C-A9D3-818E-A157-AE0BBBF5F0A2}"/>
            </a:ext>
          </a:extLst>
        </xdr:cNvPr>
        <xdr:cNvSpPr>
          <a:spLocks noChangeShapeType="1"/>
        </xdr:cNvSpPr>
      </xdr:nvSpPr>
      <xdr:spPr bwMode="auto">
        <a:xfrm flipH="1">
          <a:off x="4038600" y="7400925"/>
          <a:ext cx="10001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57150</xdr:colOff>
      <xdr:row>36</xdr:row>
      <xdr:rowOff>66675</xdr:rowOff>
    </xdr:from>
    <xdr:to>
      <xdr:col>1</xdr:col>
      <xdr:colOff>133350</xdr:colOff>
      <xdr:row>43</xdr:row>
      <xdr:rowOff>123825</xdr:rowOff>
    </xdr:to>
    <xdr:sp macro="" textlink="">
      <xdr:nvSpPr>
        <xdr:cNvPr id="28703" name="AutoShape 31">
          <a:extLst>
            <a:ext uri="{FF2B5EF4-FFF2-40B4-BE49-F238E27FC236}">
              <a16:creationId xmlns:a16="http://schemas.microsoft.com/office/drawing/2014/main" id="{C437F5F5-2313-9225-6213-7CE4453838B3}"/>
            </a:ext>
          </a:extLst>
        </xdr:cNvPr>
        <xdr:cNvSpPr>
          <a:spLocks/>
        </xdr:cNvSpPr>
      </xdr:nvSpPr>
      <xdr:spPr bwMode="auto">
        <a:xfrm>
          <a:off x="381000" y="6210300"/>
          <a:ext cx="76200" cy="1209675"/>
        </a:xfrm>
        <a:prstGeom prst="leftBrace">
          <a:avLst>
            <a:gd name="adj1" fmla="val 132292"/>
            <a:gd name="adj2" fmla="val 50000"/>
          </a:avLst>
        </a:prstGeom>
        <a:noFill/>
        <a:ln w="1587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38100</xdr:colOff>
      <xdr:row>36</xdr:row>
      <xdr:rowOff>47625</xdr:rowOff>
    </xdr:from>
    <xdr:to>
      <xdr:col>0</xdr:col>
      <xdr:colOff>304800</xdr:colOff>
      <xdr:row>44</xdr:row>
      <xdr:rowOff>76200</xdr:rowOff>
    </xdr:to>
    <xdr:sp macro="" textlink="">
      <xdr:nvSpPr>
        <xdr:cNvPr id="28704" name="Text Box 32">
          <a:extLst>
            <a:ext uri="{FF2B5EF4-FFF2-40B4-BE49-F238E27FC236}">
              <a16:creationId xmlns:a16="http://schemas.microsoft.com/office/drawing/2014/main" id="{27BF35CF-B206-F10E-4D2E-F10C5378E2F1}"/>
            </a:ext>
          </a:extLst>
        </xdr:cNvPr>
        <xdr:cNvSpPr txBox="1">
          <a:spLocks noChangeArrowheads="1"/>
        </xdr:cNvSpPr>
      </xdr:nvSpPr>
      <xdr:spPr bwMode="auto">
        <a:xfrm>
          <a:off x="38100" y="6191250"/>
          <a:ext cx="266700" cy="1352550"/>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vert270" wrap="square" lIns="36576" tIns="27432" rIns="0" bIns="0" anchor="t" upright="1"/>
        <a:lstStyle/>
        <a:p>
          <a:pPr algn="r" rtl="0">
            <a:defRPr sz="1000"/>
          </a:pPr>
          <a:r>
            <a:rPr lang="en-US" sz="1400" b="1" i="0" u="none" strike="noStrike" baseline="0">
              <a:solidFill>
                <a:srgbClr val="000000"/>
              </a:solidFill>
              <a:latin typeface="Arial"/>
              <a:cs typeface="Arial"/>
            </a:rPr>
            <a:t>Redistribution</a:t>
          </a:r>
        </a:p>
      </xdr:txBody>
    </xdr:sp>
    <xdr:clientData/>
  </xdr:twoCellAnchor>
  <xdr:twoCellAnchor>
    <xdr:from>
      <xdr:col>3</xdr:col>
      <xdr:colOff>85725</xdr:colOff>
      <xdr:row>49</xdr:row>
      <xdr:rowOff>85725</xdr:rowOff>
    </xdr:from>
    <xdr:to>
      <xdr:col>3</xdr:col>
      <xdr:colOff>923925</xdr:colOff>
      <xdr:row>49</xdr:row>
      <xdr:rowOff>85725</xdr:rowOff>
    </xdr:to>
    <xdr:sp macro="" textlink="">
      <xdr:nvSpPr>
        <xdr:cNvPr id="28705" name="Line 33">
          <a:extLst>
            <a:ext uri="{FF2B5EF4-FFF2-40B4-BE49-F238E27FC236}">
              <a16:creationId xmlns:a16="http://schemas.microsoft.com/office/drawing/2014/main" id="{794F87EC-DCBC-96E5-614A-449D1DB3AABF}"/>
            </a:ext>
          </a:extLst>
        </xdr:cNvPr>
        <xdr:cNvSpPr>
          <a:spLocks noChangeShapeType="1"/>
        </xdr:cNvSpPr>
      </xdr:nvSpPr>
      <xdr:spPr bwMode="auto">
        <a:xfrm flipH="1">
          <a:off x="1914525" y="8382000"/>
          <a:ext cx="8382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85725</xdr:colOff>
      <xdr:row>48</xdr:row>
      <xdr:rowOff>85725</xdr:rowOff>
    </xdr:from>
    <xdr:to>
      <xdr:col>3</xdr:col>
      <xdr:colOff>971550</xdr:colOff>
      <xdr:row>48</xdr:row>
      <xdr:rowOff>85725</xdr:rowOff>
    </xdr:to>
    <xdr:sp macro="" textlink="">
      <xdr:nvSpPr>
        <xdr:cNvPr id="28706" name="Line 34">
          <a:extLst>
            <a:ext uri="{FF2B5EF4-FFF2-40B4-BE49-F238E27FC236}">
              <a16:creationId xmlns:a16="http://schemas.microsoft.com/office/drawing/2014/main" id="{0D3A643F-3E2A-4599-6B03-A0E6681688EC}"/>
            </a:ext>
          </a:extLst>
        </xdr:cNvPr>
        <xdr:cNvSpPr>
          <a:spLocks noChangeShapeType="1"/>
        </xdr:cNvSpPr>
      </xdr:nvSpPr>
      <xdr:spPr bwMode="auto">
        <a:xfrm>
          <a:off x="1914525" y="8220075"/>
          <a:ext cx="8858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85725</xdr:colOff>
      <xdr:row>53</xdr:row>
      <xdr:rowOff>19050</xdr:rowOff>
    </xdr:from>
    <xdr:to>
      <xdr:col>3</xdr:col>
      <xdr:colOff>990600</xdr:colOff>
      <xdr:row>53</xdr:row>
      <xdr:rowOff>19050</xdr:rowOff>
    </xdr:to>
    <xdr:sp macro="" textlink="">
      <xdr:nvSpPr>
        <xdr:cNvPr id="28707" name="Line 35">
          <a:extLst>
            <a:ext uri="{FF2B5EF4-FFF2-40B4-BE49-F238E27FC236}">
              <a16:creationId xmlns:a16="http://schemas.microsoft.com/office/drawing/2014/main" id="{3D33DF79-7E9B-0044-7D5E-AABC15B9A67E}"/>
            </a:ext>
          </a:extLst>
        </xdr:cNvPr>
        <xdr:cNvSpPr>
          <a:spLocks noChangeShapeType="1"/>
        </xdr:cNvSpPr>
      </xdr:nvSpPr>
      <xdr:spPr bwMode="auto">
        <a:xfrm>
          <a:off x="1914525" y="8982075"/>
          <a:ext cx="9048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76200</xdr:colOff>
      <xdr:row>53</xdr:row>
      <xdr:rowOff>142875</xdr:rowOff>
    </xdr:from>
    <xdr:to>
      <xdr:col>3</xdr:col>
      <xdr:colOff>933450</xdr:colOff>
      <xdr:row>53</xdr:row>
      <xdr:rowOff>142875</xdr:rowOff>
    </xdr:to>
    <xdr:sp macro="" textlink="">
      <xdr:nvSpPr>
        <xdr:cNvPr id="28708" name="Line 36">
          <a:extLst>
            <a:ext uri="{FF2B5EF4-FFF2-40B4-BE49-F238E27FC236}">
              <a16:creationId xmlns:a16="http://schemas.microsoft.com/office/drawing/2014/main" id="{F5946F85-5BD5-44BC-1F31-432CCD53EE74}"/>
            </a:ext>
          </a:extLst>
        </xdr:cNvPr>
        <xdr:cNvSpPr>
          <a:spLocks noChangeShapeType="1"/>
        </xdr:cNvSpPr>
      </xdr:nvSpPr>
      <xdr:spPr bwMode="auto">
        <a:xfrm flipH="1">
          <a:off x="1905000" y="9105900"/>
          <a:ext cx="8572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57150</xdr:colOff>
      <xdr:row>47</xdr:row>
      <xdr:rowOff>66675</xdr:rowOff>
    </xdr:from>
    <xdr:to>
      <xdr:col>1</xdr:col>
      <xdr:colOff>133350</xdr:colOff>
      <xdr:row>54</xdr:row>
      <xdr:rowOff>123825</xdr:rowOff>
    </xdr:to>
    <xdr:sp macro="" textlink="">
      <xdr:nvSpPr>
        <xdr:cNvPr id="28709" name="AutoShape 37">
          <a:extLst>
            <a:ext uri="{FF2B5EF4-FFF2-40B4-BE49-F238E27FC236}">
              <a16:creationId xmlns:a16="http://schemas.microsoft.com/office/drawing/2014/main" id="{84B69F99-5682-7608-0465-EA2C7293A4FD}"/>
            </a:ext>
          </a:extLst>
        </xdr:cNvPr>
        <xdr:cNvSpPr>
          <a:spLocks/>
        </xdr:cNvSpPr>
      </xdr:nvSpPr>
      <xdr:spPr bwMode="auto">
        <a:xfrm>
          <a:off x="381000" y="8039100"/>
          <a:ext cx="76200" cy="1209675"/>
        </a:xfrm>
        <a:prstGeom prst="leftBrace">
          <a:avLst>
            <a:gd name="adj1" fmla="val 132292"/>
            <a:gd name="adj2" fmla="val 50000"/>
          </a:avLst>
        </a:prstGeom>
        <a:noFill/>
        <a:ln w="15875">
          <a:solidFill>
            <a:srgbClr xmlns:mc="http://schemas.openxmlformats.org/markup-compatibility/2006" xmlns:a14="http://schemas.microsoft.com/office/drawing/2010/main" val="000000" mc:Ignorable="a14" a14:legacySpreadsheetColorIndex="64"/>
          </a:solidFill>
          <a:round/>
          <a:headEnd/>
          <a:tailEnd/>
        </a:ln>
        <a:effectLst/>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38100</xdr:colOff>
      <xdr:row>47</xdr:row>
      <xdr:rowOff>76200</xdr:rowOff>
    </xdr:from>
    <xdr:to>
      <xdr:col>0</xdr:col>
      <xdr:colOff>304800</xdr:colOff>
      <xdr:row>55</xdr:row>
      <xdr:rowOff>0</xdr:rowOff>
    </xdr:to>
    <xdr:sp macro="" textlink="">
      <xdr:nvSpPr>
        <xdr:cNvPr id="28710" name="Text Box 38">
          <a:extLst>
            <a:ext uri="{FF2B5EF4-FFF2-40B4-BE49-F238E27FC236}">
              <a16:creationId xmlns:a16="http://schemas.microsoft.com/office/drawing/2014/main" id="{7E987371-5AAB-047B-2E60-2162303FBECA}"/>
            </a:ext>
          </a:extLst>
        </xdr:cNvPr>
        <xdr:cNvSpPr txBox="1">
          <a:spLocks noChangeArrowheads="1"/>
        </xdr:cNvSpPr>
      </xdr:nvSpPr>
      <xdr:spPr bwMode="auto">
        <a:xfrm>
          <a:off x="38100" y="8048625"/>
          <a:ext cx="266700" cy="1247775"/>
        </a:xfrm>
        <a:prstGeom prst="rect">
          <a:avLst/>
        </a:prstGeom>
        <a:solidFill>
          <a:srgbClr xmlns:mc="http://schemas.openxmlformats.org/markup-compatibility/2006" xmlns:a14="http://schemas.microsoft.com/office/drawing/2010/main" val="FFFFFF" mc:Ignorable="a14" a14:legacySpreadsheetColorIndex="9"/>
        </a:solidFill>
        <a:ln>
          <a:noFill/>
        </a:ln>
        <a:extLs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vert="vert270" wrap="square" lIns="36576" tIns="27432" rIns="0" bIns="0" anchor="t" upright="1"/>
        <a:lstStyle/>
        <a:p>
          <a:pPr algn="r" rtl="0">
            <a:defRPr sz="1000"/>
          </a:pPr>
          <a:r>
            <a:rPr lang="en-US" sz="1400" b="1" i="0" u="none" strike="noStrike" baseline="0">
              <a:solidFill>
                <a:srgbClr val="000000"/>
              </a:solidFill>
              <a:latin typeface="Arial"/>
              <a:cs typeface="Arial"/>
            </a:rPr>
            <a:t>FM Alliance</a:t>
          </a:r>
        </a:p>
      </xdr:txBody>
    </xdr:sp>
    <xdr:clientData/>
  </xdr:twoCellAnchor>
  <xdr:twoCellAnchor>
    <xdr:from>
      <xdr:col>5</xdr:col>
      <xdr:colOff>152400</xdr:colOff>
      <xdr:row>54</xdr:row>
      <xdr:rowOff>104775</xdr:rowOff>
    </xdr:from>
    <xdr:to>
      <xdr:col>5</xdr:col>
      <xdr:colOff>1143000</xdr:colOff>
      <xdr:row>54</xdr:row>
      <xdr:rowOff>104775</xdr:rowOff>
    </xdr:to>
    <xdr:sp macro="" textlink="">
      <xdr:nvSpPr>
        <xdr:cNvPr id="28711" name="Line 39">
          <a:extLst>
            <a:ext uri="{FF2B5EF4-FFF2-40B4-BE49-F238E27FC236}">
              <a16:creationId xmlns:a16="http://schemas.microsoft.com/office/drawing/2014/main" id="{8C186178-802A-E075-B898-F42838C3AB38}"/>
            </a:ext>
          </a:extLst>
        </xdr:cNvPr>
        <xdr:cNvSpPr>
          <a:spLocks noChangeShapeType="1"/>
        </xdr:cNvSpPr>
      </xdr:nvSpPr>
      <xdr:spPr bwMode="auto">
        <a:xfrm>
          <a:off x="4105275" y="9229725"/>
          <a:ext cx="9906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133350</xdr:colOff>
      <xdr:row>48</xdr:row>
      <xdr:rowOff>95250</xdr:rowOff>
    </xdr:from>
    <xdr:to>
      <xdr:col>5</xdr:col>
      <xdr:colOff>1162050</xdr:colOff>
      <xdr:row>48</xdr:row>
      <xdr:rowOff>95250</xdr:rowOff>
    </xdr:to>
    <xdr:sp macro="" textlink="">
      <xdr:nvSpPr>
        <xdr:cNvPr id="28712" name="Line 40">
          <a:extLst>
            <a:ext uri="{FF2B5EF4-FFF2-40B4-BE49-F238E27FC236}">
              <a16:creationId xmlns:a16="http://schemas.microsoft.com/office/drawing/2014/main" id="{0FA4B489-1C57-2947-7CDA-9C51695230F4}"/>
            </a:ext>
          </a:extLst>
        </xdr:cNvPr>
        <xdr:cNvSpPr>
          <a:spLocks noChangeShapeType="1"/>
        </xdr:cNvSpPr>
      </xdr:nvSpPr>
      <xdr:spPr bwMode="auto">
        <a:xfrm>
          <a:off x="4086225" y="8229600"/>
          <a:ext cx="10287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152400</xdr:colOff>
      <xdr:row>49</xdr:row>
      <xdr:rowOff>85725</xdr:rowOff>
    </xdr:from>
    <xdr:to>
      <xdr:col>5</xdr:col>
      <xdr:colOff>1152525</xdr:colOff>
      <xdr:row>49</xdr:row>
      <xdr:rowOff>85725</xdr:rowOff>
    </xdr:to>
    <xdr:sp macro="" textlink="">
      <xdr:nvSpPr>
        <xdr:cNvPr id="28713" name="Line 41">
          <a:extLst>
            <a:ext uri="{FF2B5EF4-FFF2-40B4-BE49-F238E27FC236}">
              <a16:creationId xmlns:a16="http://schemas.microsoft.com/office/drawing/2014/main" id="{FCF7D911-5C84-D0F7-E772-CCEA83ECC0A5}"/>
            </a:ext>
          </a:extLst>
        </xdr:cNvPr>
        <xdr:cNvSpPr>
          <a:spLocks noChangeShapeType="1"/>
        </xdr:cNvSpPr>
      </xdr:nvSpPr>
      <xdr:spPr bwMode="auto">
        <a:xfrm flipH="1">
          <a:off x="4105275" y="8382000"/>
          <a:ext cx="10001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5</xdr:col>
      <xdr:colOff>104775</xdr:colOff>
      <xdr:row>41</xdr:row>
      <xdr:rowOff>85725</xdr:rowOff>
    </xdr:from>
    <xdr:to>
      <xdr:col>5</xdr:col>
      <xdr:colOff>1123950</xdr:colOff>
      <xdr:row>41</xdr:row>
      <xdr:rowOff>85725</xdr:rowOff>
    </xdr:to>
    <xdr:sp macro="" textlink="">
      <xdr:nvSpPr>
        <xdr:cNvPr id="28714" name="Line 42">
          <a:extLst>
            <a:ext uri="{FF2B5EF4-FFF2-40B4-BE49-F238E27FC236}">
              <a16:creationId xmlns:a16="http://schemas.microsoft.com/office/drawing/2014/main" id="{0559E493-0B83-21DF-6077-23C4EFE7C173}"/>
            </a:ext>
          </a:extLst>
        </xdr:cNvPr>
        <xdr:cNvSpPr>
          <a:spLocks noChangeShapeType="1"/>
        </xdr:cNvSpPr>
      </xdr:nvSpPr>
      <xdr:spPr bwMode="auto">
        <a:xfrm>
          <a:off x="4057650" y="7058025"/>
          <a:ext cx="10191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EMP/simon_economics.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TEMP/Chris%20Redistribution-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TEMP/Simon09_2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TEMP/Simon09_1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s provided"/>
      <sheetName val="Chris's"/>
      <sheetName val="Chris' Flows"/>
      <sheetName val="Sensitivities"/>
      <sheetName val="Subsidy unwind"/>
      <sheetName val="Kevin Roll-up"/>
      <sheetName val="Options w swap"/>
      <sheetName val="GL Expen"/>
      <sheetName val="GL Rev"/>
      <sheetName val="Basis Swag"/>
      <sheetName val="BAse data"/>
      <sheetName val="Financial summ-SPG "/>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s provided"/>
      <sheetName val="Chris's"/>
      <sheetName val="Chris' Flows"/>
      <sheetName val="Sensitivities"/>
      <sheetName val="Subsidy unwind"/>
      <sheetName val="Options w swap"/>
      <sheetName val="GL Expen"/>
      <sheetName val="GL Rev"/>
      <sheetName val="Basis Swag"/>
      <sheetName val="BAse data"/>
    </sheetNames>
    <sheetDataSet>
      <sheetData sheetId="0" refreshError="1"/>
      <sheetData sheetId="1" refreshError="1"/>
      <sheetData sheetId="2" refreshError="1">
        <row r="4">
          <cell r="AH4">
            <v>0.105</v>
          </cell>
          <cell r="AL4">
            <v>0.19500000000000001</v>
          </cell>
        </row>
        <row r="9">
          <cell r="E9">
            <v>4106916.6666666665</v>
          </cell>
          <cell r="I9">
            <v>5112094.3469905667</v>
          </cell>
          <cell r="AH9">
            <v>0</v>
          </cell>
          <cell r="AI9">
            <v>13306028.1404576</v>
          </cell>
          <cell r="AL9">
            <v>996858.39766316058</v>
          </cell>
        </row>
        <row r="10">
          <cell r="E10">
            <v>4106916.6666666665</v>
          </cell>
          <cell r="I10">
            <v>5112094.3469905667</v>
          </cell>
          <cell r="AH10">
            <v>0</v>
          </cell>
          <cell r="AL10">
            <v>996858.39766316058</v>
          </cell>
        </row>
        <row r="11">
          <cell r="E11">
            <v>4106916.6666666665</v>
          </cell>
          <cell r="I11">
            <v>5112094.3469905667</v>
          </cell>
          <cell r="AH11">
            <v>0</v>
          </cell>
          <cell r="AL11">
            <v>996858.39766316058</v>
          </cell>
        </row>
        <row r="12">
          <cell r="E12">
            <v>4175044.333333333</v>
          </cell>
          <cell r="I12">
            <v>5194493.7113988344</v>
          </cell>
          <cell r="AH12">
            <v>8651.9332628680859</v>
          </cell>
          <cell r="AL12">
            <v>1012926.2737227727</v>
          </cell>
        </row>
        <row r="13">
          <cell r="E13">
            <v>4175044.333333333</v>
          </cell>
          <cell r="I13">
            <v>5194493.7113988344</v>
          </cell>
          <cell r="AH13">
            <v>8651.9332628680859</v>
          </cell>
          <cell r="AL13">
            <v>1012926.2737227727</v>
          </cell>
        </row>
        <row r="14">
          <cell r="E14">
            <v>4175044.333333333</v>
          </cell>
          <cell r="I14">
            <v>5194493.7113988344</v>
          </cell>
          <cell r="AH14">
            <v>8651.9332628680859</v>
          </cell>
          <cell r="AL14">
            <v>1012926.2737227727</v>
          </cell>
        </row>
        <row r="15">
          <cell r="E15">
            <v>4243172</v>
          </cell>
          <cell r="I15">
            <v>5276893.075807102</v>
          </cell>
          <cell r="AH15">
            <v>17303.866525736172</v>
          </cell>
          <cell r="AL15">
            <v>1028994.149782385</v>
          </cell>
        </row>
        <row r="16">
          <cell r="E16">
            <v>4243172</v>
          </cell>
          <cell r="I16">
            <v>5276893.075807102</v>
          </cell>
          <cell r="AH16">
            <v>17303.866525736172</v>
          </cell>
          <cell r="AL16">
            <v>1028994.149782385</v>
          </cell>
        </row>
        <row r="17">
          <cell r="E17">
            <v>4243172</v>
          </cell>
          <cell r="I17">
            <v>5276893.075807102</v>
          </cell>
          <cell r="AH17">
            <v>17303.866525736172</v>
          </cell>
          <cell r="AL17">
            <v>1028994.149782385</v>
          </cell>
        </row>
        <row r="18">
          <cell r="E18">
            <v>4311299.666666666</v>
          </cell>
          <cell r="I18">
            <v>5359292.4402153688</v>
          </cell>
          <cell r="AH18">
            <v>25955.799788604258</v>
          </cell>
          <cell r="AL18">
            <v>1045062.0258419969</v>
          </cell>
        </row>
        <row r="19">
          <cell r="E19">
            <v>4311299.666666666</v>
          </cell>
          <cell r="I19">
            <v>5359292.4402153688</v>
          </cell>
          <cell r="AH19">
            <v>25955.799788604258</v>
          </cell>
          <cell r="AL19">
            <v>1045062.0258419969</v>
          </cell>
        </row>
        <row r="20">
          <cell r="E20">
            <v>4311299.666666666</v>
          </cell>
          <cell r="I20">
            <v>5359292.4402153688</v>
          </cell>
          <cell r="AH20">
            <v>25955.799788604258</v>
          </cell>
          <cell r="AL20">
            <v>1045062.0258419969</v>
          </cell>
        </row>
        <row r="21">
          <cell r="E21">
            <v>4379427.333333333</v>
          </cell>
          <cell r="I21">
            <v>5441691.8046236364</v>
          </cell>
          <cell r="AG21">
            <v>1134791.478160071</v>
          </cell>
          <cell r="AH21">
            <v>8651.9332628680859</v>
          </cell>
          <cell r="AL21">
            <v>1061129.901901609</v>
          </cell>
        </row>
        <row r="22">
          <cell r="E22">
            <v>4379427.333333333</v>
          </cell>
          <cell r="I22">
            <v>5441691.8046236364</v>
          </cell>
          <cell r="AG22">
            <v>1134791.478160071</v>
          </cell>
          <cell r="AH22">
            <v>8651.9332628680859</v>
          </cell>
          <cell r="AL22">
            <v>1061129.901901609</v>
          </cell>
        </row>
        <row r="23">
          <cell r="E23">
            <v>4447555</v>
          </cell>
          <cell r="I23">
            <v>5524091.1690319041</v>
          </cell>
          <cell r="AG23">
            <v>1134791.478160071</v>
          </cell>
          <cell r="AH23">
            <v>17303.866525736172</v>
          </cell>
          <cell r="AL23">
            <v>1077197.7779612213</v>
          </cell>
        </row>
        <row r="24">
          <cell r="E24">
            <v>4515682.666666666</v>
          </cell>
          <cell r="I24">
            <v>5606490.5334401717</v>
          </cell>
          <cell r="AG24">
            <v>1134791.478160071</v>
          </cell>
          <cell r="AH24">
            <v>25955.799788604258</v>
          </cell>
          <cell r="AL24">
            <v>1093265.6540208336</v>
          </cell>
        </row>
        <row r="25">
          <cell r="E25">
            <v>4583810.333333333</v>
          </cell>
          <cell r="I25">
            <v>5688889.8978484394</v>
          </cell>
          <cell r="AG25">
            <v>1134791.478160071</v>
          </cell>
          <cell r="AH25">
            <v>34607.733051472336</v>
          </cell>
          <cell r="AL25">
            <v>1109333.5300804458</v>
          </cell>
        </row>
        <row r="26">
          <cell r="E26">
            <v>4651938</v>
          </cell>
          <cell r="I26">
            <v>5771289.2622567061</v>
          </cell>
          <cell r="AG26">
            <v>1134791.478160071</v>
          </cell>
          <cell r="AH26">
            <v>43259.666314340429</v>
          </cell>
          <cell r="AL26">
            <v>1125401.4061400578</v>
          </cell>
        </row>
        <row r="27">
          <cell r="E27">
            <v>4720065.666666666</v>
          </cell>
          <cell r="I27">
            <v>5853688.6266649738</v>
          </cell>
          <cell r="AG27">
            <v>1134791.478160071</v>
          </cell>
          <cell r="AH27">
            <v>51911.599577208515</v>
          </cell>
          <cell r="AL27">
            <v>1141469.2821996699</v>
          </cell>
        </row>
        <row r="28">
          <cell r="E28">
            <v>4788193.333333333</v>
          </cell>
          <cell r="I28">
            <v>5936087.9910732415</v>
          </cell>
          <cell r="AG28">
            <v>1134791.478160071</v>
          </cell>
          <cell r="AH28">
            <v>60563.532840076601</v>
          </cell>
          <cell r="AL28">
            <v>1157537.1582592821</v>
          </cell>
        </row>
        <row r="29">
          <cell r="E29">
            <v>4856321</v>
          </cell>
          <cell r="I29">
            <v>6018487.3554815091</v>
          </cell>
          <cell r="AG29">
            <v>1134791.478160071</v>
          </cell>
          <cell r="AH29">
            <v>69215.466102944687</v>
          </cell>
          <cell r="AL29">
            <v>1173605.0343188944</v>
          </cell>
        </row>
        <row r="30">
          <cell r="E30">
            <v>4924448.666666666</v>
          </cell>
          <cell r="I30">
            <v>6100886.7198897768</v>
          </cell>
          <cell r="AG30">
            <v>1134791.478160071</v>
          </cell>
          <cell r="AH30">
            <v>77867.399365812773</v>
          </cell>
          <cell r="AL30">
            <v>1189672.9103785064</v>
          </cell>
        </row>
        <row r="31">
          <cell r="E31">
            <v>4992576.333333333</v>
          </cell>
          <cell r="I31">
            <v>6183286.0842980444</v>
          </cell>
          <cell r="AG31">
            <v>1134791.478160071</v>
          </cell>
          <cell r="AH31">
            <v>86519.332628680859</v>
          </cell>
          <cell r="AL31">
            <v>1205740.7864381187</v>
          </cell>
        </row>
        <row r="32">
          <cell r="E32">
            <v>5060704</v>
          </cell>
          <cell r="I32">
            <v>6265685.4487063112</v>
          </cell>
          <cell r="AG32">
            <v>1134791.478160071</v>
          </cell>
          <cell r="AH32">
            <v>95171.26589154893</v>
          </cell>
          <cell r="AL32">
            <v>1221808.6624977307</v>
          </cell>
        </row>
        <row r="33">
          <cell r="E33">
            <v>4807668.8</v>
          </cell>
          <cell r="I33">
            <v>6265685.4487063112</v>
          </cell>
          <cell r="AG33">
            <v>1229962.7440516199</v>
          </cell>
          <cell r="AH33">
            <v>0</v>
          </cell>
          <cell r="AL33">
            <v>1221808.6624977307</v>
          </cell>
        </row>
        <row r="34">
          <cell r="E34">
            <v>4872390.083333333</v>
          </cell>
          <cell r="I34">
            <v>6348084.8131145788</v>
          </cell>
          <cell r="AG34">
            <v>1229962.7440516199</v>
          </cell>
          <cell r="AH34">
            <v>8651.9332628681004</v>
          </cell>
          <cell r="AL34">
            <v>1237876.538557343</v>
          </cell>
        </row>
        <row r="35">
          <cell r="E35">
            <v>4872390.083333333</v>
          </cell>
          <cell r="I35">
            <v>6348084.8131145788</v>
          </cell>
          <cell r="AG35">
            <v>1229962.7440516199</v>
          </cell>
          <cell r="AH35">
            <v>8651.9332628681004</v>
          </cell>
          <cell r="AL35">
            <v>1237876.538557343</v>
          </cell>
        </row>
        <row r="36">
          <cell r="E36">
            <v>4937111.3666666662</v>
          </cell>
          <cell r="I36">
            <v>6430484.1775228465</v>
          </cell>
          <cell r="AG36">
            <v>1229962.7440516199</v>
          </cell>
          <cell r="AH36">
            <v>17303.866525736186</v>
          </cell>
          <cell r="AL36">
            <v>1253944.4146169552</v>
          </cell>
        </row>
        <row r="37">
          <cell r="E37">
            <v>4937111.3666666662</v>
          </cell>
          <cell r="I37">
            <v>6430484.1775228465</v>
          </cell>
          <cell r="AG37">
            <v>1229962.7440516199</v>
          </cell>
          <cell r="AH37">
            <v>17303.866525736186</v>
          </cell>
          <cell r="AL37">
            <v>1253944.4146169552</v>
          </cell>
        </row>
        <row r="38">
          <cell r="E38">
            <v>5001832.6499999994</v>
          </cell>
          <cell r="I38">
            <v>6512883.5419311142</v>
          </cell>
          <cell r="AG38">
            <v>1229962.7440516199</v>
          </cell>
          <cell r="AH38">
            <v>25955.799788604272</v>
          </cell>
          <cell r="AL38">
            <v>1270012.2906765672</v>
          </cell>
        </row>
        <row r="39">
          <cell r="E39">
            <v>5001832.6499999994</v>
          </cell>
          <cell r="I39">
            <v>6512883.5419311142</v>
          </cell>
          <cell r="AG39">
            <v>1229962.7440516199</v>
          </cell>
          <cell r="AH39">
            <v>25955.799788604272</v>
          </cell>
          <cell r="AL39">
            <v>1270012.2906765672</v>
          </cell>
        </row>
        <row r="40">
          <cell r="E40">
            <v>5066553.9333333327</v>
          </cell>
          <cell r="I40">
            <v>6595282.9063393818</v>
          </cell>
          <cell r="AG40">
            <v>1229962.7440516199</v>
          </cell>
          <cell r="AH40">
            <v>34607.733051472358</v>
          </cell>
          <cell r="AL40">
            <v>1286080.1667361795</v>
          </cell>
        </row>
        <row r="41">
          <cell r="E41">
            <v>5066553.9333333327</v>
          </cell>
          <cell r="I41">
            <v>6595282.9063393818</v>
          </cell>
          <cell r="AG41">
            <v>1229962.7440516199</v>
          </cell>
          <cell r="AH41">
            <v>34607.733051472358</v>
          </cell>
          <cell r="AL41">
            <v>1286080.1667361795</v>
          </cell>
        </row>
        <row r="42">
          <cell r="E42">
            <v>5131275.2166666659</v>
          </cell>
          <cell r="I42">
            <v>6677682.2707476486</v>
          </cell>
          <cell r="AG42">
            <v>1229962.7440516199</v>
          </cell>
          <cell r="AH42">
            <v>43259.666314340415</v>
          </cell>
          <cell r="AL42">
            <v>1302148.0427957915</v>
          </cell>
        </row>
        <row r="43">
          <cell r="E43">
            <v>5131275.2166666659</v>
          </cell>
          <cell r="I43">
            <v>6677682.2707476486</v>
          </cell>
          <cell r="AG43">
            <v>1229962.7440516199</v>
          </cell>
          <cell r="AH43">
            <v>43259.666314340415</v>
          </cell>
          <cell r="AL43">
            <v>1302148.0427957915</v>
          </cell>
        </row>
        <row r="44">
          <cell r="E44">
            <v>5195996.5</v>
          </cell>
          <cell r="I44">
            <v>6760081.6351559162</v>
          </cell>
          <cell r="AG44">
            <v>1229962.7440516199</v>
          </cell>
          <cell r="AH44">
            <v>51911.59957720853</v>
          </cell>
          <cell r="AL44">
            <v>1318215.9188554038</v>
          </cell>
        </row>
        <row r="45">
          <cell r="E45">
            <v>5195996.5</v>
          </cell>
          <cell r="I45">
            <v>6760081.6351559162</v>
          </cell>
          <cell r="AG45">
            <v>1281874.3436288284</v>
          </cell>
          <cell r="AH45">
            <v>0</v>
          </cell>
          <cell r="AL45">
            <v>1318215.9188554038</v>
          </cell>
        </row>
        <row r="46">
          <cell r="E46">
            <v>5195996.5</v>
          </cell>
          <cell r="I46">
            <v>6760081.6351559162</v>
          </cell>
          <cell r="AG46">
            <v>1281874.3436288284</v>
          </cell>
          <cell r="AH46">
            <v>0</v>
          </cell>
          <cell r="AL46">
            <v>1318215.9188554038</v>
          </cell>
        </row>
        <row r="47">
          <cell r="E47">
            <v>5195996.5</v>
          </cell>
          <cell r="I47">
            <v>6760081.6351559162</v>
          </cell>
          <cell r="AG47">
            <v>1281874.3436288284</v>
          </cell>
          <cell r="AH47">
            <v>0</v>
          </cell>
          <cell r="AL47">
            <v>1318215.9188554038</v>
          </cell>
        </row>
        <row r="48">
          <cell r="E48">
            <v>5195996.5</v>
          </cell>
          <cell r="I48">
            <v>6760081.6351559162</v>
          </cell>
          <cell r="AG48">
            <v>1281874.3436288284</v>
          </cell>
          <cell r="AH48">
            <v>0</v>
          </cell>
          <cell r="AL48">
            <v>1318215.9188554038</v>
          </cell>
        </row>
        <row r="49">
          <cell r="E49">
            <v>5195996.5</v>
          </cell>
          <cell r="I49">
            <v>6760081.6351559162</v>
          </cell>
          <cell r="AG49">
            <v>1281874.3436288284</v>
          </cell>
          <cell r="AH49">
            <v>0</v>
          </cell>
          <cell r="AL49">
            <v>1318215.9188554038</v>
          </cell>
        </row>
        <row r="50">
          <cell r="E50">
            <v>5195996.5</v>
          </cell>
          <cell r="I50">
            <v>6760081.6351559162</v>
          </cell>
          <cell r="AG50">
            <v>1281874.3436288284</v>
          </cell>
          <cell r="AH50">
            <v>0</v>
          </cell>
          <cell r="AL50">
            <v>1318215.9188554038</v>
          </cell>
        </row>
        <row r="51">
          <cell r="E51">
            <v>5195996.5</v>
          </cell>
          <cell r="I51">
            <v>6760081.6351559162</v>
          </cell>
          <cell r="AG51">
            <v>1281874.3436288284</v>
          </cell>
          <cell r="AH51">
            <v>0</v>
          </cell>
          <cell r="AL51">
            <v>1318215.9188554038</v>
          </cell>
        </row>
        <row r="52">
          <cell r="E52">
            <v>5195996.5</v>
          </cell>
          <cell r="I52">
            <v>6760081.6351559162</v>
          </cell>
          <cell r="AG52">
            <v>1281874.3436288284</v>
          </cell>
          <cell r="AH52">
            <v>0</v>
          </cell>
          <cell r="AL52">
            <v>1318215.9188554038</v>
          </cell>
        </row>
        <row r="53">
          <cell r="E53">
            <v>5195996.5</v>
          </cell>
          <cell r="I53">
            <v>6760081.6351559162</v>
          </cell>
          <cell r="AG53">
            <v>1281874.3436288284</v>
          </cell>
          <cell r="AH53">
            <v>0</v>
          </cell>
          <cell r="AL53">
            <v>1318215.9188554038</v>
          </cell>
        </row>
        <row r="54">
          <cell r="E54">
            <v>5195996.5</v>
          </cell>
          <cell r="I54">
            <v>6760081.6351559162</v>
          </cell>
          <cell r="AG54">
            <v>1281874.3436288284</v>
          </cell>
          <cell r="AH54">
            <v>0</v>
          </cell>
          <cell r="AL54">
            <v>1318215.9188554038</v>
          </cell>
        </row>
        <row r="55">
          <cell r="E55">
            <v>5195996.5</v>
          </cell>
          <cell r="I55">
            <v>6760081.6351559162</v>
          </cell>
          <cell r="AG55">
            <v>1281874.3436288284</v>
          </cell>
          <cell r="AH55">
            <v>0</v>
          </cell>
          <cell r="AL55">
            <v>1318215.9188554038</v>
          </cell>
        </row>
        <row r="56">
          <cell r="E56">
            <v>5195996.5</v>
          </cell>
          <cell r="I56">
            <v>6760081.6351559162</v>
          </cell>
          <cell r="AG56">
            <v>1281874.3436288284</v>
          </cell>
          <cell r="AH56">
            <v>0</v>
          </cell>
          <cell r="AL56">
            <v>1318215.9188554038</v>
          </cell>
        </row>
        <row r="57">
          <cell r="E57">
            <v>5086607.0999999996</v>
          </cell>
          <cell r="I57">
            <v>6760081.6351559162</v>
          </cell>
          <cell r="AG57">
            <v>1281874.3436288284</v>
          </cell>
          <cell r="AH57">
            <v>0</v>
          </cell>
          <cell r="AL57">
            <v>1318215.9188554038</v>
          </cell>
        </row>
        <row r="58">
          <cell r="E58">
            <v>5086607.0999999996</v>
          </cell>
          <cell r="I58">
            <v>6760081.6351559162</v>
          </cell>
          <cell r="AG58">
            <v>1281874.3436288284</v>
          </cell>
          <cell r="AH58">
            <v>0</v>
          </cell>
          <cell r="AL58">
            <v>1318215.9188554038</v>
          </cell>
        </row>
        <row r="59">
          <cell r="E59">
            <v>5086607.0999999996</v>
          </cell>
          <cell r="I59">
            <v>6760081.6351559162</v>
          </cell>
          <cell r="AG59">
            <v>1281874.3436288284</v>
          </cell>
          <cell r="AH59">
            <v>0</v>
          </cell>
          <cell r="AL59">
            <v>1318215.9188554038</v>
          </cell>
        </row>
        <row r="60">
          <cell r="E60">
            <v>5086607.0999999996</v>
          </cell>
          <cell r="I60">
            <v>6760081.6351559162</v>
          </cell>
          <cell r="AG60">
            <v>1281874.3436288284</v>
          </cell>
          <cell r="AH60">
            <v>0</v>
          </cell>
          <cell r="AL60">
            <v>1318215.9188554038</v>
          </cell>
        </row>
        <row r="61">
          <cell r="E61">
            <v>5086607.0999999996</v>
          </cell>
          <cell r="I61">
            <v>6760081.6351559162</v>
          </cell>
          <cell r="AG61">
            <v>1281874.3436288284</v>
          </cell>
          <cell r="AH61">
            <v>0</v>
          </cell>
          <cell r="AL61">
            <v>1318215.9188554038</v>
          </cell>
        </row>
        <row r="62">
          <cell r="E62">
            <v>5086607.0999999996</v>
          </cell>
          <cell r="I62">
            <v>6760081.6351559162</v>
          </cell>
          <cell r="AG62">
            <v>1281874.3436288284</v>
          </cell>
          <cell r="AH62">
            <v>0</v>
          </cell>
          <cell r="AL62">
            <v>1318215.9188554038</v>
          </cell>
        </row>
        <row r="63">
          <cell r="E63">
            <v>5086607.0999999996</v>
          </cell>
          <cell r="I63">
            <v>6760081.6351559162</v>
          </cell>
          <cell r="AG63">
            <v>1281874.3436288284</v>
          </cell>
          <cell r="AH63">
            <v>0</v>
          </cell>
          <cell r="AL63">
            <v>1318215.9188554038</v>
          </cell>
        </row>
        <row r="64">
          <cell r="E64">
            <v>5086607.0999999996</v>
          </cell>
          <cell r="I64">
            <v>6760081.6351559162</v>
          </cell>
          <cell r="AG64">
            <v>1281874.3436288284</v>
          </cell>
          <cell r="AH64">
            <v>0</v>
          </cell>
          <cell r="AL64">
            <v>1318215.9188554038</v>
          </cell>
        </row>
        <row r="65">
          <cell r="E65">
            <v>5086607.0999999996</v>
          </cell>
          <cell r="I65">
            <v>6760081.6351559162</v>
          </cell>
          <cell r="AG65">
            <v>1281874.3436288284</v>
          </cell>
          <cell r="AH65">
            <v>0</v>
          </cell>
          <cell r="AL65">
            <v>1318215.9188554038</v>
          </cell>
        </row>
        <row r="66">
          <cell r="E66">
            <v>5086607.0999999996</v>
          </cell>
          <cell r="I66">
            <v>6760081.6351559162</v>
          </cell>
          <cell r="AG66">
            <v>1281874.3436288284</v>
          </cell>
          <cell r="AH66">
            <v>0</v>
          </cell>
          <cell r="AL66">
            <v>1318215.9188554038</v>
          </cell>
        </row>
        <row r="67">
          <cell r="E67">
            <v>5086607.0999999996</v>
          </cell>
          <cell r="I67">
            <v>6760081.6351559162</v>
          </cell>
          <cell r="AG67">
            <v>1281874.3436288284</v>
          </cell>
          <cell r="AH67">
            <v>0</v>
          </cell>
          <cell r="AL67">
            <v>1318215.9188554038</v>
          </cell>
        </row>
        <row r="68">
          <cell r="E68">
            <v>5086607.0999999996</v>
          </cell>
          <cell r="I68">
            <v>6760081.6351559162</v>
          </cell>
          <cell r="AG68">
            <v>1281874.3436288284</v>
          </cell>
          <cell r="AH68">
            <v>0</v>
          </cell>
          <cell r="AL68">
            <v>1318215.9188554038</v>
          </cell>
        </row>
        <row r="69">
          <cell r="E69">
            <v>5086607.0999999996</v>
          </cell>
          <cell r="I69">
            <v>6760081.6351559162</v>
          </cell>
          <cell r="AG69">
            <v>1281874.3436288284</v>
          </cell>
          <cell r="AH69">
            <v>0</v>
          </cell>
          <cell r="AL69">
            <v>1318215.9188554038</v>
          </cell>
        </row>
        <row r="70">
          <cell r="E70">
            <v>5086607.0999999996</v>
          </cell>
          <cell r="I70">
            <v>6760081.6351559162</v>
          </cell>
          <cell r="AG70">
            <v>1281874.3436288284</v>
          </cell>
          <cell r="AH70">
            <v>0</v>
          </cell>
          <cell r="AL70">
            <v>1318215.9188554038</v>
          </cell>
        </row>
        <row r="71">
          <cell r="E71">
            <v>5086607.0999999996</v>
          </cell>
          <cell r="I71">
            <v>6760081.6351559162</v>
          </cell>
          <cell r="AG71">
            <v>1281874.3436288284</v>
          </cell>
          <cell r="AH71">
            <v>0</v>
          </cell>
          <cell r="AL71">
            <v>1318215.9188554038</v>
          </cell>
        </row>
        <row r="72">
          <cell r="E72">
            <v>5086607.0999999996</v>
          </cell>
          <cell r="I72">
            <v>6760081.6351559162</v>
          </cell>
          <cell r="AG72">
            <v>1281874.3436288284</v>
          </cell>
          <cell r="AH72">
            <v>0</v>
          </cell>
          <cell r="AL72">
            <v>1318215.9188554038</v>
          </cell>
        </row>
        <row r="73">
          <cell r="E73">
            <v>5086607.0999999996</v>
          </cell>
          <cell r="I73">
            <v>6760081.6351559162</v>
          </cell>
          <cell r="AG73">
            <v>1281874.3436288284</v>
          </cell>
          <cell r="AH73">
            <v>0</v>
          </cell>
          <cell r="AL73">
            <v>1318215.9188554038</v>
          </cell>
        </row>
        <row r="74">
          <cell r="E74">
            <v>5086607.0999999996</v>
          </cell>
          <cell r="I74">
            <v>6760081.6351559162</v>
          </cell>
          <cell r="AG74">
            <v>1281874.3436288284</v>
          </cell>
          <cell r="AH74">
            <v>0</v>
          </cell>
          <cell r="AL74">
            <v>1318215.9188554038</v>
          </cell>
        </row>
        <row r="75">
          <cell r="E75">
            <v>5086607.0999999996</v>
          </cell>
          <cell r="I75">
            <v>6760081.6351559162</v>
          </cell>
          <cell r="AG75">
            <v>1281874.3436288284</v>
          </cell>
          <cell r="AH75">
            <v>0</v>
          </cell>
          <cell r="AL75">
            <v>1318215.9188554038</v>
          </cell>
        </row>
        <row r="76">
          <cell r="E76">
            <v>5086607.0999999996</v>
          </cell>
          <cell r="I76">
            <v>6760081.6351559162</v>
          </cell>
          <cell r="AG76">
            <v>1281874.3436288284</v>
          </cell>
          <cell r="AH76">
            <v>0</v>
          </cell>
          <cell r="AL76">
            <v>1318215.9188554038</v>
          </cell>
        </row>
        <row r="77">
          <cell r="E77">
            <v>5086607.0999999996</v>
          </cell>
          <cell r="I77">
            <v>6760081.6351559162</v>
          </cell>
          <cell r="AG77">
            <v>1281874.3436288284</v>
          </cell>
          <cell r="AH77">
            <v>0</v>
          </cell>
          <cell r="AL77">
            <v>1318215.9188554038</v>
          </cell>
        </row>
        <row r="78">
          <cell r="E78">
            <v>5086607.0999999996</v>
          </cell>
          <cell r="I78">
            <v>6760081.6351559162</v>
          </cell>
          <cell r="AG78">
            <v>1281874.3436288284</v>
          </cell>
          <cell r="AH78">
            <v>0</v>
          </cell>
          <cell r="AL78">
            <v>1318215.9188554038</v>
          </cell>
        </row>
        <row r="79">
          <cell r="E79">
            <v>5086607.0999999996</v>
          </cell>
          <cell r="I79">
            <v>6760081.6351559162</v>
          </cell>
          <cell r="AG79">
            <v>1281874.3436288284</v>
          </cell>
          <cell r="AH79">
            <v>0</v>
          </cell>
          <cell r="AL79">
            <v>1318215.9188554038</v>
          </cell>
        </row>
        <row r="80">
          <cell r="E80">
            <v>5086607.0999999996</v>
          </cell>
          <cell r="I80">
            <v>6760081.6351559162</v>
          </cell>
          <cell r="AG80">
            <v>1281874.3436288284</v>
          </cell>
          <cell r="AH80">
            <v>0</v>
          </cell>
          <cell r="AL80">
            <v>1318215.9188554038</v>
          </cell>
        </row>
        <row r="81">
          <cell r="E81">
            <v>5086607.0999999996</v>
          </cell>
          <cell r="I81">
            <v>6760081.6351559162</v>
          </cell>
          <cell r="AG81">
            <v>1281874.3436288284</v>
          </cell>
          <cell r="AH81">
            <v>0</v>
          </cell>
          <cell r="AL81">
            <v>1318215.9188554038</v>
          </cell>
        </row>
        <row r="82">
          <cell r="E82">
            <v>5086607.0999999996</v>
          </cell>
          <cell r="I82">
            <v>6760081.6351559162</v>
          </cell>
          <cell r="AG82">
            <v>1281874.3436288284</v>
          </cell>
          <cell r="AH82">
            <v>0</v>
          </cell>
          <cell r="AL82">
            <v>1318215.9188554038</v>
          </cell>
        </row>
        <row r="83">
          <cell r="E83">
            <v>5086607.0999999996</v>
          </cell>
          <cell r="I83">
            <v>6760081.6351559162</v>
          </cell>
          <cell r="AG83">
            <v>1281874.3436288284</v>
          </cell>
          <cell r="AH83">
            <v>0</v>
          </cell>
          <cell r="AL83">
            <v>1318215.9188554038</v>
          </cell>
        </row>
        <row r="84">
          <cell r="E84">
            <v>5086607.0999999996</v>
          </cell>
          <cell r="I84">
            <v>6760081.6351559162</v>
          </cell>
          <cell r="AG84">
            <v>1281874.3436288284</v>
          </cell>
          <cell r="AH84">
            <v>0</v>
          </cell>
          <cell r="AL84">
            <v>1318215.9188554038</v>
          </cell>
        </row>
        <row r="85">
          <cell r="E85">
            <v>5086607.0999999996</v>
          </cell>
          <cell r="I85">
            <v>6760081.6351559162</v>
          </cell>
          <cell r="AG85">
            <v>1281874.3436288284</v>
          </cell>
          <cell r="AH85">
            <v>0</v>
          </cell>
          <cell r="AL85">
            <v>1318215.9188554038</v>
          </cell>
        </row>
        <row r="86">
          <cell r="E86">
            <v>5086607.0999999996</v>
          </cell>
          <cell r="I86">
            <v>6760081.6351559162</v>
          </cell>
          <cell r="AG86">
            <v>1281874.3436288284</v>
          </cell>
          <cell r="AH86">
            <v>0</v>
          </cell>
          <cell r="AL86">
            <v>1318215.9188554038</v>
          </cell>
        </row>
        <row r="87">
          <cell r="E87">
            <v>5086607.0999999996</v>
          </cell>
          <cell r="I87">
            <v>6760081.6351559162</v>
          </cell>
          <cell r="AG87">
            <v>1281874.3436288284</v>
          </cell>
          <cell r="AH87">
            <v>0</v>
          </cell>
          <cell r="AL87">
            <v>1318215.9188554038</v>
          </cell>
        </row>
        <row r="88">
          <cell r="E88">
            <v>5086607.0999999996</v>
          </cell>
          <cell r="I88">
            <v>6760081.6351559162</v>
          </cell>
          <cell r="AG88">
            <v>1281874.3436288284</v>
          </cell>
          <cell r="AH88">
            <v>0</v>
          </cell>
          <cell r="AL88">
            <v>1318215.9188554038</v>
          </cell>
        </row>
        <row r="89">
          <cell r="E89">
            <v>5086607.0999999996</v>
          </cell>
          <cell r="I89">
            <v>6760081.6351559162</v>
          </cell>
          <cell r="AG89">
            <v>1281874.3436288284</v>
          </cell>
          <cell r="AH89">
            <v>0</v>
          </cell>
          <cell r="AL89">
            <v>1318215.9188554038</v>
          </cell>
        </row>
        <row r="90">
          <cell r="E90">
            <v>5086607.0999999996</v>
          </cell>
          <cell r="I90">
            <v>6760081.6351559162</v>
          </cell>
          <cell r="AG90">
            <v>1281874.3436288284</v>
          </cell>
          <cell r="AH90">
            <v>0</v>
          </cell>
          <cell r="AL90">
            <v>1318215.9188554038</v>
          </cell>
        </row>
        <row r="91">
          <cell r="E91">
            <v>5086607.0999999996</v>
          </cell>
          <cell r="I91">
            <v>6760081.6351559162</v>
          </cell>
          <cell r="AG91">
            <v>1281874.3436288284</v>
          </cell>
          <cell r="AH91">
            <v>0</v>
          </cell>
          <cell r="AL91">
            <v>1318215.9188554038</v>
          </cell>
        </row>
        <row r="92">
          <cell r="E92">
            <v>5086607.0999999996</v>
          </cell>
          <cell r="I92">
            <v>6760081.6351559162</v>
          </cell>
          <cell r="AG92">
            <v>1281874.3436288284</v>
          </cell>
          <cell r="AH92">
            <v>0</v>
          </cell>
          <cell r="AL92">
            <v>1318215.9188554038</v>
          </cell>
        </row>
        <row r="93">
          <cell r="E93">
            <v>5086607.0999999996</v>
          </cell>
          <cell r="I93">
            <v>6760081.6351559162</v>
          </cell>
          <cell r="AG93">
            <v>1281874.3436288284</v>
          </cell>
          <cell r="AH93">
            <v>0</v>
          </cell>
          <cell r="AL93">
            <v>1318215.9188554038</v>
          </cell>
        </row>
        <row r="94">
          <cell r="E94">
            <v>5086607.0999999996</v>
          </cell>
          <cell r="I94">
            <v>6760081.6351559162</v>
          </cell>
          <cell r="AG94">
            <v>1281874.3436288284</v>
          </cell>
          <cell r="AH94">
            <v>0</v>
          </cell>
          <cell r="AL94">
            <v>1318215.9188554038</v>
          </cell>
        </row>
        <row r="95">
          <cell r="E95">
            <v>5086607.0999999996</v>
          </cell>
          <cell r="I95">
            <v>6760081.6351559162</v>
          </cell>
          <cell r="AG95">
            <v>1281874.3436288284</v>
          </cell>
          <cell r="AH95">
            <v>0</v>
          </cell>
          <cell r="AL95">
            <v>1318215.9188554038</v>
          </cell>
        </row>
        <row r="96">
          <cell r="E96">
            <v>5086607.0999999996</v>
          </cell>
          <cell r="I96">
            <v>6760081.6351559162</v>
          </cell>
          <cell r="AG96">
            <v>1281874.3436288284</v>
          </cell>
          <cell r="AH96">
            <v>0</v>
          </cell>
          <cell r="AL96">
            <v>1318215.9188554038</v>
          </cell>
        </row>
        <row r="97">
          <cell r="E97">
            <v>5086607.0999999996</v>
          </cell>
          <cell r="I97">
            <v>6760081.6351559162</v>
          </cell>
          <cell r="AG97">
            <v>1281874.3436288284</v>
          </cell>
          <cell r="AH97">
            <v>0</v>
          </cell>
          <cell r="AL97">
            <v>1318215.9188554038</v>
          </cell>
        </row>
        <row r="98">
          <cell r="E98">
            <v>5086607.0999999996</v>
          </cell>
          <cell r="I98">
            <v>6760081.6351559162</v>
          </cell>
          <cell r="AG98">
            <v>1281874.3436288284</v>
          </cell>
          <cell r="AH98">
            <v>0</v>
          </cell>
          <cell r="AL98">
            <v>1318215.9188554038</v>
          </cell>
        </row>
        <row r="99">
          <cell r="E99">
            <v>5086607.0999999996</v>
          </cell>
          <cell r="I99">
            <v>6760081.6351559162</v>
          </cell>
          <cell r="AG99">
            <v>1281874.3436288284</v>
          </cell>
          <cell r="AH99">
            <v>0</v>
          </cell>
          <cell r="AL99">
            <v>1318215.9188554038</v>
          </cell>
        </row>
        <row r="100">
          <cell r="E100">
            <v>5086607.0999999996</v>
          </cell>
          <cell r="I100">
            <v>6760081.6351559162</v>
          </cell>
          <cell r="AG100">
            <v>1281874.3436288284</v>
          </cell>
          <cell r="AH100">
            <v>0</v>
          </cell>
          <cell r="AL100">
            <v>1318215.9188554038</v>
          </cell>
        </row>
        <row r="101">
          <cell r="E101">
            <v>5086607.0999999996</v>
          </cell>
          <cell r="I101">
            <v>6760081.6351559162</v>
          </cell>
          <cell r="AG101">
            <v>1281874.3436288284</v>
          </cell>
          <cell r="AH101">
            <v>0</v>
          </cell>
          <cell r="AL101">
            <v>1318215.9188554038</v>
          </cell>
        </row>
        <row r="102">
          <cell r="E102">
            <v>5086607.0999999996</v>
          </cell>
          <cell r="I102">
            <v>6760081.6351559162</v>
          </cell>
          <cell r="AG102">
            <v>1281874.3436288284</v>
          </cell>
          <cell r="AH102">
            <v>0</v>
          </cell>
          <cell r="AL102">
            <v>1318215.9188554038</v>
          </cell>
        </row>
        <row r="103">
          <cell r="E103">
            <v>5086607.0999999996</v>
          </cell>
          <cell r="I103">
            <v>6760081.6351559162</v>
          </cell>
          <cell r="AG103">
            <v>1281874.3436288284</v>
          </cell>
          <cell r="AH103">
            <v>0</v>
          </cell>
          <cell r="AL103">
            <v>1318215.9188554038</v>
          </cell>
        </row>
        <row r="104">
          <cell r="E104">
            <v>5086607.0999999996</v>
          </cell>
          <cell r="I104">
            <v>6760081.6351559162</v>
          </cell>
          <cell r="AG104">
            <v>1281874.3436288284</v>
          </cell>
          <cell r="AH104">
            <v>0</v>
          </cell>
          <cell r="AL104">
            <v>1318215.9188554038</v>
          </cell>
        </row>
        <row r="105">
          <cell r="E105">
            <v>4922523</v>
          </cell>
          <cell r="I105">
            <v>6760081.6351559162</v>
          </cell>
          <cell r="AG105">
            <v>1281874.3436288284</v>
          </cell>
          <cell r="AH105">
            <v>0</v>
          </cell>
          <cell r="AL105">
            <v>1318215.9188554038</v>
          </cell>
        </row>
        <row r="106">
          <cell r="E106">
            <v>4922523</v>
          </cell>
          <cell r="I106">
            <v>6760081.6351559162</v>
          </cell>
          <cell r="AG106">
            <v>1281874.3436288284</v>
          </cell>
          <cell r="AH106">
            <v>0</v>
          </cell>
          <cell r="AL106">
            <v>1318215.9188554038</v>
          </cell>
        </row>
        <row r="107">
          <cell r="E107">
            <v>4922523</v>
          </cell>
          <cell r="I107">
            <v>6760081.6351559162</v>
          </cell>
          <cell r="AG107">
            <v>1281874.3436288284</v>
          </cell>
          <cell r="AH107">
            <v>0</v>
          </cell>
          <cell r="AL107">
            <v>1318215.9188554038</v>
          </cell>
        </row>
        <row r="108">
          <cell r="E108">
            <v>4922523</v>
          </cell>
          <cell r="I108">
            <v>6760081.6351559162</v>
          </cell>
          <cell r="AG108">
            <v>1281874.3436288284</v>
          </cell>
          <cell r="AH108">
            <v>0</v>
          </cell>
          <cell r="AL108">
            <v>1318215.9188554038</v>
          </cell>
        </row>
        <row r="109">
          <cell r="E109">
            <v>4922523</v>
          </cell>
          <cell r="I109">
            <v>6760081.6351559162</v>
          </cell>
          <cell r="AG109">
            <v>1281874.3436288284</v>
          </cell>
          <cell r="AH109">
            <v>0</v>
          </cell>
          <cell r="AL109">
            <v>1318215.9188554038</v>
          </cell>
        </row>
        <row r="110">
          <cell r="E110">
            <v>4922523</v>
          </cell>
          <cell r="I110">
            <v>6760081.6351559162</v>
          </cell>
          <cell r="AG110">
            <v>1281874.3436288284</v>
          </cell>
          <cell r="AH110">
            <v>0</v>
          </cell>
          <cell r="AL110">
            <v>1318215.9188554038</v>
          </cell>
        </row>
        <row r="111">
          <cell r="E111">
            <v>4922523</v>
          </cell>
          <cell r="I111">
            <v>6760081.6351559162</v>
          </cell>
          <cell r="AG111">
            <v>1281874.3436288284</v>
          </cell>
          <cell r="AH111">
            <v>0</v>
          </cell>
          <cell r="AL111">
            <v>1318215.9188554038</v>
          </cell>
        </row>
        <row r="112">
          <cell r="E112">
            <v>4922523</v>
          </cell>
          <cell r="I112">
            <v>6760081.6351559162</v>
          </cell>
          <cell r="AG112">
            <v>1281874.3436288284</v>
          </cell>
          <cell r="AH112">
            <v>0</v>
          </cell>
          <cell r="AL112">
            <v>1318215.9188554038</v>
          </cell>
        </row>
        <row r="113">
          <cell r="E113">
            <v>4922523</v>
          </cell>
          <cell r="I113">
            <v>6760081.6351559162</v>
          </cell>
          <cell r="AG113">
            <v>1281874.3436288284</v>
          </cell>
          <cell r="AH113">
            <v>0</v>
          </cell>
          <cell r="AL113">
            <v>1318215.9188554038</v>
          </cell>
        </row>
        <row r="114">
          <cell r="E114">
            <v>4922523</v>
          </cell>
          <cell r="I114">
            <v>6760081.6351559162</v>
          </cell>
          <cell r="AG114">
            <v>1281874.3436288284</v>
          </cell>
          <cell r="AH114">
            <v>0</v>
          </cell>
          <cell r="AL114">
            <v>1318215.9188554038</v>
          </cell>
        </row>
        <row r="115">
          <cell r="E115">
            <v>4922523</v>
          </cell>
          <cell r="I115">
            <v>6760081.6351559162</v>
          </cell>
          <cell r="AG115">
            <v>1281874.3436288284</v>
          </cell>
          <cell r="AH115">
            <v>0</v>
          </cell>
          <cell r="AL115">
            <v>1318215.9188554038</v>
          </cell>
        </row>
        <row r="116">
          <cell r="E116">
            <v>4922523</v>
          </cell>
          <cell r="I116">
            <v>6760081.6351559162</v>
          </cell>
          <cell r="AG116">
            <v>1281874.3436288284</v>
          </cell>
          <cell r="AH116">
            <v>0</v>
          </cell>
          <cell r="AL116">
            <v>1318215.9188554038</v>
          </cell>
        </row>
        <row r="117">
          <cell r="E117">
            <v>4922523</v>
          </cell>
          <cell r="I117">
            <v>6760081.6351559162</v>
          </cell>
          <cell r="AG117">
            <v>1281874.3436288284</v>
          </cell>
          <cell r="AH117">
            <v>0</v>
          </cell>
          <cell r="AL117">
            <v>1318215.9188554038</v>
          </cell>
        </row>
        <row r="118">
          <cell r="E118">
            <v>4922523</v>
          </cell>
          <cell r="I118">
            <v>6760081.6351559162</v>
          </cell>
          <cell r="AG118">
            <v>1281874.3436288284</v>
          </cell>
          <cell r="AH118">
            <v>0</v>
          </cell>
          <cell r="AL118">
            <v>1318215.9188554038</v>
          </cell>
        </row>
        <row r="119">
          <cell r="E119">
            <v>4922523</v>
          </cell>
          <cell r="I119">
            <v>6760081.6351559162</v>
          </cell>
          <cell r="AG119">
            <v>1281874.3436288284</v>
          </cell>
          <cell r="AH119">
            <v>0</v>
          </cell>
          <cell r="AL119">
            <v>1318215.9188554038</v>
          </cell>
        </row>
        <row r="120">
          <cell r="E120">
            <v>4922523</v>
          </cell>
          <cell r="I120">
            <v>6760081.6351559162</v>
          </cell>
          <cell r="AG120">
            <v>1281874.3436288284</v>
          </cell>
          <cell r="AH120">
            <v>0</v>
          </cell>
          <cell r="AL120">
            <v>1318215.9188554038</v>
          </cell>
        </row>
        <row r="121">
          <cell r="E121">
            <v>4922523</v>
          </cell>
          <cell r="I121">
            <v>6760081.6351559162</v>
          </cell>
          <cell r="AG121">
            <v>1281874.3436288284</v>
          </cell>
          <cell r="AH121">
            <v>0</v>
          </cell>
          <cell r="AL121">
            <v>1318215.9188554038</v>
          </cell>
        </row>
        <row r="122">
          <cell r="E122">
            <v>4922523</v>
          </cell>
          <cell r="I122">
            <v>6760081.6351559162</v>
          </cell>
          <cell r="AG122">
            <v>1281874.3436288284</v>
          </cell>
          <cell r="AH122">
            <v>0</v>
          </cell>
          <cell r="AL122">
            <v>1318215.9188554038</v>
          </cell>
        </row>
        <row r="123">
          <cell r="E123">
            <v>4922523</v>
          </cell>
          <cell r="I123">
            <v>6760081.6351559162</v>
          </cell>
          <cell r="AG123">
            <v>1281874.3436288284</v>
          </cell>
          <cell r="AH123">
            <v>0</v>
          </cell>
          <cell r="AL123">
            <v>1318215.9188554038</v>
          </cell>
        </row>
        <row r="124">
          <cell r="E124">
            <v>4922523</v>
          </cell>
          <cell r="I124">
            <v>6760081.6351559162</v>
          </cell>
          <cell r="AG124">
            <v>1281874.3436288284</v>
          </cell>
          <cell r="AH124">
            <v>0</v>
          </cell>
          <cell r="AL124">
            <v>1318215.9188554038</v>
          </cell>
        </row>
        <row r="125">
          <cell r="E125">
            <v>4922523</v>
          </cell>
          <cell r="I125">
            <v>6760081.6351559162</v>
          </cell>
          <cell r="AG125">
            <v>1281874.3436288284</v>
          </cell>
          <cell r="AH125">
            <v>0</v>
          </cell>
          <cell r="AL125">
            <v>1318215.9188554038</v>
          </cell>
        </row>
        <row r="126">
          <cell r="E126">
            <v>4922523</v>
          </cell>
          <cell r="I126">
            <v>6760081.6351559162</v>
          </cell>
          <cell r="AG126">
            <v>1281874.3436288284</v>
          </cell>
          <cell r="AH126">
            <v>0</v>
          </cell>
          <cell r="AL126">
            <v>1318215.9188554038</v>
          </cell>
        </row>
        <row r="127">
          <cell r="E127">
            <v>4922523</v>
          </cell>
          <cell r="I127">
            <v>6760081.6351559162</v>
          </cell>
          <cell r="AG127">
            <v>1281874.3436288284</v>
          </cell>
          <cell r="AH127">
            <v>0</v>
          </cell>
          <cell r="AL127">
            <v>1318215.9188554038</v>
          </cell>
        </row>
        <row r="128">
          <cell r="E128">
            <v>4922523</v>
          </cell>
          <cell r="I128">
            <v>6760081.6351559162</v>
          </cell>
          <cell r="AG128">
            <v>1281874.3436288284</v>
          </cell>
          <cell r="AH128">
            <v>0</v>
          </cell>
          <cell r="AL128">
            <v>1318215.9188554038</v>
          </cell>
        </row>
      </sheetData>
      <sheetData sheetId="3" refreshError="1">
        <row r="20">
          <cell r="C20" t="str">
            <v>Yes</v>
          </cell>
        </row>
      </sheetData>
      <sheetData sheetId="4" refreshError="1"/>
      <sheetData sheetId="5" refreshError="1"/>
      <sheetData sheetId="6" refreshError="1"/>
      <sheetData sheetId="7" refreshError="1"/>
      <sheetData sheetId="8" refreshError="1"/>
      <sheetData sheetId="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orm A info"/>
      <sheetName val="1998 Expense Detail"/>
      <sheetName val="Updated Final List"/>
      <sheetName val="Total Baseline"/>
      <sheetName val="general info"/>
      <sheetName val="commodity information"/>
      <sheetName val="Wholesale Baseline"/>
      <sheetName val="EAM Curves"/>
      <sheetName val="wholesale services"/>
      <sheetName val="unwinds"/>
      <sheetName val="charts"/>
      <sheetName val="account mgt"/>
      <sheetName val="non-cash charges"/>
      <sheetName val="power redistribution"/>
      <sheetName val="Redistribution Scenarios"/>
      <sheetName val="assumptions"/>
      <sheetName val="FM Summary"/>
      <sheetName val="Financial summ-EES"/>
      <sheetName val="Financial summ-SPG"/>
      <sheetName val="Financial summ-TFSPs"/>
      <sheetName val="RMPM-Whole"/>
      <sheetName val="RMPM-Redis"/>
      <sheetName val="RMPM-FM"/>
      <sheetName val="Breakout"/>
      <sheetName val="Re-Whole"/>
      <sheetName val="Re-Redis"/>
      <sheetName val="Re-FM"/>
      <sheetName val="Compar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4">
          <cell r="A4" t="str">
            <v>Wholesale Services</v>
          </cell>
          <cell r="B4">
            <v>39172451.085797161</v>
          </cell>
        </row>
        <row r="5">
          <cell r="A5" t="str">
            <v>Redistribution</v>
          </cell>
          <cell r="B5">
            <v>4375724.9979190379</v>
          </cell>
        </row>
        <row r="6">
          <cell r="A6" t="str">
            <v>Upfront Payment</v>
          </cell>
          <cell r="B6">
            <v>3703703.7037037034</v>
          </cell>
        </row>
        <row r="7">
          <cell r="A7" t="str">
            <v>FM Alliance</v>
          </cell>
          <cell r="B7">
            <v>26192705.006078307</v>
          </cell>
        </row>
        <row r="21">
          <cell r="A21" t="str">
            <v>Wholesale Services</v>
          </cell>
          <cell r="B21">
            <v>10209122.229190443</v>
          </cell>
        </row>
        <row r="22">
          <cell r="A22" t="str">
            <v>Redistribution</v>
          </cell>
          <cell r="B22">
            <v>14762436.796069315</v>
          </cell>
        </row>
        <row r="23">
          <cell r="A23" t="str">
            <v>FM Alliance</v>
          </cell>
          <cell r="B23">
            <v>1534837.2975119564</v>
          </cell>
        </row>
        <row r="44">
          <cell r="B44">
            <v>1</v>
          </cell>
          <cell r="C44">
            <v>2</v>
          </cell>
          <cell r="D44">
            <v>3</v>
          </cell>
          <cell r="E44">
            <v>4</v>
          </cell>
          <cell r="F44">
            <v>5</v>
          </cell>
          <cell r="G44">
            <v>6</v>
          </cell>
          <cell r="H44">
            <v>7</v>
          </cell>
          <cell r="I44">
            <v>8</v>
          </cell>
          <cell r="J44">
            <v>9</v>
          </cell>
          <cell r="K44">
            <v>10</v>
          </cell>
        </row>
        <row r="45">
          <cell r="A45" t="str">
            <v>Forecasts Under Outsource</v>
          </cell>
          <cell r="B45">
            <v>12251522.541030942</v>
          </cell>
          <cell r="C45">
            <v>13617292.006097978</v>
          </cell>
          <cell r="D45">
            <v>15240147.488118811</v>
          </cell>
          <cell r="E45">
            <v>15818591.026264848</v>
          </cell>
          <cell r="F45">
            <v>15818591.026264848</v>
          </cell>
          <cell r="G45">
            <v>15818591.026264848</v>
          </cell>
          <cell r="H45">
            <v>15818591.026264848</v>
          </cell>
          <cell r="I45">
            <v>15818591.026264848</v>
          </cell>
          <cell r="J45">
            <v>15818591.026264848</v>
          </cell>
          <cell r="K45">
            <v>15818591.026264848</v>
          </cell>
        </row>
        <row r="46">
          <cell r="A46" t="str">
            <v>Current Business Forecasts</v>
          </cell>
          <cell r="B46">
            <v>10912236.763886802</v>
          </cell>
          <cell r="C46">
            <v>11773236.763886802</v>
          </cell>
          <cell r="D46">
            <v>13774236.763886802</v>
          </cell>
          <cell r="E46">
            <v>14913236.763886802</v>
          </cell>
          <cell r="F46">
            <v>15312236.763886802</v>
          </cell>
          <cell r="G46">
            <v>15911236.763886802</v>
          </cell>
          <cell r="H46">
            <v>16087236.763886802</v>
          </cell>
          <cell r="I46">
            <v>16087236.763886802</v>
          </cell>
          <cell r="J46">
            <v>16087236.763886802</v>
          </cell>
          <cell r="K46">
            <v>16087236.763886802</v>
          </cell>
        </row>
      </sheetData>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orm A info"/>
      <sheetName val="1998 Expense Detail"/>
      <sheetName val="Total Baseline"/>
      <sheetName val="general info"/>
      <sheetName val="commodity information"/>
      <sheetName val="Wholesale Baseline"/>
      <sheetName val="EAM Curves"/>
      <sheetName val="wholesale services"/>
      <sheetName val="unwinds"/>
      <sheetName val="charts"/>
      <sheetName val="account mgt"/>
      <sheetName val="non-cash charges"/>
      <sheetName val="power redistribution"/>
      <sheetName val="Redistribution Scenarios"/>
      <sheetName val="assumptions"/>
      <sheetName val="FM Summary"/>
      <sheetName val="Financial summ-EES"/>
      <sheetName val="Financial summ-SPG"/>
      <sheetName val="Financial summ-TFSPs"/>
      <sheetName val="RMPM-Whole"/>
      <sheetName val="RMPM-Redis"/>
      <sheetName val="RMPM-FM"/>
      <sheetName val="Breakout"/>
      <sheetName val="Re-Whole"/>
      <sheetName val="Re-Redis"/>
      <sheetName val="Re-FM"/>
      <sheetName val="Compare"/>
      <sheetName val="Diagram"/>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row r="5">
          <cell r="C5">
            <v>9.4500000000000001E-2</v>
          </cell>
        </row>
      </sheetData>
      <sheetData sheetId="23"/>
      <sheetData sheetId="24"/>
      <sheetData sheetId="25"/>
      <sheetData sheetId="26"/>
      <sheetData sheetId="2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11.bin"/><Relationship Id="rId4" Type="http://schemas.openxmlformats.org/officeDocument/2006/relationships/comments" Target="../comments3.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4.xml"/><Relationship Id="rId1" Type="http://schemas.openxmlformats.org/officeDocument/2006/relationships/printerSettings" Target="../printerSettings/printerSettings24.bin"/><Relationship Id="rId5" Type="http://schemas.openxmlformats.org/officeDocument/2006/relationships/comments" Target="../comments6.xml"/><Relationship Id="rId4" Type="http://schemas.openxmlformats.org/officeDocument/2006/relationships/ctrlProp" Target="../ctrlProps/ctrlProp1.xml"/></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xml"/><Relationship Id="rId1" Type="http://schemas.openxmlformats.org/officeDocument/2006/relationships/printerSettings" Target="../printerSettings/printerSettings26.bin"/><Relationship Id="rId5" Type="http://schemas.openxmlformats.org/officeDocument/2006/relationships/image" Target="../media/image1.emf"/><Relationship Id="rId4" Type="http://schemas.openxmlformats.org/officeDocument/2006/relationships/oleObject" Target="../embeddings/oleObject1.bin"/></Relationships>
</file>

<file path=xl/worksheets/_rels/sheet3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6.xml"/><Relationship Id="rId1" Type="http://schemas.openxmlformats.org/officeDocument/2006/relationships/printerSettings" Target="../printerSettings/printerSettings27.bin"/><Relationship Id="rId5" Type="http://schemas.openxmlformats.org/officeDocument/2006/relationships/image" Target="../media/image1.emf"/><Relationship Id="rId4" Type="http://schemas.openxmlformats.org/officeDocument/2006/relationships/oleObject" Target="../embeddings/oleObject2.bin"/></Relationships>
</file>

<file path=xl/worksheets/_rels/sheet3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7.xml"/><Relationship Id="rId1" Type="http://schemas.openxmlformats.org/officeDocument/2006/relationships/printerSettings" Target="../printerSettings/printerSettings28.bin"/><Relationship Id="rId5" Type="http://schemas.openxmlformats.org/officeDocument/2006/relationships/image" Target="../media/image1.emf"/><Relationship Id="rId4" Type="http://schemas.openxmlformats.org/officeDocument/2006/relationships/oleObject" Target="../embeddings/oleObject3.bin"/></Relationships>
</file>

<file path=xl/worksheets/_rels/sheet3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8.xml"/><Relationship Id="rId1" Type="http://schemas.openxmlformats.org/officeDocument/2006/relationships/printerSettings" Target="../printerSettings/printerSettings29.bin"/><Relationship Id="rId4" Type="http://schemas.openxmlformats.org/officeDocument/2006/relationships/ctrlProp" Target="../ctrlProps/ctrlProp2.xml"/></Relationships>
</file>

<file path=xl/worksheets/_rels/sheet33.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M264"/>
  <sheetViews>
    <sheetView workbookViewId="0">
      <selection activeCell="AI257" sqref="AI257"/>
    </sheetView>
  </sheetViews>
  <sheetFormatPr defaultColWidth="8" defaultRowHeight="12.75" x14ac:dyDescent="0.2"/>
  <cols>
    <col min="1" max="1" width="7.85546875" style="11" customWidth="1"/>
    <col min="2" max="2" width="9.5703125" style="11" customWidth="1"/>
    <col min="3" max="3" width="7.7109375" style="11" customWidth="1"/>
    <col min="4" max="4" width="21.7109375" style="11" customWidth="1"/>
    <col min="5" max="5" width="13.7109375" style="11" customWidth="1"/>
    <col min="6" max="6" width="4.140625" style="11" customWidth="1"/>
    <col min="7" max="7" width="6.28515625" style="11" customWidth="1"/>
    <col min="8" max="8" width="8.7109375" style="11" customWidth="1"/>
    <col min="9" max="9" width="6.28515625" style="11" customWidth="1"/>
    <col min="10" max="10" width="12.140625" style="11" customWidth="1"/>
    <col min="11" max="11" width="8" style="11" customWidth="1"/>
    <col min="12" max="12" width="27.42578125" style="11" customWidth="1"/>
    <col min="13" max="13" width="7.85546875" style="11" customWidth="1"/>
    <col min="14" max="15" width="8" style="11" customWidth="1"/>
    <col min="16" max="17" width="0" style="11" hidden="1" customWidth="1"/>
    <col min="18" max="18" width="12.7109375" style="11" customWidth="1"/>
    <col min="19" max="19" width="12.140625" style="11" customWidth="1"/>
    <col min="20" max="20" width="11.28515625" style="11" customWidth="1"/>
    <col min="21" max="21" width="13.140625" style="11" customWidth="1"/>
    <col min="22" max="22" width="11.7109375" style="11" customWidth="1"/>
    <col min="23" max="23" width="11" style="11" bestFit="1" customWidth="1"/>
    <col min="24" max="26" width="11.42578125" style="11" customWidth="1"/>
    <col min="27" max="29" width="12.5703125" style="11" customWidth="1"/>
    <col min="30" max="30" width="11.42578125" style="11" customWidth="1"/>
    <col min="31" max="31" width="11.28515625" style="11" customWidth="1"/>
    <col min="32" max="32" width="11.42578125" style="11" customWidth="1"/>
    <col min="33" max="33" width="12.28515625" style="11" customWidth="1"/>
    <col min="34" max="35" width="12.85546875" style="11" bestFit="1" customWidth="1"/>
    <col min="36" max="36" width="6.7109375" style="11" customWidth="1"/>
    <col min="37" max="37" width="11.28515625" style="11" bestFit="1" customWidth="1"/>
    <col min="38" max="38" width="8" style="11" customWidth="1"/>
    <col min="39" max="39" width="14.85546875" style="11" bestFit="1" customWidth="1"/>
    <col min="40" max="16384" width="8" style="11"/>
  </cols>
  <sheetData>
    <row r="1" spans="1:39" ht="18" x14ac:dyDescent="0.25">
      <c r="A1" s="1"/>
      <c r="B1" s="1"/>
      <c r="C1" s="1"/>
      <c r="D1" s="2" t="s">
        <v>1368</v>
      </c>
      <c r="E1" s="3"/>
      <c r="F1" s="3"/>
      <c r="G1" s="3"/>
      <c r="H1" s="3"/>
      <c r="I1" s="3"/>
      <c r="J1" s="3"/>
      <c r="K1" s="4"/>
      <c r="L1" s="5"/>
      <c r="M1" s="6"/>
      <c r="N1" s="1"/>
      <c r="O1" s="1"/>
      <c r="P1" s="1"/>
      <c r="Q1" s="1"/>
      <c r="R1" s="7"/>
      <c r="S1" s="1"/>
      <c r="T1" s="1"/>
      <c r="U1" s="1"/>
      <c r="V1" s="1"/>
      <c r="W1" s="1"/>
      <c r="X1" s="1"/>
      <c r="Y1" s="1"/>
      <c r="Z1" s="1"/>
      <c r="AA1" s="1"/>
      <c r="AB1" s="1"/>
      <c r="AC1" s="1"/>
      <c r="AD1" s="8"/>
      <c r="AE1" s="9"/>
      <c r="AF1" s="8"/>
      <c r="AG1" s="1"/>
      <c r="AH1" s="1"/>
      <c r="AI1" s="8"/>
      <c r="AJ1" s="8"/>
      <c r="AK1" s="8"/>
      <c r="AL1" s="8"/>
      <c r="AM1" s="10"/>
    </row>
    <row r="2" spans="1:39" x14ac:dyDescent="0.2">
      <c r="A2" s="12"/>
      <c r="B2" s="12"/>
      <c r="C2" s="12"/>
      <c r="D2" s="13" t="s">
        <v>1369</v>
      </c>
      <c r="E2" s="13"/>
      <c r="F2" s="13"/>
      <c r="G2" s="13"/>
      <c r="H2" s="13"/>
      <c r="I2" s="13"/>
      <c r="J2" s="13"/>
      <c r="K2" s="13"/>
      <c r="L2" s="1149" t="s">
        <v>1370</v>
      </c>
      <c r="M2" s="1149"/>
      <c r="N2" s="1150" t="s">
        <v>1371</v>
      </c>
      <c r="O2" s="1150"/>
      <c r="P2" s="1150"/>
      <c r="Q2" s="1150"/>
      <c r="R2" s="1151" t="s">
        <v>1372</v>
      </c>
      <c r="S2" s="1151"/>
      <c r="T2" s="1151"/>
      <c r="U2" s="1151"/>
      <c r="V2" s="1151"/>
      <c r="W2" s="1151"/>
      <c r="X2" s="1151"/>
      <c r="Y2" s="1151"/>
      <c r="Z2" s="1151"/>
      <c r="AA2" s="1151"/>
      <c r="AB2" s="1151"/>
      <c r="AC2" s="1151"/>
      <c r="AD2" s="1151"/>
      <c r="AE2" s="1151"/>
      <c r="AF2" s="1151"/>
      <c r="AG2" s="1151"/>
      <c r="AH2" s="1151"/>
      <c r="AI2" s="1151"/>
      <c r="AJ2" s="1151"/>
      <c r="AK2" s="1151"/>
      <c r="AL2" s="1151"/>
      <c r="AM2" s="1151"/>
    </row>
    <row r="3" spans="1:39" ht="15" x14ac:dyDescent="0.25">
      <c r="A3" s="12"/>
      <c r="B3" s="12"/>
      <c r="C3" s="12"/>
      <c r="D3" s="14" t="s">
        <v>1373</v>
      </c>
      <c r="E3" s="3"/>
      <c r="F3" s="3"/>
      <c r="G3" s="3"/>
      <c r="H3" s="3"/>
      <c r="I3" s="3"/>
      <c r="J3" s="3"/>
      <c r="K3" s="4"/>
      <c r="L3" s="15"/>
      <c r="M3" s="6"/>
      <c r="N3" s="16"/>
      <c r="O3" s="16"/>
      <c r="P3" s="16"/>
      <c r="Q3" s="16"/>
      <c r="R3" s="17"/>
      <c r="S3" s="18"/>
      <c r="T3" s="18"/>
      <c r="U3" s="18"/>
      <c r="V3" s="18"/>
      <c r="W3" s="18"/>
      <c r="X3" s="18"/>
      <c r="Y3" s="18"/>
      <c r="Z3" s="18"/>
      <c r="AA3" s="18"/>
      <c r="AB3" s="18"/>
      <c r="AC3" s="18"/>
      <c r="AD3" s="8"/>
      <c r="AE3" s="19"/>
      <c r="AF3" s="19"/>
      <c r="AG3" s="12"/>
      <c r="AH3" s="12"/>
      <c r="AI3" s="20"/>
      <c r="AJ3" s="21"/>
      <c r="AK3" s="22"/>
      <c r="AL3" s="23"/>
      <c r="AM3" s="23"/>
    </row>
    <row r="4" spans="1:39" ht="13.5" thickBot="1" x14ac:dyDescent="0.25">
      <c r="A4" s="12"/>
      <c r="B4" s="12"/>
      <c r="C4" s="12"/>
      <c r="D4" s="3"/>
      <c r="E4" s="3"/>
      <c r="F4" s="3"/>
      <c r="G4" s="3"/>
      <c r="H4" s="3"/>
      <c r="I4" s="3"/>
      <c r="J4" s="3"/>
      <c r="K4" s="4"/>
      <c r="L4" s="24"/>
      <c r="M4" s="6"/>
      <c r="N4" s="16"/>
      <c r="O4" s="16"/>
      <c r="P4" s="16"/>
      <c r="Q4" s="16"/>
      <c r="R4" s="17"/>
      <c r="S4" s="18"/>
      <c r="T4" s="18"/>
      <c r="U4" s="18"/>
      <c r="V4" s="18"/>
      <c r="W4" s="18"/>
      <c r="X4" s="18"/>
      <c r="Y4" s="18"/>
      <c r="Z4" s="18"/>
      <c r="AA4" s="18"/>
      <c r="AB4" s="18"/>
      <c r="AC4" s="18"/>
      <c r="AD4" s="8"/>
      <c r="AE4" s="8"/>
      <c r="AF4" s="8"/>
      <c r="AG4" s="12"/>
      <c r="AH4" s="12"/>
      <c r="AI4" s="25"/>
      <c r="AJ4" s="26"/>
      <c r="AK4" s="27"/>
      <c r="AL4" s="28"/>
      <c r="AM4" s="29"/>
    </row>
    <row r="5" spans="1:39" ht="222.75" thickBot="1" x14ac:dyDescent="0.25">
      <c r="A5" s="30" t="s">
        <v>1374</v>
      </c>
      <c r="B5" s="30" t="s">
        <v>1375</v>
      </c>
      <c r="C5" s="30" t="s">
        <v>1376</v>
      </c>
      <c r="D5" s="31" t="s">
        <v>1377</v>
      </c>
      <c r="E5" s="31" t="s">
        <v>1378</v>
      </c>
      <c r="F5" s="31" t="s">
        <v>1379</v>
      </c>
      <c r="G5" s="31" t="s">
        <v>1380</v>
      </c>
      <c r="H5" s="31" t="s">
        <v>1381</v>
      </c>
      <c r="I5" s="31" t="s">
        <v>1382</v>
      </c>
      <c r="J5" s="31" t="s">
        <v>1383</v>
      </c>
      <c r="K5" s="32" t="s">
        <v>1384</v>
      </c>
      <c r="L5" s="33" t="s">
        <v>1385</v>
      </c>
      <c r="M5" s="34" t="s">
        <v>1386</v>
      </c>
      <c r="N5" s="35" t="s">
        <v>1387</v>
      </c>
      <c r="O5" s="35" t="s">
        <v>1388</v>
      </c>
      <c r="P5" s="35" t="s">
        <v>1389</v>
      </c>
      <c r="Q5" s="35" t="s">
        <v>1390</v>
      </c>
      <c r="R5" s="36" t="s">
        <v>1391</v>
      </c>
      <c r="S5" s="37" t="s">
        <v>1392</v>
      </c>
      <c r="T5" s="38" t="s">
        <v>1393</v>
      </c>
      <c r="U5" s="39" t="s">
        <v>1394</v>
      </c>
      <c r="V5" s="39" t="s">
        <v>1395</v>
      </c>
      <c r="W5" s="39" t="s">
        <v>1396</v>
      </c>
      <c r="X5" s="38" t="s">
        <v>1397</v>
      </c>
      <c r="Y5" s="39" t="s">
        <v>1398</v>
      </c>
      <c r="Z5" s="40" t="s">
        <v>1399</v>
      </c>
      <c r="AA5" s="41" t="s">
        <v>1400</v>
      </c>
      <c r="AB5" s="39" t="s">
        <v>1401</v>
      </c>
      <c r="AC5" s="40" t="s">
        <v>1402</v>
      </c>
      <c r="AD5" s="42" t="s">
        <v>1403</v>
      </c>
      <c r="AE5" s="43" t="s">
        <v>1404</v>
      </c>
      <c r="AF5" s="43" t="s">
        <v>1405</v>
      </c>
      <c r="AG5" s="43" t="s">
        <v>1406</v>
      </c>
      <c r="AH5" s="44" t="s">
        <v>1407</v>
      </c>
      <c r="AI5" s="45" t="s">
        <v>1408</v>
      </c>
      <c r="AJ5" s="46" t="s">
        <v>1409</v>
      </c>
      <c r="AK5" s="47" t="s">
        <v>1410</v>
      </c>
      <c r="AL5" s="28"/>
      <c r="AM5" s="29"/>
    </row>
    <row r="6" spans="1:39" ht="15" x14ac:dyDescent="0.2">
      <c r="A6" s="1"/>
      <c r="B6" s="1" t="s">
        <v>1411</v>
      </c>
      <c r="C6" s="1"/>
      <c r="D6" s="48"/>
      <c r="E6" s="3"/>
      <c r="F6" s="3"/>
      <c r="G6" s="3"/>
      <c r="H6" s="3"/>
      <c r="I6" s="3"/>
      <c r="J6" s="3"/>
      <c r="K6" s="4"/>
      <c r="L6" s="49"/>
      <c r="M6" s="6"/>
      <c r="N6" s="1"/>
      <c r="O6" s="1"/>
      <c r="P6" s="1"/>
      <c r="Q6" s="1"/>
      <c r="R6" s="7"/>
      <c r="S6" s="1"/>
      <c r="T6" s="1"/>
      <c r="U6" s="1"/>
      <c r="V6" s="1"/>
      <c r="W6" s="1"/>
      <c r="X6" s="50"/>
      <c r="Y6" s="50"/>
      <c r="Z6" s="50"/>
      <c r="AA6" s="1"/>
      <c r="AB6" s="1"/>
      <c r="AC6" s="1"/>
      <c r="AD6" s="51"/>
      <c r="AE6" s="52"/>
      <c r="AF6" s="51"/>
      <c r="AG6" s="1"/>
      <c r="AH6" s="1"/>
      <c r="AI6" s="51"/>
      <c r="AJ6" s="53"/>
      <c r="AK6" s="54"/>
      <c r="AL6" s="55"/>
      <c r="AM6" s="29"/>
    </row>
    <row r="7" spans="1:39" x14ac:dyDescent="0.2">
      <c r="A7" s="1" t="s">
        <v>1412</v>
      </c>
      <c r="B7" s="1"/>
      <c r="C7" s="1">
        <v>110</v>
      </c>
      <c r="D7" s="3" t="s">
        <v>1413</v>
      </c>
      <c r="E7" s="3" t="s">
        <v>1414</v>
      </c>
      <c r="F7" s="3" t="s">
        <v>1415</v>
      </c>
      <c r="G7" s="3" t="s">
        <v>1412</v>
      </c>
      <c r="H7" s="3">
        <v>1993</v>
      </c>
      <c r="I7" s="3"/>
      <c r="J7" s="3" t="s">
        <v>1416</v>
      </c>
      <c r="K7" s="4" t="s">
        <v>1417</v>
      </c>
      <c r="L7" s="56" t="s">
        <v>1418</v>
      </c>
      <c r="M7" s="6">
        <v>80</v>
      </c>
      <c r="N7" s="57">
        <v>0.73899999999999999</v>
      </c>
      <c r="O7" s="57">
        <v>0.75</v>
      </c>
      <c r="P7" s="57">
        <v>0.67500000000000004</v>
      </c>
      <c r="Q7" s="57">
        <v>0.71</v>
      </c>
      <c r="R7" s="7">
        <v>746273</v>
      </c>
      <c r="S7" s="7">
        <v>636535</v>
      </c>
      <c r="T7" s="7">
        <f>IF(J7="regional",IF(R7&gt;0,R7*0.2975,S7*0.3484),S7*0.1939)</f>
        <v>222016.2175</v>
      </c>
      <c r="U7" s="7">
        <v>426315</v>
      </c>
      <c r="V7" s="7">
        <f t="shared" ref="V7:V13" si="0">S7-U7</f>
        <v>210220</v>
      </c>
      <c r="W7" s="7">
        <v>3017</v>
      </c>
      <c r="X7" s="58">
        <f t="shared" ref="X7:X13" si="1">Y7+Z7</f>
        <v>0</v>
      </c>
      <c r="Y7" s="25">
        <f t="shared" ref="Y7:Y13" si="2">IF(B7="y",T7,0)</f>
        <v>0</v>
      </c>
      <c r="Z7" s="20"/>
      <c r="AA7" s="7">
        <f t="shared" ref="AA7:AA13" si="3">AB7+AC7</f>
        <v>858551.21750000003</v>
      </c>
      <c r="AB7" s="7">
        <f t="shared" ref="AB7:AB13" si="4">IF(B7="y",0,T7)</f>
        <v>222016.2175</v>
      </c>
      <c r="AC7" s="7">
        <f t="shared" ref="AC7:AC13" si="5">S7-Z7</f>
        <v>636535</v>
      </c>
      <c r="AD7" s="59">
        <f>IF($K7="y",Z7,0)</f>
        <v>0</v>
      </c>
      <c r="AE7" s="59">
        <f>IF($K7="",Z7,0)</f>
        <v>0</v>
      </c>
      <c r="AF7" s="60">
        <f t="shared" ref="AF7:AF13" si="6">IF($K7="y",AC7,0)</f>
        <v>0</v>
      </c>
      <c r="AG7" s="60">
        <f t="shared" ref="AG7:AG13" si="7">IF($K7="",AC7,0)+IF($K7="n",AC7,0)</f>
        <v>636535</v>
      </c>
      <c r="AH7" s="7">
        <v>0</v>
      </c>
      <c r="AI7" s="7">
        <v>0</v>
      </c>
      <c r="AJ7" s="11" t="s">
        <v>1419</v>
      </c>
      <c r="AK7" s="61">
        <v>438309</v>
      </c>
      <c r="AL7" s="28"/>
      <c r="AM7" s="22">
        <f>SUM(AK7:AK119)</f>
        <v>31858855.180000003</v>
      </c>
    </row>
    <row r="8" spans="1:39" x14ac:dyDescent="0.2">
      <c r="A8" s="1" t="s">
        <v>1412</v>
      </c>
      <c r="B8" s="1" t="s">
        <v>1412</v>
      </c>
      <c r="C8" s="1">
        <v>328</v>
      </c>
      <c r="D8" s="62" t="s">
        <v>1420</v>
      </c>
      <c r="E8" s="3" t="s">
        <v>1421</v>
      </c>
      <c r="F8" s="3" t="s">
        <v>1422</v>
      </c>
      <c r="G8" s="3" t="s">
        <v>1412</v>
      </c>
      <c r="H8" s="3">
        <v>1974</v>
      </c>
      <c r="I8" s="3"/>
      <c r="J8" s="3" t="s">
        <v>1416</v>
      </c>
      <c r="K8" s="4" t="s">
        <v>1412</v>
      </c>
      <c r="L8" s="56" t="s">
        <v>1423</v>
      </c>
      <c r="M8" s="6">
        <v>64</v>
      </c>
      <c r="N8" s="57">
        <v>0.73499999999999999</v>
      </c>
      <c r="O8" s="57">
        <v>0.754</v>
      </c>
      <c r="P8" s="57">
        <v>0.68</v>
      </c>
      <c r="Q8" s="57">
        <v>0.70399999999999996</v>
      </c>
      <c r="R8" s="7">
        <v>628918</v>
      </c>
      <c r="S8" s="7">
        <v>550024</v>
      </c>
      <c r="T8" s="7">
        <f t="shared" ref="T8:T13" si="8">IF(J8="regional",IF(R8&gt;0,R8*0.2975,S8*0.3484),S8*0.1939)</f>
        <v>187103.10499999998</v>
      </c>
      <c r="U8" s="7">
        <v>332773</v>
      </c>
      <c r="V8" s="7">
        <f t="shared" si="0"/>
        <v>217251</v>
      </c>
      <c r="W8" s="7">
        <v>3242</v>
      </c>
      <c r="X8" s="58">
        <f t="shared" si="1"/>
        <v>463946.10499999998</v>
      </c>
      <c r="Y8" s="25">
        <f t="shared" si="2"/>
        <v>187103.10499999998</v>
      </c>
      <c r="Z8" s="25">
        <v>276843</v>
      </c>
      <c r="AA8" s="7">
        <f t="shared" si="3"/>
        <v>273181</v>
      </c>
      <c r="AB8" s="7">
        <f t="shared" si="4"/>
        <v>0</v>
      </c>
      <c r="AC8" s="7">
        <f t="shared" si="5"/>
        <v>273181</v>
      </c>
      <c r="AD8" s="59">
        <f t="shared" ref="AD8:AD13" si="9">IF(K8="y",Z8,0)</f>
        <v>276843</v>
      </c>
      <c r="AE8" s="59">
        <f t="shared" ref="AE8:AE13" si="10">IF($K8="",Z8,0)+IF($K8="n",Z8,0)</f>
        <v>0</v>
      </c>
      <c r="AF8" s="60">
        <f t="shared" si="6"/>
        <v>273181</v>
      </c>
      <c r="AG8" s="60">
        <f t="shared" si="7"/>
        <v>0</v>
      </c>
      <c r="AH8" s="7">
        <v>189000</v>
      </c>
      <c r="AI8" s="7">
        <v>222000</v>
      </c>
      <c r="AJ8" s="11" t="s">
        <v>1419</v>
      </c>
      <c r="AK8" s="61">
        <v>518920</v>
      </c>
      <c r="AL8" s="28"/>
      <c r="AM8" s="22">
        <f>SUM(S7:S119)</f>
        <v>66741024</v>
      </c>
    </row>
    <row r="9" spans="1:39" x14ac:dyDescent="0.2">
      <c r="A9" s="1" t="s">
        <v>1412</v>
      </c>
      <c r="B9" s="1" t="s">
        <v>1412</v>
      </c>
      <c r="C9" s="1">
        <v>124</v>
      </c>
      <c r="D9" s="62" t="s">
        <v>1424</v>
      </c>
      <c r="E9" s="3" t="s">
        <v>1507</v>
      </c>
      <c r="F9" s="3" t="s">
        <v>1508</v>
      </c>
      <c r="G9" s="3" t="s">
        <v>1412</v>
      </c>
      <c r="H9" s="3">
        <v>1972</v>
      </c>
      <c r="I9" s="3"/>
      <c r="J9" s="3" t="s">
        <v>1416</v>
      </c>
      <c r="K9" s="4" t="s">
        <v>1412</v>
      </c>
      <c r="L9" s="56" t="s">
        <v>1509</v>
      </c>
      <c r="M9" s="6">
        <v>107</v>
      </c>
      <c r="N9" s="57">
        <v>0.93500000000000005</v>
      </c>
      <c r="O9" s="57">
        <v>0.93400000000000005</v>
      </c>
      <c r="P9" s="57">
        <v>0.747</v>
      </c>
      <c r="Q9" s="57">
        <v>0.84299999999999997</v>
      </c>
      <c r="R9" s="7">
        <v>739600</v>
      </c>
      <c r="S9" s="7">
        <v>632411</v>
      </c>
      <c r="T9" s="7">
        <f t="shared" si="8"/>
        <v>220031</v>
      </c>
      <c r="U9" s="7">
        <v>404394</v>
      </c>
      <c r="V9" s="7">
        <f t="shared" si="0"/>
        <v>228017</v>
      </c>
      <c r="W9" s="7">
        <v>3500</v>
      </c>
      <c r="X9" s="58">
        <f t="shared" si="1"/>
        <v>562840</v>
      </c>
      <c r="Y9" s="25">
        <f t="shared" si="2"/>
        <v>220031</v>
      </c>
      <c r="Z9" s="25">
        <v>342809</v>
      </c>
      <c r="AA9" s="7">
        <f t="shared" si="3"/>
        <v>289602</v>
      </c>
      <c r="AB9" s="7">
        <f t="shared" si="4"/>
        <v>0</v>
      </c>
      <c r="AC9" s="7">
        <f t="shared" si="5"/>
        <v>289602</v>
      </c>
      <c r="AD9" s="59">
        <f t="shared" si="9"/>
        <v>342809</v>
      </c>
      <c r="AE9" s="59">
        <f t="shared" si="10"/>
        <v>0</v>
      </c>
      <c r="AF9" s="60">
        <f t="shared" si="6"/>
        <v>289602</v>
      </c>
      <c r="AG9" s="60">
        <f t="shared" si="7"/>
        <v>0</v>
      </c>
      <c r="AH9" s="7">
        <v>301000</v>
      </c>
      <c r="AI9" s="7">
        <v>239000</v>
      </c>
      <c r="AJ9" s="11" t="s">
        <v>1419</v>
      </c>
      <c r="AK9" s="61">
        <v>539329</v>
      </c>
      <c r="AL9" s="28"/>
      <c r="AM9" s="29"/>
    </row>
    <row r="10" spans="1:39" x14ac:dyDescent="0.2">
      <c r="A10" s="1" t="s">
        <v>1412</v>
      </c>
      <c r="B10" s="1"/>
      <c r="C10" s="1">
        <v>3</v>
      </c>
      <c r="D10" s="63" t="s">
        <v>1510</v>
      </c>
      <c r="E10" s="63" t="s">
        <v>1511</v>
      </c>
      <c r="F10" s="3" t="s">
        <v>1422</v>
      </c>
      <c r="G10" s="3" t="s">
        <v>1417</v>
      </c>
      <c r="H10" s="3"/>
      <c r="I10" s="3"/>
      <c r="J10" s="3" t="s">
        <v>1512</v>
      </c>
      <c r="K10" s="4"/>
      <c r="L10" s="56" t="s">
        <v>1513</v>
      </c>
      <c r="M10" s="6"/>
      <c r="R10" s="7"/>
      <c r="S10" s="7">
        <v>510000</v>
      </c>
      <c r="T10" s="7">
        <f t="shared" si="8"/>
        <v>98889</v>
      </c>
      <c r="U10" s="7"/>
      <c r="V10" s="7">
        <f t="shared" si="0"/>
        <v>510000</v>
      </c>
      <c r="W10" s="7"/>
      <c r="X10" s="58">
        <f t="shared" si="1"/>
        <v>0</v>
      </c>
      <c r="Y10" s="25">
        <f t="shared" si="2"/>
        <v>0</v>
      </c>
      <c r="Z10" s="25"/>
      <c r="AA10" s="7">
        <f t="shared" si="3"/>
        <v>608889</v>
      </c>
      <c r="AB10" s="7">
        <f t="shared" si="4"/>
        <v>98889</v>
      </c>
      <c r="AC10" s="7">
        <f t="shared" si="5"/>
        <v>510000</v>
      </c>
      <c r="AD10" s="59">
        <f t="shared" si="9"/>
        <v>0</v>
      </c>
      <c r="AE10" s="59">
        <f t="shared" si="10"/>
        <v>0</v>
      </c>
      <c r="AF10" s="60">
        <f t="shared" si="6"/>
        <v>0</v>
      </c>
      <c r="AG10" s="60">
        <f t="shared" si="7"/>
        <v>510000</v>
      </c>
      <c r="AH10" s="7">
        <v>0</v>
      </c>
      <c r="AI10" s="7">
        <v>0</v>
      </c>
      <c r="AJ10" s="63"/>
      <c r="AK10" s="63"/>
      <c r="AL10" s="28"/>
      <c r="AM10" s="29"/>
    </row>
    <row r="11" spans="1:39" x14ac:dyDescent="0.2">
      <c r="A11" s="1" t="s">
        <v>1412</v>
      </c>
      <c r="B11" s="1"/>
      <c r="C11" s="1">
        <v>140</v>
      </c>
      <c r="D11" s="3" t="s">
        <v>1514</v>
      </c>
      <c r="E11" s="3" t="s">
        <v>1515</v>
      </c>
      <c r="F11" s="3" t="s">
        <v>1516</v>
      </c>
      <c r="G11" s="3" t="s">
        <v>1412</v>
      </c>
      <c r="H11" s="3">
        <v>1966</v>
      </c>
      <c r="I11" s="3"/>
      <c r="J11" s="3" t="s">
        <v>1512</v>
      </c>
      <c r="K11" s="4" t="s">
        <v>1417</v>
      </c>
      <c r="L11" s="56" t="s">
        <v>1517</v>
      </c>
      <c r="M11" s="6">
        <v>5</v>
      </c>
      <c r="N11" s="57">
        <v>1</v>
      </c>
      <c r="O11" s="57">
        <v>1</v>
      </c>
      <c r="P11" s="57">
        <v>0.747</v>
      </c>
      <c r="Q11" s="57">
        <v>0.84299999999999997</v>
      </c>
      <c r="R11" s="7"/>
      <c r="S11" s="7">
        <v>90874</v>
      </c>
      <c r="T11" s="7">
        <f t="shared" si="8"/>
        <v>17620.4686</v>
      </c>
      <c r="U11" s="7">
        <v>81047</v>
      </c>
      <c r="V11" s="7">
        <f t="shared" si="0"/>
        <v>9827</v>
      </c>
      <c r="W11" s="7">
        <v>488</v>
      </c>
      <c r="X11" s="58">
        <f t="shared" si="1"/>
        <v>0</v>
      </c>
      <c r="Y11" s="25">
        <f t="shared" si="2"/>
        <v>0</v>
      </c>
      <c r="Z11" s="25"/>
      <c r="AA11" s="7">
        <f t="shared" si="3"/>
        <v>108494.46859999999</v>
      </c>
      <c r="AB11" s="7">
        <f t="shared" si="4"/>
        <v>17620.4686</v>
      </c>
      <c r="AC11" s="7">
        <f t="shared" si="5"/>
        <v>90874</v>
      </c>
      <c r="AD11" s="59">
        <f t="shared" si="9"/>
        <v>0</v>
      </c>
      <c r="AE11" s="59">
        <f t="shared" si="10"/>
        <v>0</v>
      </c>
      <c r="AF11" s="60">
        <f t="shared" si="6"/>
        <v>0</v>
      </c>
      <c r="AG11" s="60">
        <f t="shared" si="7"/>
        <v>90874</v>
      </c>
      <c r="AH11" s="7">
        <v>0</v>
      </c>
      <c r="AI11" s="7">
        <v>0</v>
      </c>
      <c r="AK11" s="3"/>
      <c r="AL11" s="28"/>
      <c r="AM11" s="29"/>
    </row>
    <row r="12" spans="1:39" x14ac:dyDescent="0.2">
      <c r="A12" s="1" t="s">
        <v>1412</v>
      </c>
      <c r="B12" s="1"/>
      <c r="C12" s="1">
        <v>4820</v>
      </c>
      <c r="D12" s="63" t="s">
        <v>1518</v>
      </c>
      <c r="E12" s="63" t="s">
        <v>1519</v>
      </c>
      <c r="F12" s="3" t="s">
        <v>1516</v>
      </c>
      <c r="G12" s="3" t="s">
        <v>1412</v>
      </c>
      <c r="H12" s="3">
        <v>1975</v>
      </c>
      <c r="I12" s="3"/>
      <c r="J12" s="3" t="s">
        <v>1416</v>
      </c>
      <c r="K12" s="4" t="s">
        <v>1417</v>
      </c>
      <c r="L12" s="56" t="s">
        <v>1517</v>
      </c>
      <c r="M12" s="6">
        <v>130</v>
      </c>
      <c r="N12" s="57">
        <v>0.67400000000000004</v>
      </c>
      <c r="O12" s="57">
        <v>0.69199999999999995</v>
      </c>
      <c r="P12" s="57">
        <v>0.92500000000000004</v>
      </c>
      <c r="Q12" s="57">
        <v>0.95199999999999996</v>
      </c>
      <c r="R12" s="7">
        <v>501572</v>
      </c>
      <c r="S12" s="7">
        <v>950000</v>
      </c>
      <c r="T12" s="7">
        <f t="shared" si="8"/>
        <v>149217.66999999998</v>
      </c>
      <c r="U12" s="7">
        <v>501572</v>
      </c>
      <c r="V12" s="7">
        <f t="shared" si="0"/>
        <v>448428</v>
      </c>
      <c r="W12" s="7">
        <v>5500</v>
      </c>
      <c r="X12" s="58">
        <f t="shared" si="1"/>
        <v>0</v>
      </c>
      <c r="Y12" s="25">
        <f t="shared" si="2"/>
        <v>0</v>
      </c>
      <c r="Z12" s="25"/>
      <c r="AA12" s="7">
        <f t="shared" si="3"/>
        <v>1099217.67</v>
      </c>
      <c r="AB12" s="7">
        <f t="shared" si="4"/>
        <v>149217.66999999998</v>
      </c>
      <c r="AC12" s="7">
        <f t="shared" si="5"/>
        <v>950000</v>
      </c>
      <c r="AD12" s="59">
        <f t="shared" si="9"/>
        <v>0</v>
      </c>
      <c r="AE12" s="59">
        <f t="shared" si="10"/>
        <v>0</v>
      </c>
      <c r="AF12" s="60">
        <f t="shared" si="6"/>
        <v>0</v>
      </c>
      <c r="AG12" s="60">
        <f t="shared" si="7"/>
        <v>950000</v>
      </c>
      <c r="AH12" s="7">
        <v>0</v>
      </c>
      <c r="AI12" s="7">
        <v>0</v>
      </c>
      <c r="AJ12" s="11" t="s">
        <v>1520</v>
      </c>
      <c r="AK12" s="61">
        <v>3062.65</v>
      </c>
      <c r="AL12" s="28"/>
      <c r="AM12" s="29"/>
    </row>
    <row r="13" spans="1:39" x14ac:dyDescent="0.2">
      <c r="A13" s="1" t="s">
        <v>1412</v>
      </c>
      <c r="B13" s="1"/>
      <c r="C13" s="1">
        <v>3116</v>
      </c>
      <c r="D13" s="3" t="s">
        <v>1521</v>
      </c>
      <c r="E13" s="3" t="s">
        <v>1519</v>
      </c>
      <c r="F13" s="3" t="s">
        <v>1516</v>
      </c>
      <c r="G13" s="3" t="s">
        <v>1412</v>
      </c>
      <c r="H13" s="3">
        <v>1965</v>
      </c>
      <c r="I13" s="3"/>
      <c r="J13" s="3" t="s">
        <v>1512</v>
      </c>
      <c r="K13" s="4" t="s">
        <v>1417</v>
      </c>
      <c r="L13" s="56" t="s">
        <v>1517</v>
      </c>
      <c r="M13" s="6">
        <v>22</v>
      </c>
      <c r="N13" s="57">
        <v>0.96</v>
      </c>
      <c r="O13" s="57">
        <v>0.96</v>
      </c>
      <c r="P13" s="57">
        <v>0.96</v>
      </c>
      <c r="Q13" s="57">
        <v>0.96699999999999997</v>
      </c>
      <c r="R13" s="7"/>
      <c r="S13" s="7">
        <v>124309</v>
      </c>
      <c r="T13" s="7">
        <f t="shared" si="8"/>
        <v>24103.515099999997</v>
      </c>
      <c r="U13" s="7">
        <v>81319</v>
      </c>
      <c r="V13" s="7">
        <f t="shared" si="0"/>
        <v>42990</v>
      </c>
      <c r="W13" s="7">
        <v>1102</v>
      </c>
      <c r="X13" s="58">
        <f t="shared" si="1"/>
        <v>0</v>
      </c>
      <c r="Y13" s="25">
        <f t="shared" si="2"/>
        <v>0</v>
      </c>
      <c r="Z13" s="25"/>
      <c r="AA13" s="7">
        <f t="shared" si="3"/>
        <v>148412.51509999999</v>
      </c>
      <c r="AB13" s="7">
        <f t="shared" si="4"/>
        <v>24103.515099999997</v>
      </c>
      <c r="AC13" s="7">
        <f t="shared" si="5"/>
        <v>124309</v>
      </c>
      <c r="AD13" s="59">
        <f t="shared" si="9"/>
        <v>0</v>
      </c>
      <c r="AE13" s="59">
        <f t="shared" si="10"/>
        <v>0</v>
      </c>
      <c r="AF13" s="60">
        <f t="shared" si="6"/>
        <v>0</v>
      </c>
      <c r="AG13" s="60">
        <f t="shared" si="7"/>
        <v>124309</v>
      </c>
      <c r="AH13" s="7">
        <v>0</v>
      </c>
      <c r="AI13" s="7">
        <v>0</v>
      </c>
      <c r="AJ13" s="3"/>
      <c r="AK13" s="3"/>
      <c r="AL13" s="55"/>
      <c r="AM13" s="29"/>
    </row>
    <row r="14" spans="1:39" x14ac:dyDescent="0.2">
      <c r="A14" s="1" t="s">
        <v>1412</v>
      </c>
      <c r="B14" s="1"/>
      <c r="C14" s="1">
        <v>8086</v>
      </c>
      <c r="D14" s="3" t="s">
        <v>1522</v>
      </c>
      <c r="E14" s="3"/>
      <c r="F14" s="3"/>
      <c r="G14" s="3" t="s">
        <v>1417</v>
      </c>
      <c r="H14" s="3"/>
      <c r="I14" s="3"/>
      <c r="J14" s="3"/>
      <c r="K14" s="4"/>
      <c r="L14" s="56"/>
      <c r="M14" s="6"/>
      <c r="N14" s="57"/>
      <c r="O14" s="57"/>
      <c r="P14" s="57"/>
      <c r="Q14" s="57"/>
      <c r="R14" s="7"/>
      <c r="S14" s="7"/>
      <c r="T14" s="7"/>
      <c r="U14" s="7"/>
      <c r="V14" s="7"/>
      <c r="W14" s="7"/>
      <c r="X14" s="58"/>
      <c r="Y14" s="25"/>
      <c r="Z14" s="25"/>
      <c r="AA14" s="7"/>
      <c r="AB14" s="7"/>
      <c r="AC14" s="7"/>
      <c r="AD14" s="59"/>
      <c r="AE14" s="59"/>
      <c r="AF14" s="60"/>
      <c r="AG14" s="60"/>
      <c r="AH14" s="7">
        <v>0</v>
      </c>
      <c r="AI14" s="7">
        <v>0</v>
      </c>
      <c r="AJ14" s="3"/>
      <c r="AK14" s="3"/>
      <c r="AL14" s="55"/>
      <c r="AM14" s="29"/>
    </row>
    <row r="15" spans="1:39" x14ac:dyDescent="0.2">
      <c r="A15" s="1" t="s">
        <v>1412</v>
      </c>
      <c r="B15" s="1" t="s">
        <v>1412</v>
      </c>
      <c r="C15" s="1">
        <v>9087</v>
      </c>
      <c r="D15" s="62" t="s">
        <v>1523</v>
      </c>
      <c r="E15" s="3" t="s">
        <v>1524</v>
      </c>
      <c r="F15" s="3" t="s">
        <v>1525</v>
      </c>
      <c r="G15" s="3" t="s">
        <v>1417</v>
      </c>
      <c r="H15" s="3">
        <v>1990</v>
      </c>
      <c r="I15" s="3"/>
      <c r="J15" s="3" t="s">
        <v>1416</v>
      </c>
      <c r="K15" s="4" t="s">
        <v>1412</v>
      </c>
      <c r="L15" s="56" t="s">
        <v>1526</v>
      </c>
      <c r="M15" s="6">
        <v>141</v>
      </c>
      <c r="N15" s="57">
        <v>0.98599999999999999</v>
      </c>
      <c r="O15" s="57">
        <v>0.98599999999999999</v>
      </c>
      <c r="P15" s="57">
        <v>0.95599999999999996</v>
      </c>
      <c r="Q15" s="57">
        <v>0.83499999999999996</v>
      </c>
      <c r="R15" s="7">
        <v>1385850</v>
      </c>
      <c r="S15" s="7">
        <v>1109951</v>
      </c>
      <c r="T15" s="7">
        <f t="shared" ref="T15:T51" si="11">IF(J15="regional",IF(R15&gt;0,R15*0.2975,S15*0.3484),S15*0.1939)</f>
        <v>412290.375</v>
      </c>
      <c r="U15" s="7">
        <v>754956</v>
      </c>
      <c r="V15" s="7">
        <f t="shared" ref="V15:V51" si="12">S15-U15</f>
        <v>354995</v>
      </c>
      <c r="W15" s="7">
        <v>4602</v>
      </c>
      <c r="X15" s="58">
        <f t="shared" ref="X15:X51" si="13">Y15+Z15</f>
        <v>900326.375</v>
      </c>
      <c r="Y15" s="25">
        <f t="shared" ref="Y15:Y51" si="14">IF(B15="y",T15,0)</f>
        <v>412290.375</v>
      </c>
      <c r="Z15" s="25">
        <v>488036</v>
      </c>
      <c r="AA15" s="7">
        <f t="shared" ref="AA15:AA51" si="15">AB15+AC15</f>
        <v>621915</v>
      </c>
      <c r="AB15" s="7">
        <f t="shared" ref="AB15:AB51" si="16">IF(B15="y",0,T15)</f>
        <v>0</v>
      </c>
      <c r="AC15" s="7">
        <f t="shared" ref="AC15:AC51" si="17">S15-Z15</f>
        <v>621915</v>
      </c>
      <c r="AD15" s="59">
        <f t="shared" ref="AD15:AD51" si="18">IF(K15="y",Z15,0)</f>
        <v>488036</v>
      </c>
      <c r="AE15" s="59">
        <f t="shared" ref="AE15:AE51" si="19">IF($K15="",Z15,0)+IF($K15="n",Z15,0)</f>
        <v>0</v>
      </c>
      <c r="AF15" s="60">
        <f t="shared" ref="AF15:AF51" si="20">IF($K15="y",AC15,0)</f>
        <v>621915</v>
      </c>
      <c r="AG15" s="60">
        <f t="shared" ref="AG15:AG51" si="21">IF($K15="",AC15,0)+IF($K15="n",AC15,0)</f>
        <v>0</v>
      </c>
      <c r="AH15" s="7">
        <v>660000</v>
      </c>
      <c r="AI15" s="7">
        <v>449000</v>
      </c>
      <c r="AJ15" s="11" t="s">
        <v>1419</v>
      </c>
      <c r="AK15" s="61">
        <v>1178969</v>
      </c>
      <c r="AL15" s="28"/>
      <c r="AM15" s="29"/>
    </row>
    <row r="16" spans="1:39" x14ac:dyDescent="0.2">
      <c r="A16" s="1" t="s">
        <v>1412</v>
      </c>
      <c r="B16" s="1" t="s">
        <v>1412</v>
      </c>
      <c r="C16" s="1">
        <v>145</v>
      </c>
      <c r="D16" s="62" t="s">
        <v>1527</v>
      </c>
      <c r="E16" s="3" t="s">
        <v>1511</v>
      </c>
      <c r="F16" s="3" t="s">
        <v>1422</v>
      </c>
      <c r="G16" s="3" t="s">
        <v>1412</v>
      </c>
      <c r="H16" s="3">
        <v>1981</v>
      </c>
      <c r="I16" s="3"/>
      <c r="J16" s="3" t="s">
        <v>1416</v>
      </c>
      <c r="K16" s="4" t="s">
        <v>1412</v>
      </c>
      <c r="L16" s="56" t="s">
        <v>1528</v>
      </c>
      <c r="M16" s="6">
        <v>184</v>
      </c>
      <c r="N16" s="57">
        <v>0.95099999999999996</v>
      </c>
      <c r="O16" s="57">
        <v>0.95399999999999996</v>
      </c>
      <c r="P16" s="57">
        <v>0.86299999999999999</v>
      </c>
      <c r="Q16" s="57">
        <v>0.92100000000000004</v>
      </c>
      <c r="R16" s="7">
        <v>1645545</v>
      </c>
      <c r="S16" s="7">
        <v>1365952</v>
      </c>
      <c r="T16" s="7">
        <f t="shared" si="11"/>
        <v>489549.63749999995</v>
      </c>
      <c r="U16" s="7">
        <v>932372</v>
      </c>
      <c r="V16" s="7">
        <f t="shared" si="12"/>
        <v>433580</v>
      </c>
      <c r="W16" s="7">
        <v>5600</v>
      </c>
      <c r="X16" s="58">
        <f t="shared" si="13"/>
        <v>1128135.6375</v>
      </c>
      <c r="Y16" s="25">
        <f t="shared" si="14"/>
        <v>489549.63749999995</v>
      </c>
      <c r="Z16" s="25">
        <v>638586</v>
      </c>
      <c r="AA16" s="7">
        <f t="shared" si="15"/>
        <v>727366</v>
      </c>
      <c r="AB16" s="7">
        <f t="shared" si="16"/>
        <v>0</v>
      </c>
      <c r="AC16" s="7">
        <f t="shared" si="17"/>
        <v>727366</v>
      </c>
      <c r="AD16" s="59">
        <f t="shared" si="18"/>
        <v>638586</v>
      </c>
      <c r="AE16" s="59">
        <f t="shared" si="19"/>
        <v>0</v>
      </c>
      <c r="AF16" s="60">
        <f t="shared" si="20"/>
        <v>727366</v>
      </c>
      <c r="AG16" s="60">
        <f t="shared" si="21"/>
        <v>0</v>
      </c>
      <c r="AH16" s="7">
        <v>849000</v>
      </c>
      <c r="AI16" s="7">
        <v>769000</v>
      </c>
      <c r="AJ16" s="11" t="s">
        <v>1419</v>
      </c>
      <c r="AK16" s="61">
        <v>1074815.56</v>
      </c>
      <c r="AL16" s="55"/>
      <c r="AM16" s="29"/>
    </row>
    <row r="17" spans="1:39" x14ac:dyDescent="0.2">
      <c r="A17" s="1" t="s">
        <v>1412</v>
      </c>
      <c r="B17" s="1"/>
      <c r="C17" s="1">
        <v>302</v>
      </c>
      <c r="D17" s="3" t="s">
        <v>1529</v>
      </c>
      <c r="E17" s="3" t="s">
        <v>1530</v>
      </c>
      <c r="F17" s="3" t="s">
        <v>1531</v>
      </c>
      <c r="G17" s="3" t="s">
        <v>1412</v>
      </c>
      <c r="H17" s="3">
        <v>1970</v>
      </c>
      <c r="I17" s="3"/>
      <c r="J17" s="3" t="s">
        <v>1416</v>
      </c>
      <c r="K17" s="4" t="s">
        <v>1412</v>
      </c>
      <c r="L17" s="56" t="s">
        <v>1532</v>
      </c>
      <c r="M17" s="6">
        <v>154</v>
      </c>
      <c r="N17" s="57">
        <v>0.95099999999999996</v>
      </c>
      <c r="O17" s="57">
        <v>0.96</v>
      </c>
      <c r="P17" s="57">
        <v>0.90800000000000003</v>
      </c>
      <c r="Q17" s="57">
        <v>0.88600000000000001</v>
      </c>
      <c r="R17" s="7">
        <v>1310195</v>
      </c>
      <c r="S17" s="7">
        <v>1120620</v>
      </c>
      <c r="T17" s="7">
        <f t="shared" si="11"/>
        <v>389783.01249999995</v>
      </c>
      <c r="U17" s="7">
        <v>738683</v>
      </c>
      <c r="V17" s="7">
        <f t="shared" si="12"/>
        <v>381937</v>
      </c>
      <c r="W17" s="7">
        <v>5768</v>
      </c>
      <c r="X17" s="58">
        <f t="shared" si="13"/>
        <v>0</v>
      </c>
      <c r="Y17" s="25">
        <f t="shared" si="14"/>
        <v>0</v>
      </c>
      <c r="Z17" s="25"/>
      <c r="AA17" s="7">
        <f t="shared" si="15"/>
        <v>1510403.0125</v>
      </c>
      <c r="AB17" s="7">
        <f t="shared" si="16"/>
        <v>389783.01249999995</v>
      </c>
      <c r="AC17" s="7">
        <f t="shared" si="17"/>
        <v>1120620</v>
      </c>
      <c r="AD17" s="59">
        <f t="shared" si="18"/>
        <v>0</v>
      </c>
      <c r="AE17" s="59">
        <f t="shared" si="19"/>
        <v>0</v>
      </c>
      <c r="AF17" s="60">
        <f t="shared" si="20"/>
        <v>1120620</v>
      </c>
      <c r="AG17" s="60">
        <f t="shared" si="21"/>
        <v>0</v>
      </c>
      <c r="AH17" s="7">
        <v>714000</v>
      </c>
      <c r="AI17" s="7">
        <v>605000</v>
      </c>
      <c r="AJ17" s="11" t="s">
        <v>1520</v>
      </c>
      <c r="AK17" s="61">
        <v>325422</v>
      </c>
      <c r="AL17" s="28"/>
      <c r="AM17" s="29"/>
    </row>
    <row r="18" spans="1:39" x14ac:dyDescent="0.2">
      <c r="A18" s="1" t="s">
        <v>1412</v>
      </c>
      <c r="B18" s="1"/>
      <c r="C18" s="1">
        <v>8099</v>
      </c>
      <c r="D18" s="3" t="s">
        <v>1533</v>
      </c>
      <c r="E18" s="3" t="s">
        <v>1534</v>
      </c>
      <c r="F18" s="3" t="s">
        <v>1535</v>
      </c>
      <c r="G18" s="3" t="s">
        <v>1412</v>
      </c>
      <c r="H18" s="3">
        <v>1980</v>
      </c>
      <c r="I18" s="3"/>
      <c r="J18" s="3" t="s">
        <v>1416</v>
      </c>
      <c r="K18" s="4" t="s">
        <v>1417</v>
      </c>
      <c r="L18" s="56" t="s">
        <v>1536</v>
      </c>
      <c r="M18" s="6">
        <v>74</v>
      </c>
      <c r="N18" s="57">
        <v>0.83399999999999996</v>
      </c>
      <c r="O18" s="57">
        <v>0.88800000000000001</v>
      </c>
      <c r="P18" s="57">
        <v>0.877</v>
      </c>
      <c r="Q18" s="57">
        <v>0.85499999999999998</v>
      </c>
      <c r="R18" s="7">
        <v>664194</v>
      </c>
      <c r="S18" s="7">
        <v>642207</v>
      </c>
      <c r="T18" s="7">
        <f t="shared" si="11"/>
        <v>197597.715</v>
      </c>
      <c r="U18" s="7">
        <v>445150</v>
      </c>
      <c r="V18" s="7">
        <f t="shared" si="12"/>
        <v>197057</v>
      </c>
      <c r="W18" s="7">
        <v>3589</v>
      </c>
      <c r="X18" s="58">
        <f t="shared" si="13"/>
        <v>0</v>
      </c>
      <c r="Y18" s="25">
        <f t="shared" si="14"/>
        <v>0</v>
      </c>
      <c r="Z18" s="25"/>
      <c r="AA18" s="7">
        <f t="shared" si="15"/>
        <v>839804.71499999997</v>
      </c>
      <c r="AB18" s="7">
        <f t="shared" si="16"/>
        <v>197597.715</v>
      </c>
      <c r="AC18" s="7">
        <f t="shared" si="17"/>
        <v>642207</v>
      </c>
      <c r="AD18" s="59">
        <f t="shared" si="18"/>
        <v>0</v>
      </c>
      <c r="AE18" s="59">
        <f t="shared" si="19"/>
        <v>0</v>
      </c>
      <c r="AF18" s="60">
        <f t="shared" si="20"/>
        <v>0</v>
      </c>
      <c r="AG18" s="60">
        <f t="shared" si="21"/>
        <v>642207</v>
      </c>
      <c r="AH18" s="7">
        <v>0</v>
      </c>
      <c r="AI18" s="7">
        <v>0</v>
      </c>
      <c r="AJ18" s="3"/>
      <c r="AK18" s="3"/>
      <c r="AL18" s="28"/>
      <c r="AM18" s="29"/>
    </row>
    <row r="19" spans="1:39" x14ac:dyDescent="0.2">
      <c r="A19" s="1" t="s">
        <v>1412</v>
      </c>
      <c r="B19" s="1"/>
      <c r="C19" s="1">
        <v>8115</v>
      </c>
      <c r="D19" s="64" t="s">
        <v>1537</v>
      </c>
      <c r="E19" s="3" t="s">
        <v>1538</v>
      </c>
      <c r="F19" s="3" t="s">
        <v>1539</v>
      </c>
      <c r="G19" s="3" t="s">
        <v>1412</v>
      </c>
      <c r="H19" s="3">
        <v>1987</v>
      </c>
      <c r="I19" s="3"/>
      <c r="J19" s="3" t="s">
        <v>1416</v>
      </c>
      <c r="K19" s="4" t="s">
        <v>1412</v>
      </c>
      <c r="L19" s="56" t="s">
        <v>1540</v>
      </c>
      <c r="M19" s="6">
        <v>158</v>
      </c>
      <c r="N19" s="57">
        <v>0.878</v>
      </c>
      <c r="O19" s="57">
        <v>0.89400000000000002</v>
      </c>
      <c r="P19" s="57">
        <v>0.88700000000000001</v>
      </c>
      <c r="Q19" s="57">
        <v>0.873</v>
      </c>
      <c r="R19" s="7">
        <v>1193429</v>
      </c>
      <c r="S19" s="7">
        <v>1043806</v>
      </c>
      <c r="T19" s="7">
        <f t="shared" si="11"/>
        <v>355045.1275</v>
      </c>
      <c r="U19" s="7">
        <v>541973</v>
      </c>
      <c r="V19" s="7">
        <f t="shared" si="12"/>
        <v>501833</v>
      </c>
      <c r="W19" s="7">
        <v>5072</v>
      </c>
      <c r="X19" s="58">
        <f t="shared" si="13"/>
        <v>0</v>
      </c>
      <c r="Y19" s="25">
        <f t="shared" si="14"/>
        <v>0</v>
      </c>
      <c r="Z19" s="25"/>
      <c r="AA19" s="7">
        <f t="shared" si="15"/>
        <v>1398851.1274999999</v>
      </c>
      <c r="AB19" s="7">
        <f t="shared" si="16"/>
        <v>355045.1275</v>
      </c>
      <c r="AC19" s="7">
        <f t="shared" si="17"/>
        <v>1043806</v>
      </c>
      <c r="AD19" s="59">
        <f t="shared" si="18"/>
        <v>0</v>
      </c>
      <c r="AE19" s="59">
        <f t="shared" si="19"/>
        <v>0</v>
      </c>
      <c r="AF19" s="60">
        <f t="shared" si="20"/>
        <v>1043806</v>
      </c>
      <c r="AG19" s="60">
        <f t="shared" si="21"/>
        <v>0</v>
      </c>
      <c r="AH19" s="7">
        <v>591000</v>
      </c>
      <c r="AI19" s="7">
        <v>565000</v>
      </c>
      <c r="AJ19" s="11" t="s">
        <v>1541</v>
      </c>
      <c r="AK19" s="61">
        <v>393189.14</v>
      </c>
      <c r="AL19" s="28"/>
      <c r="AM19" s="29"/>
    </row>
    <row r="20" spans="1:39" x14ac:dyDescent="0.2">
      <c r="A20" s="1" t="s">
        <v>1412</v>
      </c>
      <c r="B20" s="1"/>
      <c r="C20" s="1">
        <v>8120</v>
      </c>
      <c r="D20" s="3" t="s">
        <v>1542</v>
      </c>
      <c r="E20" s="3" t="s">
        <v>1248</v>
      </c>
      <c r="F20" s="3" t="s">
        <v>1249</v>
      </c>
      <c r="G20" s="3" t="s">
        <v>1417</v>
      </c>
      <c r="H20" s="3">
        <v>1989</v>
      </c>
      <c r="I20" s="3"/>
      <c r="J20" s="3" t="s">
        <v>1416</v>
      </c>
      <c r="K20" s="4" t="s">
        <v>1417</v>
      </c>
      <c r="L20" s="56" t="s">
        <v>1250</v>
      </c>
      <c r="M20" s="6">
        <v>97</v>
      </c>
      <c r="N20" s="57">
        <v>0.84199999999999997</v>
      </c>
      <c r="O20" s="57">
        <v>0.84699999999999998</v>
      </c>
      <c r="P20" s="57">
        <v>0.80400000000000005</v>
      </c>
      <c r="Q20" s="57">
        <v>0.748</v>
      </c>
      <c r="R20" s="7">
        <v>620910</v>
      </c>
      <c r="S20" s="7">
        <v>494151</v>
      </c>
      <c r="T20" s="7">
        <f t="shared" si="11"/>
        <v>184720.72500000001</v>
      </c>
      <c r="U20" s="7">
        <v>242576</v>
      </c>
      <c r="V20" s="7">
        <f t="shared" si="12"/>
        <v>251575</v>
      </c>
      <c r="W20" s="7">
        <v>3127</v>
      </c>
      <c r="X20" s="58">
        <f t="shared" si="13"/>
        <v>0</v>
      </c>
      <c r="Y20" s="25">
        <f t="shared" si="14"/>
        <v>0</v>
      </c>
      <c r="Z20" s="25"/>
      <c r="AA20" s="7">
        <f t="shared" si="15"/>
        <v>678871.72499999998</v>
      </c>
      <c r="AB20" s="7">
        <f t="shared" si="16"/>
        <v>184720.72500000001</v>
      </c>
      <c r="AC20" s="7">
        <f t="shared" si="17"/>
        <v>494151</v>
      </c>
      <c r="AD20" s="59">
        <f t="shared" si="18"/>
        <v>0</v>
      </c>
      <c r="AE20" s="59">
        <f t="shared" si="19"/>
        <v>0</v>
      </c>
      <c r="AF20" s="60">
        <f t="shared" si="20"/>
        <v>0</v>
      </c>
      <c r="AG20" s="60">
        <f t="shared" si="21"/>
        <v>494151</v>
      </c>
      <c r="AH20" s="7">
        <v>0</v>
      </c>
      <c r="AI20" s="7">
        <v>0</v>
      </c>
      <c r="AJ20" s="11" t="s">
        <v>1419</v>
      </c>
      <c r="AK20" s="61">
        <v>573856</v>
      </c>
      <c r="AL20" s="28"/>
      <c r="AM20" s="29"/>
    </row>
    <row r="21" spans="1:39" x14ac:dyDescent="0.2">
      <c r="A21" s="1" t="s">
        <v>1412</v>
      </c>
      <c r="B21" s="1"/>
      <c r="C21" s="1">
        <v>313</v>
      </c>
      <c r="D21" s="3" t="s">
        <v>1543</v>
      </c>
      <c r="E21" s="3" t="s">
        <v>1544</v>
      </c>
      <c r="F21" s="3" t="s">
        <v>1415</v>
      </c>
      <c r="G21" s="3" t="s">
        <v>1412</v>
      </c>
      <c r="H21" s="3">
        <v>1987</v>
      </c>
      <c r="I21" s="3"/>
      <c r="J21" s="3" t="s">
        <v>1512</v>
      </c>
      <c r="K21" s="4"/>
      <c r="L21" s="56" t="s">
        <v>1545</v>
      </c>
      <c r="M21" s="6">
        <v>57</v>
      </c>
      <c r="N21" s="57">
        <v>0.88700000000000001</v>
      </c>
      <c r="O21" s="57">
        <v>0.92</v>
      </c>
      <c r="P21" s="57">
        <v>0.93600000000000005</v>
      </c>
      <c r="Q21" s="57">
        <v>0.89600000000000002</v>
      </c>
      <c r="R21" s="7"/>
      <c r="S21" s="7">
        <v>543591</v>
      </c>
      <c r="T21" s="7">
        <f t="shared" si="11"/>
        <v>105402.29489999999</v>
      </c>
      <c r="U21" s="7">
        <v>414515</v>
      </c>
      <c r="V21" s="7">
        <f t="shared" si="12"/>
        <v>129076</v>
      </c>
      <c r="W21" s="7">
        <v>2715</v>
      </c>
      <c r="X21" s="58">
        <f t="shared" si="13"/>
        <v>0</v>
      </c>
      <c r="Y21" s="25">
        <f t="shared" si="14"/>
        <v>0</v>
      </c>
      <c r="Z21" s="25"/>
      <c r="AA21" s="7">
        <f t="shared" si="15"/>
        <v>648993.29489999998</v>
      </c>
      <c r="AB21" s="7">
        <f t="shared" si="16"/>
        <v>105402.29489999999</v>
      </c>
      <c r="AC21" s="7">
        <f t="shared" si="17"/>
        <v>543591</v>
      </c>
      <c r="AD21" s="59">
        <f t="shared" si="18"/>
        <v>0</v>
      </c>
      <c r="AE21" s="59">
        <f t="shared" si="19"/>
        <v>0</v>
      </c>
      <c r="AF21" s="60">
        <f t="shared" si="20"/>
        <v>0</v>
      </c>
      <c r="AG21" s="60">
        <f t="shared" si="21"/>
        <v>543591</v>
      </c>
      <c r="AH21" s="7">
        <v>0</v>
      </c>
      <c r="AI21" s="7">
        <v>0</v>
      </c>
      <c r="AJ21" s="3"/>
      <c r="AK21" s="3"/>
      <c r="AL21" s="55"/>
      <c r="AM21" s="29"/>
    </row>
    <row r="22" spans="1:39" x14ac:dyDescent="0.2">
      <c r="A22" s="1" t="s">
        <v>1412</v>
      </c>
      <c r="B22" s="1"/>
      <c r="C22" s="1">
        <v>8680</v>
      </c>
      <c r="D22" s="3" t="s">
        <v>1546</v>
      </c>
      <c r="E22" s="3" t="s">
        <v>1547</v>
      </c>
      <c r="F22" s="3" t="s">
        <v>1548</v>
      </c>
      <c r="G22" s="3" t="s">
        <v>1412</v>
      </c>
      <c r="H22" s="3">
        <v>1951</v>
      </c>
      <c r="I22" s="3"/>
      <c r="J22" s="3" t="s">
        <v>1512</v>
      </c>
      <c r="K22" s="4" t="s">
        <v>1417</v>
      </c>
      <c r="L22" s="56" t="s">
        <v>1549</v>
      </c>
      <c r="M22" s="6">
        <v>63</v>
      </c>
      <c r="N22" s="57">
        <v>0.95199999999999996</v>
      </c>
      <c r="O22" s="57">
        <v>0.92600000000000005</v>
      </c>
      <c r="P22" s="57">
        <v>0.94099999999999995</v>
      </c>
      <c r="Q22" s="57">
        <v>0.90100000000000002</v>
      </c>
      <c r="R22" s="7"/>
      <c r="S22" s="7">
        <v>645996</v>
      </c>
      <c r="T22" s="7">
        <f t="shared" si="11"/>
        <v>125258.62439999999</v>
      </c>
      <c r="U22" s="7">
        <v>396866</v>
      </c>
      <c r="V22" s="7">
        <f t="shared" si="12"/>
        <v>249130</v>
      </c>
      <c r="W22" s="7">
        <v>3250</v>
      </c>
      <c r="X22" s="58">
        <f t="shared" si="13"/>
        <v>0</v>
      </c>
      <c r="Y22" s="25">
        <f t="shared" si="14"/>
        <v>0</v>
      </c>
      <c r="Z22" s="25"/>
      <c r="AA22" s="7">
        <f t="shared" si="15"/>
        <v>771254.62439999997</v>
      </c>
      <c r="AB22" s="7">
        <f t="shared" si="16"/>
        <v>125258.62439999999</v>
      </c>
      <c r="AC22" s="7">
        <f t="shared" si="17"/>
        <v>645996</v>
      </c>
      <c r="AD22" s="59">
        <f t="shared" si="18"/>
        <v>0</v>
      </c>
      <c r="AE22" s="59">
        <f t="shared" si="19"/>
        <v>0</v>
      </c>
      <c r="AF22" s="60">
        <f t="shared" si="20"/>
        <v>0</v>
      </c>
      <c r="AG22" s="60">
        <f t="shared" si="21"/>
        <v>645996</v>
      </c>
      <c r="AH22" s="7">
        <v>0</v>
      </c>
      <c r="AI22" s="7">
        <v>0</v>
      </c>
      <c r="AJ22" s="3"/>
      <c r="AK22" s="3"/>
      <c r="AL22" s="28"/>
      <c r="AM22" s="29"/>
    </row>
    <row r="23" spans="1:39" x14ac:dyDescent="0.2">
      <c r="A23" s="1" t="s">
        <v>1412</v>
      </c>
      <c r="B23" s="1"/>
      <c r="C23" s="1">
        <v>8142</v>
      </c>
      <c r="D23" s="3" t="s">
        <v>1550</v>
      </c>
      <c r="E23" s="3" t="s">
        <v>1551</v>
      </c>
      <c r="F23" s="3" t="s">
        <v>1525</v>
      </c>
      <c r="G23" s="3" t="s">
        <v>1412</v>
      </c>
      <c r="H23" s="3">
        <v>1985</v>
      </c>
      <c r="I23" s="3"/>
      <c r="J23" s="3" t="s">
        <v>1416</v>
      </c>
      <c r="K23" s="4" t="s">
        <v>1417</v>
      </c>
      <c r="L23" s="56" t="s">
        <v>1552</v>
      </c>
      <c r="M23" s="6">
        <v>151</v>
      </c>
      <c r="N23" s="57">
        <v>0.88300000000000001</v>
      </c>
      <c r="O23" s="57">
        <v>0.89400000000000002</v>
      </c>
      <c r="P23" s="57">
        <v>0.94399999999999995</v>
      </c>
      <c r="Q23" s="57">
        <v>0.86899999999999999</v>
      </c>
      <c r="R23" s="7">
        <v>1199771</v>
      </c>
      <c r="S23" s="7">
        <v>1064997</v>
      </c>
      <c r="T23" s="7">
        <f t="shared" si="11"/>
        <v>356931.8725</v>
      </c>
      <c r="U23" s="7">
        <v>762368</v>
      </c>
      <c r="V23" s="7">
        <f t="shared" si="12"/>
        <v>302629</v>
      </c>
      <c r="W23" s="7">
        <v>5510</v>
      </c>
      <c r="X23" s="58">
        <f t="shared" si="13"/>
        <v>0</v>
      </c>
      <c r="Y23" s="25">
        <f t="shared" si="14"/>
        <v>0</v>
      </c>
      <c r="Z23" s="25"/>
      <c r="AA23" s="7">
        <f t="shared" si="15"/>
        <v>1421928.8725000001</v>
      </c>
      <c r="AB23" s="7">
        <f t="shared" si="16"/>
        <v>356931.8725</v>
      </c>
      <c r="AC23" s="7">
        <f t="shared" si="17"/>
        <v>1064997</v>
      </c>
      <c r="AD23" s="59">
        <f t="shared" si="18"/>
        <v>0</v>
      </c>
      <c r="AE23" s="59">
        <f t="shared" si="19"/>
        <v>0</v>
      </c>
      <c r="AF23" s="60">
        <f t="shared" si="20"/>
        <v>0</v>
      </c>
      <c r="AG23" s="60">
        <f t="shared" si="21"/>
        <v>1064997</v>
      </c>
      <c r="AH23" s="7">
        <v>0</v>
      </c>
      <c r="AI23" s="7">
        <v>0</v>
      </c>
      <c r="AJ23" s="11" t="s">
        <v>1419</v>
      </c>
      <c r="AK23" s="61">
        <v>910511</v>
      </c>
      <c r="AL23" s="28"/>
      <c r="AM23" s="29"/>
    </row>
    <row r="24" spans="1:39" x14ac:dyDescent="0.2">
      <c r="A24" s="1" t="s">
        <v>1412</v>
      </c>
      <c r="B24" s="1"/>
      <c r="C24" s="1">
        <v>4821</v>
      </c>
      <c r="D24" s="65" t="s">
        <v>1553</v>
      </c>
      <c r="E24" s="63" t="s">
        <v>1554</v>
      </c>
      <c r="F24" s="3" t="s">
        <v>1555</v>
      </c>
      <c r="G24" s="3" t="s">
        <v>1412</v>
      </c>
      <c r="H24" s="3">
        <v>1977</v>
      </c>
      <c r="I24" s="3"/>
      <c r="J24" s="3" t="s">
        <v>1416</v>
      </c>
      <c r="K24" s="4" t="s">
        <v>1412</v>
      </c>
      <c r="L24" s="56" t="s">
        <v>1556</v>
      </c>
      <c r="M24" s="6">
        <v>181</v>
      </c>
      <c r="N24" s="57">
        <v>0.95099999999999996</v>
      </c>
      <c r="O24" s="57">
        <v>0.97699999999999998</v>
      </c>
      <c r="P24" s="57">
        <v>0.92500000000000004</v>
      </c>
      <c r="Q24" s="57">
        <v>0.95199999999999996</v>
      </c>
      <c r="R24" s="7">
        <v>813000</v>
      </c>
      <c r="S24" s="7">
        <v>1250000</v>
      </c>
      <c r="T24" s="7">
        <f t="shared" si="11"/>
        <v>241867.5</v>
      </c>
      <c r="U24" s="7">
        <v>813000</v>
      </c>
      <c r="V24" s="7">
        <f t="shared" si="12"/>
        <v>437000</v>
      </c>
      <c r="W24" s="7">
        <v>6115</v>
      </c>
      <c r="X24" s="58">
        <f t="shared" si="13"/>
        <v>0</v>
      </c>
      <c r="Y24" s="25">
        <f t="shared" si="14"/>
        <v>0</v>
      </c>
      <c r="Z24" s="25"/>
      <c r="AA24" s="7">
        <f t="shared" si="15"/>
        <v>1491867.5</v>
      </c>
      <c r="AB24" s="7">
        <f t="shared" si="16"/>
        <v>241867.5</v>
      </c>
      <c r="AC24" s="7">
        <f t="shared" si="17"/>
        <v>1250000</v>
      </c>
      <c r="AD24" s="59">
        <f t="shared" si="18"/>
        <v>0</v>
      </c>
      <c r="AE24" s="59">
        <f t="shared" si="19"/>
        <v>0</v>
      </c>
      <c r="AF24" s="60">
        <f t="shared" si="20"/>
        <v>1250000</v>
      </c>
      <c r="AG24" s="60">
        <f t="shared" si="21"/>
        <v>0</v>
      </c>
      <c r="AH24" s="7">
        <v>2217000</v>
      </c>
      <c r="AI24" s="7">
        <v>1531000</v>
      </c>
      <c r="AJ24" s="65"/>
      <c r="AK24" s="65"/>
      <c r="AL24" s="8"/>
      <c r="AM24" s="8"/>
    </row>
    <row r="25" spans="1:39" x14ac:dyDescent="0.2">
      <c r="A25" s="1" t="s">
        <v>1412</v>
      </c>
      <c r="B25" s="1"/>
      <c r="C25" s="1">
        <v>323</v>
      </c>
      <c r="D25" s="3" t="s">
        <v>1557</v>
      </c>
      <c r="E25" s="3" t="s">
        <v>1558</v>
      </c>
      <c r="F25" s="3" t="s">
        <v>1415</v>
      </c>
      <c r="G25" s="3" t="s">
        <v>1412</v>
      </c>
      <c r="H25" s="3">
        <v>1988</v>
      </c>
      <c r="I25" s="3"/>
      <c r="J25" s="3" t="s">
        <v>1512</v>
      </c>
      <c r="K25" s="4" t="s">
        <v>1417</v>
      </c>
      <c r="L25" s="56" t="s">
        <v>1545</v>
      </c>
      <c r="M25" s="6">
        <v>20</v>
      </c>
      <c r="N25" s="57">
        <v>0.58199999999999996</v>
      </c>
      <c r="O25" s="57">
        <v>0.55900000000000005</v>
      </c>
      <c r="P25" s="57">
        <v>0.65800000000000003</v>
      </c>
      <c r="Q25" s="57">
        <v>0.629</v>
      </c>
      <c r="R25" s="7"/>
      <c r="S25" s="7">
        <v>268904</v>
      </c>
      <c r="T25" s="7">
        <f t="shared" si="11"/>
        <v>52140.4856</v>
      </c>
      <c r="U25" s="7">
        <v>216491</v>
      </c>
      <c r="V25" s="7">
        <f t="shared" si="12"/>
        <v>52413</v>
      </c>
      <c r="W25" s="7">
        <v>1345</v>
      </c>
      <c r="X25" s="58">
        <f t="shared" si="13"/>
        <v>0</v>
      </c>
      <c r="Y25" s="25">
        <f t="shared" si="14"/>
        <v>0</v>
      </c>
      <c r="Z25" s="25"/>
      <c r="AA25" s="7">
        <f t="shared" si="15"/>
        <v>321044.48560000001</v>
      </c>
      <c r="AB25" s="7">
        <f t="shared" si="16"/>
        <v>52140.4856</v>
      </c>
      <c r="AC25" s="7">
        <f t="shared" si="17"/>
        <v>268904</v>
      </c>
      <c r="AD25" s="59">
        <f t="shared" si="18"/>
        <v>0</v>
      </c>
      <c r="AE25" s="59">
        <f t="shared" si="19"/>
        <v>0</v>
      </c>
      <c r="AF25" s="60">
        <f t="shared" si="20"/>
        <v>0</v>
      </c>
      <c r="AG25" s="60">
        <f t="shared" si="21"/>
        <v>268904</v>
      </c>
      <c r="AH25" s="7">
        <v>0</v>
      </c>
      <c r="AI25" s="7">
        <v>0</v>
      </c>
      <c r="AJ25" s="3"/>
      <c r="AK25" s="3"/>
      <c r="AL25" s="55"/>
      <c r="AM25" s="29"/>
    </row>
    <row r="26" spans="1:39" x14ac:dyDescent="0.2">
      <c r="A26" s="1" t="s">
        <v>1412</v>
      </c>
      <c r="B26" s="1"/>
      <c r="C26" s="1">
        <v>324</v>
      </c>
      <c r="D26" s="3" t="s">
        <v>1562</v>
      </c>
      <c r="E26" s="3" t="s">
        <v>1563</v>
      </c>
      <c r="F26" s="3" t="s">
        <v>1564</v>
      </c>
      <c r="G26" s="3" t="s">
        <v>1412</v>
      </c>
      <c r="H26" s="3">
        <v>1965</v>
      </c>
      <c r="I26" s="3"/>
      <c r="J26" s="3" t="s">
        <v>1512</v>
      </c>
      <c r="K26" s="4"/>
      <c r="L26" s="56" t="s">
        <v>1565</v>
      </c>
      <c r="M26" s="6">
        <v>8</v>
      </c>
      <c r="N26" s="57">
        <v>0.94599999999999995</v>
      </c>
      <c r="O26" s="57">
        <v>0.94599999999999995</v>
      </c>
      <c r="P26" s="57">
        <v>1</v>
      </c>
      <c r="Q26" s="57">
        <v>1</v>
      </c>
      <c r="R26" s="7"/>
      <c r="S26" s="7">
        <v>40901</v>
      </c>
      <c r="T26" s="7">
        <f t="shared" si="11"/>
        <v>7930.7038999999995</v>
      </c>
      <c r="U26" s="7">
        <v>0</v>
      </c>
      <c r="V26" s="7">
        <f t="shared" si="12"/>
        <v>40901</v>
      </c>
      <c r="W26" s="7">
        <v>315</v>
      </c>
      <c r="X26" s="58">
        <f t="shared" si="13"/>
        <v>0</v>
      </c>
      <c r="Y26" s="25">
        <f t="shared" si="14"/>
        <v>0</v>
      </c>
      <c r="Z26" s="25"/>
      <c r="AA26" s="7">
        <f t="shared" si="15"/>
        <v>48831.7039</v>
      </c>
      <c r="AB26" s="7">
        <f t="shared" si="16"/>
        <v>7930.7038999999995</v>
      </c>
      <c r="AC26" s="7">
        <f t="shared" si="17"/>
        <v>40901</v>
      </c>
      <c r="AD26" s="59">
        <f t="shared" si="18"/>
        <v>0</v>
      </c>
      <c r="AE26" s="59">
        <f t="shared" si="19"/>
        <v>0</v>
      </c>
      <c r="AF26" s="60">
        <f t="shared" si="20"/>
        <v>0</v>
      </c>
      <c r="AG26" s="60">
        <f t="shared" si="21"/>
        <v>40901</v>
      </c>
      <c r="AH26" s="7">
        <v>0</v>
      </c>
      <c r="AI26" s="7">
        <v>0</v>
      </c>
      <c r="AJ26" s="3"/>
      <c r="AK26" s="3"/>
      <c r="AL26" s="28"/>
      <c r="AM26" s="29"/>
    </row>
    <row r="27" spans="1:39" x14ac:dyDescent="0.2">
      <c r="A27" s="1" t="s">
        <v>1412</v>
      </c>
      <c r="B27" s="1"/>
      <c r="C27" s="1">
        <v>344</v>
      </c>
      <c r="D27" s="3" t="s">
        <v>1566</v>
      </c>
      <c r="E27" s="3" t="s">
        <v>1567</v>
      </c>
      <c r="F27" s="3" t="s">
        <v>1422</v>
      </c>
      <c r="G27" s="3" t="s">
        <v>1412</v>
      </c>
      <c r="H27" s="3">
        <v>1994</v>
      </c>
      <c r="I27" s="3"/>
      <c r="J27" s="3" t="s">
        <v>1416</v>
      </c>
      <c r="K27" s="4" t="s">
        <v>1412</v>
      </c>
      <c r="L27" s="56" t="s">
        <v>1568</v>
      </c>
      <c r="M27" s="6">
        <v>90</v>
      </c>
      <c r="N27" s="57">
        <v>0.81799999999999995</v>
      </c>
      <c r="O27" s="57">
        <v>0.97399999999999998</v>
      </c>
      <c r="P27" s="57">
        <v>0.96299999999999997</v>
      </c>
      <c r="Q27" s="57">
        <v>0.95</v>
      </c>
      <c r="R27" s="7">
        <v>652078</v>
      </c>
      <c r="S27" s="7">
        <v>571312</v>
      </c>
      <c r="T27" s="7">
        <f t="shared" si="11"/>
        <v>193993.20499999999</v>
      </c>
      <c r="U27" s="7">
        <v>378599</v>
      </c>
      <c r="V27" s="7">
        <f t="shared" si="12"/>
        <v>192713</v>
      </c>
      <c r="W27" s="7">
        <v>2865</v>
      </c>
      <c r="X27" s="58">
        <f t="shared" si="13"/>
        <v>0</v>
      </c>
      <c r="Y27" s="25">
        <f t="shared" si="14"/>
        <v>0</v>
      </c>
      <c r="Z27" s="25"/>
      <c r="AA27" s="7">
        <f t="shared" si="15"/>
        <v>765305.20499999996</v>
      </c>
      <c r="AB27" s="7">
        <f t="shared" si="16"/>
        <v>193993.20499999999</v>
      </c>
      <c r="AC27" s="7">
        <f t="shared" si="17"/>
        <v>571312</v>
      </c>
      <c r="AD27" s="59">
        <f t="shared" si="18"/>
        <v>0</v>
      </c>
      <c r="AE27" s="59">
        <f t="shared" si="19"/>
        <v>0</v>
      </c>
      <c r="AF27" s="60">
        <f t="shared" si="20"/>
        <v>571312</v>
      </c>
      <c r="AG27" s="60">
        <f t="shared" si="21"/>
        <v>0</v>
      </c>
      <c r="AH27" s="7">
        <v>519000</v>
      </c>
      <c r="AI27" s="7">
        <v>452000</v>
      </c>
      <c r="AJ27" s="11" t="s">
        <v>1419</v>
      </c>
      <c r="AK27" s="61">
        <v>467151.75</v>
      </c>
      <c r="AL27" s="28"/>
      <c r="AM27" s="29"/>
    </row>
    <row r="28" spans="1:39" x14ac:dyDescent="0.2">
      <c r="A28" s="1" t="s">
        <v>1412</v>
      </c>
      <c r="B28" s="1"/>
      <c r="C28" s="1">
        <v>8178</v>
      </c>
      <c r="D28" s="64" t="s">
        <v>1569</v>
      </c>
      <c r="E28" s="3" t="s">
        <v>1570</v>
      </c>
      <c r="F28" s="3" t="s">
        <v>1539</v>
      </c>
      <c r="G28" s="3" t="s">
        <v>1412</v>
      </c>
      <c r="H28" s="3">
        <v>1973</v>
      </c>
      <c r="I28" s="3"/>
      <c r="J28" s="3" t="s">
        <v>1416</v>
      </c>
      <c r="K28" s="4" t="s">
        <v>1417</v>
      </c>
      <c r="L28" s="56" t="s">
        <v>1540</v>
      </c>
      <c r="M28" s="6">
        <v>76</v>
      </c>
      <c r="N28" s="57">
        <v>0.90400000000000003</v>
      </c>
      <c r="O28" s="57">
        <v>0.93899999999999995</v>
      </c>
      <c r="P28" s="57">
        <v>0.874</v>
      </c>
      <c r="Q28" s="57">
        <v>0.76700000000000002</v>
      </c>
      <c r="R28" s="7">
        <v>857149</v>
      </c>
      <c r="S28" s="7">
        <v>768303</v>
      </c>
      <c r="T28" s="7">
        <f t="shared" si="11"/>
        <v>255001.82749999998</v>
      </c>
      <c r="U28" s="7">
        <v>467626</v>
      </c>
      <c r="V28" s="7">
        <f t="shared" si="12"/>
        <v>300677</v>
      </c>
      <c r="W28" s="7">
        <v>4248</v>
      </c>
      <c r="X28" s="58">
        <f t="shared" si="13"/>
        <v>0</v>
      </c>
      <c r="Y28" s="25">
        <f t="shared" si="14"/>
        <v>0</v>
      </c>
      <c r="Z28" s="25"/>
      <c r="AA28" s="7">
        <f t="shared" si="15"/>
        <v>1023304.8275</v>
      </c>
      <c r="AB28" s="7">
        <f t="shared" si="16"/>
        <v>255001.82749999998</v>
      </c>
      <c r="AC28" s="7">
        <f t="shared" si="17"/>
        <v>768303</v>
      </c>
      <c r="AD28" s="59">
        <f t="shared" si="18"/>
        <v>0</v>
      </c>
      <c r="AE28" s="59">
        <f t="shared" si="19"/>
        <v>0</v>
      </c>
      <c r="AF28" s="60">
        <f t="shared" si="20"/>
        <v>0</v>
      </c>
      <c r="AG28" s="60">
        <f t="shared" si="21"/>
        <v>768303</v>
      </c>
      <c r="AH28" s="7">
        <v>0</v>
      </c>
      <c r="AI28" s="7">
        <v>0</v>
      </c>
      <c r="AJ28" s="11" t="s">
        <v>1541</v>
      </c>
      <c r="AK28" s="61">
        <v>290235.95</v>
      </c>
      <c r="AL28" s="55"/>
      <c r="AM28" s="29"/>
    </row>
    <row r="29" spans="1:39" x14ac:dyDescent="0.2">
      <c r="A29" s="1" t="s">
        <v>1412</v>
      </c>
      <c r="B29" s="1"/>
      <c r="C29" s="1">
        <v>339</v>
      </c>
      <c r="D29" s="3" t="s">
        <v>1571</v>
      </c>
      <c r="E29" s="3" t="s">
        <v>1572</v>
      </c>
      <c r="F29" s="3" t="s">
        <v>1415</v>
      </c>
      <c r="G29" s="3" t="s">
        <v>1412</v>
      </c>
      <c r="H29" s="3">
        <v>1988</v>
      </c>
      <c r="I29" s="3"/>
      <c r="J29" s="3" t="s">
        <v>1512</v>
      </c>
      <c r="K29" s="4" t="s">
        <v>1417</v>
      </c>
      <c r="L29" s="56" t="s">
        <v>1545</v>
      </c>
      <c r="M29" s="6">
        <v>40</v>
      </c>
      <c r="N29" s="57">
        <v>0.80200000000000005</v>
      </c>
      <c r="O29" s="57">
        <v>0.73299999999999998</v>
      </c>
      <c r="P29" s="57">
        <v>0.79700000000000004</v>
      </c>
      <c r="Q29" s="57">
        <v>0.80700000000000005</v>
      </c>
      <c r="R29" s="7"/>
      <c r="S29" s="7">
        <v>134083</v>
      </c>
      <c r="T29" s="7">
        <f t="shared" si="11"/>
        <v>25998.6937</v>
      </c>
      <c r="U29" s="7">
        <v>0</v>
      </c>
      <c r="V29" s="7">
        <f t="shared" si="12"/>
        <v>134083</v>
      </c>
      <c r="W29" s="7">
        <v>910</v>
      </c>
      <c r="X29" s="58">
        <f t="shared" si="13"/>
        <v>0</v>
      </c>
      <c r="Y29" s="25">
        <f t="shared" si="14"/>
        <v>0</v>
      </c>
      <c r="Z29" s="25"/>
      <c r="AA29" s="7">
        <f t="shared" si="15"/>
        <v>160081.6937</v>
      </c>
      <c r="AB29" s="7">
        <f t="shared" si="16"/>
        <v>25998.6937</v>
      </c>
      <c r="AC29" s="7">
        <f t="shared" si="17"/>
        <v>134083</v>
      </c>
      <c r="AD29" s="59">
        <f t="shared" si="18"/>
        <v>0</v>
      </c>
      <c r="AE29" s="59">
        <f t="shared" si="19"/>
        <v>0</v>
      </c>
      <c r="AF29" s="60">
        <f t="shared" si="20"/>
        <v>0</v>
      </c>
      <c r="AG29" s="60">
        <f t="shared" si="21"/>
        <v>134083</v>
      </c>
      <c r="AH29" s="7">
        <v>0</v>
      </c>
      <c r="AI29" s="7">
        <v>0</v>
      </c>
      <c r="AJ29" s="3"/>
      <c r="AK29" s="3"/>
      <c r="AL29" s="28"/>
      <c r="AM29" s="29"/>
    </row>
    <row r="30" spans="1:39" x14ac:dyDescent="0.2">
      <c r="A30" s="1" t="s">
        <v>1412</v>
      </c>
      <c r="B30" s="1"/>
      <c r="C30" s="1">
        <v>6730</v>
      </c>
      <c r="D30" s="3" t="s">
        <v>1573</v>
      </c>
      <c r="E30" s="3" t="s">
        <v>1574</v>
      </c>
      <c r="F30" s="3" t="s">
        <v>1415</v>
      </c>
      <c r="G30" s="3" t="s">
        <v>1417</v>
      </c>
      <c r="H30" s="3">
        <v>1984</v>
      </c>
      <c r="I30" s="3"/>
      <c r="J30" s="3" t="s">
        <v>1512</v>
      </c>
      <c r="L30" s="56" t="s">
        <v>1545</v>
      </c>
      <c r="M30" s="6">
        <v>11</v>
      </c>
      <c r="N30" s="57">
        <v>0</v>
      </c>
      <c r="O30" s="57">
        <v>0</v>
      </c>
      <c r="P30" s="57">
        <v>0.92500000000000004</v>
      </c>
      <c r="Q30" s="57">
        <v>0.95199999999999996</v>
      </c>
      <c r="R30" s="7"/>
      <c r="S30" s="7">
        <v>236021</v>
      </c>
      <c r="T30" s="7">
        <f t="shared" si="11"/>
        <v>45764.471899999997</v>
      </c>
      <c r="U30" s="7">
        <v>196853</v>
      </c>
      <c r="V30" s="7">
        <f t="shared" si="12"/>
        <v>39168</v>
      </c>
      <c r="W30" s="7">
        <v>1887</v>
      </c>
      <c r="X30" s="58">
        <f t="shared" si="13"/>
        <v>0</v>
      </c>
      <c r="Y30" s="25">
        <f t="shared" si="14"/>
        <v>0</v>
      </c>
      <c r="Z30" s="25"/>
      <c r="AA30" s="7">
        <f t="shared" si="15"/>
        <v>281785.4719</v>
      </c>
      <c r="AB30" s="7">
        <f t="shared" si="16"/>
        <v>45764.471899999997</v>
      </c>
      <c r="AC30" s="7">
        <f t="shared" si="17"/>
        <v>236021</v>
      </c>
      <c r="AD30" s="59">
        <f t="shared" si="18"/>
        <v>0</v>
      </c>
      <c r="AE30" s="59">
        <f t="shared" si="19"/>
        <v>0</v>
      </c>
      <c r="AF30" s="60">
        <f t="shared" si="20"/>
        <v>0</v>
      </c>
      <c r="AG30" s="60">
        <f t="shared" si="21"/>
        <v>236021</v>
      </c>
      <c r="AH30" s="7">
        <v>0</v>
      </c>
      <c r="AI30" s="7">
        <v>0</v>
      </c>
      <c r="AJ30" s="3"/>
      <c r="AK30" s="3"/>
      <c r="AL30" s="28"/>
      <c r="AM30" s="29"/>
    </row>
    <row r="31" spans="1:39" x14ac:dyDescent="0.2">
      <c r="A31" s="1" t="s">
        <v>1412</v>
      </c>
      <c r="B31" s="1"/>
      <c r="C31" s="1">
        <v>4822</v>
      </c>
      <c r="D31" s="63" t="s">
        <v>1575</v>
      </c>
      <c r="E31" s="63" t="s">
        <v>1576</v>
      </c>
      <c r="F31" s="3" t="s">
        <v>1577</v>
      </c>
      <c r="G31" s="3" t="s">
        <v>1412</v>
      </c>
      <c r="H31" s="3">
        <v>1968</v>
      </c>
      <c r="I31" s="3"/>
      <c r="J31" s="3" t="s">
        <v>1578</v>
      </c>
      <c r="K31" s="4"/>
      <c r="L31" s="56" t="s">
        <v>1579</v>
      </c>
      <c r="M31" s="6">
        <v>175</v>
      </c>
      <c r="N31" s="57">
        <v>0.96499999999999997</v>
      </c>
      <c r="O31" s="57">
        <v>0.98099999999999998</v>
      </c>
      <c r="P31" s="57">
        <v>0.92500000000000004</v>
      </c>
      <c r="Q31" s="57">
        <v>0.95199999999999996</v>
      </c>
      <c r="R31" s="7">
        <v>1580588</v>
      </c>
      <c r="S31" s="7">
        <v>1255000</v>
      </c>
      <c r="T31" s="7">
        <f t="shared" si="11"/>
        <v>470224.93</v>
      </c>
      <c r="U31" s="7">
        <v>836500</v>
      </c>
      <c r="V31" s="7">
        <f t="shared" si="12"/>
        <v>418500</v>
      </c>
      <c r="W31" s="7">
        <v>6000</v>
      </c>
      <c r="X31" s="58">
        <f t="shared" si="13"/>
        <v>0</v>
      </c>
      <c r="Y31" s="25">
        <f t="shared" si="14"/>
        <v>0</v>
      </c>
      <c r="Z31" s="25"/>
      <c r="AA31" s="7">
        <f t="shared" si="15"/>
        <v>1725224.93</v>
      </c>
      <c r="AB31" s="7">
        <f t="shared" si="16"/>
        <v>470224.93</v>
      </c>
      <c r="AC31" s="7">
        <f t="shared" si="17"/>
        <v>1255000</v>
      </c>
      <c r="AD31" s="59">
        <f t="shared" si="18"/>
        <v>0</v>
      </c>
      <c r="AE31" s="59">
        <f t="shared" si="19"/>
        <v>0</v>
      </c>
      <c r="AF31" s="60">
        <f t="shared" si="20"/>
        <v>0</v>
      </c>
      <c r="AG31" s="60">
        <f t="shared" si="21"/>
        <v>1255000</v>
      </c>
      <c r="AH31" s="7">
        <v>0</v>
      </c>
      <c r="AI31" s="7">
        <v>0</v>
      </c>
      <c r="AJ31" s="11" t="s">
        <v>1580</v>
      </c>
      <c r="AK31" s="61">
        <v>188308.65</v>
      </c>
      <c r="AL31" s="8"/>
      <c r="AM31" s="8"/>
    </row>
    <row r="32" spans="1:39" x14ac:dyDescent="0.2">
      <c r="A32" s="1" t="s">
        <v>1412</v>
      </c>
      <c r="B32" s="1"/>
      <c r="C32" s="1">
        <v>8700</v>
      </c>
      <c r="D32" s="64" t="s">
        <v>1581</v>
      </c>
      <c r="E32" s="3" t="s">
        <v>1563</v>
      </c>
      <c r="F32" s="3" t="s">
        <v>1564</v>
      </c>
      <c r="G32" s="3" t="s">
        <v>1412</v>
      </c>
      <c r="H32" s="3">
        <v>1972</v>
      </c>
      <c r="I32" s="3"/>
      <c r="J32" s="3" t="s">
        <v>1416</v>
      </c>
      <c r="K32" s="4" t="s">
        <v>1412</v>
      </c>
      <c r="L32" s="56" t="s">
        <v>1565</v>
      </c>
      <c r="M32" s="6">
        <v>125</v>
      </c>
      <c r="N32" s="57">
        <v>0.879</v>
      </c>
      <c r="O32" s="57">
        <v>0.85199999999999998</v>
      </c>
      <c r="P32" s="57">
        <v>0.875</v>
      </c>
      <c r="Q32" s="57">
        <v>0.93799999999999994</v>
      </c>
      <c r="R32" s="7">
        <v>1445650</v>
      </c>
      <c r="S32" s="7">
        <v>1430137</v>
      </c>
      <c r="T32" s="7">
        <f t="shared" si="11"/>
        <v>430080.875</v>
      </c>
      <c r="U32" s="7">
        <v>1078896</v>
      </c>
      <c r="V32" s="7">
        <f t="shared" si="12"/>
        <v>351241</v>
      </c>
      <c r="W32" s="7">
        <v>7558</v>
      </c>
      <c r="X32" s="58">
        <f t="shared" si="13"/>
        <v>0</v>
      </c>
      <c r="Y32" s="25">
        <f t="shared" si="14"/>
        <v>0</v>
      </c>
      <c r="Z32" s="25"/>
      <c r="AA32" s="7">
        <f t="shared" si="15"/>
        <v>1860217.875</v>
      </c>
      <c r="AB32" s="7">
        <f t="shared" si="16"/>
        <v>430080.875</v>
      </c>
      <c r="AC32" s="7">
        <f t="shared" si="17"/>
        <v>1430137</v>
      </c>
      <c r="AD32" s="59">
        <f t="shared" si="18"/>
        <v>0</v>
      </c>
      <c r="AE32" s="59">
        <f t="shared" si="19"/>
        <v>0</v>
      </c>
      <c r="AF32" s="60">
        <f t="shared" si="20"/>
        <v>1430137</v>
      </c>
      <c r="AG32" s="60">
        <f t="shared" si="21"/>
        <v>0</v>
      </c>
      <c r="AH32" s="7">
        <v>527000</v>
      </c>
      <c r="AI32" s="7">
        <v>519000</v>
      </c>
      <c r="AJ32" s="11" t="s">
        <v>1419</v>
      </c>
      <c r="AK32" s="61">
        <v>536151</v>
      </c>
      <c r="AL32" s="28"/>
      <c r="AM32" s="29"/>
    </row>
    <row r="33" spans="1:39" x14ac:dyDescent="0.2">
      <c r="A33" s="1" t="s">
        <v>1412</v>
      </c>
      <c r="B33" s="1"/>
      <c r="C33" s="1">
        <v>512</v>
      </c>
      <c r="D33" s="3" t="s">
        <v>1582</v>
      </c>
      <c r="E33" s="3" t="s">
        <v>1590</v>
      </c>
      <c r="F33" s="3" t="s">
        <v>1422</v>
      </c>
      <c r="G33" s="3" t="s">
        <v>1412</v>
      </c>
      <c r="H33" s="3">
        <v>1978</v>
      </c>
      <c r="I33" s="3"/>
      <c r="J33" s="3" t="s">
        <v>1512</v>
      </c>
      <c r="K33" s="4"/>
      <c r="L33" s="56" t="s">
        <v>1591</v>
      </c>
      <c r="M33" s="6"/>
      <c r="N33" s="57">
        <v>1</v>
      </c>
      <c r="O33" s="57">
        <v>1</v>
      </c>
      <c r="P33" s="57">
        <v>1</v>
      </c>
      <c r="Q33" s="57">
        <v>1</v>
      </c>
      <c r="R33" s="7"/>
      <c r="S33" s="7">
        <v>32622</v>
      </c>
      <c r="T33" s="7">
        <f t="shared" si="11"/>
        <v>6325.4057999999995</v>
      </c>
      <c r="U33" s="7">
        <v>32622</v>
      </c>
      <c r="V33" s="7">
        <f t="shared" si="12"/>
        <v>0</v>
      </c>
      <c r="W33" s="7">
        <v>200</v>
      </c>
      <c r="X33" s="58">
        <f t="shared" si="13"/>
        <v>0</v>
      </c>
      <c r="Y33" s="25">
        <f t="shared" si="14"/>
        <v>0</v>
      </c>
      <c r="Z33" s="25"/>
      <c r="AA33" s="7">
        <f t="shared" si="15"/>
        <v>38947.4058</v>
      </c>
      <c r="AB33" s="7">
        <f t="shared" si="16"/>
        <v>6325.4057999999995</v>
      </c>
      <c r="AC33" s="7">
        <f t="shared" si="17"/>
        <v>32622</v>
      </c>
      <c r="AD33" s="59">
        <f t="shared" si="18"/>
        <v>0</v>
      </c>
      <c r="AE33" s="59">
        <f t="shared" si="19"/>
        <v>0</v>
      </c>
      <c r="AF33" s="60">
        <f t="shared" si="20"/>
        <v>0</v>
      </c>
      <c r="AG33" s="60">
        <f t="shared" si="21"/>
        <v>32622</v>
      </c>
      <c r="AH33" s="7">
        <v>0</v>
      </c>
      <c r="AI33" s="7">
        <v>0</v>
      </c>
      <c r="AJ33" s="11" t="s">
        <v>1419</v>
      </c>
      <c r="AK33" s="61">
        <v>11793</v>
      </c>
      <c r="AL33" s="28"/>
      <c r="AM33" s="29"/>
    </row>
    <row r="34" spans="1:39" x14ac:dyDescent="0.2">
      <c r="A34" s="1" t="s">
        <v>1412</v>
      </c>
      <c r="B34" s="1"/>
      <c r="C34" s="1">
        <v>8245</v>
      </c>
      <c r="D34" s="62" t="s">
        <v>1592</v>
      </c>
      <c r="E34" s="3" t="s">
        <v>1593</v>
      </c>
      <c r="F34" s="3" t="s">
        <v>1594</v>
      </c>
      <c r="G34" s="3" t="s">
        <v>1417</v>
      </c>
      <c r="H34" s="3">
        <v>1979</v>
      </c>
      <c r="I34" s="3"/>
      <c r="J34" s="3" t="s">
        <v>1416</v>
      </c>
      <c r="K34" s="4" t="s">
        <v>1417</v>
      </c>
      <c r="L34" s="56" t="s">
        <v>1595</v>
      </c>
      <c r="M34" s="6">
        <v>190</v>
      </c>
      <c r="N34" s="57">
        <v>0.88</v>
      </c>
      <c r="O34" s="57">
        <v>0.89300000000000002</v>
      </c>
      <c r="P34" s="57">
        <v>0.84899999999999998</v>
      </c>
      <c r="Q34" s="57">
        <v>0.85499999999999998</v>
      </c>
      <c r="R34" s="7">
        <v>1447842</v>
      </c>
      <c r="S34" s="7">
        <v>1287451</v>
      </c>
      <c r="T34" s="7">
        <f t="shared" si="11"/>
        <v>430732.995</v>
      </c>
      <c r="U34" s="7">
        <v>816613</v>
      </c>
      <c r="V34" s="7">
        <f t="shared" si="12"/>
        <v>470838</v>
      </c>
      <c r="W34" s="7">
        <v>5760</v>
      </c>
      <c r="X34" s="58">
        <f t="shared" si="13"/>
        <v>0</v>
      </c>
      <c r="Y34" s="25">
        <f t="shared" si="14"/>
        <v>0</v>
      </c>
      <c r="Z34" s="25"/>
      <c r="AA34" s="7">
        <f t="shared" si="15"/>
        <v>1718183.9950000001</v>
      </c>
      <c r="AB34" s="7">
        <f t="shared" si="16"/>
        <v>430732.995</v>
      </c>
      <c r="AC34" s="7">
        <f t="shared" si="17"/>
        <v>1287451</v>
      </c>
      <c r="AD34" s="59">
        <f t="shared" si="18"/>
        <v>0</v>
      </c>
      <c r="AE34" s="59">
        <f t="shared" si="19"/>
        <v>0</v>
      </c>
      <c r="AF34" s="60">
        <f t="shared" si="20"/>
        <v>0</v>
      </c>
      <c r="AG34" s="60">
        <f t="shared" si="21"/>
        <v>1287451</v>
      </c>
      <c r="AH34" s="7">
        <v>0</v>
      </c>
      <c r="AI34" s="7">
        <v>0</v>
      </c>
      <c r="AJ34" s="11" t="s">
        <v>1419</v>
      </c>
      <c r="AK34" s="61">
        <v>1175747</v>
      </c>
      <c r="AL34" s="28"/>
      <c r="AM34" s="29"/>
    </row>
    <row r="35" spans="1:39" x14ac:dyDescent="0.2">
      <c r="A35" s="1" t="s">
        <v>1412</v>
      </c>
      <c r="B35" s="1"/>
      <c r="C35" s="1">
        <v>513</v>
      </c>
      <c r="D35" s="3" t="s">
        <v>1596</v>
      </c>
      <c r="E35" s="3" t="s">
        <v>1597</v>
      </c>
      <c r="F35" s="3" t="s">
        <v>1564</v>
      </c>
      <c r="G35" s="3" t="s">
        <v>1412</v>
      </c>
      <c r="H35" s="3">
        <v>1982</v>
      </c>
      <c r="I35" s="3"/>
      <c r="J35" s="3" t="s">
        <v>1416</v>
      </c>
      <c r="K35" s="4" t="s">
        <v>1417</v>
      </c>
      <c r="L35" s="56" t="s">
        <v>1598</v>
      </c>
      <c r="M35" s="6">
        <v>54</v>
      </c>
      <c r="N35" s="57">
        <v>0.78400000000000003</v>
      </c>
      <c r="O35" s="57">
        <v>0.78700000000000003</v>
      </c>
      <c r="P35" s="57">
        <v>0.83799999999999997</v>
      </c>
      <c r="Q35" s="57">
        <v>0.52</v>
      </c>
      <c r="R35" s="7">
        <v>449345</v>
      </c>
      <c r="S35" s="7">
        <v>411302</v>
      </c>
      <c r="T35" s="7">
        <f t="shared" si="11"/>
        <v>133680.13749999998</v>
      </c>
      <c r="U35" s="7">
        <v>301514</v>
      </c>
      <c r="V35" s="7">
        <f t="shared" si="12"/>
        <v>109788</v>
      </c>
      <c r="W35" s="7">
        <v>2575</v>
      </c>
      <c r="X35" s="58">
        <f t="shared" si="13"/>
        <v>0</v>
      </c>
      <c r="Y35" s="25">
        <f t="shared" si="14"/>
        <v>0</v>
      </c>
      <c r="Z35" s="25"/>
      <c r="AA35" s="7">
        <f t="shared" si="15"/>
        <v>544982.13749999995</v>
      </c>
      <c r="AB35" s="7">
        <f t="shared" si="16"/>
        <v>133680.13749999998</v>
      </c>
      <c r="AC35" s="7">
        <f t="shared" si="17"/>
        <v>411302</v>
      </c>
      <c r="AD35" s="59">
        <f t="shared" si="18"/>
        <v>0</v>
      </c>
      <c r="AE35" s="59">
        <f t="shared" si="19"/>
        <v>0</v>
      </c>
      <c r="AF35" s="60">
        <f t="shared" si="20"/>
        <v>0</v>
      </c>
      <c r="AG35" s="60">
        <f t="shared" si="21"/>
        <v>411302</v>
      </c>
      <c r="AH35" s="7">
        <v>0</v>
      </c>
      <c r="AI35" s="7">
        <v>0</v>
      </c>
      <c r="AJ35" s="3"/>
      <c r="AK35" s="3"/>
      <c r="AL35" s="55"/>
      <c r="AM35" s="29"/>
    </row>
    <row r="36" spans="1:39" x14ac:dyDescent="0.2">
      <c r="A36" s="1" t="s">
        <v>1412</v>
      </c>
      <c r="B36" s="1"/>
      <c r="C36" s="1">
        <v>516</v>
      </c>
      <c r="D36" s="3" t="s">
        <v>1599</v>
      </c>
      <c r="E36" s="3" t="s">
        <v>1600</v>
      </c>
      <c r="F36" s="3" t="s">
        <v>1508</v>
      </c>
      <c r="G36" s="3" t="s">
        <v>1412</v>
      </c>
      <c r="H36" s="3">
        <v>1976</v>
      </c>
      <c r="I36" s="3"/>
      <c r="J36" s="3" t="s">
        <v>1512</v>
      </c>
      <c r="K36" s="4" t="s">
        <v>1417</v>
      </c>
      <c r="L36" s="56" t="s">
        <v>1601</v>
      </c>
      <c r="M36" s="6">
        <v>41</v>
      </c>
      <c r="N36" s="57">
        <v>1</v>
      </c>
      <c r="O36" s="57">
        <v>1</v>
      </c>
      <c r="P36" s="57">
        <v>1</v>
      </c>
      <c r="Q36" s="57">
        <v>0.38100000000000001</v>
      </c>
      <c r="R36" s="7"/>
      <c r="S36" s="7">
        <v>460789</v>
      </c>
      <c r="T36" s="7">
        <f t="shared" si="11"/>
        <v>89346.987099999998</v>
      </c>
      <c r="U36" s="7">
        <v>127899</v>
      </c>
      <c r="V36" s="7">
        <f t="shared" si="12"/>
        <v>332890</v>
      </c>
      <c r="W36" s="7">
        <v>2300</v>
      </c>
      <c r="X36" s="58">
        <f t="shared" si="13"/>
        <v>0</v>
      </c>
      <c r="Y36" s="25">
        <f t="shared" si="14"/>
        <v>0</v>
      </c>
      <c r="Z36" s="25"/>
      <c r="AA36" s="7">
        <f t="shared" si="15"/>
        <v>550135.98710000003</v>
      </c>
      <c r="AB36" s="7">
        <f t="shared" si="16"/>
        <v>89346.987099999998</v>
      </c>
      <c r="AC36" s="7">
        <f t="shared" si="17"/>
        <v>460789</v>
      </c>
      <c r="AD36" s="59">
        <f t="shared" si="18"/>
        <v>0</v>
      </c>
      <c r="AE36" s="59">
        <f t="shared" si="19"/>
        <v>0</v>
      </c>
      <c r="AF36" s="60">
        <f t="shared" si="20"/>
        <v>0</v>
      </c>
      <c r="AG36" s="60">
        <f t="shared" si="21"/>
        <v>460789</v>
      </c>
      <c r="AH36" s="7">
        <v>0</v>
      </c>
      <c r="AI36" s="7">
        <v>0</v>
      </c>
      <c r="AJ36" s="3"/>
      <c r="AK36" s="3"/>
      <c r="AL36" s="28"/>
      <c r="AM36" s="29"/>
    </row>
    <row r="37" spans="1:39" x14ac:dyDescent="0.2">
      <c r="A37" s="1" t="s">
        <v>1412</v>
      </c>
      <c r="B37" s="1"/>
      <c r="C37" s="1">
        <v>4661</v>
      </c>
      <c r="D37" s="3" t="s">
        <v>1602</v>
      </c>
      <c r="E37" s="3" t="s">
        <v>1603</v>
      </c>
      <c r="F37" s="3" t="s">
        <v>1604</v>
      </c>
      <c r="G37" s="3" t="s">
        <v>1412</v>
      </c>
      <c r="H37" s="3">
        <v>1997</v>
      </c>
      <c r="I37" s="3"/>
      <c r="J37" s="3" t="s">
        <v>1416</v>
      </c>
      <c r="K37" s="4" t="s">
        <v>1412</v>
      </c>
      <c r="L37" s="56" t="s">
        <v>1605</v>
      </c>
      <c r="M37" s="6">
        <v>86</v>
      </c>
      <c r="N37" s="57">
        <v>0.92600000000000005</v>
      </c>
      <c r="O37" s="57">
        <v>0.94599999999999995</v>
      </c>
      <c r="P37" s="57">
        <v>0.92800000000000005</v>
      </c>
      <c r="Q37" s="57">
        <v>0.95199999999999996</v>
      </c>
      <c r="R37" s="7">
        <v>651334</v>
      </c>
      <c r="S37" s="7">
        <v>573614</v>
      </c>
      <c r="T37" s="7">
        <f t="shared" si="11"/>
        <v>193771.86499999999</v>
      </c>
      <c r="U37" s="7">
        <v>381153</v>
      </c>
      <c r="V37" s="7">
        <f t="shared" si="12"/>
        <v>192461</v>
      </c>
      <c r="W37" s="7">
        <v>3375</v>
      </c>
      <c r="X37" s="58">
        <f t="shared" si="13"/>
        <v>0</v>
      </c>
      <c r="Y37" s="25">
        <f t="shared" si="14"/>
        <v>0</v>
      </c>
      <c r="Z37" s="25"/>
      <c r="AA37" s="7">
        <f t="shared" si="15"/>
        <v>767385.86499999999</v>
      </c>
      <c r="AB37" s="7">
        <f t="shared" si="16"/>
        <v>193771.86499999999</v>
      </c>
      <c r="AC37" s="7">
        <f t="shared" si="17"/>
        <v>573614</v>
      </c>
      <c r="AD37" s="59">
        <f t="shared" si="18"/>
        <v>0</v>
      </c>
      <c r="AE37" s="59">
        <f t="shared" si="19"/>
        <v>0</v>
      </c>
      <c r="AF37" s="60">
        <f t="shared" si="20"/>
        <v>573614</v>
      </c>
      <c r="AG37" s="60">
        <f t="shared" si="21"/>
        <v>0</v>
      </c>
      <c r="AH37" s="7">
        <v>540000</v>
      </c>
      <c r="AI37" s="7">
        <v>321000</v>
      </c>
      <c r="AJ37" s="11" t="s">
        <v>1580</v>
      </c>
      <c r="AK37" s="61">
        <v>233286</v>
      </c>
      <c r="AL37" s="28"/>
      <c r="AM37" s="29"/>
    </row>
    <row r="38" spans="1:39" x14ac:dyDescent="0.2">
      <c r="A38" s="1" t="s">
        <v>1412</v>
      </c>
      <c r="B38" s="1"/>
      <c r="C38" s="1">
        <v>8250</v>
      </c>
      <c r="D38" s="3" t="s">
        <v>1606</v>
      </c>
      <c r="E38" s="3" t="s">
        <v>1607</v>
      </c>
      <c r="F38" s="3" t="s">
        <v>1608</v>
      </c>
      <c r="G38" s="3" t="s">
        <v>1412</v>
      </c>
      <c r="H38" s="3">
        <v>1971</v>
      </c>
      <c r="I38" s="3"/>
      <c r="J38" s="3" t="s">
        <v>1416</v>
      </c>
      <c r="K38" s="4" t="s">
        <v>1417</v>
      </c>
      <c r="L38" s="56" t="s">
        <v>0</v>
      </c>
      <c r="M38" s="6">
        <v>72</v>
      </c>
      <c r="N38" s="57">
        <v>0.749</v>
      </c>
      <c r="O38" s="57">
        <v>0.746</v>
      </c>
      <c r="P38" s="57">
        <v>0.69199999999999995</v>
      </c>
      <c r="Q38" s="57">
        <v>0.63200000000000001</v>
      </c>
      <c r="R38" s="7">
        <v>530152</v>
      </c>
      <c r="S38" s="7">
        <v>427690</v>
      </c>
      <c r="T38" s="7">
        <f t="shared" si="11"/>
        <v>157720.22</v>
      </c>
      <c r="U38" s="7">
        <v>213572</v>
      </c>
      <c r="V38" s="7">
        <f t="shared" si="12"/>
        <v>214118</v>
      </c>
      <c r="W38" s="7">
        <v>2692</v>
      </c>
      <c r="X38" s="58">
        <f t="shared" si="13"/>
        <v>0</v>
      </c>
      <c r="Y38" s="25">
        <f t="shared" si="14"/>
        <v>0</v>
      </c>
      <c r="Z38" s="25"/>
      <c r="AA38" s="7">
        <f t="shared" si="15"/>
        <v>585410.22</v>
      </c>
      <c r="AB38" s="7">
        <f t="shared" si="16"/>
        <v>157720.22</v>
      </c>
      <c r="AC38" s="7">
        <f t="shared" si="17"/>
        <v>427690</v>
      </c>
      <c r="AD38" s="59">
        <f t="shared" si="18"/>
        <v>0</v>
      </c>
      <c r="AE38" s="59">
        <f t="shared" si="19"/>
        <v>0</v>
      </c>
      <c r="AF38" s="60">
        <f t="shared" si="20"/>
        <v>0</v>
      </c>
      <c r="AG38" s="60">
        <f t="shared" si="21"/>
        <v>427690</v>
      </c>
      <c r="AH38" s="7">
        <v>0</v>
      </c>
      <c r="AI38" s="7">
        <v>0</v>
      </c>
      <c r="AJ38" s="3"/>
      <c r="AK38" s="3"/>
      <c r="AL38" s="55"/>
      <c r="AM38" s="29"/>
    </row>
    <row r="39" spans="1:39" x14ac:dyDescent="0.2">
      <c r="A39" s="1" t="s">
        <v>1412</v>
      </c>
      <c r="B39" s="1"/>
      <c r="C39" s="1">
        <v>8253</v>
      </c>
      <c r="D39" s="3" t="s">
        <v>1</v>
      </c>
      <c r="E39" s="3" t="s">
        <v>2</v>
      </c>
      <c r="F39" s="3" t="s">
        <v>1594</v>
      </c>
      <c r="G39" s="3" t="s">
        <v>1412</v>
      </c>
      <c r="H39" s="3">
        <v>1981</v>
      </c>
      <c r="I39" s="3"/>
      <c r="J39" s="3" t="s">
        <v>1416</v>
      </c>
      <c r="K39" s="4" t="s">
        <v>1412</v>
      </c>
      <c r="L39" s="56" t="s">
        <v>3</v>
      </c>
      <c r="M39" s="6">
        <v>77</v>
      </c>
      <c r="N39" s="57">
        <v>0.94399999999999995</v>
      </c>
      <c r="O39" s="57">
        <v>0.97499999999999998</v>
      </c>
      <c r="P39" s="57">
        <v>0.97799999999999998</v>
      </c>
      <c r="Q39" s="57">
        <v>0.90600000000000003</v>
      </c>
      <c r="R39" s="7">
        <v>540019</v>
      </c>
      <c r="S39" s="7">
        <v>625761</v>
      </c>
      <c r="T39" s="7">
        <f t="shared" si="11"/>
        <v>160655.6525</v>
      </c>
      <c r="U39" s="7">
        <v>361767</v>
      </c>
      <c r="V39" s="7">
        <f t="shared" si="12"/>
        <v>263994</v>
      </c>
      <c r="W39" s="7">
        <v>3224</v>
      </c>
      <c r="X39" s="58">
        <f t="shared" si="13"/>
        <v>0</v>
      </c>
      <c r="Y39" s="25">
        <f t="shared" si="14"/>
        <v>0</v>
      </c>
      <c r="Z39" s="25"/>
      <c r="AA39" s="7">
        <f t="shared" si="15"/>
        <v>786416.65249999997</v>
      </c>
      <c r="AB39" s="7">
        <f t="shared" si="16"/>
        <v>160655.6525</v>
      </c>
      <c r="AC39" s="7">
        <f t="shared" si="17"/>
        <v>625761</v>
      </c>
      <c r="AD39" s="59">
        <f t="shared" si="18"/>
        <v>0</v>
      </c>
      <c r="AE39" s="59">
        <f t="shared" si="19"/>
        <v>0</v>
      </c>
      <c r="AF39" s="60">
        <f t="shared" si="20"/>
        <v>625761</v>
      </c>
      <c r="AG39" s="60">
        <f t="shared" si="21"/>
        <v>0</v>
      </c>
      <c r="AH39" s="7">
        <v>589000</v>
      </c>
      <c r="AI39" s="7">
        <v>559000</v>
      </c>
      <c r="AJ39" s="11" t="s">
        <v>1419</v>
      </c>
      <c r="AK39" s="61">
        <v>467510</v>
      </c>
      <c r="AL39" s="28"/>
      <c r="AM39" s="29"/>
    </row>
    <row r="40" spans="1:39" x14ac:dyDescent="0.2">
      <c r="A40" s="1" t="s">
        <v>1412</v>
      </c>
      <c r="B40" s="1"/>
      <c r="C40" s="1">
        <v>8266</v>
      </c>
      <c r="D40" s="3" t="s">
        <v>4</v>
      </c>
      <c r="E40" s="3" t="s">
        <v>5</v>
      </c>
      <c r="F40" s="3" t="s">
        <v>1604</v>
      </c>
      <c r="G40" s="3" t="s">
        <v>1412</v>
      </c>
      <c r="H40" s="3">
        <v>1989</v>
      </c>
      <c r="I40" s="3"/>
      <c r="J40" s="3" t="s">
        <v>1512</v>
      </c>
      <c r="K40" s="4" t="s">
        <v>1417</v>
      </c>
      <c r="L40" s="56" t="s">
        <v>1605</v>
      </c>
      <c r="M40" s="6"/>
      <c r="N40" s="57">
        <v>1</v>
      </c>
      <c r="O40" s="57">
        <v>1</v>
      </c>
      <c r="P40" s="57">
        <v>0.94299999999999995</v>
      </c>
      <c r="Q40" s="57">
        <v>0.97699999999999998</v>
      </c>
      <c r="R40" s="7"/>
      <c r="S40" s="7">
        <v>296824</v>
      </c>
      <c r="T40" s="7">
        <f t="shared" si="11"/>
        <v>57554.173599999995</v>
      </c>
      <c r="U40" s="7">
        <v>235962</v>
      </c>
      <c r="V40" s="7">
        <f t="shared" si="12"/>
        <v>60862</v>
      </c>
      <c r="W40" s="7">
        <v>1500</v>
      </c>
      <c r="X40" s="58">
        <f t="shared" si="13"/>
        <v>0</v>
      </c>
      <c r="Y40" s="25">
        <f t="shared" si="14"/>
        <v>0</v>
      </c>
      <c r="Z40" s="25"/>
      <c r="AA40" s="7">
        <f t="shared" si="15"/>
        <v>354378.17359999998</v>
      </c>
      <c r="AB40" s="7">
        <f t="shared" si="16"/>
        <v>57554.173599999995</v>
      </c>
      <c r="AC40" s="7">
        <f t="shared" si="17"/>
        <v>296824</v>
      </c>
      <c r="AD40" s="59">
        <f t="shared" si="18"/>
        <v>0</v>
      </c>
      <c r="AE40" s="59">
        <f t="shared" si="19"/>
        <v>0</v>
      </c>
      <c r="AF40" s="60">
        <f t="shared" si="20"/>
        <v>0</v>
      </c>
      <c r="AG40" s="60">
        <f t="shared" si="21"/>
        <v>296824</v>
      </c>
      <c r="AH40" s="7">
        <v>0</v>
      </c>
      <c r="AI40" s="7">
        <v>0</v>
      </c>
      <c r="AJ40" s="11" t="s">
        <v>1419</v>
      </c>
      <c r="AK40" s="61">
        <v>67175</v>
      </c>
      <c r="AL40" s="28"/>
      <c r="AM40" s="29"/>
    </row>
    <row r="41" spans="1:39" x14ac:dyDescent="0.2">
      <c r="A41" s="1" t="s">
        <v>1412</v>
      </c>
      <c r="B41" s="1"/>
      <c r="C41" s="1">
        <v>9888</v>
      </c>
      <c r="D41" s="3" t="s">
        <v>6</v>
      </c>
      <c r="E41" s="3" t="s">
        <v>5</v>
      </c>
      <c r="F41" s="3" t="s">
        <v>1604</v>
      </c>
      <c r="G41" s="3" t="s">
        <v>1417</v>
      </c>
      <c r="H41" s="3">
        <v>1989</v>
      </c>
      <c r="I41" s="3"/>
      <c r="J41" s="3" t="s">
        <v>1416</v>
      </c>
      <c r="K41" s="4" t="s">
        <v>1412</v>
      </c>
      <c r="L41" s="56" t="s">
        <v>1605</v>
      </c>
      <c r="M41" s="6">
        <v>132</v>
      </c>
      <c r="N41" s="57">
        <v>0.85299999999999998</v>
      </c>
      <c r="O41" s="57">
        <v>0.85299999999999998</v>
      </c>
      <c r="P41" s="57">
        <v>0.83099999999999996</v>
      </c>
      <c r="Q41" s="57">
        <v>0.76100000000000001</v>
      </c>
      <c r="R41" s="7">
        <v>743297</v>
      </c>
      <c r="S41" s="7">
        <v>704428</v>
      </c>
      <c r="T41" s="7">
        <f t="shared" si="11"/>
        <v>221130.85749999998</v>
      </c>
      <c r="U41" s="7">
        <v>429463</v>
      </c>
      <c r="V41" s="7">
        <f t="shared" si="12"/>
        <v>274965</v>
      </c>
      <c r="W41" s="7">
        <v>3525</v>
      </c>
      <c r="X41" s="58">
        <f t="shared" si="13"/>
        <v>0</v>
      </c>
      <c r="Y41" s="25">
        <f t="shared" si="14"/>
        <v>0</v>
      </c>
      <c r="Z41" s="25"/>
      <c r="AA41" s="7">
        <f t="shared" si="15"/>
        <v>925558.85749999993</v>
      </c>
      <c r="AB41" s="7">
        <f t="shared" si="16"/>
        <v>221130.85749999998</v>
      </c>
      <c r="AC41" s="7">
        <f t="shared" si="17"/>
        <v>704428</v>
      </c>
      <c r="AD41" s="59">
        <f t="shared" si="18"/>
        <v>0</v>
      </c>
      <c r="AE41" s="59">
        <f t="shared" si="19"/>
        <v>0</v>
      </c>
      <c r="AF41" s="60">
        <f t="shared" si="20"/>
        <v>704428</v>
      </c>
      <c r="AG41" s="60">
        <f t="shared" si="21"/>
        <v>0</v>
      </c>
      <c r="AH41" s="7">
        <v>763000</v>
      </c>
      <c r="AI41" s="7">
        <v>589000</v>
      </c>
      <c r="AJ41" s="11" t="s">
        <v>1419</v>
      </c>
      <c r="AK41" s="61">
        <v>729283</v>
      </c>
      <c r="AL41" s="28"/>
      <c r="AM41" s="29"/>
    </row>
    <row r="42" spans="1:39" x14ac:dyDescent="0.2">
      <c r="A42" s="1" t="s">
        <v>1412</v>
      </c>
      <c r="B42" s="1" t="s">
        <v>1412</v>
      </c>
      <c r="C42" s="1">
        <v>511</v>
      </c>
      <c r="D42" s="62" t="s">
        <v>7</v>
      </c>
      <c r="E42" s="3" t="s">
        <v>1590</v>
      </c>
      <c r="F42" s="3" t="s">
        <v>1422</v>
      </c>
      <c r="G42" s="3" t="s">
        <v>1412</v>
      </c>
      <c r="H42" s="3">
        <v>1974</v>
      </c>
      <c r="I42" s="3"/>
      <c r="J42" s="3" t="s">
        <v>1416</v>
      </c>
      <c r="K42" s="4" t="s">
        <v>1412</v>
      </c>
      <c r="L42" s="56" t="s">
        <v>8</v>
      </c>
      <c r="M42" s="6">
        <v>146</v>
      </c>
      <c r="N42" s="57">
        <v>0.92400000000000004</v>
      </c>
      <c r="O42" s="57">
        <v>0.97199999999999998</v>
      </c>
      <c r="P42" s="57">
        <v>0.93300000000000005</v>
      </c>
      <c r="Q42" s="57">
        <v>0.89400000000000002</v>
      </c>
      <c r="R42" s="7">
        <v>1446933</v>
      </c>
      <c r="S42" s="7">
        <v>1168567</v>
      </c>
      <c r="T42" s="7">
        <f t="shared" si="11"/>
        <v>430462.5675</v>
      </c>
      <c r="U42" s="7">
        <v>793716</v>
      </c>
      <c r="V42" s="7">
        <f t="shared" si="12"/>
        <v>374851</v>
      </c>
      <c r="W42" s="7">
        <v>6000</v>
      </c>
      <c r="X42" s="58">
        <f t="shared" si="13"/>
        <v>991625.5675</v>
      </c>
      <c r="Y42" s="25">
        <f t="shared" si="14"/>
        <v>430462.5675</v>
      </c>
      <c r="Z42" s="25">
        <v>561163</v>
      </c>
      <c r="AA42" s="7">
        <f t="shared" si="15"/>
        <v>607404</v>
      </c>
      <c r="AB42" s="7">
        <f t="shared" si="16"/>
        <v>0</v>
      </c>
      <c r="AC42" s="7">
        <f t="shared" si="17"/>
        <v>607404</v>
      </c>
      <c r="AD42" s="59">
        <f t="shared" si="18"/>
        <v>561163</v>
      </c>
      <c r="AE42" s="59">
        <f t="shared" si="19"/>
        <v>0</v>
      </c>
      <c r="AF42" s="60">
        <f t="shared" si="20"/>
        <v>607404</v>
      </c>
      <c r="AG42" s="60">
        <f t="shared" si="21"/>
        <v>0</v>
      </c>
      <c r="AH42" s="7">
        <v>1182000</v>
      </c>
      <c r="AI42" s="7">
        <v>990000</v>
      </c>
      <c r="AJ42" s="11" t="s">
        <v>1419</v>
      </c>
      <c r="AK42" s="61">
        <v>813939</v>
      </c>
      <c r="AL42" s="55"/>
      <c r="AM42" s="29"/>
    </row>
    <row r="43" spans="1:39" x14ac:dyDescent="0.2">
      <c r="A43" s="1" t="s">
        <v>1412</v>
      </c>
      <c r="B43" s="1"/>
      <c r="C43" s="1">
        <v>564</v>
      </c>
      <c r="D43" s="62" t="s">
        <v>9</v>
      </c>
      <c r="E43" s="3" t="s">
        <v>1563</v>
      </c>
      <c r="F43" s="3" t="s">
        <v>1564</v>
      </c>
      <c r="G43" s="3" t="s">
        <v>1417</v>
      </c>
      <c r="H43" s="3">
        <v>1995</v>
      </c>
      <c r="I43" s="3"/>
      <c r="J43" s="3" t="s">
        <v>1416</v>
      </c>
      <c r="K43" s="4" t="s">
        <v>1412</v>
      </c>
      <c r="L43" s="5" t="s">
        <v>1565</v>
      </c>
      <c r="M43" s="6">
        <v>90</v>
      </c>
      <c r="N43" s="57">
        <v>0.96099999999999997</v>
      </c>
      <c r="O43" s="57">
        <v>0.94599999999999995</v>
      </c>
      <c r="P43" s="57">
        <v>0.96199999999999997</v>
      </c>
      <c r="Q43" s="57">
        <v>0.94399999999999995</v>
      </c>
      <c r="R43" s="7">
        <v>1126844</v>
      </c>
      <c r="S43" s="7">
        <v>789933</v>
      </c>
      <c r="T43" s="7">
        <f t="shared" si="11"/>
        <v>335236.08999999997</v>
      </c>
      <c r="U43" s="7">
        <v>350000</v>
      </c>
      <c r="V43" s="7">
        <f t="shared" si="12"/>
        <v>439933</v>
      </c>
      <c r="W43" s="7">
        <v>3000</v>
      </c>
      <c r="X43" s="58">
        <f t="shared" si="13"/>
        <v>0</v>
      </c>
      <c r="Y43" s="25">
        <f t="shared" si="14"/>
        <v>0</v>
      </c>
      <c r="Z43" s="8"/>
      <c r="AA43" s="7">
        <f t="shared" si="15"/>
        <v>1125169.0899999999</v>
      </c>
      <c r="AB43" s="7">
        <f t="shared" si="16"/>
        <v>335236.08999999997</v>
      </c>
      <c r="AC43" s="7">
        <f t="shared" si="17"/>
        <v>789933</v>
      </c>
      <c r="AD43" s="59">
        <f t="shared" si="18"/>
        <v>0</v>
      </c>
      <c r="AE43" s="59">
        <f t="shared" si="19"/>
        <v>0</v>
      </c>
      <c r="AF43" s="60">
        <f t="shared" si="20"/>
        <v>789933</v>
      </c>
      <c r="AG43" s="60">
        <f t="shared" si="21"/>
        <v>0</v>
      </c>
      <c r="AH43" s="7">
        <v>794000</v>
      </c>
      <c r="AI43" s="7">
        <v>652000</v>
      </c>
      <c r="AJ43" s="62"/>
      <c r="AK43" s="62"/>
      <c r="AL43" s="28"/>
      <c r="AM43" s="29"/>
    </row>
    <row r="44" spans="1:39" x14ac:dyDescent="0.2">
      <c r="A44" s="1" t="s">
        <v>10</v>
      </c>
      <c r="B44" s="1" t="s">
        <v>1412</v>
      </c>
      <c r="C44" s="1">
        <v>526</v>
      </c>
      <c r="D44" s="65" t="s">
        <v>11</v>
      </c>
      <c r="E44" s="63" t="s">
        <v>1563</v>
      </c>
      <c r="F44" s="3"/>
      <c r="G44" s="3" t="s">
        <v>1417</v>
      </c>
      <c r="H44" s="3">
        <v>1985</v>
      </c>
      <c r="I44" s="3"/>
      <c r="J44" s="3" t="s">
        <v>1416</v>
      </c>
      <c r="K44" s="4" t="s">
        <v>1412</v>
      </c>
      <c r="L44" s="56" t="s">
        <v>1565</v>
      </c>
      <c r="M44" s="6">
        <v>10</v>
      </c>
      <c r="N44" s="57">
        <v>0.55000000000000004</v>
      </c>
      <c r="O44" s="57">
        <v>0.55000000000000004</v>
      </c>
      <c r="P44" s="57">
        <v>0.53600000000000003</v>
      </c>
      <c r="Q44" s="57">
        <v>0.77700000000000002</v>
      </c>
      <c r="R44" s="7"/>
      <c r="S44" s="7">
        <v>69958</v>
      </c>
      <c r="T44" s="7">
        <f t="shared" si="11"/>
        <v>24373.367200000001</v>
      </c>
      <c r="U44" s="7">
        <v>0</v>
      </c>
      <c r="V44" s="7">
        <f t="shared" si="12"/>
        <v>69958</v>
      </c>
      <c r="W44" s="7"/>
      <c r="X44" s="58">
        <f t="shared" si="13"/>
        <v>161979.36720000001</v>
      </c>
      <c r="Y44" s="25">
        <f t="shared" si="14"/>
        <v>24373.367200000001</v>
      </c>
      <c r="Z44" s="25">
        <v>137606</v>
      </c>
      <c r="AA44" s="7">
        <f t="shared" si="15"/>
        <v>-67648</v>
      </c>
      <c r="AB44" s="7">
        <f t="shared" si="16"/>
        <v>0</v>
      </c>
      <c r="AC44" s="7">
        <f t="shared" si="17"/>
        <v>-67648</v>
      </c>
      <c r="AD44" s="59">
        <f t="shared" si="18"/>
        <v>137606</v>
      </c>
      <c r="AE44" s="59">
        <f t="shared" si="19"/>
        <v>0</v>
      </c>
      <c r="AF44" s="60">
        <f t="shared" si="20"/>
        <v>-67648</v>
      </c>
      <c r="AG44" s="60">
        <f t="shared" si="21"/>
        <v>0</v>
      </c>
      <c r="AH44" s="7">
        <v>47000</v>
      </c>
      <c r="AI44" s="7">
        <v>39000</v>
      </c>
      <c r="AJ44" s="65"/>
      <c r="AK44" s="65"/>
      <c r="AL44" s="8"/>
      <c r="AM44" s="8"/>
    </row>
    <row r="45" spans="1:39" x14ac:dyDescent="0.2">
      <c r="A45" s="1" t="s">
        <v>1412</v>
      </c>
      <c r="B45" s="1"/>
      <c r="C45" s="1">
        <v>548</v>
      </c>
      <c r="D45" s="3" t="s">
        <v>12</v>
      </c>
      <c r="E45" s="3" t="s">
        <v>13</v>
      </c>
      <c r="F45" s="3" t="s">
        <v>1608</v>
      </c>
      <c r="G45" s="3" t="s">
        <v>1417</v>
      </c>
      <c r="H45" s="3">
        <v>1993</v>
      </c>
      <c r="I45" s="3"/>
      <c r="J45" s="3" t="s">
        <v>1512</v>
      </c>
      <c r="K45" s="4"/>
      <c r="L45" s="56" t="s">
        <v>14</v>
      </c>
      <c r="M45" s="6"/>
      <c r="N45" s="57">
        <v>0.93799999999999994</v>
      </c>
      <c r="O45" s="57">
        <v>0.95199999999999996</v>
      </c>
      <c r="P45" s="57">
        <v>0.996</v>
      </c>
      <c r="Q45" s="57">
        <v>0.97299999999999998</v>
      </c>
      <c r="R45" s="7"/>
      <c r="S45" s="7">
        <v>261206</v>
      </c>
      <c r="T45" s="7">
        <f t="shared" si="11"/>
        <v>50647.843399999998</v>
      </c>
      <c r="U45" s="7">
        <v>206680</v>
      </c>
      <c r="V45" s="7">
        <f t="shared" si="12"/>
        <v>54526</v>
      </c>
      <c r="W45" s="7">
        <v>1262</v>
      </c>
      <c r="X45" s="58">
        <f t="shared" si="13"/>
        <v>0</v>
      </c>
      <c r="Y45" s="25">
        <f t="shared" si="14"/>
        <v>0</v>
      </c>
      <c r="Z45" s="25"/>
      <c r="AA45" s="7">
        <f t="shared" si="15"/>
        <v>311853.84340000001</v>
      </c>
      <c r="AB45" s="7">
        <f t="shared" si="16"/>
        <v>50647.843399999998</v>
      </c>
      <c r="AC45" s="7">
        <f t="shared" si="17"/>
        <v>261206</v>
      </c>
      <c r="AD45" s="59">
        <f t="shared" si="18"/>
        <v>0</v>
      </c>
      <c r="AE45" s="59">
        <f t="shared" si="19"/>
        <v>0</v>
      </c>
      <c r="AF45" s="60">
        <f t="shared" si="20"/>
        <v>0</v>
      </c>
      <c r="AG45" s="60">
        <f t="shared" si="21"/>
        <v>261206</v>
      </c>
      <c r="AH45" s="7">
        <v>0</v>
      </c>
      <c r="AI45" s="7">
        <v>0</v>
      </c>
      <c r="AJ45" s="3"/>
      <c r="AK45" s="3"/>
      <c r="AL45" s="55"/>
      <c r="AM45" s="29"/>
    </row>
    <row r="46" spans="1:39" x14ac:dyDescent="0.2">
      <c r="A46" s="1" t="s">
        <v>1412</v>
      </c>
      <c r="B46" s="1"/>
      <c r="C46" s="1">
        <v>514</v>
      </c>
      <c r="D46" s="3" t="s">
        <v>15</v>
      </c>
      <c r="E46" s="3" t="s">
        <v>16</v>
      </c>
      <c r="F46" s="3" t="s">
        <v>1608</v>
      </c>
      <c r="G46" s="3" t="s">
        <v>1412</v>
      </c>
      <c r="H46" s="3">
        <v>1984</v>
      </c>
      <c r="I46" s="3"/>
      <c r="J46" s="3" t="s">
        <v>1512</v>
      </c>
      <c r="K46" s="4" t="s">
        <v>1417</v>
      </c>
      <c r="L46" s="56" t="s">
        <v>14</v>
      </c>
      <c r="M46" s="6">
        <v>21</v>
      </c>
      <c r="N46" s="57">
        <v>0.57299999999999995</v>
      </c>
      <c r="O46" s="57">
        <v>0.51700000000000002</v>
      </c>
      <c r="P46" s="57">
        <v>0.83799999999999997</v>
      </c>
      <c r="Q46" s="57">
        <v>0.93600000000000005</v>
      </c>
      <c r="R46" s="7"/>
      <c r="S46" s="7">
        <v>248323</v>
      </c>
      <c r="T46" s="7">
        <f t="shared" si="11"/>
        <v>48149.829699999995</v>
      </c>
      <c r="U46" s="7">
        <v>179123</v>
      </c>
      <c r="V46" s="7">
        <f t="shared" si="12"/>
        <v>69200</v>
      </c>
      <c r="W46" s="7">
        <v>1260</v>
      </c>
      <c r="X46" s="58">
        <f t="shared" si="13"/>
        <v>0</v>
      </c>
      <c r="Y46" s="25">
        <f t="shared" si="14"/>
        <v>0</v>
      </c>
      <c r="Z46" s="25"/>
      <c r="AA46" s="7">
        <f t="shared" si="15"/>
        <v>296472.8297</v>
      </c>
      <c r="AB46" s="7">
        <f t="shared" si="16"/>
        <v>48149.829699999995</v>
      </c>
      <c r="AC46" s="7">
        <f t="shared" si="17"/>
        <v>248323</v>
      </c>
      <c r="AD46" s="59">
        <f t="shared" si="18"/>
        <v>0</v>
      </c>
      <c r="AE46" s="59">
        <f t="shared" si="19"/>
        <v>0</v>
      </c>
      <c r="AF46" s="60">
        <f t="shared" si="20"/>
        <v>0</v>
      </c>
      <c r="AG46" s="60">
        <f t="shared" si="21"/>
        <v>248323</v>
      </c>
      <c r="AH46" s="7">
        <v>0</v>
      </c>
      <c r="AI46" s="7">
        <v>0</v>
      </c>
      <c r="AJ46" s="3"/>
      <c r="AK46" s="3"/>
      <c r="AL46" s="28"/>
      <c r="AM46" s="29"/>
    </row>
    <row r="47" spans="1:39" x14ac:dyDescent="0.2">
      <c r="A47" s="1" t="s">
        <v>1412</v>
      </c>
      <c r="B47" s="1"/>
      <c r="C47" s="1">
        <v>540</v>
      </c>
      <c r="D47" s="64" t="s">
        <v>17</v>
      </c>
      <c r="E47" s="3" t="s">
        <v>18</v>
      </c>
      <c r="F47" s="3" t="s">
        <v>1564</v>
      </c>
      <c r="G47" s="3" t="s">
        <v>1412</v>
      </c>
      <c r="H47" s="3">
        <v>1965</v>
      </c>
      <c r="I47" s="3"/>
      <c r="J47" s="3" t="s">
        <v>1416</v>
      </c>
      <c r="K47" s="4" t="s">
        <v>1412</v>
      </c>
      <c r="L47" s="56" t="s">
        <v>19</v>
      </c>
      <c r="M47" s="6">
        <v>101</v>
      </c>
      <c r="N47" s="57">
        <v>0.91300000000000003</v>
      </c>
      <c r="O47" s="57">
        <v>0.91800000000000004</v>
      </c>
      <c r="P47" s="57">
        <v>0.85799999999999998</v>
      </c>
      <c r="Q47" s="57">
        <v>0.86099999999999999</v>
      </c>
      <c r="R47" s="7">
        <v>812507</v>
      </c>
      <c r="S47" s="7">
        <v>695116</v>
      </c>
      <c r="T47" s="7">
        <f t="shared" si="11"/>
        <v>241720.83249999999</v>
      </c>
      <c r="U47" s="7">
        <v>440253</v>
      </c>
      <c r="V47" s="7">
        <f t="shared" si="12"/>
        <v>254863</v>
      </c>
      <c r="W47" s="7">
        <v>3568</v>
      </c>
      <c r="X47" s="58">
        <f t="shared" si="13"/>
        <v>0</v>
      </c>
      <c r="Y47" s="25">
        <f t="shared" si="14"/>
        <v>0</v>
      </c>
      <c r="Z47" s="25"/>
      <c r="AA47" s="7">
        <f t="shared" si="15"/>
        <v>936836.83250000002</v>
      </c>
      <c r="AB47" s="7">
        <f t="shared" si="16"/>
        <v>241720.83249999999</v>
      </c>
      <c r="AC47" s="7">
        <f t="shared" si="17"/>
        <v>695116</v>
      </c>
      <c r="AD47" s="59">
        <f t="shared" si="18"/>
        <v>0</v>
      </c>
      <c r="AE47" s="59">
        <f t="shared" si="19"/>
        <v>0</v>
      </c>
      <c r="AF47" s="60">
        <f t="shared" si="20"/>
        <v>695116</v>
      </c>
      <c r="AG47" s="60">
        <f t="shared" si="21"/>
        <v>0</v>
      </c>
      <c r="AH47" s="7">
        <v>341000</v>
      </c>
      <c r="AI47" s="7">
        <v>282000</v>
      </c>
      <c r="AJ47" s="64"/>
      <c r="AK47" s="64"/>
      <c r="AL47" s="28"/>
      <c r="AM47" s="29"/>
    </row>
    <row r="48" spans="1:39" x14ac:dyDescent="0.2">
      <c r="A48" s="1" t="s">
        <v>1412</v>
      </c>
      <c r="B48" s="1"/>
      <c r="C48" s="1">
        <v>8262</v>
      </c>
      <c r="D48" s="3" t="s">
        <v>20</v>
      </c>
      <c r="E48" s="3" t="s">
        <v>21</v>
      </c>
      <c r="F48" s="3" t="s">
        <v>22</v>
      </c>
      <c r="G48" s="3" t="s">
        <v>1412</v>
      </c>
      <c r="H48" s="3">
        <v>1987</v>
      </c>
      <c r="I48" s="3"/>
      <c r="J48" s="3" t="s">
        <v>1416</v>
      </c>
      <c r="K48" s="4" t="s">
        <v>1417</v>
      </c>
      <c r="L48" s="56" t="s">
        <v>23</v>
      </c>
      <c r="M48" s="6">
        <v>105</v>
      </c>
      <c r="N48" s="57">
        <v>0.96</v>
      </c>
      <c r="O48" s="57">
        <v>0.96</v>
      </c>
      <c r="P48" s="57">
        <v>0.88700000000000001</v>
      </c>
      <c r="Q48" s="57">
        <v>0.86599999999999999</v>
      </c>
      <c r="R48" s="7">
        <v>796952</v>
      </c>
      <c r="S48" s="7">
        <v>754287</v>
      </c>
      <c r="T48" s="7">
        <f t="shared" si="11"/>
        <v>237093.22</v>
      </c>
      <c r="U48" s="7">
        <v>431052</v>
      </c>
      <c r="V48" s="7">
        <f t="shared" si="12"/>
        <v>323235</v>
      </c>
      <c r="W48" s="7">
        <v>4914</v>
      </c>
      <c r="X48" s="58">
        <f t="shared" si="13"/>
        <v>0</v>
      </c>
      <c r="Y48" s="25">
        <f t="shared" si="14"/>
        <v>0</v>
      </c>
      <c r="Z48" s="25"/>
      <c r="AA48" s="7">
        <f t="shared" si="15"/>
        <v>991380.22</v>
      </c>
      <c r="AB48" s="7">
        <f t="shared" si="16"/>
        <v>237093.22</v>
      </c>
      <c r="AC48" s="7">
        <f t="shared" si="17"/>
        <v>754287</v>
      </c>
      <c r="AD48" s="59">
        <f t="shared" si="18"/>
        <v>0</v>
      </c>
      <c r="AE48" s="59">
        <f t="shared" si="19"/>
        <v>0</v>
      </c>
      <c r="AF48" s="60">
        <f t="shared" si="20"/>
        <v>0</v>
      </c>
      <c r="AG48" s="60">
        <f t="shared" si="21"/>
        <v>754287</v>
      </c>
      <c r="AH48" s="7">
        <v>0</v>
      </c>
      <c r="AI48" s="7">
        <v>0</v>
      </c>
      <c r="AJ48" s="11" t="s">
        <v>1419</v>
      </c>
      <c r="AK48" s="61">
        <v>539112</v>
      </c>
      <c r="AL48" s="28"/>
      <c r="AM48" s="29"/>
    </row>
    <row r="49" spans="1:39" x14ac:dyDescent="0.2">
      <c r="A49" s="1" t="s">
        <v>1412</v>
      </c>
      <c r="B49" s="1"/>
      <c r="C49" s="1">
        <v>9862</v>
      </c>
      <c r="D49" s="3" t="s">
        <v>24</v>
      </c>
      <c r="E49" s="3" t="s">
        <v>25</v>
      </c>
      <c r="F49" s="3" t="s">
        <v>1525</v>
      </c>
      <c r="G49" s="3" t="s">
        <v>1417</v>
      </c>
      <c r="H49" s="3">
        <v>1984</v>
      </c>
      <c r="I49" s="3"/>
      <c r="J49" s="3" t="s">
        <v>1416</v>
      </c>
      <c r="K49" s="4" t="s">
        <v>1417</v>
      </c>
      <c r="L49" s="56" t="s">
        <v>1552</v>
      </c>
      <c r="M49" s="6">
        <v>149</v>
      </c>
      <c r="N49" s="57">
        <v>0.871</v>
      </c>
      <c r="O49" s="57">
        <v>0.9</v>
      </c>
      <c r="P49" s="57">
        <v>0.84399999999999997</v>
      </c>
      <c r="Q49" s="57">
        <v>0.86299999999999999</v>
      </c>
      <c r="R49" s="7">
        <v>1101419</v>
      </c>
      <c r="S49" s="7">
        <v>942563</v>
      </c>
      <c r="T49" s="7">
        <f t="shared" si="11"/>
        <v>327672.15249999997</v>
      </c>
      <c r="U49" s="7">
        <v>648144</v>
      </c>
      <c r="V49" s="7">
        <f t="shared" si="12"/>
        <v>294419</v>
      </c>
      <c r="W49" s="7">
        <v>4683</v>
      </c>
      <c r="X49" s="58">
        <f t="shared" si="13"/>
        <v>0</v>
      </c>
      <c r="Y49" s="25">
        <f t="shared" si="14"/>
        <v>0</v>
      </c>
      <c r="Z49" s="25"/>
      <c r="AA49" s="7">
        <f t="shared" si="15"/>
        <v>1270235.1524999999</v>
      </c>
      <c r="AB49" s="7">
        <f t="shared" si="16"/>
        <v>327672.15249999997</v>
      </c>
      <c r="AC49" s="7">
        <f t="shared" si="17"/>
        <v>942563</v>
      </c>
      <c r="AD49" s="59">
        <f t="shared" si="18"/>
        <v>0</v>
      </c>
      <c r="AE49" s="59">
        <f t="shared" si="19"/>
        <v>0</v>
      </c>
      <c r="AF49" s="60">
        <f t="shared" si="20"/>
        <v>0</v>
      </c>
      <c r="AG49" s="60">
        <f t="shared" si="21"/>
        <v>942563</v>
      </c>
      <c r="AH49" s="7">
        <v>0</v>
      </c>
      <c r="AI49" s="7">
        <v>0</v>
      </c>
      <c r="AJ49" s="11" t="s">
        <v>1419</v>
      </c>
      <c r="AK49" s="61">
        <v>871547</v>
      </c>
      <c r="AL49" s="55"/>
      <c r="AM49" s="29"/>
    </row>
    <row r="50" spans="1:39" x14ac:dyDescent="0.2">
      <c r="A50" s="1" t="s">
        <v>1412</v>
      </c>
      <c r="B50" s="1"/>
      <c r="C50" s="1">
        <v>552</v>
      </c>
      <c r="D50" s="64" t="s">
        <v>26</v>
      </c>
      <c r="E50" s="3" t="s">
        <v>27</v>
      </c>
      <c r="F50" s="3" t="s">
        <v>1525</v>
      </c>
      <c r="G50" s="3" t="s">
        <v>1412</v>
      </c>
      <c r="H50" s="3">
        <v>1971</v>
      </c>
      <c r="I50" s="3"/>
      <c r="J50" s="3" t="s">
        <v>1416</v>
      </c>
      <c r="K50" s="4"/>
      <c r="L50" s="5" t="s">
        <v>28</v>
      </c>
      <c r="M50" s="6"/>
      <c r="N50" s="57">
        <v>0.88600000000000001</v>
      </c>
      <c r="O50" s="57">
        <v>0.90900000000000003</v>
      </c>
      <c r="P50" s="57">
        <v>0.90300000000000002</v>
      </c>
      <c r="Q50" s="57">
        <v>0.90500000000000003</v>
      </c>
      <c r="R50" s="7">
        <v>988224</v>
      </c>
      <c r="S50" s="7">
        <v>853145</v>
      </c>
      <c r="T50" s="7">
        <f t="shared" si="11"/>
        <v>293996.64</v>
      </c>
      <c r="U50" s="7">
        <v>497632</v>
      </c>
      <c r="V50" s="7">
        <f t="shared" si="12"/>
        <v>355513</v>
      </c>
      <c r="W50" s="7">
        <v>5500</v>
      </c>
      <c r="X50" s="58">
        <f t="shared" si="13"/>
        <v>0</v>
      </c>
      <c r="Y50" s="25">
        <f t="shared" si="14"/>
        <v>0</v>
      </c>
      <c r="Z50" s="8"/>
      <c r="AA50" s="7">
        <f t="shared" si="15"/>
        <v>1147141.6400000001</v>
      </c>
      <c r="AB50" s="7">
        <f t="shared" si="16"/>
        <v>293996.64</v>
      </c>
      <c r="AC50" s="7">
        <f t="shared" si="17"/>
        <v>853145</v>
      </c>
      <c r="AD50" s="59">
        <f t="shared" si="18"/>
        <v>0</v>
      </c>
      <c r="AE50" s="59">
        <f t="shared" si="19"/>
        <v>0</v>
      </c>
      <c r="AF50" s="60">
        <f t="shared" si="20"/>
        <v>0</v>
      </c>
      <c r="AG50" s="60">
        <f t="shared" si="21"/>
        <v>853145</v>
      </c>
      <c r="AH50" s="7">
        <v>0</v>
      </c>
      <c r="AI50" s="7">
        <v>0</v>
      </c>
      <c r="AJ50" s="11" t="s">
        <v>1419</v>
      </c>
      <c r="AK50" s="61">
        <v>645066</v>
      </c>
      <c r="AL50" s="8"/>
      <c r="AM50" s="8"/>
    </row>
    <row r="51" spans="1:39" x14ac:dyDescent="0.2">
      <c r="A51" s="1" t="s">
        <v>10</v>
      </c>
      <c r="B51" s="1" t="s">
        <v>1412</v>
      </c>
      <c r="C51" s="1">
        <v>549</v>
      </c>
      <c r="D51" s="62" t="s">
        <v>29</v>
      </c>
      <c r="E51" s="3" t="s">
        <v>30</v>
      </c>
      <c r="F51" s="3" t="s">
        <v>31</v>
      </c>
      <c r="G51" s="3" t="s">
        <v>1412</v>
      </c>
      <c r="H51" s="3">
        <v>1996</v>
      </c>
      <c r="I51" s="3"/>
      <c r="J51" s="3" t="s">
        <v>1416</v>
      </c>
      <c r="K51" s="4" t="s">
        <v>1412</v>
      </c>
      <c r="L51" s="56" t="s">
        <v>32</v>
      </c>
      <c r="M51" s="6">
        <v>120</v>
      </c>
      <c r="N51" s="57">
        <v>0.878</v>
      </c>
      <c r="O51" s="57">
        <v>0.878</v>
      </c>
      <c r="P51" s="57">
        <v>0.90300000000000002</v>
      </c>
      <c r="Q51" s="57">
        <v>0.90500000000000003</v>
      </c>
      <c r="R51" s="7">
        <v>1134980</v>
      </c>
      <c r="S51" s="7">
        <v>1039720</v>
      </c>
      <c r="T51" s="7">
        <f t="shared" si="11"/>
        <v>337656.55</v>
      </c>
      <c r="U51" s="7">
        <v>631556</v>
      </c>
      <c r="V51" s="7">
        <f t="shared" si="12"/>
        <v>408164</v>
      </c>
      <c r="W51" s="7">
        <v>4800</v>
      </c>
      <c r="X51" s="58">
        <f t="shared" si="13"/>
        <v>730156.55</v>
      </c>
      <c r="Y51" s="25">
        <f t="shared" si="14"/>
        <v>337656.55</v>
      </c>
      <c r="Z51" s="25">
        <v>392500</v>
      </c>
      <c r="AA51" s="7">
        <f t="shared" si="15"/>
        <v>647220</v>
      </c>
      <c r="AB51" s="7">
        <f t="shared" si="16"/>
        <v>0</v>
      </c>
      <c r="AC51" s="7">
        <f t="shared" si="17"/>
        <v>647220</v>
      </c>
      <c r="AD51" s="59">
        <f t="shared" si="18"/>
        <v>392500</v>
      </c>
      <c r="AE51" s="59">
        <f t="shared" si="19"/>
        <v>0</v>
      </c>
      <c r="AF51" s="60">
        <f t="shared" si="20"/>
        <v>647220</v>
      </c>
      <c r="AG51" s="60">
        <f t="shared" si="21"/>
        <v>0</v>
      </c>
      <c r="AH51" s="7">
        <v>1026000</v>
      </c>
      <c r="AI51" s="7">
        <v>475000</v>
      </c>
      <c r="AJ51" s="11" t="s">
        <v>1419</v>
      </c>
      <c r="AK51" s="61">
        <v>858272</v>
      </c>
      <c r="AL51" s="55"/>
      <c r="AM51" s="29"/>
    </row>
    <row r="52" spans="1:39" x14ac:dyDescent="0.2">
      <c r="A52" s="1"/>
      <c r="B52" s="1" t="s">
        <v>1412</v>
      </c>
      <c r="C52" s="1">
        <v>7320</v>
      </c>
      <c r="D52" s="66" t="s">
        <v>33</v>
      </c>
      <c r="E52" s="3"/>
      <c r="F52" s="3"/>
      <c r="G52" s="3" t="s">
        <v>1417</v>
      </c>
      <c r="H52" s="3"/>
      <c r="I52" s="3"/>
      <c r="J52" s="3"/>
      <c r="K52" s="4"/>
      <c r="L52" s="56"/>
      <c r="M52" s="6"/>
      <c r="N52" s="57"/>
      <c r="O52" s="57"/>
      <c r="P52" s="57"/>
      <c r="Q52" s="57"/>
      <c r="R52" s="7"/>
      <c r="S52" s="7"/>
      <c r="T52" s="7"/>
      <c r="U52" s="7"/>
      <c r="V52" s="7"/>
      <c r="W52" s="7"/>
      <c r="X52" s="58"/>
      <c r="Y52" s="25"/>
      <c r="Z52" s="25"/>
      <c r="AA52" s="7"/>
      <c r="AB52" s="7"/>
      <c r="AC52" s="7"/>
      <c r="AD52" s="59"/>
      <c r="AE52" s="59"/>
      <c r="AF52" s="60"/>
      <c r="AG52" s="60"/>
      <c r="AH52" s="7">
        <v>0</v>
      </c>
      <c r="AI52" s="7">
        <v>0</v>
      </c>
      <c r="AK52" s="61"/>
      <c r="AL52" s="55"/>
      <c r="AM52" s="29"/>
    </row>
    <row r="53" spans="1:39" x14ac:dyDescent="0.2">
      <c r="A53" s="1" t="s">
        <v>10</v>
      </c>
      <c r="B53" s="1" t="s">
        <v>1412</v>
      </c>
      <c r="C53" s="1">
        <v>2315</v>
      </c>
      <c r="D53" s="3" t="s">
        <v>34</v>
      </c>
      <c r="E53" s="3" t="s">
        <v>35</v>
      </c>
      <c r="F53" s="3" t="s">
        <v>1415</v>
      </c>
      <c r="G53" s="3" t="s">
        <v>1412</v>
      </c>
      <c r="H53" s="3">
        <v>1977</v>
      </c>
      <c r="I53" s="3"/>
      <c r="J53" s="3" t="s">
        <v>1512</v>
      </c>
      <c r="K53" s="4"/>
      <c r="L53" s="56" t="s">
        <v>36</v>
      </c>
      <c r="M53" s="6">
        <v>23</v>
      </c>
      <c r="N53" s="57">
        <v>0.79600000000000004</v>
      </c>
      <c r="O53" s="57">
        <v>0.77700000000000002</v>
      </c>
      <c r="P53" s="57">
        <v>0.80800000000000005</v>
      </c>
      <c r="Q53" s="57">
        <v>1</v>
      </c>
      <c r="R53" s="7"/>
      <c r="S53" s="7">
        <v>423531</v>
      </c>
      <c r="T53" s="7">
        <f t="shared" ref="T53:T64" si="22">IF(J53="regional",IF(R53&gt;0,R53*0.2975,S53*0.3484),S53*0.1939)</f>
        <v>82122.660900000003</v>
      </c>
      <c r="U53" s="7">
        <v>320402</v>
      </c>
      <c r="V53" s="7">
        <f t="shared" ref="V53:V64" si="23">S53-U53</f>
        <v>103129</v>
      </c>
      <c r="W53" s="7">
        <v>1487</v>
      </c>
      <c r="X53" s="58">
        <f t="shared" ref="X53:X64" si="24">Y53+Z53</f>
        <v>607454.66090000002</v>
      </c>
      <c r="Y53" s="25">
        <f t="shared" ref="Y53:Y64" si="25">IF(B53="y",T53,0)</f>
        <v>82122.660900000003</v>
      </c>
      <c r="Z53" s="25">
        <v>525332</v>
      </c>
      <c r="AA53" s="7">
        <f t="shared" ref="AA53:AA64" si="26">AB53+AC53</f>
        <v>-101801</v>
      </c>
      <c r="AB53" s="7">
        <f t="shared" ref="AB53:AB64" si="27">IF(B53="y",0,T53)</f>
        <v>0</v>
      </c>
      <c r="AC53" s="7">
        <f t="shared" ref="AC53:AC64" si="28">S53-Z53</f>
        <v>-101801</v>
      </c>
      <c r="AD53" s="59">
        <f t="shared" ref="AD53:AD64" si="29">IF(K53="y",Z53,0)</f>
        <v>0</v>
      </c>
      <c r="AE53" s="59">
        <f t="shared" ref="AE53:AE64" si="30">IF($K53="",Z53,0)+IF($K53="n",Z53,0)</f>
        <v>525332</v>
      </c>
      <c r="AF53" s="60">
        <f t="shared" ref="AF53:AF64" si="31">IF($K53="y",AC53,0)</f>
        <v>0</v>
      </c>
      <c r="AG53" s="60">
        <f t="shared" ref="AG53:AG64" si="32">IF($K53="",AC53,0)+IF($K53="n",AC53,0)</f>
        <v>-101801</v>
      </c>
      <c r="AH53" s="7">
        <v>0</v>
      </c>
      <c r="AI53" s="7">
        <v>0</v>
      </c>
      <c r="AJ53" s="3"/>
      <c r="AK53" s="3"/>
      <c r="AL53" s="28"/>
      <c r="AM53" s="29"/>
    </row>
    <row r="54" spans="1:39" x14ac:dyDescent="0.2">
      <c r="A54" s="1" t="s">
        <v>1412</v>
      </c>
      <c r="B54" s="1" t="s">
        <v>1412</v>
      </c>
      <c r="C54" s="1">
        <v>582</v>
      </c>
      <c r="D54" s="62" t="s">
        <v>37</v>
      </c>
      <c r="E54" s="3" t="s">
        <v>38</v>
      </c>
      <c r="F54" s="3" t="s">
        <v>39</v>
      </c>
      <c r="G54" s="3" t="s">
        <v>1412</v>
      </c>
      <c r="H54" s="3">
        <v>1994</v>
      </c>
      <c r="I54" s="3"/>
      <c r="J54" s="3" t="s">
        <v>1416</v>
      </c>
      <c r="K54" s="4" t="s">
        <v>1412</v>
      </c>
      <c r="L54" s="56" t="s">
        <v>40</v>
      </c>
      <c r="M54" s="6">
        <v>110</v>
      </c>
      <c r="N54" s="57">
        <v>0.81299999999999994</v>
      </c>
      <c r="O54" s="57">
        <v>0.90600000000000003</v>
      </c>
      <c r="P54" s="57">
        <v>0.90600000000000003</v>
      </c>
      <c r="Q54" s="57">
        <v>0.90500000000000003</v>
      </c>
      <c r="R54" s="7">
        <v>1132740</v>
      </c>
      <c r="S54" s="7">
        <v>871468</v>
      </c>
      <c r="T54" s="7">
        <f t="shared" si="22"/>
        <v>336990.14999999997</v>
      </c>
      <c r="U54" s="7">
        <v>609669</v>
      </c>
      <c r="V54" s="7">
        <f t="shared" si="23"/>
        <v>261799</v>
      </c>
      <c r="W54" s="7">
        <v>3500</v>
      </c>
      <c r="X54" s="58">
        <f t="shared" si="24"/>
        <v>907427.14999999991</v>
      </c>
      <c r="Y54" s="25">
        <f t="shared" si="25"/>
        <v>336990.14999999997</v>
      </c>
      <c r="Z54" s="25">
        <v>570437</v>
      </c>
      <c r="AA54" s="7">
        <f t="shared" si="26"/>
        <v>301031</v>
      </c>
      <c r="AB54" s="7">
        <f t="shared" si="27"/>
        <v>0</v>
      </c>
      <c r="AC54" s="7">
        <f t="shared" si="28"/>
        <v>301031</v>
      </c>
      <c r="AD54" s="59">
        <f t="shared" si="29"/>
        <v>570437</v>
      </c>
      <c r="AE54" s="59">
        <f t="shared" si="30"/>
        <v>0</v>
      </c>
      <c r="AF54" s="60">
        <f t="shared" si="31"/>
        <v>301031</v>
      </c>
      <c r="AG54" s="60">
        <f t="shared" si="32"/>
        <v>0</v>
      </c>
      <c r="AH54" s="7">
        <v>435000</v>
      </c>
      <c r="AI54" s="7">
        <v>367000</v>
      </c>
      <c r="AJ54" s="62"/>
      <c r="AK54" s="62"/>
      <c r="AL54" s="28"/>
      <c r="AM54" s="29"/>
    </row>
    <row r="55" spans="1:39" x14ac:dyDescent="0.2">
      <c r="A55" s="1" t="s">
        <v>1412</v>
      </c>
      <c r="B55" s="1"/>
      <c r="C55" s="1">
        <v>584</v>
      </c>
      <c r="D55" s="3" t="s">
        <v>41</v>
      </c>
      <c r="E55" s="3" t="s">
        <v>42</v>
      </c>
      <c r="F55" s="3" t="s">
        <v>1415</v>
      </c>
      <c r="G55" s="3" t="s">
        <v>1417</v>
      </c>
      <c r="H55" s="3">
        <v>1989</v>
      </c>
      <c r="I55" s="3"/>
      <c r="J55" s="3" t="s">
        <v>1512</v>
      </c>
      <c r="K55" s="4"/>
      <c r="L55" s="56" t="s">
        <v>1545</v>
      </c>
      <c r="M55" s="6">
        <v>15</v>
      </c>
      <c r="N55" s="57">
        <v>0.59399999999999997</v>
      </c>
      <c r="O55" s="57">
        <v>0.57599999999999996</v>
      </c>
      <c r="P55" s="57">
        <v>0.501</v>
      </c>
      <c r="Q55" s="57">
        <v>0.62</v>
      </c>
      <c r="R55" s="7"/>
      <c r="S55" s="7">
        <v>273557</v>
      </c>
      <c r="T55" s="7">
        <f t="shared" si="22"/>
        <v>53042.702299999997</v>
      </c>
      <c r="U55" s="7">
        <v>229188</v>
      </c>
      <c r="V55" s="7">
        <f t="shared" si="23"/>
        <v>44369</v>
      </c>
      <c r="W55" s="7">
        <v>1400</v>
      </c>
      <c r="X55" s="58">
        <f t="shared" si="24"/>
        <v>0</v>
      </c>
      <c r="Y55" s="25">
        <f t="shared" si="25"/>
        <v>0</v>
      </c>
      <c r="Z55" s="25"/>
      <c r="AA55" s="7">
        <f t="shared" si="26"/>
        <v>326599.7023</v>
      </c>
      <c r="AB55" s="7">
        <f t="shared" si="27"/>
        <v>53042.702299999997</v>
      </c>
      <c r="AC55" s="7">
        <f t="shared" si="28"/>
        <v>273557</v>
      </c>
      <c r="AD55" s="59">
        <f t="shared" si="29"/>
        <v>0</v>
      </c>
      <c r="AE55" s="59">
        <f t="shared" si="30"/>
        <v>0</v>
      </c>
      <c r="AF55" s="60">
        <f t="shared" si="31"/>
        <v>0</v>
      </c>
      <c r="AG55" s="60">
        <f t="shared" si="32"/>
        <v>273557</v>
      </c>
      <c r="AH55" s="7">
        <v>0</v>
      </c>
      <c r="AI55" s="7">
        <v>0</v>
      </c>
      <c r="AJ55" s="3"/>
      <c r="AK55" s="3"/>
      <c r="AL55" s="28"/>
      <c r="AM55" s="29"/>
    </row>
    <row r="56" spans="1:39" x14ac:dyDescent="0.2">
      <c r="A56" s="1" t="s">
        <v>1412</v>
      </c>
      <c r="B56" s="1" t="s">
        <v>1412</v>
      </c>
      <c r="C56" s="1">
        <v>8287</v>
      </c>
      <c r="D56" s="62" t="s">
        <v>43</v>
      </c>
      <c r="E56" s="3" t="s">
        <v>44</v>
      </c>
      <c r="F56" s="3" t="s">
        <v>1525</v>
      </c>
      <c r="G56" s="3" t="s">
        <v>1412</v>
      </c>
      <c r="H56" s="3">
        <v>1990</v>
      </c>
      <c r="I56" s="3"/>
      <c r="J56" s="3" t="s">
        <v>1416</v>
      </c>
      <c r="K56" s="4" t="s">
        <v>1417</v>
      </c>
      <c r="L56" s="56" t="s">
        <v>45</v>
      </c>
      <c r="M56" s="6">
        <v>66</v>
      </c>
      <c r="N56" s="57">
        <v>0.77800000000000002</v>
      </c>
      <c r="O56" s="57">
        <v>0.77100000000000002</v>
      </c>
      <c r="P56" s="57">
        <v>0.71</v>
      </c>
      <c r="Q56" s="57">
        <v>0.745</v>
      </c>
      <c r="R56" s="7">
        <v>537158</v>
      </c>
      <c r="S56" s="7">
        <v>425233</v>
      </c>
      <c r="T56" s="7">
        <f t="shared" si="22"/>
        <v>159804.505</v>
      </c>
      <c r="U56" s="7">
        <v>302495</v>
      </c>
      <c r="V56" s="7">
        <f t="shared" si="23"/>
        <v>122738</v>
      </c>
      <c r="W56" s="7">
        <v>2275</v>
      </c>
      <c r="X56" s="58">
        <f t="shared" si="24"/>
        <v>332562.505</v>
      </c>
      <c r="Y56" s="25">
        <f t="shared" si="25"/>
        <v>159804.505</v>
      </c>
      <c r="Z56" s="25">
        <v>172758</v>
      </c>
      <c r="AA56" s="7">
        <f t="shared" si="26"/>
        <v>252475</v>
      </c>
      <c r="AB56" s="7">
        <f t="shared" si="27"/>
        <v>0</v>
      </c>
      <c r="AC56" s="7">
        <f t="shared" si="28"/>
        <v>252475</v>
      </c>
      <c r="AD56" s="59">
        <f t="shared" si="29"/>
        <v>0</v>
      </c>
      <c r="AE56" s="59">
        <f t="shared" si="30"/>
        <v>172758</v>
      </c>
      <c r="AF56" s="60">
        <f t="shared" si="31"/>
        <v>0</v>
      </c>
      <c r="AG56" s="60">
        <f t="shared" si="32"/>
        <v>252475</v>
      </c>
      <c r="AH56" s="7">
        <v>0</v>
      </c>
      <c r="AI56" s="7">
        <v>0</v>
      </c>
      <c r="AJ56" s="11" t="s">
        <v>1419</v>
      </c>
      <c r="AK56" s="61">
        <v>360105</v>
      </c>
      <c r="AL56" s="28"/>
      <c r="AM56" s="29"/>
    </row>
    <row r="57" spans="1:39" x14ac:dyDescent="0.2">
      <c r="A57" s="1" t="s">
        <v>1412</v>
      </c>
      <c r="B57" s="1"/>
      <c r="C57" s="1">
        <v>735</v>
      </c>
      <c r="D57" s="3" t="s">
        <v>46</v>
      </c>
      <c r="E57" s="3" t="s">
        <v>47</v>
      </c>
      <c r="F57" s="3" t="s">
        <v>1525</v>
      </c>
      <c r="G57" s="3" t="s">
        <v>1417</v>
      </c>
      <c r="H57" s="3">
        <v>1997</v>
      </c>
      <c r="I57" s="3"/>
      <c r="J57" s="3" t="s">
        <v>1416</v>
      </c>
      <c r="K57" s="4" t="s">
        <v>1417</v>
      </c>
      <c r="L57" s="56" t="s">
        <v>1552</v>
      </c>
      <c r="M57" s="6"/>
      <c r="N57" s="57">
        <v>0.91400000000000003</v>
      </c>
      <c r="O57" s="57">
        <v>0.92400000000000004</v>
      </c>
      <c r="P57" s="57">
        <v>0.89900000000000002</v>
      </c>
      <c r="Q57" s="57">
        <v>0.91</v>
      </c>
      <c r="R57" s="7">
        <v>1461040</v>
      </c>
      <c r="S57" s="7">
        <v>1395577</v>
      </c>
      <c r="T57" s="7">
        <f t="shared" si="22"/>
        <v>434659.39999999997</v>
      </c>
      <c r="U57" s="7">
        <v>1062072</v>
      </c>
      <c r="V57" s="7">
        <f t="shared" si="23"/>
        <v>333505</v>
      </c>
      <c r="W57" s="7">
        <v>7800</v>
      </c>
      <c r="X57" s="58">
        <f t="shared" si="24"/>
        <v>0</v>
      </c>
      <c r="Y57" s="25">
        <f t="shared" si="25"/>
        <v>0</v>
      </c>
      <c r="Z57" s="25"/>
      <c r="AA57" s="7">
        <f t="shared" si="26"/>
        <v>1830236.4</v>
      </c>
      <c r="AB57" s="7">
        <f t="shared" si="27"/>
        <v>434659.39999999997</v>
      </c>
      <c r="AC57" s="7">
        <f t="shared" si="28"/>
        <v>1395577</v>
      </c>
      <c r="AD57" s="59">
        <f t="shared" si="29"/>
        <v>0</v>
      </c>
      <c r="AE57" s="59">
        <f t="shared" si="30"/>
        <v>0</v>
      </c>
      <c r="AF57" s="60">
        <f t="shared" si="31"/>
        <v>0</v>
      </c>
      <c r="AG57" s="60">
        <f t="shared" si="32"/>
        <v>1395577</v>
      </c>
      <c r="AH57" s="7">
        <v>0</v>
      </c>
      <c r="AI57" s="7">
        <v>0</v>
      </c>
      <c r="AJ57" s="11" t="s">
        <v>1419</v>
      </c>
      <c r="AK57" s="61">
        <v>867200</v>
      </c>
      <c r="AL57" s="28"/>
      <c r="AM57" s="29"/>
    </row>
    <row r="58" spans="1:39" x14ac:dyDescent="0.2">
      <c r="A58" s="1" t="s">
        <v>1412</v>
      </c>
      <c r="B58" s="1"/>
      <c r="C58" s="1">
        <v>8158</v>
      </c>
      <c r="D58" s="3" t="s">
        <v>48</v>
      </c>
      <c r="E58" s="3" t="s">
        <v>49</v>
      </c>
      <c r="F58" s="3" t="s">
        <v>1525</v>
      </c>
      <c r="G58" s="3" t="s">
        <v>1412</v>
      </c>
      <c r="H58" s="3">
        <v>1973</v>
      </c>
      <c r="I58" s="3"/>
      <c r="J58" s="3" t="s">
        <v>1416</v>
      </c>
      <c r="K58" s="4" t="s">
        <v>1417</v>
      </c>
      <c r="L58" s="56" t="s">
        <v>1552</v>
      </c>
      <c r="M58" s="6">
        <v>105</v>
      </c>
      <c r="N58" s="57">
        <v>0.82599999999999996</v>
      </c>
      <c r="O58" s="57">
        <v>0.84499999999999997</v>
      </c>
      <c r="P58" s="57">
        <v>0.85599999999999998</v>
      </c>
      <c r="Q58" s="57">
        <v>0.82199999999999995</v>
      </c>
      <c r="R58" s="7">
        <v>711794</v>
      </c>
      <c r="S58" s="7">
        <v>668428</v>
      </c>
      <c r="T58" s="7">
        <f t="shared" si="22"/>
        <v>211758.715</v>
      </c>
      <c r="U58" s="7">
        <v>435467</v>
      </c>
      <c r="V58" s="7">
        <f t="shared" si="23"/>
        <v>232961</v>
      </c>
      <c r="W58" s="7">
        <v>3850</v>
      </c>
      <c r="X58" s="58">
        <f t="shared" si="24"/>
        <v>0</v>
      </c>
      <c r="Y58" s="25">
        <f t="shared" si="25"/>
        <v>0</v>
      </c>
      <c r="Z58" s="25"/>
      <c r="AA58" s="7">
        <f t="shared" si="26"/>
        <v>880186.71499999997</v>
      </c>
      <c r="AB58" s="7">
        <f t="shared" si="27"/>
        <v>211758.715</v>
      </c>
      <c r="AC58" s="7">
        <f t="shared" si="28"/>
        <v>668428</v>
      </c>
      <c r="AD58" s="59">
        <f t="shared" si="29"/>
        <v>0</v>
      </c>
      <c r="AE58" s="59">
        <f t="shared" si="30"/>
        <v>0</v>
      </c>
      <c r="AF58" s="60">
        <f t="shared" si="31"/>
        <v>0</v>
      </c>
      <c r="AG58" s="60">
        <f t="shared" si="32"/>
        <v>668428</v>
      </c>
      <c r="AH58" s="7">
        <v>0</v>
      </c>
      <c r="AI58" s="7">
        <v>0</v>
      </c>
      <c r="AJ58" s="11" t="s">
        <v>1419</v>
      </c>
      <c r="AK58" s="61">
        <v>521508</v>
      </c>
      <c r="AL58" s="28"/>
      <c r="AM58" s="29"/>
    </row>
    <row r="59" spans="1:39" x14ac:dyDescent="0.2">
      <c r="A59" s="1" t="s">
        <v>1412</v>
      </c>
      <c r="B59" s="1"/>
      <c r="C59" s="1">
        <v>8185</v>
      </c>
      <c r="D59" s="3" t="s">
        <v>50</v>
      </c>
      <c r="E59" s="3" t="s">
        <v>51</v>
      </c>
      <c r="F59" s="3" t="s">
        <v>1608</v>
      </c>
      <c r="G59" s="3" t="s">
        <v>1412</v>
      </c>
      <c r="H59" s="3">
        <v>1971</v>
      </c>
      <c r="I59" s="3"/>
      <c r="J59" s="3" t="s">
        <v>1416</v>
      </c>
      <c r="K59" s="4" t="s">
        <v>1417</v>
      </c>
      <c r="L59" s="56" t="s">
        <v>52</v>
      </c>
      <c r="M59" s="6">
        <v>114</v>
      </c>
      <c r="N59" s="57">
        <v>0.65900000000000003</v>
      </c>
      <c r="O59" s="57">
        <v>0.65400000000000003</v>
      </c>
      <c r="P59" s="57">
        <v>0.86</v>
      </c>
      <c r="Q59" s="57">
        <v>0.83799999999999997</v>
      </c>
      <c r="R59" s="7">
        <v>1106360</v>
      </c>
      <c r="S59" s="7">
        <v>1004883</v>
      </c>
      <c r="T59" s="7">
        <f t="shared" si="22"/>
        <v>329142.09999999998</v>
      </c>
      <c r="U59" s="7">
        <v>715584</v>
      </c>
      <c r="V59" s="7">
        <f t="shared" si="23"/>
        <v>289299</v>
      </c>
      <c r="W59" s="7">
        <v>5946</v>
      </c>
      <c r="X59" s="58">
        <f t="shared" si="24"/>
        <v>0</v>
      </c>
      <c r="Y59" s="25">
        <f t="shared" si="25"/>
        <v>0</v>
      </c>
      <c r="Z59" s="25"/>
      <c r="AA59" s="7">
        <f t="shared" si="26"/>
        <v>1334025.1000000001</v>
      </c>
      <c r="AB59" s="7">
        <f t="shared" si="27"/>
        <v>329142.09999999998</v>
      </c>
      <c r="AC59" s="7">
        <f t="shared" si="28"/>
        <v>1004883</v>
      </c>
      <c r="AD59" s="59">
        <f t="shared" si="29"/>
        <v>0</v>
      </c>
      <c r="AE59" s="59">
        <f t="shared" si="30"/>
        <v>0</v>
      </c>
      <c r="AF59" s="60">
        <f t="shared" si="31"/>
        <v>0</v>
      </c>
      <c r="AG59" s="60">
        <f t="shared" si="32"/>
        <v>1004883</v>
      </c>
      <c r="AH59" s="7">
        <v>0</v>
      </c>
      <c r="AI59" s="7">
        <v>0</v>
      </c>
      <c r="AJ59" s="3"/>
      <c r="AK59" s="3"/>
      <c r="AL59" s="28"/>
      <c r="AM59" s="29"/>
    </row>
    <row r="60" spans="1:39" x14ac:dyDescent="0.2">
      <c r="A60" s="1" t="s">
        <v>1412</v>
      </c>
      <c r="B60" s="1" t="s">
        <v>1412</v>
      </c>
      <c r="C60" s="1">
        <v>914</v>
      </c>
      <c r="D60" s="62" t="s">
        <v>53</v>
      </c>
      <c r="E60" s="3" t="s">
        <v>1563</v>
      </c>
      <c r="F60" s="3" t="s">
        <v>1564</v>
      </c>
      <c r="G60" s="3" t="s">
        <v>1412</v>
      </c>
      <c r="H60" s="3">
        <v>1981</v>
      </c>
      <c r="I60" s="3"/>
      <c r="J60" s="3" t="s">
        <v>1416</v>
      </c>
      <c r="K60" s="4" t="s">
        <v>1417</v>
      </c>
      <c r="L60" s="56" t="s">
        <v>54</v>
      </c>
      <c r="M60" s="6">
        <v>63</v>
      </c>
      <c r="N60" s="57">
        <v>0.74</v>
      </c>
      <c r="O60" s="57">
        <v>0.74299999999999999</v>
      </c>
      <c r="P60" s="57">
        <v>0.78300000000000003</v>
      </c>
      <c r="Q60" s="57">
        <v>0.83499999999999996</v>
      </c>
      <c r="R60" s="7"/>
      <c r="S60" s="7">
        <v>452535</v>
      </c>
      <c r="T60" s="7">
        <f t="shared" si="22"/>
        <v>157663.19399999999</v>
      </c>
      <c r="U60" s="7">
        <v>242442</v>
      </c>
      <c r="V60" s="7">
        <f t="shared" si="23"/>
        <v>210093</v>
      </c>
      <c r="W60" s="7">
        <v>2500</v>
      </c>
      <c r="X60" s="58">
        <f t="shared" si="24"/>
        <v>569360.19400000002</v>
      </c>
      <c r="Y60" s="25">
        <f t="shared" si="25"/>
        <v>157663.19399999999</v>
      </c>
      <c r="Z60" s="25">
        <v>411697</v>
      </c>
      <c r="AA60" s="7">
        <f t="shared" si="26"/>
        <v>40838</v>
      </c>
      <c r="AB60" s="7">
        <f t="shared" si="27"/>
        <v>0</v>
      </c>
      <c r="AC60" s="7">
        <f t="shared" si="28"/>
        <v>40838</v>
      </c>
      <c r="AD60" s="59">
        <f t="shared" si="29"/>
        <v>0</v>
      </c>
      <c r="AE60" s="59">
        <f t="shared" si="30"/>
        <v>411697</v>
      </c>
      <c r="AF60" s="60">
        <f t="shared" si="31"/>
        <v>0</v>
      </c>
      <c r="AG60" s="60">
        <f t="shared" si="32"/>
        <v>40838</v>
      </c>
      <c r="AH60" s="7">
        <v>0</v>
      </c>
      <c r="AI60" s="7">
        <v>0</v>
      </c>
      <c r="AJ60" s="62"/>
      <c r="AK60" s="62"/>
      <c r="AL60" s="28"/>
      <c r="AM60" s="29"/>
    </row>
    <row r="61" spans="1:39" x14ac:dyDescent="0.2">
      <c r="A61" s="1" t="s">
        <v>10</v>
      </c>
      <c r="B61" s="1" t="s">
        <v>1412</v>
      </c>
      <c r="C61" s="1">
        <v>3937</v>
      </c>
      <c r="D61" s="62" t="s">
        <v>55</v>
      </c>
      <c r="E61" s="3" t="s">
        <v>56</v>
      </c>
      <c r="F61" s="3" t="s">
        <v>57</v>
      </c>
      <c r="G61" s="3" t="s">
        <v>1412</v>
      </c>
      <c r="H61" s="3">
        <v>1986</v>
      </c>
      <c r="I61" s="3"/>
      <c r="J61" s="3" t="s">
        <v>1416</v>
      </c>
      <c r="K61" s="4" t="s">
        <v>1412</v>
      </c>
      <c r="L61" s="56" t="s">
        <v>58</v>
      </c>
      <c r="M61" s="6">
        <v>106</v>
      </c>
      <c r="N61" s="57">
        <v>0.73099999999999998</v>
      </c>
      <c r="O61" s="57">
        <v>0.748</v>
      </c>
      <c r="P61" s="57">
        <v>0.73299999999999998</v>
      </c>
      <c r="Q61" s="57">
        <v>0.84899999999999998</v>
      </c>
      <c r="R61" s="7">
        <v>929007</v>
      </c>
      <c r="S61" s="7">
        <v>694282</v>
      </c>
      <c r="T61" s="7">
        <f t="shared" si="22"/>
        <v>276379.58249999996</v>
      </c>
      <c r="U61" s="7">
        <v>452877</v>
      </c>
      <c r="V61" s="7">
        <f t="shared" si="23"/>
        <v>241405</v>
      </c>
      <c r="W61" s="7">
        <v>5000</v>
      </c>
      <c r="X61" s="58">
        <f t="shared" si="24"/>
        <v>765288.58250000002</v>
      </c>
      <c r="Y61" s="25">
        <f t="shared" si="25"/>
        <v>276379.58249999996</v>
      </c>
      <c r="Z61" s="25">
        <v>488909</v>
      </c>
      <c r="AA61" s="7">
        <f t="shared" si="26"/>
        <v>205373</v>
      </c>
      <c r="AB61" s="7">
        <f t="shared" si="27"/>
        <v>0</v>
      </c>
      <c r="AC61" s="7">
        <f t="shared" si="28"/>
        <v>205373</v>
      </c>
      <c r="AD61" s="59">
        <f t="shared" si="29"/>
        <v>488909</v>
      </c>
      <c r="AE61" s="59">
        <f t="shared" si="30"/>
        <v>0</v>
      </c>
      <c r="AF61" s="60">
        <f t="shared" si="31"/>
        <v>205373</v>
      </c>
      <c r="AG61" s="60">
        <f t="shared" si="32"/>
        <v>0</v>
      </c>
      <c r="AH61" s="7">
        <v>193000</v>
      </c>
      <c r="AI61" s="7">
        <v>181000</v>
      </c>
      <c r="AJ61" s="11" t="s">
        <v>1419</v>
      </c>
      <c r="AK61" s="61">
        <v>94779.94</v>
      </c>
      <c r="AL61" s="28"/>
      <c r="AM61" s="29"/>
    </row>
    <row r="62" spans="1:39" x14ac:dyDescent="0.2">
      <c r="A62" s="1" t="s">
        <v>1412</v>
      </c>
      <c r="B62" s="1"/>
      <c r="C62" s="1">
        <v>4773</v>
      </c>
      <c r="D62" s="3" t="s">
        <v>59</v>
      </c>
      <c r="E62" s="3" t="s">
        <v>60</v>
      </c>
      <c r="F62" s="3" t="s">
        <v>1564</v>
      </c>
      <c r="G62" s="3" t="s">
        <v>1417</v>
      </c>
      <c r="H62" s="3">
        <v>1978</v>
      </c>
      <c r="I62" s="3">
        <v>1997</v>
      </c>
      <c r="J62" s="3" t="s">
        <v>1416</v>
      </c>
      <c r="K62" s="4" t="s">
        <v>1412</v>
      </c>
      <c r="L62" s="5" t="s">
        <v>61</v>
      </c>
      <c r="M62" s="6">
        <v>125</v>
      </c>
      <c r="N62" s="57">
        <v>0.88100000000000001</v>
      </c>
      <c r="O62" s="57">
        <v>0.89100000000000001</v>
      </c>
      <c r="P62" s="57">
        <v>0.92500000000000004</v>
      </c>
      <c r="Q62" s="57">
        <v>0.95199999999999996</v>
      </c>
      <c r="R62" s="7">
        <v>1011912</v>
      </c>
      <c r="S62" s="7">
        <v>971638</v>
      </c>
      <c r="T62" s="7">
        <f t="shared" si="22"/>
        <v>301043.82</v>
      </c>
      <c r="U62" s="7">
        <v>541264</v>
      </c>
      <c r="V62" s="7">
        <f t="shared" si="23"/>
        <v>430374</v>
      </c>
      <c r="W62" s="7">
        <v>5075</v>
      </c>
      <c r="X62" s="58">
        <f t="shared" si="24"/>
        <v>0</v>
      </c>
      <c r="Y62" s="25">
        <f t="shared" si="25"/>
        <v>0</v>
      </c>
      <c r="Z62" s="8"/>
      <c r="AA62" s="7">
        <f t="shared" si="26"/>
        <v>1272681.82</v>
      </c>
      <c r="AB62" s="7">
        <f t="shared" si="27"/>
        <v>301043.82</v>
      </c>
      <c r="AC62" s="7">
        <f t="shared" si="28"/>
        <v>971638</v>
      </c>
      <c r="AD62" s="59">
        <f t="shared" si="29"/>
        <v>0</v>
      </c>
      <c r="AE62" s="59">
        <f t="shared" si="30"/>
        <v>0</v>
      </c>
      <c r="AF62" s="60">
        <f t="shared" si="31"/>
        <v>971638</v>
      </c>
      <c r="AG62" s="60">
        <f t="shared" si="32"/>
        <v>0</v>
      </c>
      <c r="AH62" s="7">
        <v>634000</v>
      </c>
      <c r="AI62" s="7">
        <v>453000</v>
      </c>
      <c r="AJ62" s="3"/>
      <c r="AK62" s="3"/>
      <c r="AL62" s="8"/>
      <c r="AM62" s="8"/>
    </row>
    <row r="63" spans="1:39" x14ac:dyDescent="0.2">
      <c r="A63" s="1" t="s">
        <v>1412</v>
      </c>
      <c r="B63" s="1"/>
      <c r="C63" s="1">
        <v>918</v>
      </c>
      <c r="D63" s="3" t="s">
        <v>62</v>
      </c>
      <c r="E63" s="3" t="s">
        <v>56</v>
      </c>
      <c r="F63" s="3" t="s">
        <v>57</v>
      </c>
      <c r="G63" s="3" t="s">
        <v>1412</v>
      </c>
      <c r="H63" s="3">
        <v>1986</v>
      </c>
      <c r="I63" s="3"/>
      <c r="J63" s="3" t="s">
        <v>1512</v>
      </c>
      <c r="K63" s="4"/>
      <c r="L63" s="56" t="s">
        <v>63</v>
      </c>
      <c r="M63" s="6">
        <v>8</v>
      </c>
      <c r="N63" s="57">
        <v>0.93500000000000005</v>
      </c>
      <c r="O63" s="57">
        <v>0.93500000000000005</v>
      </c>
      <c r="P63" s="57">
        <v>0.93500000000000005</v>
      </c>
      <c r="Q63" s="57">
        <v>0.85599999999999998</v>
      </c>
      <c r="R63" s="7"/>
      <c r="S63" s="7">
        <v>190261</v>
      </c>
      <c r="T63" s="7">
        <f t="shared" si="22"/>
        <v>36891.607899999995</v>
      </c>
      <c r="U63" s="7">
        <v>152451</v>
      </c>
      <c r="V63" s="7">
        <f t="shared" si="23"/>
        <v>37810</v>
      </c>
      <c r="W63" s="7">
        <v>950</v>
      </c>
      <c r="X63" s="58">
        <f t="shared" si="24"/>
        <v>0</v>
      </c>
      <c r="Y63" s="25">
        <f t="shared" si="25"/>
        <v>0</v>
      </c>
      <c r="Z63" s="25"/>
      <c r="AA63" s="7">
        <f t="shared" si="26"/>
        <v>227152.6079</v>
      </c>
      <c r="AB63" s="7">
        <f t="shared" si="27"/>
        <v>36891.607899999995</v>
      </c>
      <c r="AC63" s="7">
        <f t="shared" si="28"/>
        <v>190261</v>
      </c>
      <c r="AD63" s="59">
        <f t="shared" si="29"/>
        <v>0</v>
      </c>
      <c r="AE63" s="59">
        <f t="shared" si="30"/>
        <v>0</v>
      </c>
      <c r="AF63" s="60">
        <f t="shared" si="31"/>
        <v>0</v>
      </c>
      <c r="AG63" s="60">
        <f t="shared" si="32"/>
        <v>190261</v>
      </c>
      <c r="AH63" s="7">
        <v>0</v>
      </c>
      <c r="AI63" s="7">
        <v>0</v>
      </c>
      <c r="AJ63" s="3"/>
      <c r="AK63" s="3"/>
      <c r="AL63" s="55"/>
      <c r="AM63" s="67"/>
    </row>
    <row r="64" spans="1:39" x14ac:dyDescent="0.2">
      <c r="A64" s="1" t="s">
        <v>1412</v>
      </c>
      <c r="B64" s="1"/>
      <c r="C64" s="1">
        <v>4662</v>
      </c>
      <c r="D64" s="64" t="s">
        <v>64</v>
      </c>
      <c r="E64" s="3" t="s">
        <v>65</v>
      </c>
      <c r="F64" s="3" t="s">
        <v>1525</v>
      </c>
      <c r="G64" s="3" t="s">
        <v>1412</v>
      </c>
      <c r="H64" s="3">
        <v>1997</v>
      </c>
      <c r="I64" s="3"/>
      <c r="J64" s="3" t="s">
        <v>1416</v>
      </c>
      <c r="K64" s="4" t="s">
        <v>1417</v>
      </c>
      <c r="L64" s="56" t="s">
        <v>1552</v>
      </c>
      <c r="M64" s="6">
        <v>134</v>
      </c>
      <c r="N64" s="57">
        <v>0.93300000000000005</v>
      </c>
      <c r="O64" s="57">
        <v>0.93300000000000005</v>
      </c>
      <c r="P64" s="57">
        <v>0.86799999999999999</v>
      </c>
      <c r="Q64" s="57">
        <v>0.95199999999999996</v>
      </c>
      <c r="R64" s="7">
        <v>1024679</v>
      </c>
      <c r="S64" s="7">
        <v>978480</v>
      </c>
      <c r="T64" s="7">
        <f t="shared" si="22"/>
        <v>304842.0025</v>
      </c>
      <c r="U64" s="7">
        <v>685167</v>
      </c>
      <c r="V64" s="7">
        <f t="shared" si="23"/>
        <v>293313</v>
      </c>
      <c r="W64" s="7">
        <v>6030</v>
      </c>
      <c r="X64" s="58">
        <f t="shared" si="24"/>
        <v>0</v>
      </c>
      <c r="Y64" s="25">
        <f t="shared" si="25"/>
        <v>0</v>
      </c>
      <c r="Z64" s="25"/>
      <c r="AA64" s="7">
        <f t="shared" si="26"/>
        <v>1283322.0024999999</v>
      </c>
      <c r="AB64" s="7">
        <f t="shared" si="27"/>
        <v>304842.0025</v>
      </c>
      <c r="AC64" s="7">
        <f t="shared" si="28"/>
        <v>978480</v>
      </c>
      <c r="AD64" s="59">
        <f t="shared" si="29"/>
        <v>0</v>
      </c>
      <c r="AE64" s="59">
        <f t="shared" si="30"/>
        <v>0</v>
      </c>
      <c r="AF64" s="60">
        <f t="shared" si="31"/>
        <v>0</v>
      </c>
      <c r="AG64" s="60">
        <f t="shared" si="32"/>
        <v>978480</v>
      </c>
      <c r="AH64" s="7">
        <v>0</v>
      </c>
      <c r="AI64" s="7">
        <v>0</v>
      </c>
      <c r="AJ64" s="11" t="s">
        <v>1419</v>
      </c>
      <c r="AK64" s="61">
        <v>390279</v>
      </c>
      <c r="AL64" s="8"/>
      <c r="AM64" s="8"/>
    </row>
    <row r="65" spans="1:39" x14ac:dyDescent="0.2">
      <c r="A65" s="1" t="s">
        <v>1412</v>
      </c>
      <c r="B65" s="1"/>
      <c r="C65" s="1">
        <v>4781</v>
      </c>
      <c r="D65" s="66" t="s">
        <v>66</v>
      </c>
      <c r="E65" s="3"/>
      <c r="F65" s="3"/>
      <c r="G65" s="3" t="s">
        <v>1417</v>
      </c>
      <c r="H65" s="3"/>
      <c r="I65" s="3"/>
      <c r="J65" s="3"/>
      <c r="K65" s="4"/>
      <c r="L65" s="56"/>
      <c r="M65" s="6"/>
      <c r="N65" s="57"/>
      <c r="O65" s="57"/>
      <c r="P65" s="57"/>
      <c r="Q65" s="57"/>
      <c r="R65" s="7"/>
      <c r="S65" s="7"/>
      <c r="T65" s="7"/>
      <c r="U65" s="7"/>
      <c r="V65" s="7"/>
      <c r="W65" s="7"/>
      <c r="X65" s="58"/>
      <c r="Y65" s="25"/>
      <c r="Z65" s="25"/>
      <c r="AA65" s="7"/>
      <c r="AB65" s="7"/>
      <c r="AC65" s="7"/>
      <c r="AD65" s="59"/>
      <c r="AE65" s="59"/>
      <c r="AF65" s="60"/>
      <c r="AG65" s="60"/>
      <c r="AH65" s="7">
        <v>598000</v>
      </c>
      <c r="AI65" s="7">
        <v>747000</v>
      </c>
      <c r="AK65" s="61"/>
      <c r="AL65" s="8"/>
      <c r="AM65" s="8"/>
    </row>
    <row r="66" spans="1:39" x14ac:dyDescent="0.2">
      <c r="A66" s="1" t="s">
        <v>1412</v>
      </c>
      <c r="B66" s="1"/>
      <c r="C66" s="1">
        <v>1101</v>
      </c>
      <c r="D66" s="3" t="s">
        <v>67</v>
      </c>
      <c r="E66" s="3" t="s">
        <v>68</v>
      </c>
      <c r="F66" s="3" t="s">
        <v>1604</v>
      </c>
      <c r="G66" s="3" t="s">
        <v>1417</v>
      </c>
      <c r="H66" s="3">
        <v>1992</v>
      </c>
      <c r="I66" s="3"/>
      <c r="J66" s="3" t="s">
        <v>1512</v>
      </c>
      <c r="K66" s="4"/>
      <c r="L66" s="56" t="s">
        <v>1605</v>
      </c>
      <c r="M66" s="6">
        <v>20</v>
      </c>
      <c r="N66" s="57">
        <v>0.95499999999999996</v>
      </c>
      <c r="O66" s="57">
        <v>0.95499999999999996</v>
      </c>
      <c r="P66" s="57">
        <v>0.94099999999999995</v>
      </c>
      <c r="Q66" s="57">
        <v>0.92400000000000004</v>
      </c>
      <c r="R66" s="7"/>
      <c r="S66" s="7">
        <v>239280</v>
      </c>
      <c r="T66" s="7">
        <f>IF(J66="regional",IF(R66&gt;0,R66*0.2975,S66*0.3484),S66*0.1939)</f>
        <v>46396.392</v>
      </c>
      <c r="U66" s="7">
        <v>178124</v>
      </c>
      <c r="V66" s="7">
        <f>S66-U66</f>
        <v>61156</v>
      </c>
      <c r="W66" s="7">
        <v>1210</v>
      </c>
      <c r="X66" s="58">
        <f>Y66+Z66</f>
        <v>0</v>
      </c>
      <c r="Y66" s="25">
        <f>IF(B66="y",T66,0)</f>
        <v>0</v>
      </c>
      <c r="Z66" s="25"/>
      <c r="AA66" s="7">
        <f>AB66+AC66</f>
        <v>285676.39199999999</v>
      </c>
      <c r="AB66" s="7">
        <f>IF(B66="y",0,T66)</f>
        <v>46396.392</v>
      </c>
      <c r="AC66" s="7">
        <f>S66-Z66</f>
        <v>239280</v>
      </c>
      <c r="AD66" s="59">
        <f>IF(K66="y",Z66,0)</f>
        <v>0</v>
      </c>
      <c r="AE66" s="59">
        <f>IF($K66="",Z66,0)+IF($K66="n",Z66,0)</f>
        <v>0</v>
      </c>
      <c r="AF66" s="60">
        <f>IF($K66="y",AC66,0)</f>
        <v>0</v>
      </c>
      <c r="AG66" s="60">
        <f>IF($K66="",AC66,0)+IF($K66="n",AC66,0)</f>
        <v>239280</v>
      </c>
      <c r="AH66" s="7">
        <v>0</v>
      </c>
      <c r="AI66" s="7">
        <v>0</v>
      </c>
      <c r="AJ66" s="3"/>
      <c r="AK66" s="3"/>
      <c r="AL66" s="8"/>
      <c r="AM66" s="8"/>
    </row>
    <row r="67" spans="1:39" x14ac:dyDescent="0.2">
      <c r="A67" s="1"/>
      <c r="B67" s="1"/>
      <c r="C67" s="1">
        <v>1137</v>
      </c>
      <c r="D67" s="3" t="s">
        <v>69</v>
      </c>
      <c r="E67" s="3"/>
      <c r="F67" s="3"/>
      <c r="G67" s="3" t="s">
        <v>1417</v>
      </c>
      <c r="H67" s="3"/>
      <c r="I67" s="3"/>
      <c r="J67" s="3"/>
      <c r="K67" s="4"/>
      <c r="L67" s="56"/>
      <c r="M67" s="6"/>
      <c r="N67" s="57"/>
      <c r="O67" s="57"/>
      <c r="P67" s="57"/>
      <c r="Q67" s="57"/>
      <c r="R67" s="7"/>
      <c r="S67" s="7"/>
      <c r="T67" s="7"/>
      <c r="U67" s="7"/>
      <c r="V67" s="7"/>
      <c r="W67" s="7"/>
      <c r="X67" s="58"/>
      <c r="Y67" s="25"/>
      <c r="Z67" s="25"/>
      <c r="AA67" s="7"/>
      <c r="AB67" s="7"/>
      <c r="AC67" s="7"/>
      <c r="AD67" s="59"/>
      <c r="AE67" s="59"/>
      <c r="AF67" s="60"/>
      <c r="AG67" s="60"/>
      <c r="AH67" s="7"/>
      <c r="AI67" s="7"/>
      <c r="AJ67" s="3"/>
      <c r="AK67" s="3"/>
      <c r="AL67" s="8"/>
      <c r="AM67" s="8"/>
    </row>
    <row r="68" spans="1:39" x14ac:dyDescent="0.2">
      <c r="A68" s="1" t="s">
        <v>1412</v>
      </c>
      <c r="B68" s="1" t="s">
        <v>1412</v>
      </c>
      <c r="C68" s="1">
        <v>1116</v>
      </c>
      <c r="D68" s="62" t="s">
        <v>70</v>
      </c>
      <c r="E68" s="3" t="s">
        <v>71</v>
      </c>
      <c r="F68" s="3" t="s">
        <v>1604</v>
      </c>
      <c r="G68" s="3" t="s">
        <v>1417</v>
      </c>
      <c r="H68" s="3">
        <v>1989</v>
      </c>
      <c r="I68" s="3"/>
      <c r="J68" s="3" t="s">
        <v>1416</v>
      </c>
      <c r="K68" s="4" t="s">
        <v>1412</v>
      </c>
      <c r="L68" s="56" t="s">
        <v>72</v>
      </c>
      <c r="M68" s="6">
        <v>162</v>
      </c>
      <c r="N68" s="57">
        <v>0.99199999999999999</v>
      </c>
      <c r="O68" s="57">
        <v>0.996</v>
      </c>
      <c r="P68" s="57">
        <v>0.995</v>
      </c>
      <c r="Q68" s="57">
        <v>0.98499999999999999</v>
      </c>
      <c r="R68" s="7">
        <v>1272159</v>
      </c>
      <c r="S68" s="7">
        <v>821397</v>
      </c>
      <c r="T68" s="7">
        <f t="shared" ref="T68:T80" si="33">IF(J68="regional",IF(R68&gt;0,R68*0.2975,S68*0.3484),S68*0.1939)</f>
        <v>378467.30249999999</v>
      </c>
      <c r="U68" s="7">
        <v>472729</v>
      </c>
      <c r="V68" s="7">
        <f t="shared" ref="V68:V80" si="34">S68-U68</f>
        <v>348668</v>
      </c>
      <c r="W68" s="7">
        <v>4110</v>
      </c>
      <c r="X68" s="58">
        <f t="shared" ref="X68:X80" si="35">Y68+Z68</f>
        <v>1025689.3025</v>
      </c>
      <c r="Y68" s="25">
        <f t="shared" ref="Y68:Y80" si="36">IF(B68="y",T68,0)</f>
        <v>378467.30249999999</v>
      </c>
      <c r="Z68" s="25">
        <v>647222</v>
      </c>
      <c r="AA68" s="7">
        <f t="shared" ref="AA68:AA80" si="37">AB68+AC68</f>
        <v>174175</v>
      </c>
      <c r="AB68" s="7">
        <f t="shared" ref="AB68:AB80" si="38">IF(B68="y",0,T68)</f>
        <v>0</v>
      </c>
      <c r="AC68" s="7">
        <f t="shared" ref="AC68:AC80" si="39">S68-Z68</f>
        <v>174175</v>
      </c>
      <c r="AD68" s="59">
        <f t="shared" ref="AD68:AD80" si="40">IF(K68="y",Z68,0)</f>
        <v>647222</v>
      </c>
      <c r="AE68" s="59">
        <f t="shared" ref="AE68:AE80" si="41">IF($K68="",Z68,0)+IF($K68="n",Z68,0)</f>
        <v>0</v>
      </c>
      <c r="AF68" s="60">
        <f t="shared" ref="AF68:AF80" si="42">IF($K68="y",AC68,0)</f>
        <v>174175</v>
      </c>
      <c r="AG68" s="60">
        <f t="shared" ref="AG68:AG80" si="43">IF($K68="",AC68,0)+IF($K68="n",AC68,0)</f>
        <v>0</v>
      </c>
      <c r="AH68" s="7">
        <v>857000</v>
      </c>
      <c r="AI68" s="7">
        <v>518000</v>
      </c>
      <c r="AJ68" s="11" t="s">
        <v>1419</v>
      </c>
      <c r="AK68" s="61">
        <v>1695745</v>
      </c>
      <c r="AL68" s="8"/>
      <c r="AM68" s="8"/>
    </row>
    <row r="69" spans="1:39" x14ac:dyDescent="0.2">
      <c r="A69" s="1" t="s">
        <v>1412</v>
      </c>
      <c r="B69" s="1" t="s">
        <v>1412</v>
      </c>
      <c r="C69" s="1">
        <v>7323</v>
      </c>
      <c r="D69" s="65" t="s">
        <v>73</v>
      </c>
      <c r="E69" s="63" t="s">
        <v>74</v>
      </c>
      <c r="F69" s="3"/>
      <c r="G69" s="3" t="s">
        <v>1417</v>
      </c>
      <c r="H69" s="3">
        <v>1988</v>
      </c>
      <c r="I69" s="3"/>
      <c r="J69" s="3" t="s">
        <v>1416</v>
      </c>
      <c r="K69" s="4" t="s">
        <v>1412</v>
      </c>
      <c r="L69" s="56" t="s">
        <v>36</v>
      </c>
      <c r="M69" s="6">
        <v>100</v>
      </c>
      <c r="N69" s="57">
        <v>0.57299999999999995</v>
      </c>
      <c r="O69" s="57">
        <v>0.625</v>
      </c>
      <c r="P69" s="57">
        <v>0.61299999999999999</v>
      </c>
      <c r="Q69" s="57">
        <v>0.61899999999999999</v>
      </c>
      <c r="R69" s="7">
        <v>912697</v>
      </c>
      <c r="S69" s="7">
        <v>664208</v>
      </c>
      <c r="T69" s="7">
        <f t="shared" si="33"/>
        <v>271527.35749999998</v>
      </c>
      <c r="U69" s="7">
        <v>349541</v>
      </c>
      <c r="V69" s="7">
        <f t="shared" si="34"/>
        <v>314667</v>
      </c>
      <c r="W69" s="7">
        <v>3414</v>
      </c>
      <c r="X69" s="58">
        <f t="shared" si="35"/>
        <v>867227.35749999993</v>
      </c>
      <c r="Y69" s="25">
        <f t="shared" si="36"/>
        <v>271527.35749999998</v>
      </c>
      <c r="Z69" s="25">
        <v>595700</v>
      </c>
      <c r="AA69" s="7">
        <f t="shared" si="37"/>
        <v>68508</v>
      </c>
      <c r="AB69" s="7">
        <f t="shared" si="38"/>
        <v>0</v>
      </c>
      <c r="AC69" s="7">
        <f t="shared" si="39"/>
        <v>68508</v>
      </c>
      <c r="AD69" s="59">
        <f t="shared" si="40"/>
        <v>595700</v>
      </c>
      <c r="AE69" s="59">
        <f t="shared" si="41"/>
        <v>0</v>
      </c>
      <c r="AF69" s="60">
        <f t="shared" si="42"/>
        <v>68508</v>
      </c>
      <c r="AG69" s="60">
        <f t="shared" si="43"/>
        <v>0</v>
      </c>
      <c r="AH69" s="7">
        <v>409000</v>
      </c>
      <c r="AI69" s="7">
        <v>397000</v>
      </c>
      <c r="AJ69" s="11" t="s">
        <v>1419</v>
      </c>
      <c r="AK69" s="61">
        <v>363650</v>
      </c>
      <c r="AL69" s="8"/>
      <c r="AM69" s="8"/>
    </row>
    <row r="70" spans="1:39" x14ac:dyDescent="0.2">
      <c r="A70" s="1" t="s">
        <v>1412</v>
      </c>
      <c r="B70" s="1"/>
      <c r="C70" s="1">
        <v>9981</v>
      </c>
      <c r="D70" s="3" t="s">
        <v>75</v>
      </c>
      <c r="E70" s="3" t="s">
        <v>1563</v>
      </c>
      <c r="F70" s="3" t="s">
        <v>1564</v>
      </c>
      <c r="G70" s="3" t="s">
        <v>1412</v>
      </c>
      <c r="H70" s="3">
        <v>1997</v>
      </c>
      <c r="I70" s="3"/>
      <c r="J70" s="3" t="s">
        <v>1416</v>
      </c>
      <c r="K70" s="4"/>
      <c r="L70" s="5"/>
      <c r="M70" s="6">
        <v>100</v>
      </c>
      <c r="N70" s="57">
        <v>0.70499999999999996</v>
      </c>
      <c r="O70" s="57">
        <v>0.71699999999999997</v>
      </c>
      <c r="P70" s="57">
        <v>0.746</v>
      </c>
      <c r="Q70" s="57">
        <v>0.73599999999999999</v>
      </c>
      <c r="R70" s="7">
        <v>774371</v>
      </c>
      <c r="S70" s="7">
        <v>597041</v>
      </c>
      <c r="T70" s="7">
        <f t="shared" si="33"/>
        <v>230375.3725</v>
      </c>
      <c r="U70" s="7">
        <v>249721</v>
      </c>
      <c r="V70" s="7">
        <f t="shared" si="34"/>
        <v>347320</v>
      </c>
      <c r="W70" s="7">
        <v>3559</v>
      </c>
      <c r="X70" s="58">
        <f t="shared" si="35"/>
        <v>0</v>
      </c>
      <c r="Y70" s="25">
        <f t="shared" si="36"/>
        <v>0</v>
      </c>
      <c r="Z70" s="8"/>
      <c r="AA70" s="7">
        <f t="shared" si="37"/>
        <v>827416.37250000006</v>
      </c>
      <c r="AB70" s="7">
        <f t="shared" si="38"/>
        <v>230375.3725</v>
      </c>
      <c r="AC70" s="7">
        <f t="shared" si="39"/>
        <v>597041</v>
      </c>
      <c r="AD70" s="59">
        <f t="shared" si="40"/>
        <v>0</v>
      </c>
      <c r="AE70" s="59">
        <f t="shared" si="41"/>
        <v>0</v>
      </c>
      <c r="AF70" s="60">
        <f t="shared" si="42"/>
        <v>0</v>
      </c>
      <c r="AG70" s="60">
        <f t="shared" si="43"/>
        <v>597041</v>
      </c>
      <c r="AH70" s="7">
        <v>0</v>
      </c>
      <c r="AI70" s="7">
        <v>0</v>
      </c>
      <c r="AJ70" s="3"/>
      <c r="AK70" s="3"/>
      <c r="AL70" s="8"/>
      <c r="AM70" s="8"/>
    </row>
    <row r="71" spans="1:39" x14ac:dyDescent="0.2">
      <c r="A71" s="1" t="s">
        <v>1412</v>
      </c>
      <c r="B71" s="1"/>
      <c r="C71" s="1">
        <v>8544</v>
      </c>
      <c r="D71" s="64" t="s">
        <v>76</v>
      </c>
      <c r="E71" s="3" t="s">
        <v>77</v>
      </c>
      <c r="F71" s="3" t="s">
        <v>1525</v>
      </c>
      <c r="G71" s="3" t="s">
        <v>1417</v>
      </c>
      <c r="H71" s="3">
        <v>1986</v>
      </c>
      <c r="I71" s="3"/>
      <c r="J71" s="3" t="s">
        <v>1416</v>
      </c>
      <c r="K71" s="4"/>
      <c r="L71" s="56" t="s">
        <v>78</v>
      </c>
      <c r="M71" s="6">
        <v>177</v>
      </c>
      <c r="N71" s="57">
        <v>0.94099999999999995</v>
      </c>
      <c r="O71" s="57">
        <v>0.95499999999999996</v>
      </c>
      <c r="P71" s="57">
        <v>0.97299999999999998</v>
      </c>
      <c r="Q71" s="57">
        <v>0.96199999999999997</v>
      </c>
      <c r="R71" s="7">
        <v>1160738</v>
      </c>
      <c r="S71" s="7">
        <v>1119668</v>
      </c>
      <c r="T71" s="7">
        <f t="shared" si="33"/>
        <v>345319.55499999999</v>
      </c>
      <c r="U71" s="7">
        <v>741368</v>
      </c>
      <c r="V71" s="7">
        <f t="shared" si="34"/>
        <v>378300</v>
      </c>
      <c r="W71" s="7">
        <v>5600</v>
      </c>
      <c r="X71" s="58">
        <f t="shared" si="35"/>
        <v>0</v>
      </c>
      <c r="Y71" s="25">
        <f t="shared" si="36"/>
        <v>0</v>
      </c>
      <c r="Z71" s="25"/>
      <c r="AA71" s="7">
        <f t="shared" si="37"/>
        <v>1464987.5549999999</v>
      </c>
      <c r="AB71" s="7">
        <f t="shared" si="38"/>
        <v>345319.55499999999</v>
      </c>
      <c r="AC71" s="7">
        <f t="shared" si="39"/>
        <v>1119668</v>
      </c>
      <c r="AD71" s="59">
        <f t="shared" si="40"/>
        <v>0</v>
      </c>
      <c r="AE71" s="59">
        <f t="shared" si="41"/>
        <v>0</v>
      </c>
      <c r="AF71" s="60">
        <f t="shared" si="42"/>
        <v>0</v>
      </c>
      <c r="AG71" s="60">
        <f t="shared" si="43"/>
        <v>1119668</v>
      </c>
      <c r="AH71" s="7">
        <v>0</v>
      </c>
      <c r="AI71" s="7">
        <v>0</v>
      </c>
      <c r="AJ71" s="11" t="s">
        <v>1419</v>
      </c>
      <c r="AK71" s="61">
        <v>1281234</v>
      </c>
      <c r="AL71" s="8"/>
      <c r="AM71" s="8"/>
    </row>
    <row r="72" spans="1:39" x14ac:dyDescent="0.2">
      <c r="A72" s="1" t="s">
        <v>1412</v>
      </c>
      <c r="B72" s="1"/>
      <c r="C72" s="1">
        <v>1118</v>
      </c>
      <c r="D72" s="3" t="s">
        <v>79</v>
      </c>
      <c r="E72" s="3" t="s">
        <v>80</v>
      </c>
      <c r="F72" s="3" t="s">
        <v>1535</v>
      </c>
      <c r="G72" s="3" t="s">
        <v>1412</v>
      </c>
      <c r="H72" s="3">
        <v>1973</v>
      </c>
      <c r="I72" s="3"/>
      <c r="J72" s="3" t="s">
        <v>1416</v>
      </c>
      <c r="K72" s="4" t="s">
        <v>1417</v>
      </c>
      <c r="L72" s="56" t="s">
        <v>81</v>
      </c>
      <c r="M72" s="6">
        <v>58</v>
      </c>
      <c r="N72" s="57">
        <v>0.88600000000000001</v>
      </c>
      <c r="O72" s="57">
        <v>0.93</v>
      </c>
      <c r="P72" s="57">
        <v>0.92</v>
      </c>
      <c r="Q72" s="57">
        <v>0.83299999999999996</v>
      </c>
      <c r="R72" s="7">
        <v>553329</v>
      </c>
      <c r="S72" s="7">
        <v>480166</v>
      </c>
      <c r="T72" s="7">
        <f t="shared" si="33"/>
        <v>164615.3775</v>
      </c>
      <c r="U72" s="7">
        <v>299960</v>
      </c>
      <c r="V72" s="7">
        <f t="shared" si="34"/>
        <v>180206</v>
      </c>
      <c r="W72" s="7">
        <v>2794</v>
      </c>
      <c r="X72" s="58">
        <f t="shared" si="35"/>
        <v>0</v>
      </c>
      <c r="Y72" s="25">
        <f t="shared" si="36"/>
        <v>0</v>
      </c>
      <c r="Z72" s="25"/>
      <c r="AA72" s="7">
        <f t="shared" si="37"/>
        <v>644781.37749999994</v>
      </c>
      <c r="AB72" s="7">
        <f t="shared" si="38"/>
        <v>164615.3775</v>
      </c>
      <c r="AC72" s="7">
        <f t="shared" si="39"/>
        <v>480166</v>
      </c>
      <c r="AD72" s="59">
        <f t="shared" si="40"/>
        <v>0</v>
      </c>
      <c r="AE72" s="59">
        <f t="shared" si="41"/>
        <v>0</v>
      </c>
      <c r="AF72" s="60">
        <f t="shared" si="42"/>
        <v>0</v>
      </c>
      <c r="AG72" s="60">
        <f t="shared" si="43"/>
        <v>480166</v>
      </c>
      <c r="AH72" s="7">
        <v>0</v>
      </c>
      <c r="AI72" s="7">
        <v>0</v>
      </c>
      <c r="AJ72" s="11" t="s">
        <v>1580</v>
      </c>
      <c r="AK72" s="61">
        <v>72155.759999999995</v>
      </c>
      <c r="AL72" s="8"/>
      <c r="AM72" s="8"/>
    </row>
    <row r="73" spans="1:39" x14ac:dyDescent="0.2">
      <c r="A73" s="1" t="s">
        <v>1412</v>
      </c>
      <c r="B73" s="1"/>
      <c r="C73" s="1">
        <v>3555</v>
      </c>
      <c r="D73" s="3" t="s">
        <v>82</v>
      </c>
      <c r="E73" s="3" t="s">
        <v>83</v>
      </c>
      <c r="F73" s="3" t="s">
        <v>1415</v>
      </c>
      <c r="G73" s="3" t="s">
        <v>1412</v>
      </c>
      <c r="H73" s="3">
        <v>1985</v>
      </c>
      <c r="I73" s="3"/>
      <c r="J73" s="3" t="s">
        <v>1512</v>
      </c>
      <c r="K73" s="4"/>
      <c r="L73" s="56" t="s">
        <v>1545</v>
      </c>
      <c r="M73" s="6">
        <v>18</v>
      </c>
      <c r="N73" s="57">
        <v>0.995</v>
      </c>
      <c r="O73" s="57">
        <v>0.995</v>
      </c>
      <c r="P73" s="57">
        <v>0.97799999999999998</v>
      </c>
      <c r="Q73" s="57">
        <v>0.99099999999999999</v>
      </c>
      <c r="R73" s="7"/>
      <c r="S73" s="7">
        <v>409459</v>
      </c>
      <c r="T73" s="7">
        <f t="shared" si="33"/>
        <v>79394.100099999996</v>
      </c>
      <c r="U73" s="7">
        <v>309802</v>
      </c>
      <c r="V73" s="7">
        <f t="shared" si="34"/>
        <v>99657</v>
      </c>
      <c r="W73" s="7">
        <v>1111</v>
      </c>
      <c r="X73" s="58">
        <f t="shared" si="35"/>
        <v>0</v>
      </c>
      <c r="Y73" s="25">
        <f t="shared" si="36"/>
        <v>0</v>
      </c>
      <c r="Z73" s="25"/>
      <c r="AA73" s="7">
        <f t="shared" si="37"/>
        <v>488853.10009999998</v>
      </c>
      <c r="AB73" s="7">
        <f t="shared" si="38"/>
        <v>79394.100099999996</v>
      </c>
      <c r="AC73" s="7">
        <f t="shared" si="39"/>
        <v>409459</v>
      </c>
      <c r="AD73" s="59">
        <f t="shared" si="40"/>
        <v>0</v>
      </c>
      <c r="AE73" s="59">
        <f t="shared" si="41"/>
        <v>0</v>
      </c>
      <c r="AF73" s="60">
        <f t="shared" si="42"/>
        <v>0</v>
      </c>
      <c r="AG73" s="60">
        <f t="shared" si="43"/>
        <v>409459</v>
      </c>
      <c r="AH73" s="7">
        <v>0</v>
      </c>
      <c r="AI73" s="7">
        <v>0</v>
      </c>
      <c r="AJ73" s="3"/>
      <c r="AK73" s="3"/>
      <c r="AL73" s="8"/>
      <c r="AM73" s="8"/>
    </row>
    <row r="74" spans="1:39" x14ac:dyDescent="0.2">
      <c r="A74" s="1" t="s">
        <v>1412</v>
      </c>
      <c r="B74" s="1"/>
      <c r="C74" s="1">
        <v>1125</v>
      </c>
      <c r="D74" s="3" t="s">
        <v>84</v>
      </c>
      <c r="E74" s="3" t="s">
        <v>85</v>
      </c>
      <c r="F74" s="3" t="s">
        <v>86</v>
      </c>
      <c r="G74" s="3" t="s">
        <v>1412</v>
      </c>
      <c r="H74" s="3">
        <v>1980</v>
      </c>
      <c r="I74" s="3"/>
      <c r="J74" s="3" t="s">
        <v>1416</v>
      </c>
      <c r="K74" s="4" t="s">
        <v>1412</v>
      </c>
      <c r="L74" s="56" t="s">
        <v>87</v>
      </c>
      <c r="M74" s="6">
        <v>75</v>
      </c>
      <c r="N74" s="57">
        <v>0.74399999999999999</v>
      </c>
      <c r="O74" s="57">
        <v>0.78700000000000003</v>
      </c>
      <c r="P74" s="57">
        <v>0.76700000000000002</v>
      </c>
      <c r="Q74" s="57">
        <v>0.82</v>
      </c>
      <c r="R74" s="7">
        <v>520231</v>
      </c>
      <c r="S74" s="7">
        <v>448933</v>
      </c>
      <c r="T74" s="7">
        <f t="shared" si="33"/>
        <v>154768.7225</v>
      </c>
      <c r="U74" s="7">
        <v>242666</v>
      </c>
      <c r="V74" s="7">
        <f t="shared" si="34"/>
        <v>206267</v>
      </c>
      <c r="W74" s="7">
        <v>2090</v>
      </c>
      <c r="X74" s="58">
        <f t="shared" si="35"/>
        <v>0</v>
      </c>
      <c r="Y74" s="25">
        <f t="shared" si="36"/>
        <v>0</v>
      </c>
      <c r="Z74" s="25"/>
      <c r="AA74" s="7">
        <f t="shared" si="37"/>
        <v>603701.72250000003</v>
      </c>
      <c r="AB74" s="7">
        <f t="shared" si="38"/>
        <v>154768.7225</v>
      </c>
      <c r="AC74" s="7">
        <f t="shared" si="39"/>
        <v>448933</v>
      </c>
      <c r="AD74" s="59">
        <f t="shared" si="40"/>
        <v>0</v>
      </c>
      <c r="AE74" s="59">
        <f t="shared" si="41"/>
        <v>0</v>
      </c>
      <c r="AF74" s="60">
        <f t="shared" si="42"/>
        <v>448933</v>
      </c>
      <c r="AG74" s="60">
        <f t="shared" si="43"/>
        <v>0</v>
      </c>
      <c r="AH74" s="7">
        <v>338000</v>
      </c>
      <c r="AI74" s="7">
        <v>392000</v>
      </c>
      <c r="AJ74" s="11" t="s">
        <v>1419</v>
      </c>
      <c r="AK74" s="61">
        <v>378343</v>
      </c>
      <c r="AL74" s="8"/>
      <c r="AM74" s="8"/>
    </row>
    <row r="75" spans="1:39" x14ac:dyDescent="0.2">
      <c r="A75" s="1" t="s">
        <v>1412</v>
      </c>
      <c r="B75" s="1"/>
      <c r="C75" s="1">
        <v>1145</v>
      </c>
      <c r="D75" s="62" t="s">
        <v>88</v>
      </c>
      <c r="E75" s="3" t="s">
        <v>89</v>
      </c>
      <c r="F75" s="3" t="s">
        <v>90</v>
      </c>
      <c r="G75" s="3" t="s">
        <v>1417</v>
      </c>
      <c r="H75" s="3">
        <v>1992</v>
      </c>
      <c r="I75" s="3"/>
      <c r="J75" s="3" t="s">
        <v>1416</v>
      </c>
      <c r="K75" s="4" t="s">
        <v>1412</v>
      </c>
      <c r="L75" s="56" t="s">
        <v>91</v>
      </c>
      <c r="M75" s="6">
        <v>72</v>
      </c>
      <c r="N75" s="57">
        <v>0.96199999999999997</v>
      </c>
      <c r="O75" s="57">
        <v>0.96199999999999997</v>
      </c>
      <c r="P75" s="57">
        <v>0.98899999999999999</v>
      </c>
      <c r="Q75" s="57">
        <v>1</v>
      </c>
      <c r="R75" s="7">
        <v>1043979</v>
      </c>
      <c r="S75" s="7">
        <v>464885</v>
      </c>
      <c r="T75" s="7">
        <f t="shared" si="33"/>
        <v>310583.7525</v>
      </c>
      <c r="U75" s="7">
        <v>0</v>
      </c>
      <c r="V75" s="7">
        <f t="shared" si="34"/>
        <v>464885</v>
      </c>
      <c r="W75" s="7">
        <v>5500</v>
      </c>
      <c r="X75" s="58">
        <f t="shared" si="35"/>
        <v>0</v>
      </c>
      <c r="Y75" s="25">
        <f t="shared" si="36"/>
        <v>0</v>
      </c>
      <c r="Z75" s="25"/>
      <c r="AA75" s="7">
        <f t="shared" si="37"/>
        <v>775468.75249999994</v>
      </c>
      <c r="AB75" s="7">
        <f t="shared" si="38"/>
        <v>310583.7525</v>
      </c>
      <c r="AC75" s="7">
        <f t="shared" si="39"/>
        <v>464885</v>
      </c>
      <c r="AD75" s="59">
        <f t="shared" si="40"/>
        <v>0</v>
      </c>
      <c r="AE75" s="59">
        <f t="shared" si="41"/>
        <v>0</v>
      </c>
      <c r="AF75" s="60">
        <f t="shared" si="42"/>
        <v>464885</v>
      </c>
      <c r="AG75" s="60">
        <f t="shared" si="43"/>
        <v>0</v>
      </c>
      <c r="AH75" s="7">
        <v>1044000</v>
      </c>
      <c r="AI75" s="7">
        <v>1045000</v>
      </c>
      <c r="AJ75" s="62"/>
      <c r="AK75" s="62"/>
      <c r="AL75" s="8"/>
      <c r="AM75" s="8"/>
    </row>
    <row r="76" spans="1:39" x14ac:dyDescent="0.2">
      <c r="A76" s="1" t="s">
        <v>1412</v>
      </c>
      <c r="B76" s="1"/>
      <c r="C76" s="1">
        <v>941</v>
      </c>
      <c r="D76" s="3" t="s">
        <v>92</v>
      </c>
      <c r="E76" s="3" t="s">
        <v>93</v>
      </c>
      <c r="F76" s="3" t="s">
        <v>1415</v>
      </c>
      <c r="G76" s="3" t="s">
        <v>1412</v>
      </c>
      <c r="H76" s="3">
        <v>1985</v>
      </c>
      <c r="I76" s="3"/>
      <c r="J76" s="3" t="s">
        <v>1512</v>
      </c>
      <c r="K76" s="4"/>
      <c r="L76" s="56" t="s">
        <v>1545</v>
      </c>
      <c r="M76" s="6">
        <v>17</v>
      </c>
      <c r="N76" s="57">
        <v>0.84</v>
      </c>
      <c r="O76" s="57">
        <v>0.86599999999999999</v>
      </c>
      <c r="P76" s="57">
        <v>0.751</v>
      </c>
      <c r="Q76" s="57">
        <v>0.80100000000000005</v>
      </c>
      <c r="R76" s="7"/>
      <c r="S76" s="7">
        <v>321887</v>
      </c>
      <c r="T76" s="7">
        <f t="shared" si="33"/>
        <v>62413.889299999995</v>
      </c>
      <c r="U76" s="7">
        <v>278489</v>
      </c>
      <c r="V76" s="7">
        <f t="shared" si="34"/>
        <v>43398</v>
      </c>
      <c r="W76" s="7">
        <v>1618</v>
      </c>
      <c r="X76" s="58">
        <f t="shared" si="35"/>
        <v>0</v>
      </c>
      <c r="Y76" s="25">
        <f t="shared" si="36"/>
        <v>0</v>
      </c>
      <c r="Z76" s="25"/>
      <c r="AA76" s="7">
        <f t="shared" si="37"/>
        <v>384300.88929999998</v>
      </c>
      <c r="AB76" s="7">
        <f t="shared" si="38"/>
        <v>62413.889299999995</v>
      </c>
      <c r="AC76" s="7">
        <f t="shared" si="39"/>
        <v>321887</v>
      </c>
      <c r="AD76" s="59">
        <f t="shared" si="40"/>
        <v>0</v>
      </c>
      <c r="AE76" s="59">
        <f t="shared" si="41"/>
        <v>0</v>
      </c>
      <c r="AF76" s="60">
        <f t="shared" si="42"/>
        <v>0</v>
      </c>
      <c r="AG76" s="60">
        <f t="shared" si="43"/>
        <v>321887</v>
      </c>
      <c r="AH76" s="7">
        <v>0</v>
      </c>
      <c r="AI76" s="7">
        <v>0</v>
      </c>
      <c r="AJ76" s="3"/>
      <c r="AK76" s="3"/>
      <c r="AL76" s="8"/>
      <c r="AM76" s="8"/>
    </row>
    <row r="77" spans="1:39" x14ac:dyDescent="0.2">
      <c r="A77" s="1" t="s">
        <v>1412</v>
      </c>
      <c r="B77" s="1"/>
      <c r="C77" s="1">
        <v>1504</v>
      </c>
      <c r="D77" s="3" t="s">
        <v>94</v>
      </c>
      <c r="E77" s="3" t="s">
        <v>95</v>
      </c>
      <c r="F77" s="3" t="s">
        <v>39</v>
      </c>
      <c r="G77" s="3" t="s">
        <v>1412</v>
      </c>
      <c r="H77" s="3">
        <v>1966</v>
      </c>
      <c r="I77" s="3"/>
      <c r="J77" s="3" t="s">
        <v>1416</v>
      </c>
      <c r="K77" s="4" t="s">
        <v>1417</v>
      </c>
      <c r="L77" s="56" t="s">
        <v>96</v>
      </c>
      <c r="M77" s="6">
        <v>23</v>
      </c>
      <c r="N77" s="57">
        <v>0.91900000000000004</v>
      </c>
      <c r="O77" s="57">
        <v>0.91900000000000004</v>
      </c>
      <c r="P77" s="57">
        <v>0.83699999999999997</v>
      </c>
      <c r="Q77" s="57">
        <v>0.93500000000000005</v>
      </c>
      <c r="R77" s="7">
        <v>197674</v>
      </c>
      <c r="S77" s="7">
        <v>184542</v>
      </c>
      <c r="T77" s="7">
        <f t="shared" si="33"/>
        <v>58808.014999999999</v>
      </c>
      <c r="U77" s="7">
        <v>92191</v>
      </c>
      <c r="V77" s="7">
        <f t="shared" si="34"/>
        <v>92351</v>
      </c>
      <c r="W77" s="7">
        <v>970</v>
      </c>
      <c r="X77" s="58">
        <f t="shared" si="35"/>
        <v>0</v>
      </c>
      <c r="Y77" s="25">
        <f t="shared" si="36"/>
        <v>0</v>
      </c>
      <c r="Z77" s="25"/>
      <c r="AA77" s="7">
        <f t="shared" si="37"/>
        <v>243350.01500000001</v>
      </c>
      <c r="AB77" s="7">
        <f t="shared" si="38"/>
        <v>58808.014999999999</v>
      </c>
      <c r="AC77" s="7">
        <f t="shared" si="39"/>
        <v>184542</v>
      </c>
      <c r="AD77" s="59">
        <f t="shared" si="40"/>
        <v>0</v>
      </c>
      <c r="AE77" s="59">
        <f t="shared" si="41"/>
        <v>0</v>
      </c>
      <c r="AF77" s="60">
        <f t="shared" si="42"/>
        <v>0</v>
      </c>
      <c r="AG77" s="60">
        <f t="shared" si="43"/>
        <v>184542</v>
      </c>
      <c r="AH77" s="7">
        <v>0</v>
      </c>
      <c r="AI77" s="7">
        <v>0</v>
      </c>
      <c r="AJ77" s="3"/>
      <c r="AK77" s="3"/>
      <c r="AL77" s="8"/>
      <c r="AM77" s="8"/>
    </row>
    <row r="78" spans="1:39" x14ac:dyDescent="0.2">
      <c r="A78" s="1" t="s">
        <v>1412</v>
      </c>
      <c r="B78" s="1"/>
      <c r="C78" s="1">
        <v>509</v>
      </c>
      <c r="D78" s="3" t="s">
        <v>97</v>
      </c>
      <c r="E78" s="3" t="s">
        <v>98</v>
      </c>
      <c r="F78" s="3" t="s">
        <v>1525</v>
      </c>
      <c r="G78" s="3" t="s">
        <v>1417</v>
      </c>
      <c r="H78" s="3">
        <v>1989</v>
      </c>
      <c r="I78" s="3"/>
      <c r="J78" s="3" t="s">
        <v>1512</v>
      </c>
      <c r="K78" s="4"/>
      <c r="L78" s="56" t="s">
        <v>99</v>
      </c>
      <c r="M78" s="6">
        <v>30</v>
      </c>
      <c r="N78" s="57">
        <v>0.98699999999999999</v>
      </c>
      <c r="O78" s="57">
        <v>0.98699999999999999</v>
      </c>
      <c r="P78" s="57">
        <v>0.98</v>
      </c>
      <c r="Q78" s="57">
        <v>0.98</v>
      </c>
      <c r="R78" s="7"/>
      <c r="S78" s="7">
        <v>224334</v>
      </c>
      <c r="T78" s="7">
        <f t="shared" si="33"/>
        <v>43498.3626</v>
      </c>
      <c r="U78" s="7">
        <v>163611</v>
      </c>
      <c r="V78" s="7">
        <f t="shared" si="34"/>
        <v>60723</v>
      </c>
      <c r="W78" s="7">
        <v>1113</v>
      </c>
      <c r="X78" s="58">
        <f t="shared" si="35"/>
        <v>0</v>
      </c>
      <c r="Y78" s="25">
        <f t="shared" si="36"/>
        <v>0</v>
      </c>
      <c r="Z78" s="25"/>
      <c r="AA78" s="7">
        <f t="shared" si="37"/>
        <v>267832.36259999999</v>
      </c>
      <c r="AB78" s="7">
        <f t="shared" si="38"/>
        <v>43498.3626</v>
      </c>
      <c r="AC78" s="7">
        <f t="shared" si="39"/>
        <v>224334</v>
      </c>
      <c r="AD78" s="59">
        <f t="shared" si="40"/>
        <v>0</v>
      </c>
      <c r="AE78" s="59">
        <f t="shared" si="41"/>
        <v>0</v>
      </c>
      <c r="AF78" s="60">
        <f t="shared" si="42"/>
        <v>0</v>
      </c>
      <c r="AG78" s="60">
        <f t="shared" si="43"/>
        <v>224334</v>
      </c>
      <c r="AH78" s="7">
        <v>0</v>
      </c>
      <c r="AI78" s="7">
        <v>0</v>
      </c>
      <c r="AJ78" s="11" t="s">
        <v>1419</v>
      </c>
      <c r="AK78" s="61">
        <v>59468.82</v>
      </c>
      <c r="AL78" s="8"/>
      <c r="AM78" s="8"/>
    </row>
    <row r="79" spans="1:39" x14ac:dyDescent="0.2">
      <c r="A79" s="1" t="s">
        <v>1412</v>
      </c>
      <c r="B79" s="1"/>
      <c r="C79" s="1">
        <v>8638</v>
      </c>
      <c r="D79" s="3" t="s">
        <v>100</v>
      </c>
      <c r="E79" s="3" t="s">
        <v>101</v>
      </c>
      <c r="F79" s="3" t="s">
        <v>86</v>
      </c>
      <c r="G79" s="3" t="s">
        <v>1412</v>
      </c>
      <c r="H79" s="3">
        <v>1963</v>
      </c>
      <c r="I79" s="3"/>
      <c r="J79" s="3" t="s">
        <v>1416</v>
      </c>
      <c r="K79" s="4" t="s">
        <v>1417</v>
      </c>
      <c r="L79" s="56" t="s">
        <v>102</v>
      </c>
      <c r="M79" s="6">
        <v>36</v>
      </c>
      <c r="N79" s="57">
        <v>0.95399999999999996</v>
      </c>
      <c r="O79" s="57">
        <v>0.97099999999999997</v>
      </c>
      <c r="P79" s="57">
        <v>0.96699999999999997</v>
      </c>
      <c r="Q79" s="57">
        <v>0.92300000000000004</v>
      </c>
      <c r="R79" s="7">
        <v>517657</v>
      </c>
      <c r="S79" s="7">
        <v>620987</v>
      </c>
      <c r="T79" s="7">
        <f t="shared" si="33"/>
        <v>154002.95749999999</v>
      </c>
      <c r="U79" s="7">
        <v>347591</v>
      </c>
      <c r="V79" s="7">
        <f t="shared" si="34"/>
        <v>273396</v>
      </c>
      <c r="W79" s="7">
        <v>2258</v>
      </c>
      <c r="X79" s="58">
        <f t="shared" si="35"/>
        <v>0</v>
      </c>
      <c r="Y79" s="25">
        <f t="shared" si="36"/>
        <v>0</v>
      </c>
      <c r="Z79" s="25"/>
      <c r="AA79" s="7">
        <f t="shared" si="37"/>
        <v>774989.95750000002</v>
      </c>
      <c r="AB79" s="7">
        <f t="shared" si="38"/>
        <v>154002.95749999999</v>
      </c>
      <c r="AC79" s="7">
        <f t="shared" si="39"/>
        <v>620987</v>
      </c>
      <c r="AD79" s="59">
        <f t="shared" si="40"/>
        <v>0</v>
      </c>
      <c r="AE79" s="59">
        <f t="shared" si="41"/>
        <v>0</v>
      </c>
      <c r="AF79" s="60">
        <f t="shared" si="42"/>
        <v>0</v>
      </c>
      <c r="AG79" s="60">
        <f t="shared" si="43"/>
        <v>620987</v>
      </c>
      <c r="AH79" s="7">
        <v>0</v>
      </c>
      <c r="AI79" s="7">
        <v>0</v>
      </c>
      <c r="AJ79" s="11" t="s">
        <v>1419</v>
      </c>
      <c r="AK79" s="61">
        <v>495741</v>
      </c>
      <c r="AL79" s="8"/>
      <c r="AM79" s="8"/>
    </row>
    <row r="80" spans="1:39" x14ac:dyDescent="0.2">
      <c r="A80" s="1" t="s">
        <v>1412</v>
      </c>
      <c r="B80" s="1" t="s">
        <v>1412</v>
      </c>
      <c r="C80" s="1">
        <v>1313</v>
      </c>
      <c r="D80" s="62" t="s">
        <v>103</v>
      </c>
      <c r="E80" s="3" t="s">
        <v>104</v>
      </c>
      <c r="F80" s="3" t="s">
        <v>86</v>
      </c>
      <c r="G80" s="3" t="s">
        <v>1412</v>
      </c>
      <c r="H80" s="3">
        <v>1974</v>
      </c>
      <c r="I80" s="3"/>
      <c r="J80" s="3" t="s">
        <v>1416</v>
      </c>
      <c r="K80" s="4" t="s">
        <v>1412</v>
      </c>
      <c r="L80" s="56" t="s">
        <v>102</v>
      </c>
      <c r="M80" s="6">
        <v>89</v>
      </c>
      <c r="N80" s="57">
        <v>0.80800000000000005</v>
      </c>
      <c r="O80" s="57">
        <v>0.81</v>
      </c>
      <c r="P80" s="57">
        <v>0.86499999999999999</v>
      </c>
      <c r="Q80" s="57">
        <v>0.91400000000000003</v>
      </c>
      <c r="R80" s="7">
        <v>888884</v>
      </c>
      <c r="S80" s="7">
        <v>714635</v>
      </c>
      <c r="T80" s="7">
        <f t="shared" si="33"/>
        <v>264442.99</v>
      </c>
      <c r="U80" s="7">
        <v>462838</v>
      </c>
      <c r="V80" s="7">
        <f t="shared" si="34"/>
        <v>251797</v>
      </c>
      <c r="W80" s="7">
        <v>4500</v>
      </c>
      <c r="X80" s="58">
        <f t="shared" si="35"/>
        <v>621804.99</v>
      </c>
      <c r="Y80" s="25">
        <f t="shared" si="36"/>
        <v>264442.99</v>
      </c>
      <c r="Z80" s="25">
        <v>357362</v>
      </c>
      <c r="AA80" s="7">
        <f t="shared" si="37"/>
        <v>357273</v>
      </c>
      <c r="AB80" s="7">
        <f t="shared" si="38"/>
        <v>0</v>
      </c>
      <c r="AC80" s="7">
        <f t="shared" si="39"/>
        <v>357273</v>
      </c>
      <c r="AD80" s="59">
        <f t="shared" si="40"/>
        <v>357362</v>
      </c>
      <c r="AE80" s="59">
        <f t="shared" si="41"/>
        <v>0</v>
      </c>
      <c r="AF80" s="60">
        <f t="shared" si="42"/>
        <v>357273</v>
      </c>
      <c r="AG80" s="60">
        <f t="shared" si="43"/>
        <v>0</v>
      </c>
      <c r="AH80" s="7">
        <v>694000</v>
      </c>
      <c r="AI80" s="7">
        <v>454000</v>
      </c>
      <c r="AJ80" s="11" t="s">
        <v>1419</v>
      </c>
      <c r="AK80" s="61">
        <v>685285</v>
      </c>
      <c r="AL80" s="8"/>
      <c r="AM80" s="8"/>
    </row>
    <row r="81" spans="1:39" x14ac:dyDescent="0.2">
      <c r="A81" s="1"/>
      <c r="B81" s="1" t="s">
        <v>1412</v>
      </c>
      <c r="C81" s="1">
        <v>1310</v>
      </c>
      <c r="D81" s="66" t="s">
        <v>105</v>
      </c>
      <c r="E81" s="3"/>
      <c r="F81" s="3"/>
      <c r="G81" s="3" t="s">
        <v>1417</v>
      </c>
      <c r="H81" s="3"/>
      <c r="I81" s="3"/>
      <c r="J81" s="3"/>
      <c r="K81" s="4"/>
      <c r="L81" s="56"/>
      <c r="M81" s="6"/>
      <c r="N81" s="57"/>
      <c r="O81" s="57"/>
      <c r="P81" s="57"/>
      <c r="Q81" s="57"/>
      <c r="R81" s="7"/>
      <c r="S81" s="7"/>
      <c r="T81" s="7"/>
      <c r="U81" s="7"/>
      <c r="V81" s="7"/>
      <c r="W81" s="7"/>
      <c r="X81" s="58"/>
      <c r="Y81" s="25"/>
      <c r="Z81" s="25"/>
      <c r="AA81" s="7"/>
      <c r="AB81" s="7"/>
      <c r="AC81" s="7"/>
      <c r="AD81" s="59"/>
      <c r="AE81" s="59"/>
      <c r="AF81" s="60"/>
      <c r="AG81" s="60"/>
      <c r="AH81" s="7">
        <v>664000</v>
      </c>
      <c r="AI81" s="7">
        <v>463000</v>
      </c>
      <c r="AJ81" s="11" t="s">
        <v>1419</v>
      </c>
      <c r="AK81" s="61">
        <v>437958</v>
      </c>
      <c r="AL81" s="8"/>
      <c r="AM81" s="8"/>
    </row>
    <row r="82" spans="1:39" x14ac:dyDescent="0.2">
      <c r="A82" s="1"/>
      <c r="B82" s="1" t="s">
        <v>1412</v>
      </c>
      <c r="C82" s="1">
        <v>4776</v>
      </c>
      <c r="D82" s="66" t="s">
        <v>106</v>
      </c>
      <c r="E82" s="3"/>
      <c r="F82" s="3"/>
      <c r="G82" s="3" t="s">
        <v>1417</v>
      </c>
      <c r="H82" s="3"/>
      <c r="I82" s="3"/>
      <c r="J82" s="3"/>
      <c r="K82" s="4"/>
      <c r="L82" s="56"/>
      <c r="M82" s="6"/>
      <c r="N82" s="57"/>
      <c r="O82" s="57"/>
      <c r="P82" s="57"/>
      <c r="Q82" s="57"/>
      <c r="R82" s="7"/>
      <c r="S82" s="7"/>
      <c r="T82" s="7"/>
      <c r="U82" s="7"/>
      <c r="V82" s="7"/>
      <c r="W82" s="7"/>
      <c r="X82" s="58"/>
      <c r="Y82" s="25"/>
      <c r="Z82" s="25"/>
      <c r="AA82" s="7"/>
      <c r="AB82" s="7"/>
      <c r="AC82" s="7"/>
      <c r="AD82" s="59"/>
      <c r="AE82" s="59"/>
      <c r="AF82" s="60"/>
      <c r="AG82" s="60"/>
      <c r="AH82" s="7">
        <v>1081000</v>
      </c>
      <c r="AI82" s="7">
        <v>951000</v>
      </c>
      <c r="AJ82" s="11" t="s">
        <v>1419</v>
      </c>
      <c r="AK82" s="61">
        <v>879563</v>
      </c>
      <c r="AL82" s="8"/>
      <c r="AM82" s="8"/>
    </row>
    <row r="83" spans="1:39" x14ac:dyDescent="0.2">
      <c r="A83" s="1" t="s">
        <v>1412</v>
      </c>
      <c r="B83" s="1"/>
      <c r="C83" s="1">
        <v>8675</v>
      </c>
      <c r="D83" s="64" t="s">
        <v>107</v>
      </c>
      <c r="E83" s="3" t="s">
        <v>108</v>
      </c>
      <c r="F83" s="3" t="s">
        <v>1548</v>
      </c>
      <c r="G83" s="3" t="s">
        <v>1412</v>
      </c>
      <c r="H83" s="3">
        <v>1961</v>
      </c>
      <c r="I83" s="3"/>
      <c r="J83" s="3" t="s">
        <v>1416</v>
      </c>
      <c r="K83" s="4" t="s">
        <v>1417</v>
      </c>
      <c r="L83" s="56" t="s">
        <v>109</v>
      </c>
      <c r="M83" s="6">
        <v>130</v>
      </c>
      <c r="N83" s="57">
        <v>0.98299999999999998</v>
      </c>
      <c r="O83" s="57">
        <v>0.98299999999999998</v>
      </c>
      <c r="P83" s="57">
        <v>0.98599999999999999</v>
      </c>
      <c r="Q83" s="57">
        <v>0.96499999999999997</v>
      </c>
      <c r="R83" s="7">
        <v>1425929</v>
      </c>
      <c r="S83" s="7">
        <v>1258935</v>
      </c>
      <c r="T83" s="7">
        <f>IF(J83="regional",IF(R83&gt;0,R83*0.2975,S83*0.3484),S83*0.1939)</f>
        <v>424213.8775</v>
      </c>
      <c r="U83" s="7">
        <v>866300</v>
      </c>
      <c r="V83" s="7">
        <f>S83-U83</f>
        <v>392635</v>
      </c>
      <c r="W83" s="7">
        <v>7500</v>
      </c>
      <c r="X83" s="58">
        <f>Y83+Z83</f>
        <v>0</v>
      </c>
      <c r="Y83" s="25">
        <f>IF(B83="y",T83,0)</f>
        <v>0</v>
      </c>
      <c r="Z83" s="25"/>
      <c r="AA83" s="7">
        <f>AB83+AC83</f>
        <v>1683148.8774999999</v>
      </c>
      <c r="AB83" s="7">
        <f>IF(B83="y",0,T83)</f>
        <v>424213.8775</v>
      </c>
      <c r="AC83" s="7">
        <f>S83-Z83</f>
        <v>1258935</v>
      </c>
      <c r="AD83" s="59">
        <f>IF(K83="y",Z83,0)</f>
        <v>0</v>
      </c>
      <c r="AE83" s="59">
        <f>IF($K83="",Z83,0)+IF($K83="n",Z83,0)</f>
        <v>0</v>
      </c>
      <c r="AF83" s="60">
        <f>IF($K83="y",AC83,0)</f>
        <v>0</v>
      </c>
      <c r="AG83" s="60">
        <f>IF($K83="",AC83,0)+IF($K83="n",AC83,0)</f>
        <v>1258935</v>
      </c>
      <c r="AH83" s="7">
        <v>0</v>
      </c>
      <c r="AI83" s="7">
        <v>0</v>
      </c>
      <c r="AJ83" s="11" t="s">
        <v>1419</v>
      </c>
      <c r="AK83" s="61">
        <v>882884</v>
      </c>
      <c r="AL83" s="8"/>
      <c r="AM83" s="8"/>
    </row>
    <row r="84" spans="1:39" x14ac:dyDescent="0.2">
      <c r="A84" s="1" t="s">
        <v>1412</v>
      </c>
      <c r="B84" s="1"/>
      <c r="C84" s="1">
        <v>8678</v>
      </c>
      <c r="D84" s="3" t="s">
        <v>110</v>
      </c>
      <c r="E84" s="3" t="s">
        <v>108</v>
      </c>
      <c r="F84" s="3" t="s">
        <v>1548</v>
      </c>
      <c r="G84" s="3" t="s">
        <v>1412</v>
      </c>
      <c r="H84" s="3">
        <v>1976</v>
      </c>
      <c r="I84" s="3"/>
      <c r="J84" s="3" t="s">
        <v>1512</v>
      </c>
      <c r="K84" s="4"/>
      <c r="L84" s="56" t="s">
        <v>109</v>
      </c>
      <c r="M84" s="6">
        <v>12</v>
      </c>
      <c r="N84" s="57">
        <v>0.79300000000000004</v>
      </c>
      <c r="O84" s="57">
        <v>0.79300000000000004</v>
      </c>
      <c r="P84" s="57">
        <v>0.754</v>
      </c>
      <c r="Q84" s="57">
        <v>0.82699999999999996</v>
      </c>
      <c r="R84" s="7"/>
      <c r="S84" s="7">
        <v>163898</v>
      </c>
      <c r="T84" s="7">
        <f>IF(J84="regional",IF(R84&gt;0,R84*0.2975,S84*0.3484),S84*0.1939)</f>
        <v>31779.822199999999</v>
      </c>
      <c r="U84" s="7">
        <v>142229</v>
      </c>
      <c r="V84" s="7">
        <f>S84-U84</f>
        <v>21669</v>
      </c>
      <c r="W84" s="7">
        <v>900</v>
      </c>
      <c r="X84" s="58">
        <f>Y84+Z84</f>
        <v>0</v>
      </c>
      <c r="Y84" s="25">
        <f>IF(B84="y",T84,0)</f>
        <v>0</v>
      </c>
      <c r="Z84" s="25"/>
      <c r="AA84" s="7">
        <f>AB84+AC84</f>
        <v>195677.8222</v>
      </c>
      <c r="AB84" s="7">
        <f>IF(B84="y",0,T84)</f>
        <v>31779.822199999999</v>
      </c>
      <c r="AC84" s="7">
        <f>S84-Z84</f>
        <v>163898</v>
      </c>
      <c r="AD84" s="59">
        <f>IF(K84="y",Z84,0)</f>
        <v>0</v>
      </c>
      <c r="AE84" s="59">
        <f>IF($K84="",Z84,0)+IF($K84="n",Z84,0)</f>
        <v>0</v>
      </c>
      <c r="AF84" s="60">
        <f>IF($K84="y",AC84,0)</f>
        <v>0</v>
      </c>
      <c r="AG84" s="60">
        <f>IF($K84="",AC84,0)+IF($K84="n",AC84,0)</f>
        <v>163898</v>
      </c>
      <c r="AH84" s="7">
        <v>0</v>
      </c>
      <c r="AI84" s="7">
        <v>0</v>
      </c>
      <c r="AJ84" s="11" t="s">
        <v>1419</v>
      </c>
      <c r="AK84" s="61">
        <v>24258</v>
      </c>
      <c r="AL84" s="8"/>
      <c r="AM84" s="8"/>
    </row>
    <row r="85" spans="1:39" x14ac:dyDescent="0.2">
      <c r="A85" s="1" t="s">
        <v>1412</v>
      </c>
      <c r="B85" s="1"/>
      <c r="C85" s="1">
        <v>9316</v>
      </c>
      <c r="D85" s="3" t="s">
        <v>111</v>
      </c>
      <c r="E85" s="3" t="s">
        <v>2</v>
      </c>
      <c r="F85" s="3" t="s">
        <v>1594</v>
      </c>
      <c r="G85" s="3" t="s">
        <v>1417</v>
      </c>
      <c r="H85" s="3">
        <v>1963</v>
      </c>
      <c r="I85" s="3"/>
      <c r="J85" s="3" t="s">
        <v>1512</v>
      </c>
      <c r="K85" s="4"/>
      <c r="L85" s="56" t="s">
        <v>3</v>
      </c>
      <c r="M85" s="6">
        <v>15</v>
      </c>
      <c r="N85" s="57">
        <v>0.83199999999999996</v>
      </c>
      <c r="O85" s="57">
        <v>0.83199999999999996</v>
      </c>
      <c r="P85" s="57">
        <v>0.81299999999999994</v>
      </c>
      <c r="Q85" s="57">
        <v>0.76800000000000002</v>
      </c>
      <c r="R85" s="7"/>
      <c r="S85" s="7">
        <v>298242</v>
      </c>
      <c r="T85" s="7">
        <f>IF(J85="regional",IF(R85&gt;0,R85*0.2975,S85*0.3484),S85*0.1939)</f>
        <v>57829.123799999994</v>
      </c>
      <c r="U85" s="7">
        <v>247025</v>
      </c>
      <c r="V85" s="7">
        <f>S85-U85</f>
        <v>51217</v>
      </c>
      <c r="W85" s="7">
        <v>1500</v>
      </c>
      <c r="X85" s="58">
        <f>Y85+Z85</f>
        <v>0</v>
      </c>
      <c r="Y85" s="25">
        <f>IF(B85="y",T85,0)</f>
        <v>0</v>
      </c>
      <c r="Z85" s="25"/>
      <c r="AA85" s="7">
        <f>AB85+AC85</f>
        <v>356071.1238</v>
      </c>
      <c r="AB85" s="7">
        <f>IF(B85="y",0,T85)</f>
        <v>57829.123799999994</v>
      </c>
      <c r="AC85" s="7">
        <f>S85-Z85</f>
        <v>298242</v>
      </c>
      <c r="AD85" s="59">
        <f>IF(K85="y",Z85,0)</f>
        <v>0</v>
      </c>
      <c r="AE85" s="59">
        <f>IF($K85="",Z85,0)+IF($K85="n",Z85,0)</f>
        <v>0</v>
      </c>
      <c r="AF85" s="60">
        <f>IF($K85="y",AC85,0)</f>
        <v>0</v>
      </c>
      <c r="AG85" s="60">
        <f>IF($K85="",AC85,0)+IF($K85="n",AC85,0)</f>
        <v>298242</v>
      </c>
      <c r="AH85" s="7">
        <v>0</v>
      </c>
      <c r="AI85" s="7">
        <v>0</v>
      </c>
      <c r="AJ85" s="3"/>
      <c r="AK85" s="3"/>
      <c r="AL85" s="8"/>
      <c r="AM85" s="8"/>
    </row>
    <row r="86" spans="1:39" x14ac:dyDescent="0.2">
      <c r="A86" s="1"/>
      <c r="B86" s="1"/>
      <c r="C86" s="1">
        <v>8685</v>
      </c>
      <c r="D86" s="3" t="s">
        <v>112</v>
      </c>
      <c r="E86" s="3"/>
      <c r="F86" s="3"/>
      <c r="G86" s="3" t="s">
        <v>1417</v>
      </c>
      <c r="H86" s="3"/>
      <c r="I86" s="3"/>
      <c r="J86" s="3"/>
      <c r="K86" s="4"/>
      <c r="L86" s="56"/>
      <c r="M86" s="6"/>
      <c r="N86" s="57"/>
      <c r="O86" s="57"/>
      <c r="P86" s="57"/>
      <c r="Q86" s="57"/>
      <c r="R86" s="7"/>
      <c r="S86" s="7"/>
      <c r="T86" s="7"/>
      <c r="U86" s="7"/>
      <c r="V86" s="7"/>
      <c r="W86" s="7"/>
      <c r="X86" s="58"/>
      <c r="Y86" s="25"/>
      <c r="Z86" s="25"/>
      <c r="AA86" s="7"/>
      <c r="AB86" s="7"/>
      <c r="AC86" s="7"/>
      <c r="AD86" s="59"/>
      <c r="AE86" s="59"/>
      <c r="AF86" s="60"/>
      <c r="AG86" s="60"/>
      <c r="AH86" s="7"/>
      <c r="AI86" s="7"/>
      <c r="AJ86" s="3"/>
      <c r="AK86" s="3"/>
      <c r="AL86" s="8"/>
      <c r="AM86" s="8"/>
    </row>
    <row r="87" spans="1:39" x14ac:dyDescent="0.2">
      <c r="A87" s="1" t="s">
        <v>1412</v>
      </c>
      <c r="B87" s="1"/>
      <c r="C87" s="1">
        <v>1325</v>
      </c>
      <c r="D87" s="64" t="s">
        <v>113</v>
      </c>
      <c r="E87" s="3" t="s">
        <v>114</v>
      </c>
      <c r="F87" s="3" t="s">
        <v>1564</v>
      </c>
      <c r="G87" s="3" t="s">
        <v>1412</v>
      </c>
      <c r="H87" s="3">
        <v>1979</v>
      </c>
      <c r="I87" s="3"/>
      <c r="J87" s="3" t="s">
        <v>1416</v>
      </c>
      <c r="K87" s="4" t="s">
        <v>1412</v>
      </c>
      <c r="L87" s="56" t="s">
        <v>19</v>
      </c>
      <c r="M87" s="6">
        <v>144</v>
      </c>
      <c r="N87" s="57">
        <v>0.89800000000000002</v>
      </c>
      <c r="O87" s="57">
        <v>0.89600000000000002</v>
      </c>
      <c r="P87" s="57">
        <v>0.93799999999999994</v>
      </c>
      <c r="Q87" s="57">
        <v>0.93700000000000006</v>
      </c>
      <c r="R87" s="7">
        <v>1322843</v>
      </c>
      <c r="S87" s="7">
        <v>1252232</v>
      </c>
      <c r="T87" s="7">
        <f t="shared" ref="T87:T95" si="44">IF(J87="regional",IF(R87&gt;0,R87*0.2975,S87*0.3484),S87*0.1939)</f>
        <v>393545.79249999998</v>
      </c>
      <c r="U87" s="7">
        <v>898928</v>
      </c>
      <c r="V87" s="7">
        <f t="shared" ref="V87:V95" si="45">S87-U87</f>
        <v>353304</v>
      </c>
      <c r="W87" s="7">
        <v>6000</v>
      </c>
      <c r="X87" s="58">
        <f t="shared" ref="X87:X95" si="46">Y87+Z87</f>
        <v>0</v>
      </c>
      <c r="Y87" s="25">
        <f t="shared" ref="Y87:Y95" si="47">IF(B87="y",T87,0)</f>
        <v>0</v>
      </c>
      <c r="Z87" s="25"/>
      <c r="AA87" s="7">
        <f t="shared" ref="AA87:AA95" si="48">AB87+AC87</f>
        <v>1645777.7925</v>
      </c>
      <c r="AB87" s="7">
        <f t="shared" ref="AB87:AB95" si="49">IF(B87="y",0,T87)</f>
        <v>393545.79249999998</v>
      </c>
      <c r="AC87" s="7">
        <f t="shared" ref="AC87:AC95" si="50">S87-Z87</f>
        <v>1252232</v>
      </c>
      <c r="AD87" s="59">
        <f t="shared" ref="AD87:AD95" si="51">IF(K87="y",Z87,0)</f>
        <v>0</v>
      </c>
      <c r="AE87" s="59">
        <f t="shared" ref="AE87:AE95" si="52">IF($K87="",Z87,0)+IF($K87="n",Z87,0)</f>
        <v>0</v>
      </c>
      <c r="AF87" s="60">
        <f t="shared" ref="AF87:AF95" si="53">IF($K87="y",AC87,0)</f>
        <v>1252232</v>
      </c>
      <c r="AG87" s="60">
        <f t="shared" ref="AG87:AG95" si="54">IF($K87="",AC87,0)+IF($K87="n",AC87,0)</f>
        <v>0</v>
      </c>
      <c r="AH87" s="7">
        <v>764000</v>
      </c>
      <c r="AI87" s="7">
        <v>598000</v>
      </c>
      <c r="AJ87" s="11" t="s">
        <v>1419</v>
      </c>
      <c r="AK87" s="61">
        <v>913225</v>
      </c>
      <c r="AL87" s="8"/>
      <c r="AM87" s="8"/>
    </row>
    <row r="88" spans="1:39" x14ac:dyDescent="0.2">
      <c r="A88" s="1" t="s">
        <v>1412</v>
      </c>
      <c r="B88" s="1"/>
      <c r="C88" s="1">
        <v>1329</v>
      </c>
      <c r="D88" s="3" t="s">
        <v>115</v>
      </c>
      <c r="E88" s="3" t="s">
        <v>114</v>
      </c>
      <c r="F88" s="3" t="s">
        <v>1564</v>
      </c>
      <c r="G88" s="3" t="s">
        <v>1412</v>
      </c>
      <c r="H88" s="3">
        <v>1979</v>
      </c>
      <c r="I88" s="3"/>
      <c r="J88" s="3" t="s">
        <v>1512</v>
      </c>
      <c r="K88" s="4"/>
      <c r="L88" s="56" t="s">
        <v>19</v>
      </c>
      <c r="M88" s="6"/>
      <c r="N88" s="57">
        <v>1</v>
      </c>
      <c r="O88" s="57">
        <v>1</v>
      </c>
      <c r="P88" s="57">
        <v>1</v>
      </c>
      <c r="Q88" s="57">
        <v>0.97499999999999998</v>
      </c>
      <c r="R88" s="7"/>
      <c r="S88" s="7">
        <v>149140</v>
      </c>
      <c r="T88" s="7">
        <f t="shared" si="44"/>
        <v>28918.245999999999</v>
      </c>
      <c r="U88" s="7">
        <v>149140</v>
      </c>
      <c r="V88" s="7">
        <f t="shared" si="45"/>
        <v>0</v>
      </c>
      <c r="W88" s="7">
        <v>1660</v>
      </c>
      <c r="X88" s="58">
        <f t="shared" si="46"/>
        <v>0</v>
      </c>
      <c r="Y88" s="25">
        <f t="shared" si="47"/>
        <v>0</v>
      </c>
      <c r="Z88" s="25"/>
      <c r="AA88" s="7">
        <f t="shared" si="48"/>
        <v>178058.24599999998</v>
      </c>
      <c r="AB88" s="7">
        <f t="shared" si="49"/>
        <v>28918.245999999999</v>
      </c>
      <c r="AC88" s="7">
        <f t="shared" si="50"/>
        <v>149140</v>
      </c>
      <c r="AD88" s="59">
        <f t="shared" si="51"/>
        <v>0</v>
      </c>
      <c r="AE88" s="59">
        <f t="shared" si="52"/>
        <v>0</v>
      </c>
      <c r="AF88" s="60">
        <f t="shared" si="53"/>
        <v>0</v>
      </c>
      <c r="AG88" s="60">
        <f t="shared" si="54"/>
        <v>149140</v>
      </c>
      <c r="AH88" s="7">
        <v>0</v>
      </c>
      <c r="AI88" s="7">
        <v>0</v>
      </c>
      <c r="AJ88" s="3"/>
      <c r="AK88" s="3"/>
      <c r="AL88" s="8"/>
      <c r="AM88" s="8"/>
    </row>
    <row r="89" spans="1:39" x14ac:dyDescent="0.2">
      <c r="A89" s="1" t="s">
        <v>1412</v>
      </c>
      <c r="B89" s="1"/>
      <c r="C89" s="1">
        <v>1331</v>
      </c>
      <c r="D89" s="3" t="s">
        <v>116</v>
      </c>
      <c r="E89" s="3" t="s">
        <v>117</v>
      </c>
      <c r="F89" s="3" t="s">
        <v>1564</v>
      </c>
      <c r="G89" s="3" t="s">
        <v>1412</v>
      </c>
      <c r="H89" s="3">
        <v>1979</v>
      </c>
      <c r="I89" s="3"/>
      <c r="J89" s="3" t="s">
        <v>1512</v>
      </c>
      <c r="K89" s="4"/>
      <c r="L89" s="56" t="s">
        <v>1598</v>
      </c>
      <c r="M89" s="6">
        <v>15</v>
      </c>
      <c r="N89" s="57">
        <v>0.73499999999999999</v>
      </c>
      <c r="O89" s="57">
        <v>0.88200000000000001</v>
      </c>
      <c r="P89" s="57">
        <v>0.97299999999999998</v>
      </c>
      <c r="Q89" s="57">
        <v>0.99199999999999999</v>
      </c>
      <c r="R89" s="7"/>
      <c r="S89" s="7">
        <v>261346</v>
      </c>
      <c r="T89" s="7">
        <f t="shared" si="44"/>
        <v>50674.989399999999</v>
      </c>
      <c r="U89" s="7">
        <v>205774</v>
      </c>
      <c r="V89" s="7">
        <f t="shared" si="45"/>
        <v>55572</v>
      </c>
      <c r="W89" s="7">
        <v>1644</v>
      </c>
      <c r="X89" s="58">
        <f t="shared" si="46"/>
        <v>0</v>
      </c>
      <c r="Y89" s="25">
        <f t="shared" si="47"/>
        <v>0</v>
      </c>
      <c r="Z89" s="25"/>
      <c r="AA89" s="7">
        <f t="shared" si="48"/>
        <v>312020.98940000002</v>
      </c>
      <c r="AB89" s="7">
        <f t="shared" si="49"/>
        <v>50674.989399999999</v>
      </c>
      <c r="AC89" s="7">
        <f t="shared" si="50"/>
        <v>261346</v>
      </c>
      <c r="AD89" s="59">
        <f t="shared" si="51"/>
        <v>0</v>
      </c>
      <c r="AE89" s="59">
        <f t="shared" si="52"/>
        <v>0</v>
      </c>
      <c r="AF89" s="60">
        <f t="shared" si="53"/>
        <v>0</v>
      </c>
      <c r="AG89" s="60">
        <f t="shared" si="54"/>
        <v>261346</v>
      </c>
      <c r="AH89" s="7">
        <v>0</v>
      </c>
      <c r="AI89" s="7">
        <v>0</v>
      </c>
      <c r="AJ89" s="3"/>
      <c r="AK89" s="3"/>
      <c r="AL89" s="8"/>
      <c r="AM89" s="8"/>
    </row>
    <row r="90" spans="1:39" x14ac:dyDescent="0.2">
      <c r="A90" s="1" t="s">
        <v>1412</v>
      </c>
      <c r="B90" s="1"/>
      <c r="C90" s="1">
        <v>8682</v>
      </c>
      <c r="D90" s="3" t="s">
        <v>118</v>
      </c>
      <c r="E90" s="3" t="s">
        <v>119</v>
      </c>
      <c r="F90" s="3" t="s">
        <v>1525</v>
      </c>
      <c r="G90" s="3" t="s">
        <v>1412</v>
      </c>
      <c r="H90" s="3">
        <v>1988</v>
      </c>
      <c r="I90" s="3"/>
      <c r="J90" s="3" t="s">
        <v>1512</v>
      </c>
      <c r="K90" s="4"/>
      <c r="L90" s="56" t="s">
        <v>120</v>
      </c>
      <c r="M90" s="6">
        <v>12</v>
      </c>
      <c r="N90" s="57">
        <v>1</v>
      </c>
      <c r="O90" s="57">
        <v>1</v>
      </c>
      <c r="P90" s="57">
        <v>1</v>
      </c>
      <c r="Q90" s="57">
        <v>0.96199999999999997</v>
      </c>
      <c r="R90" s="7"/>
      <c r="S90" s="7">
        <v>184003</v>
      </c>
      <c r="T90" s="7">
        <f t="shared" si="44"/>
        <v>35678.181700000001</v>
      </c>
      <c r="U90" s="7">
        <v>154723</v>
      </c>
      <c r="V90" s="7">
        <f t="shared" si="45"/>
        <v>29280</v>
      </c>
      <c r="W90" s="7">
        <v>1100</v>
      </c>
      <c r="X90" s="58">
        <f t="shared" si="46"/>
        <v>0</v>
      </c>
      <c r="Y90" s="25">
        <f t="shared" si="47"/>
        <v>0</v>
      </c>
      <c r="Z90" s="25"/>
      <c r="AA90" s="7">
        <f t="shared" si="48"/>
        <v>219681.18170000002</v>
      </c>
      <c r="AB90" s="7">
        <f t="shared" si="49"/>
        <v>35678.181700000001</v>
      </c>
      <c r="AC90" s="7">
        <f t="shared" si="50"/>
        <v>184003</v>
      </c>
      <c r="AD90" s="59">
        <f t="shared" si="51"/>
        <v>0</v>
      </c>
      <c r="AE90" s="59">
        <f t="shared" si="52"/>
        <v>0</v>
      </c>
      <c r="AF90" s="60">
        <f t="shared" si="53"/>
        <v>0</v>
      </c>
      <c r="AG90" s="60">
        <f t="shared" si="54"/>
        <v>184003</v>
      </c>
      <c r="AH90" s="7">
        <v>0</v>
      </c>
      <c r="AI90" s="7">
        <v>0</v>
      </c>
      <c r="AJ90" s="11" t="s">
        <v>1419</v>
      </c>
      <c r="AK90" s="61">
        <v>27119</v>
      </c>
      <c r="AL90" s="8"/>
      <c r="AM90" s="8"/>
    </row>
    <row r="91" spans="1:39" x14ac:dyDescent="0.2">
      <c r="A91" s="1" t="s">
        <v>1412</v>
      </c>
      <c r="B91" s="1"/>
      <c r="C91" s="1">
        <v>8688</v>
      </c>
      <c r="D91" s="3" t="s">
        <v>121</v>
      </c>
      <c r="E91" s="3" t="s">
        <v>122</v>
      </c>
      <c r="F91" s="3" t="s">
        <v>1525</v>
      </c>
      <c r="G91" s="3" t="s">
        <v>1412</v>
      </c>
      <c r="H91" s="3">
        <v>1980</v>
      </c>
      <c r="I91" s="3"/>
      <c r="J91" s="3" t="s">
        <v>1416</v>
      </c>
      <c r="K91" s="4"/>
      <c r="L91" s="56" t="s">
        <v>78</v>
      </c>
      <c r="M91" s="6">
        <v>112</v>
      </c>
      <c r="N91" s="57">
        <v>0.81599999999999995</v>
      </c>
      <c r="O91" s="57">
        <v>0.83099999999999996</v>
      </c>
      <c r="P91" s="57">
        <v>0.79600000000000004</v>
      </c>
      <c r="Q91" s="57">
        <v>0.83199999999999996</v>
      </c>
      <c r="R91" s="7">
        <v>829678</v>
      </c>
      <c r="S91" s="7">
        <v>805248</v>
      </c>
      <c r="T91" s="7">
        <f t="shared" si="44"/>
        <v>246829.20499999999</v>
      </c>
      <c r="U91" s="7">
        <v>568882</v>
      </c>
      <c r="V91" s="7">
        <f t="shared" si="45"/>
        <v>236366</v>
      </c>
      <c r="W91" s="7">
        <v>4890</v>
      </c>
      <c r="X91" s="58">
        <f t="shared" si="46"/>
        <v>0</v>
      </c>
      <c r="Y91" s="25">
        <f t="shared" si="47"/>
        <v>0</v>
      </c>
      <c r="Z91" s="25"/>
      <c r="AA91" s="7">
        <f t="shared" si="48"/>
        <v>1052077.2050000001</v>
      </c>
      <c r="AB91" s="7">
        <f t="shared" si="49"/>
        <v>246829.20499999999</v>
      </c>
      <c r="AC91" s="7">
        <f t="shared" si="50"/>
        <v>805248</v>
      </c>
      <c r="AD91" s="59">
        <f t="shared" si="51"/>
        <v>0</v>
      </c>
      <c r="AE91" s="59">
        <f t="shared" si="52"/>
        <v>0</v>
      </c>
      <c r="AF91" s="60">
        <f t="shared" si="53"/>
        <v>0</v>
      </c>
      <c r="AG91" s="60">
        <f t="shared" si="54"/>
        <v>805248</v>
      </c>
      <c r="AH91" s="7">
        <v>0</v>
      </c>
      <c r="AI91" s="7">
        <v>0</v>
      </c>
      <c r="AJ91" s="11" t="s">
        <v>1419</v>
      </c>
      <c r="AK91" s="61">
        <v>245502</v>
      </c>
      <c r="AL91" s="8"/>
      <c r="AM91" s="8"/>
    </row>
    <row r="92" spans="1:39" x14ac:dyDescent="0.2">
      <c r="A92" s="1" t="s">
        <v>1412</v>
      </c>
      <c r="B92" s="1"/>
      <c r="C92" s="1">
        <v>4824</v>
      </c>
      <c r="D92" s="65" t="s">
        <v>123</v>
      </c>
      <c r="E92" s="63" t="s">
        <v>124</v>
      </c>
      <c r="F92" s="3" t="s">
        <v>125</v>
      </c>
      <c r="G92" s="3" t="s">
        <v>1417</v>
      </c>
      <c r="H92" s="3">
        <v>1984</v>
      </c>
      <c r="I92" s="3"/>
      <c r="J92" s="3" t="s">
        <v>1416</v>
      </c>
      <c r="K92" s="4" t="s">
        <v>1412</v>
      </c>
      <c r="L92" s="56" t="s">
        <v>126</v>
      </c>
      <c r="M92" s="6">
        <v>198</v>
      </c>
      <c r="N92" s="57">
        <v>0.91400000000000003</v>
      </c>
      <c r="O92" s="57">
        <v>0.94</v>
      </c>
      <c r="P92" s="57">
        <v>0.92500000000000004</v>
      </c>
      <c r="Q92" s="57">
        <v>0.95199999999999996</v>
      </c>
      <c r="R92" s="7">
        <v>807096</v>
      </c>
      <c r="S92" s="7">
        <v>1240000</v>
      </c>
      <c r="T92" s="7">
        <f t="shared" si="44"/>
        <v>240111.06</v>
      </c>
      <c r="U92" s="7">
        <v>807096</v>
      </c>
      <c r="V92" s="7">
        <f t="shared" si="45"/>
        <v>432904</v>
      </c>
      <c r="W92" s="7">
        <v>5900</v>
      </c>
      <c r="X92" s="58">
        <f t="shared" si="46"/>
        <v>0</v>
      </c>
      <c r="Y92" s="25">
        <f t="shared" si="47"/>
        <v>0</v>
      </c>
      <c r="Z92" s="25"/>
      <c r="AA92" s="7">
        <f t="shared" si="48"/>
        <v>1480111.06</v>
      </c>
      <c r="AB92" s="7">
        <f t="shared" si="49"/>
        <v>240111.06</v>
      </c>
      <c r="AC92" s="7">
        <f t="shared" si="50"/>
        <v>1240000</v>
      </c>
      <c r="AD92" s="59">
        <f t="shared" si="51"/>
        <v>0</v>
      </c>
      <c r="AE92" s="59">
        <f t="shared" si="52"/>
        <v>0</v>
      </c>
      <c r="AF92" s="60">
        <f t="shared" si="53"/>
        <v>1240000</v>
      </c>
      <c r="AG92" s="60">
        <f t="shared" si="54"/>
        <v>0</v>
      </c>
      <c r="AH92" s="7">
        <v>1083000</v>
      </c>
      <c r="AI92" s="7">
        <v>965000</v>
      </c>
      <c r="AJ92" s="65"/>
      <c r="AK92" s="65"/>
      <c r="AL92" s="8"/>
      <c r="AM92" s="8"/>
    </row>
    <row r="93" spans="1:39" x14ac:dyDescent="0.2">
      <c r="A93" s="1" t="s">
        <v>10</v>
      </c>
      <c r="B93" s="12" t="s">
        <v>1412</v>
      </c>
      <c r="C93" s="12">
        <v>4825</v>
      </c>
      <c r="D93" s="63" t="s">
        <v>127</v>
      </c>
      <c r="E93" s="63" t="s">
        <v>128</v>
      </c>
      <c r="F93" s="66" t="s">
        <v>1508</v>
      </c>
      <c r="G93" s="66" t="s">
        <v>1412</v>
      </c>
      <c r="H93" s="66">
        <v>1980</v>
      </c>
      <c r="I93" s="66"/>
      <c r="J93" s="66" t="s">
        <v>1416</v>
      </c>
      <c r="K93" s="68" t="s">
        <v>1412</v>
      </c>
      <c r="L93" s="56" t="s">
        <v>129</v>
      </c>
      <c r="M93" s="69">
        <v>138</v>
      </c>
      <c r="N93" s="57">
        <v>0.96299999999999997</v>
      </c>
      <c r="O93" s="57">
        <v>0.96299999999999997</v>
      </c>
      <c r="P93" s="57">
        <v>0.92500000000000004</v>
      </c>
      <c r="Q93" s="57">
        <v>0.95199999999999996</v>
      </c>
      <c r="R93" s="70">
        <v>1332847</v>
      </c>
      <c r="S93" s="70">
        <v>1255000</v>
      </c>
      <c r="T93" s="7">
        <f t="shared" si="44"/>
        <v>396521.98249999998</v>
      </c>
      <c r="U93" s="70">
        <v>887000</v>
      </c>
      <c r="V93" s="7">
        <f t="shared" si="45"/>
        <v>368000</v>
      </c>
      <c r="W93" s="70">
        <v>7000</v>
      </c>
      <c r="X93" s="58">
        <f t="shared" si="46"/>
        <v>856521.98249999993</v>
      </c>
      <c r="Y93" s="25">
        <f t="shared" si="47"/>
        <v>396521.98249999998</v>
      </c>
      <c r="Z93" s="25">
        <v>460000</v>
      </c>
      <c r="AA93" s="7">
        <f t="shared" si="48"/>
        <v>795000</v>
      </c>
      <c r="AB93" s="7">
        <f t="shared" si="49"/>
        <v>0</v>
      </c>
      <c r="AC93" s="7">
        <f t="shared" si="50"/>
        <v>795000</v>
      </c>
      <c r="AD93" s="59">
        <f t="shared" si="51"/>
        <v>460000</v>
      </c>
      <c r="AE93" s="59">
        <f t="shared" si="52"/>
        <v>0</v>
      </c>
      <c r="AF93" s="60">
        <f t="shared" si="53"/>
        <v>795000</v>
      </c>
      <c r="AG93" s="60">
        <f t="shared" si="54"/>
        <v>0</v>
      </c>
      <c r="AH93" s="7">
        <v>812000</v>
      </c>
      <c r="AI93" s="7">
        <v>477000</v>
      </c>
      <c r="AJ93" s="63"/>
      <c r="AK93" s="63"/>
      <c r="AL93" s="8"/>
      <c r="AM93" s="8"/>
    </row>
    <row r="94" spans="1:39" x14ac:dyDescent="0.2">
      <c r="A94" s="1" t="s">
        <v>1412</v>
      </c>
      <c r="B94" s="1"/>
      <c r="C94" s="1">
        <v>1518</v>
      </c>
      <c r="D94" s="3" t="s">
        <v>130</v>
      </c>
      <c r="E94" s="3" t="s">
        <v>131</v>
      </c>
      <c r="F94" s="3" t="s">
        <v>57</v>
      </c>
      <c r="G94" s="3" t="s">
        <v>1412</v>
      </c>
      <c r="H94" s="3">
        <v>1978</v>
      </c>
      <c r="I94" s="3"/>
      <c r="J94" s="3" t="s">
        <v>1416</v>
      </c>
      <c r="K94" s="4" t="s">
        <v>1412</v>
      </c>
      <c r="L94" s="56" t="s">
        <v>132</v>
      </c>
      <c r="M94" s="6">
        <v>78</v>
      </c>
      <c r="N94" s="57">
        <v>0.82499999999999996</v>
      </c>
      <c r="O94" s="57">
        <v>0.86699999999999999</v>
      </c>
      <c r="P94" s="57">
        <v>0.82599999999999996</v>
      </c>
      <c r="Q94" s="57">
        <v>0.81299999999999994</v>
      </c>
      <c r="R94" s="7">
        <v>652086</v>
      </c>
      <c r="S94" s="7">
        <v>628180</v>
      </c>
      <c r="T94" s="7">
        <f t="shared" si="44"/>
        <v>193995.58499999999</v>
      </c>
      <c r="U94" s="7">
        <v>382700</v>
      </c>
      <c r="V94" s="7">
        <f t="shared" si="45"/>
        <v>245480</v>
      </c>
      <c r="W94" s="7">
        <v>3500</v>
      </c>
      <c r="X94" s="58">
        <f t="shared" si="46"/>
        <v>0</v>
      </c>
      <c r="Y94" s="25">
        <f t="shared" si="47"/>
        <v>0</v>
      </c>
      <c r="Z94" s="25"/>
      <c r="AA94" s="7">
        <f t="shared" si="48"/>
        <v>822175.58499999996</v>
      </c>
      <c r="AB94" s="7">
        <f t="shared" si="49"/>
        <v>193995.58499999999</v>
      </c>
      <c r="AC94" s="7">
        <f t="shared" si="50"/>
        <v>628180</v>
      </c>
      <c r="AD94" s="59">
        <f t="shared" si="51"/>
        <v>0</v>
      </c>
      <c r="AE94" s="59">
        <f t="shared" si="52"/>
        <v>0</v>
      </c>
      <c r="AF94" s="60">
        <f t="shared" si="53"/>
        <v>628180</v>
      </c>
      <c r="AG94" s="60">
        <f t="shared" si="54"/>
        <v>0</v>
      </c>
      <c r="AH94" s="7">
        <v>418000</v>
      </c>
      <c r="AI94" s="7">
        <v>378000</v>
      </c>
      <c r="AJ94" s="3"/>
      <c r="AK94" s="3"/>
      <c r="AL94" s="8"/>
      <c r="AM94" s="8"/>
    </row>
    <row r="95" spans="1:39" x14ac:dyDescent="0.2">
      <c r="A95" s="1" t="s">
        <v>1412</v>
      </c>
      <c r="B95" s="1"/>
      <c r="C95" s="1">
        <v>8735</v>
      </c>
      <c r="D95" s="3" t="s">
        <v>133</v>
      </c>
      <c r="E95" s="3" t="s">
        <v>77</v>
      </c>
      <c r="F95" s="3" t="s">
        <v>1525</v>
      </c>
      <c r="G95" s="3" t="s">
        <v>1412</v>
      </c>
      <c r="H95" s="3">
        <v>1991</v>
      </c>
      <c r="I95" s="3"/>
      <c r="J95" s="3" t="s">
        <v>1512</v>
      </c>
      <c r="K95" s="4" t="s">
        <v>1417</v>
      </c>
      <c r="L95" s="56" t="s">
        <v>78</v>
      </c>
      <c r="M95" s="6">
        <v>35</v>
      </c>
      <c r="N95" s="57">
        <v>0.996</v>
      </c>
      <c r="O95" s="57">
        <v>0.97599999999999998</v>
      </c>
      <c r="P95" s="57">
        <v>0.99199999999999999</v>
      </c>
      <c r="Q95" s="57">
        <v>0.82599999999999996</v>
      </c>
      <c r="R95" s="7"/>
      <c r="S95" s="7">
        <v>431579</v>
      </c>
      <c r="T95" s="7">
        <f t="shared" si="44"/>
        <v>83683.168099999995</v>
      </c>
      <c r="U95" s="7">
        <v>353962</v>
      </c>
      <c r="V95" s="7">
        <f t="shared" si="45"/>
        <v>77617</v>
      </c>
      <c r="W95" s="7">
        <v>2400</v>
      </c>
      <c r="X95" s="58">
        <f t="shared" si="46"/>
        <v>0</v>
      </c>
      <c r="Y95" s="25">
        <f t="shared" si="47"/>
        <v>0</v>
      </c>
      <c r="Z95" s="25"/>
      <c r="AA95" s="7">
        <f t="shared" si="48"/>
        <v>515262.16810000001</v>
      </c>
      <c r="AB95" s="7">
        <f t="shared" si="49"/>
        <v>83683.168099999995</v>
      </c>
      <c r="AC95" s="7">
        <f t="shared" si="50"/>
        <v>431579</v>
      </c>
      <c r="AD95" s="59">
        <f t="shared" si="51"/>
        <v>0</v>
      </c>
      <c r="AE95" s="59">
        <f t="shared" si="52"/>
        <v>0</v>
      </c>
      <c r="AF95" s="60">
        <f t="shared" si="53"/>
        <v>0</v>
      </c>
      <c r="AG95" s="60">
        <f t="shared" si="54"/>
        <v>431579</v>
      </c>
      <c r="AH95" s="7">
        <v>0</v>
      </c>
      <c r="AI95" s="7">
        <v>0</v>
      </c>
      <c r="AJ95" s="3"/>
      <c r="AK95" s="3"/>
      <c r="AL95" s="8"/>
      <c r="AM95" s="8"/>
    </row>
    <row r="96" spans="1:39" x14ac:dyDescent="0.2">
      <c r="A96" s="1"/>
      <c r="B96" s="1" t="s">
        <v>1412</v>
      </c>
      <c r="C96" s="1">
        <v>4826</v>
      </c>
      <c r="D96" s="3" t="s">
        <v>134</v>
      </c>
      <c r="E96" s="3"/>
      <c r="F96" s="3"/>
      <c r="G96" s="3" t="s">
        <v>1417</v>
      </c>
      <c r="H96" s="3"/>
      <c r="I96" s="3"/>
      <c r="J96" s="3"/>
      <c r="K96" s="4"/>
      <c r="L96" s="56"/>
      <c r="M96" s="6"/>
      <c r="N96" s="57"/>
      <c r="O96" s="57"/>
      <c r="P96" s="57"/>
      <c r="Q96" s="57"/>
      <c r="R96" s="7"/>
      <c r="S96" s="7"/>
      <c r="T96" s="7"/>
      <c r="U96" s="7"/>
      <c r="V96" s="7"/>
      <c r="W96" s="7"/>
      <c r="X96" s="58"/>
      <c r="Y96" s="25"/>
      <c r="Z96" s="25"/>
      <c r="AA96" s="7"/>
      <c r="AB96" s="7"/>
      <c r="AC96" s="7"/>
      <c r="AD96" s="59"/>
      <c r="AE96" s="59"/>
      <c r="AF96" s="60"/>
      <c r="AG96" s="60"/>
      <c r="AH96" s="7">
        <v>936000</v>
      </c>
      <c r="AI96" s="7">
        <v>708000</v>
      </c>
      <c r="AJ96" s="3"/>
      <c r="AK96" s="3"/>
      <c r="AL96" s="8"/>
      <c r="AM96" s="8"/>
    </row>
    <row r="97" spans="1:39" x14ac:dyDescent="0.2">
      <c r="A97" s="1" t="s">
        <v>1412</v>
      </c>
      <c r="B97" s="1"/>
      <c r="C97" s="1">
        <v>1552</v>
      </c>
      <c r="D97" s="3" t="s">
        <v>135</v>
      </c>
      <c r="E97" s="3" t="s">
        <v>136</v>
      </c>
      <c r="F97" s="3" t="s">
        <v>137</v>
      </c>
      <c r="G97" s="3" t="s">
        <v>1412</v>
      </c>
      <c r="H97" s="3">
        <v>1985</v>
      </c>
      <c r="I97" s="3"/>
      <c r="J97" s="3" t="s">
        <v>1416</v>
      </c>
      <c r="K97" s="4" t="s">
        <v>1412</v>
      </c>
      <c r="L97" s="56" t="s">
        <v>138</v>
      </c>
      <c r="M97" s="6">
        <v>92</v>
      </c>
      <c r="N97" s="57">
        <v>0.73499999999999999</v>
      </c>
      <c r="O97" s="57">
        <v>0.71799999999999997</v>
      </c>
      <c r="P97" s="57">
        <v>0.70599999999999996</v>
      </c>
      <c r="Q97" s="57">
        <v>0.74299999999999999</v>
      </c>
      <c r="R97" s="7">
        <v>616089</v>
      </c>
      <c r="S97" s="7">
        <v>525771</v>
      </c>
      <c r="T97" s="7">
        <f t="shared" ref="T97:T104" si="55">IF(J97="regional",IF(R97&gt;0,R97*0.2975,S97*0.3484),S97*0.1939)</f>
        <v>183286.47749999998</v>
      </c>
      <c r="U97" s="7">
        <v>277665</v>
      </c>
      <c r="V97" s="7">
        <f t="shared" ref="V97:V104" si="56">S97-U97</f>
        <v>248106</v>
      </c>
      <c r="W97" s="7">
        <v>2472</v>
      </c>
      <c r="X97" s="58">
        <f t="shared" ref="X97:X104" si="57">Y97+Z97</f>
        <v>0</v>
      </c>
      <c r="Y97" s="25">
        <f t="shared" ref="Y97:Y104" si="58">IF(B97="y",T97,0)</f>
        <v>0</v>
      </c>
      <c r="Z97" s="25"/>
      <c r="AA97" s="7">
        <f t="shared" ref="AA97:AA104" si="59">AB97+AC97</f>
        <v>709057.47750000004</v>
      </c>
      <c r="AB97" s="7">
        <f t="shared" ref="AB97:AB104" si="60">IF(B97="y",0,T97)</f>
        <v>183286.47749999998</v>
      </c>
      <c r="AC97" s="7">
        <f t="shared" ref="AC97:AC104" si="61">S97-Z97</f>
        <v>525771</v>
      </c>
      <c r="AD97" s="59">
        <f t="shared" ref="AD97:AD104" si="62">IF(K97="y",Z97,0)</f>
        <v>0</v>
      </c>
      <c r="AE97" s="59">
        <f t="shared" ref="AE97:AE104" si="63">IF($K97="",Z97,0)+IF($K97="n",Z97,0)</f>
        <v>0</v>
      </c>
      <c r="AF97" s="60">
        <f t="shared" ref="AF97:AF104" si="64">IF($K97="y",AC97,0)</f>
        <v>525771</v>
      </c>
      <c r="AG97" s="60">
        <f t="shared" ref="AG97:AG104" si="65">IF($K97="",AC97,0)+IF($K97="n",AC97,0)</f>
        <v>0</v>
      </c>
      <c r="AH97" s="7">
        <v>186000</v>
      </c>
      <c r="AI97" s="7">
        <v>221000</v>
      </c>
      <c r="AJ97" s="3"/>
      <c r="AK97" s="3"/>
      <c r="AL97" s="8"/>
      <c r="AM97" s="8"/>
    </row>
    <row r="98" spans="1:39" x14ac:dyDescent="0.2">
      <c r="A98" s="1" t="s">
        <v>1412</v>
      </c>
      <c r="B98" s="1" t="s">
        <v>1412</v>
      </c>
      <c r="C98" s="1">
        <v>1704</v>
      </c>
      <c r="D98" s="62" t="s">
        <v>139</v>
      </c>
      <c r="E98" s="3" t="s">
        <v>140</v>
      </c>
      <c r="F98" s="3" t="s">
        <v>1531</v>
      </c>
      <c r="G98" s="3" t="s">
        <v>1412</v>
      </c>
      <c r="H98" s="3">
        <v>1994</v>
      </c>
      <c r="I98" s="3"/>
      <c r="J98" s="3" t="s">
        <v>1416</v>
      </c>
      <c r="K98" s="4" t="s">
        <v>1412</v>
      </c>
      <c r="L98" s="56" t="s">
        <v>141</v>
      </c>
      <c r="M98" s="6">
        <v>100</v>
      </c>
      <c r="N98" s="57">
        <v>0.85599999999999998</v>
      </c>
      <c r="O98" s="57">
        <v>0.86299999999999999</v>
      </c>
      <c r="P98" s="57">
        <v>0.72399999999999998</v>
      </c>
      <c r="Q98" s="57">
        <v>0.76900000000000002</v>
      </c>
      <c r="R98" s="7">
        <v>1347605</v>
      </c>
      <c r="S98" s="7">
        <v>862398</v>
      </c>
      <c r="T98" s="7">
        <f t="shared" si="55"/>
        <v>400912.48749999999</v>
      </c>
      <c r="U98" s="7">
        <v>471463</v>
      </c>
      <c r="V98" s="7">
        <f t="shared" si="56"/>
        <v>390935</v>
      </c>
      <c r="W98" s="7">
        <v>4350</v>
      </c>
      <c r="X98" s="58">
        <f t="shared" si="57"/>
        <v>1188648.4875</v>
      </c>
      <c r="Y98" s="25">
        <f t="shared" si="58"/>
        <v>400912.48749999999</v>
      </c>
      <c r="Z98" s="25">
        <v>787736</v>
      </c>
      <c r="AA98" s="7">
        <f t="shared" si="59"/>
        <v>74662</v>
      </c>
      <c r="AB98" s="7">
        <f t="shared" si="60"/>
        <v>0</v>
      </c>
      <c r="AC98" s="7">
        <f t="shared" si="61"/>
        <v>74662</v>
      </c>
      <c r="AD98" s="59">
        <f t="shared" si="62"/>
        <v>787736</v>
      </c>
      <c r="AE98" s="59">
        <f t="shared" si="63"/>
        <v>0</v>
      </c>
      <c r="AF98" s="60">
        <f t="shared" si="64"/>
        <v>74662</v>
      </c>
      <c r="AG98" s="60">
        <f t="shared" si="65"/>
        <v>0</v>
      </c>
      <c r="AH98" s="7">
        <v>779000</v>
      </c>
      <c r="AI98" s="7">
        <v>461000</v>
      </c>
      <c r="AJ98" s="11" t="s">
        <v>1419</v>
      </c>
      <c r="AK98" s="61">
        <v>917210</v>
      </c>
      <c r="AL98" s="8"/>
      <c r="AM98" s="8"/>
    </row>
    <row r="99" spans="1:39" x14ac:dyDescent="0.2">
      <c r="A99" s="1" t="s">
        <v>1412</v>
      </c>
      <c r="B99" s="1"/>
      <c r="C99" s="1">
        <v>8807</v>
      </c>
      <c r="D99" s="3" t="s">
        <v>142</v>
      </c>
      <c r="E99" s="3" t="s">
        <v>143</v>
      </c>
      <c r="F99" s="3" t="s">
        <v>1525</v>
      </c>
      <c r="G99" s="3" t="s">
        <v>1417</v>
      </c>
      <c r="H99" s="3">
        <v>1997</v>
      </c>
      <c r="I99" s="3"/>
      <c r="J99" s="3" t="s">
        <v>1512</v>
      </c>
      <c r="K99" s="4"/>
      <c r="L99" s="56" t="s">
        <v>144</v>
      </c>
      <c r="M99" s="6"/>
      <c r="N99" s="57">
        <v>0.98399999999999999</v>
      </c>
      <c r="O99" s="57">
        <v>0.98399999999999999</v>
      </c>
      <c r="P99" s="57">
        <v>0.97</v>
      </c>
      <c r="Q99" s="57">
        <v>0.82599999999999996</v>
      </c>
      <c r="R99" s="7"/>
      <c r="S99" s="7">
        <v>263550</v>
      </c>
      <c r="T99" s="7">
        <f t="shared" si="55"/>
        <v>51102.344999999994</v>
      </c>
      <c r="U99" s="7">
        <v>253782</v>
      </c>
      <c r="V99" s="7">
        <f t="shared" si="56"/>
        <v>9768</v>
      </c>
      <c r="W99" s="7"/>
      <c r="X99" s="58">
        <f t="shared" si="57"/>
        <v>0</v>
      </c>
      <c r="Y99" s="25">
        <f t="shared" si="58"/>
        <v>0</v>
      </c>
      <c r="Z99" s="25"/>
      <c r="AA99" s="7">
        <f t="shared" si="59"/>
        <v>314652.34499999997</v>
      </c>
      <c r="AB99" s="7">
        <f t="shared" si="60"/>
        <v>51102.344999999994</v>
      </c>
      <c r="AC99" s="7">
        <f t="shared" si="61"/>
        <v>263550</v>
      </c>
      <c r="AD99" s="59">
        <f t="shared" si="62"/>
        <v>0</v>
      </c>
      <c r="AE99" s="59">
        <f t="shared" si="63"/>
        <v>0</v>
      </c>
      <c r="AF99" s="60">
        <f t="shared" si="64"/>
        <v>0</v>
      </c>
      <c r="AG99" s="60">
        <f t="shared" si="65"/>
        <v>263550</v>
      </c>
      <c r="AH99" s="7">
        <v>0</v>
      </c>
      <c r="AI99" s="7">
        <v>0</v>
      </c>
      <c r="AJ99" s="3"/>
      <c r="AK99" s="3"/>
      <c r="AL99" s="8"/>
      <c r="AM99" s="8"/>
    </row>
    <row r="100" spans="1:39" x14ac:dyDescent="0.2">
      <c r="A100" s="1" t="s">
        <v>1412</v>
      </c>
      <c r="B100" s="1"/>
      <c r="C100" s="1">
        <v>8808</v>
      </c>
      <c r="D100" s="62" t="s">
        <v>145</v>
      </c>
      <c r="E100" s="3" t="s">
        <v>143</v>
      </c>
      <c r="F100" s="3" t="s">
        <v>1525</v>
      </c>
      <c r="G100" s="3" t="s">
        <v>1417</v>
      </c>
      <c r="H100" s="3">
        <v>1996</v>
      </c>
      <c r="I100" s="3"/>
      <c r="J100" s="3" t="s">
        <v>1416</v>
      </c>
      <c r="K100" s="4" t="s">
        <v>1412</v>
      </c>
      <c r="L100" s="56" t="s">
        <v>144</v>
      </c>
      <c r="M100" s="6">
        <v>106</v>
      </c>
      <c r="N100" s="57">
        <v>0.86599999999999999</v>
      </c>
      <c r="O100" s="57">
        <v>0.86599999999999999</v>
      </c>
      <c r="P100" s="57">
        <v>0.81899999999999995</v>
      </c>
      <c r="Q100" s="57">
        <v>0.78100000000000003</v>
      </c>
      <c r="R100" s="7">
        <v>701772</v>
      </c>
      <c r="S100" s="7">
        <v>750978</v>
      </c>
      <c r="T100" s="7">
        <f t="shared" si="55"/>
        <v>208777.16999999998</v>
      </c>
      <c r="U100" s="7">
        <v>447346</v>
      </c>
      <c r="V100" s="7">
        <f t="shared" si="56"/>
        <v>303632</v>
      </c>
      <c r="W100" s="7">
        <v>2758</v>
      </c>
      <c r="X100" s="58">
        <f t="shared" si="57"/>
        <v>0</v>
      </c>
      <c r="Y100" s="25">
        <f t="shared" si="58"/>
        <v>0</v>
      </c>
      <c r="Z100" s="25"/>
      <c r="AA100" s="7">
        <f t="shared" si="59"/>
        <v>959755.16999999993</v>
      </c>
      <c r="AB100" s="7">
        <f t="shared" si="60"/>
        <v>208777.16999999998</v>
      </c>
      <c r="AC100" s="7">
        <f t="shared" si="61"/>
        <v>750978</v>
      </c>
      <c r="AD100" s="59">
        <f t="shared" si="62"/>
        <v>0</v>
      </c>
      <c r="AE100" s="59">
        <f t="shared" si="63"/>
        <v>0</v>
      </c>
      <c r="AF100" s="60">
        <f t="shared" si="64"/>
        <v>750978</v>
      </c>
      <c r="AG100" s="60">
        <f t="shared" si="65"/>
        <v>0</v>
      </c>
      <c r="AH100" s="7">
        <v>553000</v>
      </c>
      <c r="AI100" s="7">
        <v>583000</v>
      </c>
      <c r="AJ100" s="11" t="s">
        <v>1419</v>
      </c>
      <c r="AK100" s="61">
        <v>608432</v>
      </c>
      <c r="AL100" s="8"/>
      <c r="AM100" s="8"/>
    </row>
    <row r="101" spans="1:39" x14ac:dyDescent="0.2">
      <c r="A101" s="1" t="s">
        <v>1412</v>
      </c>
      <c r="B101" s="1" t="s">
        <v>1412</v>
      </c>
      <c r="C101" s="1">
        <v>1711</v>
      </c>
      <c r="D101" s="62" t="s">
        <v>146</v>
      </c>
      <c r="E101" s="3" t="s">
        <v>147</v>
      </c>
      <c r="F101" s="3" t="s">
        <v>1422</v>
      </c>
      <c r="G101" s="3" t="s">
        <v>1412</v>
      </c>
      <c r="H101" s="3">
        <v>1979</v>
      </c>
      <c r="I101" s="3"/>
      <c r="J101" s="3" t="s">
        <v>1416</v>
      </c>
      <c r="K101" s="4" t="s">
        <v>1412</v>
      </c>
      <c r="L101" s="56" t="s">
        <v>153</v>
      </c>
      <c r="M101" s="6">
        <v>159</v>
      </c>
      <c r="N101" s="57">
        <v>0.89700000000000002</v>
      </c>
      <c r="O101" s="57">
        <v>0.91200000000000003</v>
      </c>
      <c r="P101" s="57">
        <v>0.9</v>
      </c>
      <c r="Q101" s="57">
        <v>0.89300000000000002</v>
      </c>
      <c r="R101" s="7">
        <v>1357308</v>
      </c>
      <c r="S101" s="7">
        <v>1127150</v>
      </c>
      <c r="T101" s="7">
        <f t="shared" si="55"/>
        <v>403799.13</v>
      </c>
      <c r="U101" s="7">
        <v>751704</v>
      </c>
      <c r="V101" s="7">
        <f t="shared" si="56"/>
        <v>375446</v>
      </c>
      <c r="W101" s="7">
        <v>5000</v>
      </c>
      <c r="X101" s="58">
        <f t="shared" si="57"/>
        <v>950396.13</v>
      </c>
      <c r="Y101" s="25">
        <f t="shared" si="58"/>
        <v>403799.13</v>
      </c>
      <c r="Z101" s="25">
        <v>546597</v>
      </c>
      <c r="AA101" s="7">
        <f t="shared" si="59"/>
        <v>580553</v>
      </c>
      <c r="AB101" s="7">
        <f t="shared" si="60"/>
        <v>0</v>
      </c>
      <c r="AC101" s="7">
        <f t="shared" si="61"/>
        <v>580553</v>
      </c>
      <c r="AD101" s="59">
        <f t="shared" si="62"/>
        <v>546597</v>
      </c>
      <c r="AE101" s="59">
        <f t="shared" si="63"/>
        <v>0</v>
      </c>
      <c r="AF101" s="60">
        <f t="shared" si="64"/>
        <v>580553</v>
      </c>
      <c r="AG101" s="60">
        <f t="shared" si="65"/>
        <v>0</v>
      </c>
      <c r="AH101" s="7">
        <v>621000</v>
      </c>
      <c r="AI101" s="7">
        <v>558000</v>
      </c>
      <c r="AJ101" s="11" t="s">
        <v>1419</v>
      </c>
      <c r="AK101" s="61">
        <v>979997</v>
      </c>
      <c r="AL101" s="8"/>
      <c r="AM101" s="8"/>
    </row>
    <row r="102" spans="1:39" x14ac:dyDescent="0.2">
      <c r="A102" s="1" t="s">
        <v>1412</v>
      </c>
      <c r="B102" s="1"/>
      <c r="C102" s="1">
        <v>1712</v>
      </c>
      <c r="D102" s="3" t="s">
        <v>154</v>
      </c>
      <c r="E102" s="3" t="s">
        <v>147</v>
      </c>
      <c r="F102" s="3" t="s">
        <v>1422</v>
      </c>
      <c r="G102" s="3" t="s">
        <v>1412</v>
      </c>
      <c r="H102" s="3">
        <v>1980</v>
      </c>
      <c r="I102" s="3"/>
      <c r="J102" s="3" t="s">
        <v>1512</v>
      </c>
      <c r="K102" s="4"/>
      <c r="L102" s="56" t="s">
        <v>153</v>
      </c>
      <c r="M102" s="6"/>
      <c r="N102" s="57">
        <v>1</v>
      </c>
      <c r="O102" s="57">
        <v>1</v>
      </c>
      <c r="P102" s="57">
        <v>1</v>
      </c>
      <c r="Q102" s="57">
        <v>1</v>
      </c>
      <c r="R102" s="7"/>
      <c r="S102" s="7">
        <v>111518</v>
      </c>
      <c r="T102" s="7">
        <f t="shared" si="55"/>
        <v>21623.340199999999</v>
      </c>
      <c r="U102" s="7">
        <v>111518</v>
      </c>
      <c r="V102" s="7">
        <f t="shared" si="56"/>
        <v>0</v>
      </c>
      <c r="W102" s="7">
        <v>600</v>
      </c>
      <c r="X102" s="58">
        <f t="shared" si="57"/>
        <v>0</v>
      </c>
      <c r="Y102" s="25">
        <f t="shared" si="58"/>
        <v>0</v>
      </c>
      <c r="Z102" s="25"/>
      <c r="AA102" s="7">
        <f t="shared" si="59"/>
        <v>133141.34020000001</v>
      </c>
      <c r="AB102" s="7">
        <f t="shared" si="60"/>
        <v>21623.340199999999</v>
      </c>
      <c r="AC102" s="7">
        <f t="shared" si="61"/>
        <v>111518</v>
      </c>
      <c r="AD102" s="59">
        <f t="shared" si="62"/>
        <v>0</v>
      </c>
      <c r="AE102" s="59">
        <f t="shared" si="63"/>
        <v>0</v>
      </c>
      <c r="AF102" s="60">
        <f t="shared" si="64"/>
        <v>0</v>
      </c>
      <c r="AG102" s="60">
        <f t="shared" si="65"/>
        <v>111518</v>
      </c>
      <c r="AH102" s="7">
        <v>0</v>
      </c>
      <c r="AI102" s="7">
        <v>0</v>
      </c>
      <c r="AJ102" s="11" t="s">
        <v>1419</v>
      </c>
      <c r="AK102" s="61">
        <v>12512</v>
      </c>
      <c r="AL102" s="8"/>
      <c r="AM102" s="8"/>
    </row>
    <row r="103" spans="1:39" x14ac:dyDescent="0.2">
      <c r="A103" s="1" t="s">
        <v>1412</v>
      </c>
      <c r="B103" s="1"/>
      <c r="C103" s="1">
        <v>1731</v>
      </c>
      <c r="D103" s="64" t="s">
        <v>155</v>
      </c>
      <c r="E103" s="3" t="s">
        <v>156</v>
      </c>
      <c r="F103" s="3" t="s">
        <v>1422</v>
      </c>
      <c r="G103" s="3" t="s">
        <v>1412</v>
      </c>
      <c r="H103" s="3">
        <v>1971</v>
      </c>
      <c r="I103" s="3"/>
      <c r="J103" s="3" t="s">
        <v>1416</v>
      </c>
      <c r="K103" s="4" t="s">
        <v>1412</v>
      </c>
      <c r="L103" s="56" t="s">
        <v>157</v>
      </c>
      <c r="M103" s="6">
        <v>152</v>
      </c>
      <c r="N103" s="57">
        <v>0.86899999999999999</v>
      </c>
      <c r="O103" s="57">
        <v>0.88500000000000001</v>
      </c>
      <c r="P103" s="57">
        <v>0.84199999999999997</v>
      </c>
      <c r="Q103" s="57">
        <v>0.93899999999999995</v>
      </c>
      <c r="R103" s="7">
        <v>1215199</v>
      </c>
      <c r="S103" s="7">
        <v>1105235</v>
      </c>
      <c r="T103" s="7">
        <f t="shared" si="55"/>
        <v>361521.70249999996</v>
      </c>
      <c r="U103" s="7">
        <v>740284</v>
      </c>
      <c r="V103" s="7">
        <f t="shared" si="56"/>
        <v>364951</v>
      </c>
      <c r="W103" s="7">
        <v>4144</v>
      </c>
      <c r="X103" s="58">
        <f t="shared" si="57"/>
        <v>0</v>
      </c>
      <c r="Y103" s="25">
        <f t="shared" si="58"/>
        <v>0</v>
      </c>
      <c r="Z103" s="25"/>
      <c r="AA103" s="7">
        <f t="shared" si="59"/>
        <v>1466756.7024999999</v>
      </c>
      <c r="AB103" s="7">
        <f t="shared" si="60"/>
        <v>361521.70249999996</v>
      </c>
      <c r="AC103" s="7">
        <f t="shared" si="61"/>
        <v>1105235</v>
      </c>
      <c r="AD103" s="59">
        <f t="shared" si="62"/>
        <v>0</v>
      </c>
      <c r="AE103" s="59">
        <f t="shared" si="63"/>
        <v>0</v>
      </c>
      <c r="AF103" s="60">
        <f t="shared" si="64"/>
        <v>1105235</v>
      </c>
      <c r="AG103" s="60">
        <f t="shared" si="65"/>
        <v>0</v>
      </c>
      <c r="AH103" s="7">
        <v>813000</v>
      </c>
      <c r="AI103" s="7">
        <v>678000</v>
      </c>
      <c r="AJ103" s="11" t="s">
        <v>1419</v>
      </c>
      <c r="AK103" s="61">
        <v>403984</v>
      </c>
      <c r="AL103" s="8"/>
      <c r="AM103" s="8"/>
    </row>
    <row r="104" spans="1:39" x14ac:dyDescent="0.2">
      <c r="A104" s="1" t="s">
        <v>10</v>
      </c>
      <c r="B104" s="1" t="s">
        <v>1412</v>
      </c>
      <c r="C104" s="1">
        <v>3811</v>
      </c>
      <c r="D104" s="62" t="s">
        <v>158</v>
      </c>
      <c r="E104" s="3" t="s">
        <v>159</v>
      </c>
      <c r="F104" s="3" t="s">
        <v>1608</v>
      </c>
      <c r="G104" s="3" t="s">
        <v>1412</v>
      </c>
      <c r="H104" s="3">
        <v>1983</v>
      </c>
      <c r="I104" s="3"/>
      <c r="J104" s="3" t="s">
        <v>1416</v>
      </c>
      <c r="K104" s="4" t="s">
        <v>1412</v>
      </c>
      <c r="L104" s="56" t="s">
        <v>160</v>
      </c>
      <c r="M104" s="6">
        <v>112</v>
      </c>
      <c r="N104" s="57">
        <v>0.93400000000000005</v>
      </c>
      <c r="O104" s="57">
        <v>0.93400000000000005</v>
      </c>
      <c r="P104" s="57">
        <v>0.94099999999999995</v>
      </c>
      <c r="Q104" s="57">
        <v>0.90500000000000003</v>
      </c>
      <c r="R104" s="7">
        <v>777054</v>
      </c>
      <c r="S104" s="7">
        <v>583605</v>
      </c>
      <c r="T104" s="7">
        <f t="shared" si="55"/>
        <v>231173.565</v>
      </c>
      <c r="U104" s="7">
        <v>311865</v>
      </c>
      <c r="V104" s="7">
        <f t="shared" si="56"/>
        <v>271740</v>
      </c>
      <c r="W104" s="7">
        <v>2950</v>
      </c>
      <c r="X104" s="58">
        <f t="shared" si="57"/>
        <v>674821.56499999994</v>
      </c>
      <c r="Y104" s="25">
        <f t="shared" si="58"/>
        <v>231173.565</v>
      </c>
      <c r="Z104" s="25">
        <v>443648</v>
      </c>
      <c r="AA104" s="7">
        <f t="shared" si="59"/>
        <v>139957</v>
      </c>
      <c r="AB104" s="7">
        <f t="shared" si="60"/>
        <v>0</v>
      </c>
      <c r="AC104" s="7">
        <f t="shared" si="61"/>
        <v>139957</v>
      </c>
      <c r="AD104" s="59">
        <f t="shared" si="62"/>
        <v>443648</v>
      </c>
      <c r="AE104" s="59">
        <f t="shared" si="63"/>
        <v>0</v>
      </c>
      <c r="AF104" s="60">
        <f t="shared" si="64"/>
        <v>139957</v>
      </c>
      <c r="AG104" s="60">
        <f t="shared" si="65"/>
        <v>0</v>
      </c>
      <c r="AH104" s="7">
        <v>1144000</v>
      </c>
      <c r="AI104" s="7">
        <v>825000</v>
      </c>
      <c r="AJ104" s="11" t="s">
        <v>1541</v>
      </c>
      <c r="AK104" s="61">
        <v>317577</v>
      </c>
      <c r="AL104" s="8"/>
      <c r="AM104" s="8"/>
    </row>
    <row r="105" spans="1:39" x14ac:dyDescent="0.2">
      <c r="A105" s="1" t="s">
        <v>1412</v>
      </c>
      <c r="B105" s="1"/>
      <c r="C105" s="12">
        <v>2110</v>
      </c>
      <c r="D105" s="66" t="s">
        <v>161</v>
      </c>
      <c r="E105" s="3"/>
      <c r="F105" s="3"/>
      <c r="G105" s="3" t="s">
        <v>1417</v>
      </c>
      <c r="H105" s="3"/>
      <c r="I105" s="3"/>
      <c r="J105" s="3"/>
      <c r="K105" s="4"/>
      <c r="L105" s="56"/>
      <c r="M105" s="6"/>
      <c r="N105" s="57"/>
      <c r="O105" s="57"/>
      <c r="P105" s="57"/>
      <c r="Q105" s="57"/>
      <c r="R105" s="7"/>
      <c r="S105" s="7"/>
      <c r="T105" s="7"/>
      <c r="U105" s="7"/>
      <c r="V105" s="7"/>
      <c r="W105" s="7"/>
      <c r="X105" s="58"/>
      <c r="Y105" s="25"/>
      <c r="Z105" s="25"/>
      <c r="AA105" s="7"/>
      <c r="AB105" s="7"/>
      <c r="AC105" s="7"/>
      <c r="AD105" s="59"/>
      <c r="AE105" s="59"/>
      <c r="AF105" s="60"/>
      <c r="AG105" s="60"/>
      <c r="AH105" s="7">
        <v>0</v>
      </c>
      <c r="AI105" s="7">
        <v>0</v>
      </c>
      <c r="AK105" s="61"/>
      <c r="AL105" s="8"/>
      <c r="AM105" s="8"/>
    </row>
    <row r="106" spans="1:39" x14ac:dyDescent="0.2">
      <c r="A106" s="1"/>
      <c r="B106" s="1"/>
      <c r="C106" s="12">
        <v>2111</v>
      </c>
      <c r="D106" s="66" t="s">
        <v>161</v>
      </c>
      <c r="E106" s="3"/>
      <c r="F106" s="3"/>
      <c r="G106" s="3" t="s">
        <v>1417</v>
      </c>
      <c r="H106" s="3"/>
      <c r="I106" s="3"/>
      <c r="J106" s="3"/>
      <c r="K106" s="4"/>
      <c r="L106" s="56"/>
      <c r="M106" s="6"/>
      <c r="N106" s="57"/>
      <c r="O106" s="57"/>
      <c r="P106" s="57"/>
      <c r="Q106" s="57"/>
      <c r="R106" s="7"/>
      <c r="S106" s="7"/>
      <c r="T106" s="7"/>
      <c r="U106" s="7"/>
      <c r="V106" s="7"/>
      <c r="W106" s="7"/>
      <c r="X106" s="58"/>
      <c r="Y106" s="25"/>
      <c r="Z106" s="25"/>
      <c r="AA106" s="7"/>
      <c r="AB106" s="7"/>
      <c r="AC106" s="7"/>
      <c r="AD106" s="59"/>
      <c r="AE106" s="59"/>
      <c r="AF106" s="60"/>
      <c r="AG106" s="60"/>
      <c r="AH106" s="7"/>
      <c r="AI106" s="7"/>
      <c r="AK106" s="61"/>
      <c r="AL106" s="8"/>
      <c r="AM106" s="8"/>
    </row>
    <row r="107" spans="1:39" x14ac:dyDescent="0.2">
      <c r="A107" s="1" t="s">
        <v>1412</v>
      </c>
      <c r="B107" s="1"/>
      <c r="C107" s="1">
        <v>2114</v>
      </c>
      <c r="D107" s="3" t="s">
        <v>162</v>
      </c>
      <c r="E107" s="3" t="s">
        <v>1563</v>
      </c>
      <c r="F107" s="3" t="s">
        <v>1564</v>
      </c>
      <c r="G107" s="3" t="s">
        <v>1412</v>
      </c>
      <c r="H107" s="3">
        <v>1997</v>
      </c>
      <c r="I107" s="3"/>
      <c r="J107" s="3" t="s">
        <v>1512</v>
      </c>
      <c r="K107" s="4"/>
      <c r="L107" s="56" t="s">
        <v>1565</v>
      </c>
      <c r="M107" s="6"/>
      <c r="R107" s="7"/>
      <c r="S107" s="7"/>
      <c r="T107" s="7">
        <f t="shared" ref="T107:T122" si="66">IF(J107="regional",IF(R107&gt;0,R107*0.2975,S107*0.3484),S107*0.1939)</f>
        <v>0</v>
      </c>
      <c r="U107" s="7">
        <v>29140</v>
      </c>
      <c r="V107" s="7">
        <f t="shared" ref="V107:V122" si="67">S107-U107</f>
        <v>-29140</v>
      </c>
      <c r="W107" s="7"/>
      <c r="X107" s="58">
        <f t="shared" ref="X107:X122" si="68">Y107+Z107</f>
        <v>0</v>
      </c>
      <c r="Y107" s="25">
        <f t="shared" ref="Y107:Y122" si="69">IF(B107="y",T107,0)</f>
        <v>0</v>
      </c>
      <c r="Z107" s="25"/>
      <c r="AA107" s="7">
        <f t="shared" ref="AA107:AA122" si="70">AB107+AC107</f>
        <v>0</v>
      </c>
      <c r="AB107" s="7">
        <f t="shared" ref="AB107:AB122" si="71">IF(B107="y",0,T107)</f>
        <v>0</v>
      </c>
      <c r="AC107" s="7">
        <f t="shared" ref="AC107:AC122" si="72">S107-Z107</f>
        <v>0</v>
      </c>
      <c r="AD107" s="59">
        <f t="shared" ref="AD107:AD122" si="73">IF(K107="y",Z107,0)</f>
        <v>0</v>
      </c>
      <c r="AE107" s="59">
        <f t="shared" ref="AE107:AE122" si="74">IF($K107="",Z107,0)+IF($K107="n",Z107,0)</f>
        <v>0</v>
      </c>
      <c r="AF107" s="60">
        <f t="shared" ref="AF107:AF122" si="75">IF($K107="y",AC107,0)</f>
        <v>0</v>
      </c>
      <c r="AG107" s="60">
        <f t="shared" ref="AG107:AG122" si="76">IF($K107="",AC107,0)+IF($K107="n",AC107,0)</f>
        <v>0</v>
      </c>
      <c r="AH107" s="7">
        <v>0</v>
      </c>
      <c r="AI107" s="7">
        <v>0</v>
      </c>
      <c r="AJ107" s="3"/>
      <c r="AK107" s="3"/>
      <c r="AL107" s="8"/>
      <c r="AM107" s="8"/>
    </row>
    <row r="108" spans="1:39" x14ac:dyDescent="0.2">
      <c r="A108" s="1" t="s">
        <v>10</v>
      </c>
      <c r="B108" s="1" t="s">
        <v>1412</v>
      </c>
      <c r="C108" s="1">
        <v>906</v>
      </c>
      <c r="D108" s="62" t="s">
        <v>163</v>
      </c>
      <c r="E108" s="3" t="s">
        <v>164</v>
      </c>
      <c r="F108" s="3" t="s">
        <v>165</v>
      </c>
      <c r="G108" s="3" t="s">
        <v>1412</v>
      </c>
      <c r="H108" s="3">
        <v>1984</v>
      </c>
      <c r="I108" s="3"/>
      <c r="J108" s="3" t="s">
        <v>1416</v>
      </c>
      <c r="K108" s="4" t="s">
        <v>1412</v>
      </c>
      <c r="L108" s="56" t="s">
        <v>166</v>
      </c>
      <c r="M108" s="6">
        <v>165</v>
      </c>
      <c r="N108" s="57">
        <v>0.81499999999999995</v>
      </c>
      <c r="O108" s="57">
        <v>0.81499999999999995</v>
      </c>
      <c r="P108" s="57">
        <v>0.871</v>
      </c>
      <c r="Q108" s="57">
        <v>0.81200000000000006</v>
      </c>
      <c r="R108" s="7">
        <v>1238108</v>
      </c>
      <c r="S108" s="7">
        <v>983413</v>
      </c>
      <c r="T108" s="7">
        <f t="shared" si="66"/>
        <v>368337.13</v>
      </c>
      <c r="U108" s="7">
        <v>597028</v>
      </c>
      <c r="V108" s="7">
        <f t="shared" si="67"/>
        <v>386385</v>
      </c>
      <c r="W108" s="7">
        <v>4846</v>
      </c>
      <c r="X108" s="58">
        <f t="shared" si="68"/>
        <v>917350.13</v>
      </c>
      <c r="Y108" s="25">
        <f t="shared" si="69"/>
        <v>368337.13</v>
      </c>
      <c r="Z108" s="25">
        <v>549013</v>
      </c>
      <c r="AA108" s="7">
        <f t="shared" si="70"/>
        <v>434400</v>
      </c>
      <c r="AB108" s="7">
        <f t="shared" si="71"/>
        <v>0</v>
      </c>
      <c r="AC108" s="7">
        <f t="shared" si="72"/>
        <v>434400</v>
      </c>
      <c r="AD108" s="59">
        <f t="shared" si="73"/>
        <v>549013</v>
      </c>
      <c r="AE108" s="59">
        <f t="shared" si="74"/>
        <v>0</v>
      </c>
      <c r="AF108" s="60">
        <f t="shared" si="75"/>
        <v>434400</v>
      </c>
      <c r="AG108" s="60">
        <f t="shared" si="76"/>
        <v>0</v>
      </c>
      <c r="AH108" s="7">
        <v>581000</v>
      </c>
      <c r="AI108" s="7">
        <v>561000</v>
      </c>
      <c r="AJ108" s="11" t="s">
        <v>1419</v>
      </c>
      <c r="AK108" s="61">
        <v>738949</v>
      </c>
      <c r="AL108" s="8"/>
      <c r="AM108" s="8"/>
    </row>
    <row r="109" spans="1:39" x14ac:dyDescent="0.2">
      <c r="A109" s="1" t="s">
        <v>1412</v>
      </c>
      <c r="B109" s="1"/>
      <c r="C109" s="1">
        <v>907</v>
      </c>
      <c r="D109" s="3" t="s">
        <v>167</v>
      </c>
      <c r="E109" s="3" t="s">
        <v>164</v>
      </c>
      <c r="F109" s="3" t="s">
        <v>165</v>
      </c>
      <c r="G109" s="3" t="s">
        <v>1412</v>
      </c>
      <c r="H109" s="3">
        <v>1987</v>
      </c>
      <c r="I109" s="3"/>
      <c r="J109" s="3" t="s">
        <v>1512</v>
      </c>
      <c r="K109" s="4"/>
      <c r="L109" s="56" t="s">
        <v>166</v>
      </c>
      <c r="M109" s="6"/>
      <c r="N109" s="57">
        <v>1</v>
      </c>
      <c r="O109" s="57">
        <v>1</v>
      </c>
      <c r="P109" s="57">
        <v>0.60399999999999998</v>
      </c>
      <c r="Q109" s="57">
        <v>1</v>
      </c>
      <c r="R109" s="7"/>
      <c r="S109" s="7">
        <v>180310</v>
      </c>
      <c r="T109" s="7">
        <f t="shared" si="66"/>
        <v>34962.108999999997</v>
      </c>
      <c r="U109" s="7">
        <v>180355</v>
      </c>
      <c r="V109" s="7">
        <f t="shared" si="67"/>
        <v>-45</v>
      </c>
      <c r="W109" s="7">
        <v>700</v>
      </c>
      <c r="X109" s="58">
        <f t="shared" si="68"/>
        <v>0</v>
      </c>
      <c r="Y109" s="25">
        <f t="shared" si="69"/>
        <v>0</v>
      </c>
      <c r="Z109" s="25"/>
      <c r="AA109" s="7">
        <f t="shared" si="70"/>
        <v>215272.109</v>
      </c>
      <c r="AB109" s="7">
        <f t="shared" si="71"/>
        <v>34962.108999999997</v>
      </c>
      <c r="AC109" s="7">
        <f t="shared" si="72"/>
        <v>180310</v>
      </c>
      <c r="AD109" s="59">
        <f t="shared" si="73"/>
        <v>0</v>
      </c>
      <c r="AE109" s="59">
        <f t="shared" si="74"/>
        <v>0</v>
      </c>
      <c r="AF109" s="60">
        <f t="shared" si="75"/>
        <v>0</v>
      </c>
      <c r="AG109" s="60">
        <f t="shared" si="76"/>
        <v>180310</v>
      </c>
      <c r="AH109" s="7">
        <v>0</v>
      </c>
      <c r="AI109" s="7">
        <v>0</v>
      </c>
      <c r="AJ109" s="11" t="s">
        <v>1419</v>
      </c>
      <c r="AK109" s="61">
        <v>5400</v>
      </c>
      <c r="AL109" s="8"/>
      <c r="AM109" s="8"/>
    </row>
    <row r="110" spans="1:39" x14ac:dyDescent="0.2">
      <c r="A110" s="1" t="s">
        <v>1412</v>
      </c>
      <c r="B110" s="1"/>
      <c r="C110" s="1">
        <v>2546</v>
      </c>
      <c r="D110" s="3" t="s">
        <v>168</v>
      </c>
      <c r="E110" s="3" t="s">
        <v>169</v>
      </c>
      <c r="F110" s="3" t="s">
        <v>1422</v>
      </c>
      <c r="G110" s="3" t="s">
        <v>1412</v>
      </c>
      <c r="H110" s="3">
        <v>1976</v>
      </c>
      <c r="I110" s="3"/>
      <c r="J110" s="3" t="s">
        <v>1416</v>
      </c>
      <c r="K110" s="4" t="s">
        <v>1412</v>
      </c>
      <c r="L110" s="56" t="s">
        <v>170</v>
      </c>
      <c r="M110" s="6">
        <v>114</v>
      </c>
      <c r="N110" s="57">
        <v>0.93899999999999995</v>
      </c>
      <c r="O110" s="57">
        <v>0.99199999999999999</v>
      </c>
      <c r="P110" s="57">
        <v>0.98899999999999999</v>
      </c>
      <c r="Q110" s="57">
        <v>0.97699999999999998</v>
      </c>
      <c r="R110" s="7">
        <v>1049405</v>
      </c>
      <c r="S110" s="7">
        <v>959100</v>
      </c>
      <c r="T110" s="7">
        <f t="shared" si="66"/>
        <v>312197.98749999999</v>
      </c>
      <c r="U110" s="7">
        <v>639742</v>
      </c>
      <c r="V110" s="7">
        <f t="shared" si="67"/>
        <v>319358</v>
      </c>
      <c r="W110" s="7">
        <v>4100</v>
      </c>
      <c r="X110" s="58">
        <f t="shared" si="68"/>
        <v>0</v>
      </c>
      <c r="Y110" s="25">
        <f t="shared" si="69"/>
        <v>0</v>
      </c>
      <c r="Z110" s="25"/>
      <c r="AA110" s="7">
        <f t="shared" si="70"/>
        <v>1271297.9875</v>
      </c>
      <c r="AB110" s="7">
        <f t="shared" si="71"/>
        <v>312197.98749999999</v>
      </c>
      <c r="AC110" s="7">
        <f t="shared" si="72"/>
        <v>959100</v>
      </c>
      <c r="AD110" s="59">
        <f t="shared" si="73"/>
        <v>0</v>
      </c>
      <c r="AE110" s="59">
        <f t="shared" si="74"/>
        <v>0</v>
      </c>
      <c r="AF110" s="60">
        <f t="shared" si="75"/>
        <v>959100</v>
      </c>
      <c r="AG110" s="60">
        <f t="shared" si="76"/>
        <v>0</v>
      </c>
      <c r="AH110" s="7">
        <v>1390000</v>
      </c>
      <c r="AI110" s="7">
        <v>1300000</v>
      </c>
      <c r="AJ110" s="11" t="s">
        <v>1419</v>
      </c>
      <c r="AK110" s="61">
        <v>796491</v>
      </c>
      <c r="AL110" s="8"/>
      <c r="AM110" s="8"/>
    </row>
    <row r="111" spans="1:39" x14ac:dyDescent="0.2">
      <c r="A111" s="1" t="s">
        <v>1412</v>
      </c>
      <c r="B111" s="1"/>
      <c r="C111" s="1">
        <v>9060</v>
      </c>
      <c r="D111" s="3" t="s">
        <v>171</v>
      </c>
      <c r="E111" s="3" t="s">
        <v>1563</v>
      </c>
      <c r="F111" s="3" t="s">
        <v>1564</v>
      </c>
      <c r="G111" s="3" t="s">
        <v>1412</v>
      </c>
      <c r="H111" s="3">
        <v>1968</v>
      </c>
      <c r="I111" s="3"/>
      <c r="J111" s="3" t="s">
        <v>1416</v>
      </c>
      <c r="K111" s="4" t="s">
        <v>1412</v>
      </c>
      <c r="L111" s="56" t="s">
        <v>1565</v>
      </c>
      <c r="M111" s="6">
        <v>108</v>
      </c>
      <c r="N111" s="57">
        <v>0.90900000000000003</v>
      </c>
      <c r="O111" s="57">
        <v>0.85599999999999998</v>
      </c>
      <c r="P111" s="57">
        <v>0.873</v>
      </c>
      <c r="Q111" s="57">
        <v>0.80900000000000005</v>
      </c>
      <c r="R111" s="7">
        <v>1342722</v>
      </c>
      <c r="S111" s="7">
        <v>1193308</v>
      </c>
      <c r="T111" s="7">
        <f t="shared" si="66"/>
        <v>399459.79499999998</v>
      </c>
      <c r="U111" s="7">
        <v>889002</v>
      </c>
      <c r="V111" s="7">
        <f t="shared" si="67"/>
        <v>304306</v>
      </c>
      <c r="W111" s="7">
        <v>6417</v>
      </c>
      <c r="X111" s="58">
        <f t="shared" si="68"/>
        <v>0</v>
      </c>
      <c r="Y111" s="25">
        <f t="shared" si="69"/>
        <v>0</v>
      </c>
      <c r="Z111" s="25"/>
      <c r="AA111" s="7">
        <f t="shared" si="70"/>
        <v>1592767.7949999999</v>
      </c>
      <c r="AB111" s="7">
        <f t="shared" si="71"/>
        <v>399459.79499999998</v>
      </c>
      <c r="AC111" s="7">
        <f t="shared" si="72"/>
        <v>1193308</v>
      </c>
      <c r="AD111" s="59">
        <f t="shared" si="73"/>
        <v>0</v>
      </c>
      <c r="AE111" s="59">
        <f t="shared" si="74"/>
        <v>0</v>
      </c>
      <c r="AF111" s="60">
        <f t="shared" si="75"/>
        <v>1193308</v>
      </c>
      <c r="AG111" s="60">
        <f t="shared" si="76"/>
        <v>0</v>
      </c>
      <c r="AH111" s="7">
        <v>170000</v>
      </c>
      <c r="AI111" s="7">
        <v>165000</v>
      </c>
      <c r="AJ111" s="11" t="s">
        <v>1419</v>
      </c>
      <c r="AK111" s="61">
        <v>842986</v>
      </c>
      <c r="AL111" s="8"/>
      <c r="AM111" s="8"/>
    </row>
    <row r="112" spans="1:39" x14ac:dyDescent="0.2">
      <c r="A112" s="1" t="s">
        <v>1412</v>
      </c>
      <c r="B112" s="1"/>
      <c r="C112" s="1">
        <v>4665</v>
      </c>
      <c r="D112" s="3" t="s">
        <v>172</v>
      </c>
      <c r="E112" s="3" t="s">
        <v>173</v>
      </c>
      <c r="F112" s="3" t="s">
        <v>1555</v>
      </c>
      <c r="G112" s="3" t="s">
        <v>1412</v>
      </c>
      <c r="H112" s="3">
        <v>1997</v>
      </c>
      <c r="I112" s="3"/>
      <c r="J112" s="3" t="s">
        <v>1416</v>
      </c>
      <c r="K112" s="4" t="s">
        <v>1412</v>
      </c>
      <c r="L112" s="56" t="s">
        <v>1556</v>
      </c>
      <c r="M112" s="6">
        <v>170</v>
      </c>
      <c r="N112" s="57">
        <v>0.88900000000000001</v>
      </c>
      <c r="O112" s="57">
        <v>0.89300000000000002</v>
      </c>
      <c r="P112" s="57">
        <v>0.86199999999999999</v>
      </c>
      <c r="Q112" s="57">
        <v>0.95199999999999996</v>
      </c>
      <c r="R112" s="7">
        <v>879099</v>
      </c>
      <c r="S112" s="7">
        <v>748453</v>
      </c>
      <c r="T112" s="7">
        <f t="shared" si="66"/>
        <v>261531.95249999998</v>
      </c>
      <c r="U112" s="7">
        <v>528914</v>
      </c>
      <c r="V112" s="7">
        <f t="shared" si="67"/>
        <v>219539</v>
      </c>
      <c r="W112" s="7">
        <v>4480</v>
      </c>
      <c r="X112" s="58">
        <f t="shared" si="68"/>
        <v>0</v>
      </c>
      <c r="Y112" s="25">
        <f t="shared" si="69"/>
        <v>0</v>
      </c>
      <c r="Z112" s="25"/>
      <c r="AA112" s="7">
        <f t="shared" si="70"/>
        <v>1009984.9525</v>
      </c>
      <c r="AB112" s="7">
        <f t="shared" si="71"/>
        <v>261531.95249999998</v>
      </c>
      <c r="AC112" s="7">
        <f t="shared" si="72"/>
        <v>748453</v>
      </c>
      <c r="AD112" s="59">
        <f t="shared" si="73"/>
        <v>0</v>
      </c>
      <c r="AE112" s="59">
        <f t="shared" si="74"/>
        <v>0</v>
      </c>
      <c r="AF112" s="60">
        <f t="shared" si="75"/>
        <v>748453</v>
      </c>
      <c r="AG112" s="60">
        <f t="shared" si="76"/>
        <v>0</v>
      </c>
      <c r="AH112" s="7">
        <v>659000</v>
      </c>
      <c r="AI112" s="7">
        <v>746000</v>
      </c>
      <c r="AJ112" s="11" t="s">
        <v>1419</v>
      </c>
      <c r="AK112" s="61">
        <v>169275</v>
      </c>
      <c r="AL112" s="8"/>
      <c r="AM112" s="8"/>
    </row>
    <row r="113" spans="1:39" x14ac:dyDescent="0.2">
      <c r="A113" s="1" t="s">
        <v>1412</v>
      </c>
      <c r="B113" s="1"/>
      <c r="C113" s="1">
        <v>4512</v>
      </c>
      <c r="D113" s="3" t="s">
        <v>174</v>
      </c>
      <c r="E113" s="3" t="s">
        <v>175</v>
      </c>
      <c r="F113" s="3" t="s">
        <v>1415</v>
      </c>
      <c r="G113" s="3" t="s">
        <v>1412</v>
      </c>
      <c r="H113" s="3">
        <v>1986</v>
      </c>
      <c r="I113" s="3"/>
      <c r="J113" s="3" t="s">
        <v>1512</v>
      </c>
      <c r="K113" s="4"/>
      <c r="L113" s="56" t="s">
        <v>1545</v>
      </c>
      <c r="M113" s="6">
        <v>15</v>
      </c>
      <c r="N113" s="57">
        <v>0.98699999999999999</v>
      </c>
      <c r="O113" s="57">
        <v>0.98399999999999999</v>
      </c>
      <c r="P113" s="57">
        <v>1</v>
      </c>
      <c r="Q113" s="57">
        <v>1</v>
      </c>
      <c r="R113" s="7"/>
      <c r="S113" s="7">
        <v>215498</v>
      </c>
      <c r="T113" s="7">
        <f t="shared" si="66"/>
        <v>41785.0622</v>
      </c>
      <c r="U113" s="7">
        <v>170789</v>
      </c>
      <c r="V113" s="7">
        <f t="shared" si="67"/>
        <v>44709</v>
      </c>
      <c r="W113" s="7">
        <v>1075</v>
      </c>
      <c r="X113" s="58">
        <f t="shared" si="68"/>
        <v>0</v>
      </c>
      <c r="Y113" s="25">
        <f t="shared" si="69"/>
        <v>0</v>
      </c>
      <c r="Z113" s="25"/>
      <c r="AA113" s="7">
        <f t="shared" si="70"/>
        <v>257283.06219999999</v>
      </c>
      <c r="AB113" s="7">
        <f t="shared" si="71"/>
        <v>41785.0622</v>
      </c>
      <c r="AC113" s="7">
        <f t="shared" si="72"/>
        <v>215498</v>
      </c>
      <c r="AD113" s="59">
        <f t="shared" si="73"/>
        <v>0</v>
      </c>
      <c r="AE113" s="59">
        <f t="shared" si="74"/>
        <v>0</v>
      </c>
      <c r="AF113" s="60">
        <f t="shared" si="75"/>
        <v>0</v>
      </c>
      <c r="AG113" s="60">
        <f t="shared" si="76"/>
        <v>215498</v>
      </c>
      <c r="AH113" s="7">
        <v>0</v>
      </c>
      <c r="AI113" s="7">
        <v>0</v>
      </c>
      <c r="AJ113" s="3"/>
      <c r="AK113" s="3"/>
      <c r="AL113" s="8"/>
      <c r="AM113" s="8"/>
    </row>
    <row r="114" spans="1:39" x14ac:dyDescent="0.2">
      <c r="A114" s="1" t="s">
        <v>1412</v>
      </c>
      <c r="B114" s="1"/>
      <c r="C114" s="1">
        <v>2952</v>
      </c>
      <c r="D114" s="3" t="s">
        <v>176</v>
      </c>
      <c r="E114" s="3" t="s">
        <v>177</v>
      </c>
      <c r="F114" s="3" t="s">
        <v>1415</v>
      </c>
      <c r="G114" s="3" t="s">
        <v>1412</v>
      </c>
      <c r="H114" s="3">
        <v>1986</v>
      </c>
      <c r="I114" s="3"/>
      <c r="J114" s="3" t="s">
        <v>1512</v>
      </c>
      <c r="K114" s="4" t="s">
        <v>1417</v>
      </c>
      <c r="L114" s="56" t="s">
        <v>1545</v>
      </c>
      <c r="M114" s="6">
        <v>37</v>
      </c>
      <c r="N114" s="57">
        <v>0.89300000000000002</v>
      </c>
      <c r="O114" s="57">
        <v>0.89300000000000002</v>
      </c>
      <c r="P114" s="57">
        <v>0.90900000000000003</v>
      </c>
      <c r="Q114" s="57">
        <v>0.89700000000000002</v>
      </c>
      <c r="R114" s="7"/>
      <c r="S114" s="7">
        <v>381005</v>
      </c>
      <c r="T114" s="7">
        <f t="shared" si="66"/>
        <v>73876.869500000001</v>
      </c>
      <c r="U114" s="7">
        <v>287355</v>
      </c>
      <c r="V114" s="7">
        <f t="shared" si="67"/>
        <v>93650</v>
      </c>
      <c r="W114" s="7">
        <v>2600</v>
      </c>
      <c r="X114" s="58">
        <f t="shared" si="68"/>
        <v>0</v>
      </c>
      <c r="Y114" s="25">
        <f t="shared" si="69"/>
        <v>0</v>
      </c>
      <c r="Z114" s="25"/>
      <c r="AA114" s="7">
        <f t="shared" si="70"/>
        <v>454881.86950000003</v>
      </c>
      <c r="AB114" s="7">
        <f t="shared" si="71"/>
        <v>73876.869500000001</v>
      </c>
      <c r="AC114" s="7">
        <f t="shared" si="72"/>
        <v>381005</v>
      </c>
      <c r="AD114" s="59">
        <f t="shared" si="73"/>
        <v>0</v>
      </c>
      <c r="AE114" s="59">
        <f t="shared" si="74"/>
        <v>0</v>
      </c>
      <c r="AF114" s="60">
        <f t="shared" si="75"/>
        <v>0</v>
      </c>
      <c r="AG114" s="60">
        <f t="shared" si="76"/>
        <v>381005</v>
      </c>
      <c r="AH114" s="7">
        <v>0</v>
      </c>
      <c r="AI114" s="7">
        <v>0</v>
      </c>
      <c r="AJ114" s="3"/>
      <c r="AK114" s="3"/>
      <c r="AL114" s="8"/>
      <c r="AM114" s="8"/>
    </row>
    <row r="115" spans="1:39" x14ac:dyDescent="0.2">
      <c r="A115" s="1" t="s">
        <v>1412</v>
      </c>
      <c r="B115" s="1"/>
      <c r="C115" s="1">
        <v>9894</v>
      </c>
      <c r="D115" s="3" t="s">
        <v>178</v>
      </c>
      <c r="E115" s="3" t="s">
        <v>179</v>
      </c>
      <c r="F115" s="3" t="s">
        <v>1525</v>
      </c>
      <c r="G115" s="3" t="s">
        <v>1417</v>
      </c>
      <c r="H115" s="3">
        <v>1988</v>
      </c>
      <c r="I115" s="3"/>
      <c r="J115" s="3" t="s">
        <v>1416</v>
      </c>
      <c r="K115" s="4" t="s">
        <v>1417</v>
      </c>
      <c r="L115" s="56" t="s">
        <v>120</v>
      </c>
      <c r="M115" s="6">
        <v>143</v>
      </c>
      <c r="N115" s="57">
        <v>0.77500000000000002</v>
      </c>
      <c r="O115" s="57">
        <v>0.84599999999999997</v>
      </c>
      <c r="P115" s="57">
        <v>0.81899999999999995</v>
      </c>
      <c r="Q115" s="57">
        <v>0.82</v>
      </c>
      <c r="R115" s="7">
        <v>1061914</v>
      </c>
      <c r="S115" s="7">
        <v>902169</v>
      </c>
      <c r="T115" s="7">
        <f t="shared" si="66"/>
        <v>315919.41499999998</v>
      </c>
      <c r="U115" s="7">
        <v>610038</v>
      </c>
      <c r="V115" s="7">
        <f t="shared" si="67"/>
        <v>292131</v>
      </c>
      <c r="W115" s="7">
        <v>4476</v>
      </c>
      <c r="X115" s="58">
        <f t="shared" si="68"/>
        <v>0</v>
      </c>
      <c r="Y115" s="25">
        <f t="shared" si="69"/>
        <v>0</v>
      </c>
      <c r="Z115" s="25"/>
      <c r="AA115" s="7">
        <f t="shared" si="70"/>
        <v>1218088.415</v>
      </c>
      <c r="AB115" s="7">
        <f t="shared" si="71"/>
        <v>315919.41499999998</v>
      </c>
      <c r="AC115" s="7">
        <f t="shared" si="72"/>
        <v>902169</v>
      </c>
      <c r="AD115" s="59">
        <f t="shared" si="73"/>
        <v>0</v>
      </c>
      <c r="AE115" s="59">
        <f t="shared" si="74"/>
        <v>0</v>
      </c>
      <c r="AF115" s="60">
        <f t="shared" si="75"/>
        <v>0</v>
      </c>
      <c r="AG115" s="60">
        <f t="shared" si="76"/>
        <v>902169</v>
      </c>
      <c r="AH115" s="7">
        <v>0</v>
      </c>
      <c r="AI115" s="7">
        <v>0</v>
      </c>
      <c r="AJ115" s="11" t="s">
        <v>1419</v>
      </c>
      <c r="AK115" s="61">
        <v>402763</v>
      </c>
      <c r="AL115" s="8"/>
      <c r="AM115" s="8"/>
    </row>
    <row r="116" spans="1:39" x14ac:dyDescent="0.2">
      <c r="A116" s="1" t="s">
        <v>1412</v>
      </c>
      <c r="B116" s="1"/>
      <c r="C116" s="1">
        <v>2324</v>
      </c>
      <c r="D116" s="62" t="s">
        <v>180</v>
      </c>
      <c r="E116" s="3" t="s">
        <v>181</v>
      </c>
      <c r="F116" s="3" t="s">
        <v>1422</v>
      </c>
      <c r="G116" s="3" t="s">
        <v>1417</v>
      </c>
      <c r="H116" s="3">
        <v>1995</v>
      </c>
      <c r="I116" s="3"/>
      <c r="J116" s="3" t="s">
        <v>1416</v>
      </c>
      <c r="K116" s="4" t="s">
        <v>1412</v>
      </c>
      <c r="L116" s="56" t="s">
        <v>182</v>
      </c>
      <c r="M116" s="6">
        <v>120</v>
      </c>
      <c r="N116" s="57">
        <v>0.95699999999999996</v>
      </c>
      <c r="O116" s="57">
        <v>0.94899999999999995</v>
      </c>
      <c r="P116" s="57">
        <v>0.90200000000000002</v>
      </c>
      <c r="Q116" s="57">
        <v>0.89100000000000001</v>
      </c>
      <c r="R116" s="7">
        <v>1427795</v>
      </c>
      <c r="S116" s="7">
        <v>1102927</v>
      </c>
      <c r="T116" s="7">
        <f t="shared" si="66"/>
        <v>424769.01249999995</v>
      </c>
      <c r="U116" s="7">
        <v>745179</v>
      </c>
      <c r="V116" s="7">
        <f t="shared" si="67"/>
        <v>357748</v>
      </c>
      <c r="W116" s="7">
        <v>5420</v>
      </c>
      <c r="X116" s="58">
        <f t="shared" si="68"/>
        <v>0</v>
      </c>
      <c r="Y116" s="25">
        <f t="shared" si="69"/>
        <v>0</v>
      </c>
      <c r="Z116" s="25"/>
      <c r="AA116" s="7">
        <f t="shared" si="70"/>
        <v>1527696.0125</v>
      </c>
      <c r="AB116" s="7">
        <f t="shared" si="71"/>
        <v>424769.01249999995</v>
      </c>
      <c r="AC116" s="7">
        <f t="shared" si="72"/>
        <v>1102927</v>
      </c>
      <c r="AD116" s="59">
        <f t="shared" si="73"/>
        <v>0</v>
      </c>
      <c r="AE116" s="59">
        <f t="shared" si="74"/>
        <v>0</v>
      </c>
      <c r="AF116" s="60">
        <f t="shared" si="75"/>
        <v>1102927</v>
      </c>
      <c r="AG116" s="60">
        <f t="shared" si="76"/>
        <v>0</v>
      </c>
      <c r="AH116" s="7">
        <v>1075000</v>
      </c>
      <c r="AI116" s="7">
        <v>1022000</v>
      </c>
      <c r="AJ116" s="11" t="s">
        <v>1419</v>
      </c>
      <c r="AK116" s="61">
        <v>1030783</v>
      </c>
      <c r="AL116" s="8"/>
      <c r="AM116" s="8"/>
    </row>
    <row r="117" spans="1:39" x14ac:dyDescent="0.2">
      <c r="A117" s="1" t="s">
        <v>10</v>
      </c>
      <c r="B117" s="1" t="s">
        <v>1412</v>
      </c>
      <c r="C117" s="1">
        <v>2325</v>
      </c>
      <c r="D117" s="3" t="s">
        <v>183</v>
      </c>
      <c r="E117" s="3" t="s">
        <v>1511</v>
      </c>
      <c r="F117" s="3" t="s">
        <v>1422</v>
      </c>
      <c r="G117" s="3" t="s">
        <v>1412</v>
      </c>
      <c r="H117" s="3">
        <v>1998</v>
      </c>
      <c r="I117" s="3"/>
      <c r="J117" s="3" t="s">
        <v>1512</v>
      </c>
      <c r="K117" s="4"/>
      <c r="L117" s="56" t="s">
        <v>182</v>
      </c>
      <c r="M117" s="6"/>
      <c r="N117" s="57">
        <v>0.83699999999999997</v>
      </c>
      <c r="O117" s="57">
        <v>0.84</v>
      </c>
      <c r="P117" s="57">
        <v>0.90200000000000002</v>
      </c>
      <c r="Q117" s="57">
        <v>0.89100000000000001</v>
      </c>
      <c r="R117" s="7"/>
      <c r="S117" s="7">
        <v>381000</v>
      </c>
      <c r="T117" s="7">
        <f t="shared" si="66"/>
        <v>73875.899999999994</v>
      </c>
      <c r="U117" s="7">
        <v>293855</v>
      </c>
      <c r="V117" s="7">
        <f t="shared" si="67"/>
        <v>87145</v>
      </c>
      <c r="W117" s="7"/>
      <c r="X117" s="58">
        <f t="shared" si="68"/>
        <v>450125.9</v>
      </c>
      <c r="Y117" s="25">
        <f t="shared" si="69"/>
        <v>73875.899999999994</v>
      </c>
      <c r="Z117" s="25">
        <v>376250</v>
      </c>
      <c r="AA117" s="7">
        <f t="shared" si="70"/>
        <v>4750</v>
      </c>
      <c r="AB117" s="7">
        <f t="shared" si="71"/>
        <v>0</v>
      </c>
      <c r="AC117" s="7">
        <f t="shared" si="72"/>
        <v>4750</v>
      </c>
      <c r="AD117" s="59">
        <f t="shared" si="73"/>
        <v>0</v>
      </c>
      <c r="AE117" s="59">
        <f t="shared" si="74"/>
        <v>376250</v>
      </c>
      <c r="AF117" s="60">
        <f t="shared" si="75"/>
        <v>0</v>
      </c>
      <c r="AG117" s="60">
        <f t="shared" si="76"/>
        <v>4750</v>
      </c>
      <c r="AH117" s="7">
        <v>0</v>
      </c>
      <c r="AI117" s="7">
        <v>0</v>
      </c>
      <c r="AJ117" s="11" t="s">
        <v>1419</v>
      </c>
      <c r="AK117" s="61">
        <v>44876.959999999999</v>
      </c>
      <c r="AL117" s="8"/>
      <c r="AM117" s="8"/>
    </row>
    <row r="118" spans="1:39" x14ac:dyDescent="0.2">
      <c r="A118" s="1" t="s">
        <v>1412</v>
      </c>
      <c r="B118" s="1" t="s">
        <v>1412</v>
      </c>
      <c r="C118" s="1">
        <v>4827</v>
      </c>
      <c r="D118" s="65" t="s">
        <v>184</v>
      </c>
      <c r="E118" s="63" t="s">
        <v>185</v>
      </c>
      <c r="F118" s="3" t="s">
        <v>125</v>
      </c>
      <c r="G118" s="3" t="s">
        <v>1412</v>
      </c>
      <c r="H118" s="3">
        <v>1959</v>
      </c>
      <c r="I118" s="3"/>
      <c r="J118" s="3" t="s">
        <v>1416</v>
      </c>
      <c r="K118" s="4" t="s">
        <v>1417</v>
      </c>
      <c r="L118" s="56" t="s">
        <v>126</v>
      </c>
      <c r="M118" s="6">
        <v>260</v>
      </c>
      <c r="N118" s="57">
        <v>0.95399999999999996</v>
      </c>
      <c r="O118" s="57">
        <v>0.96199999999999997</v>
      </c>
      <c r="P118" s="57">
        <v>0.92500000000000004</v>
      </c>
      <c r="Q118" s="57">
        <v>0.95199999999999996</v>
      </c>
      <c r="R118" s="7">
        <v>2062167</v>
      </c>
      <c r="S118" s="7">
        <v>1450000</v>
      </c>
      <c r="T118" s="7">
        <f t="shared" si="66"/>
        <v>613494.6825</v>
      </c>
      <c r="U118" s="7">
        <v>777000</v>
      </c>
      <c r="V118" s="7">
        <f t="shared" si="67"/>
        <v>673000</v>
      </c>
      <c r="W118" s="7">
        <v>7000</v>
      </c>
      <c r="X118" s="58">
        <f t="shared" si="68"/>
        <v>1454494.6825000001</v>
      </c>
      <c r="Y118" s="25">
        <f t="shared" si="69"/>
        <v>613494.6825</v>
      </c>
      <c r="Z118" s="25">
        <v>841000</v>
      </c>
      <c r="AA118" s="7">
        <f t="shared" si="70"/>
        <v>609000</v>
      </c>
      <c r="AB118" s="7">
        <f t="shared" si="71"/>
        <v>0</v>
      </c>
      <c r="AC118" s="7">
        <f t="shared" si="72"/>
        <v>609000</v>
      </c>
      <c r="AD118" s="59">
        <f t="shared" si="73"/>
        <v>0</v>
      </c>
      <c r="AE118" s="59">
        <f t="shared" si="74"/>
        <v>841000</v>
      </c>
      <c r="AF118" s="60">
        <f t="shared" si="75"/>
        <v>0</v>
      </c>
      <c r="AG118" s="60">
        <f t="shared" si="76"/>
        <v>609000</v>
      </c>
      <c r="AH118" s="7">
        <v>0</v>
      </c>
      <c r="AI118" s="7">
        <v>0</v>
      </c>
      <c r="AJ118" s="11" t="s">
        <v>1419</v>
      </c>
      <c r="AK118" s="61">
        <v>60655</v>
      </c>
      <c r="AL118" s="8"/>
      <c r="AM118" s="8"/>
    </row>
    <row r="119" spans="1:39" x14ac:dyDescent="0.2">
      <c r="A119" s="1" t="s">
        <v>1412</v>
      </c>
      <c r="B119" s="1"/>
      <c r="C119" s="1">
        <v>9080</v>
      </c>
      <c r="D119" s="3" t="s">
        <v>186</v>
      </c>
      <c r="E119" s="3" t="s">
        <v>187</v>
      </c>
      <c r="F119" s="3" t="s">
        <v>1548</v>
      </c>
      <c r="G119" s="3" t="s">
        <v>1412</v>
      </c>
      <c r="H119" s="3">
        <v>1978</v>
      </c>
      <c r="I119" s="3"/>
      <c r="J119" s="3" t="s">
        <v>1512</v>
      </c>
      <c r="K119" s="4" t="s">
        <v>1417</v>
      </c>
      <c r="L119" s="5" t="s">
        <v>188</v>
      </c>
      <c r="M119" s="6">
        <v>9</v>
      </c>
      <c r="N119" s="57">
        <v>0.98599999999999999</v>
      </c>
      <c r="O119" s="57">
        <v>0.98599999999999999</v>
      </c>
      <c r="P119" s="57">
        <v>0.95599999999999996</v>
      </c>
      <c r="Q119" s="57">
        <v>0.86799999999999999</v>
      </c>
      <c r="R119" s="7"/>
      <c r="S119" s="7">
        <v>201154</v>
      </c>
      <c r="T119" s="7">
        <f t="shared" si="66"/>
        <v>39003.760599999994</v>
      </c>
      <c r="U119" s="7">
        <v>140860</v>
      </c>
      <c r="V119" s="7">
        <f t="shared" si="67"/>
        <v>60294</v>
      </c>
      <c r="W119" s="7">
        <v>1000</v>
      </c>
      <c r="X119" s="58">
        <f t="shared" si="68"/>
        <v>0</v>
      </c>
      <c r="Y119" s="25">
        <f t="shared" si="69"/>
        <v>0</v>
      </c>
      <c r="Z119" s="8"/>
      <c r="AA119" s="7">
        <f t="shared" si="70"/>
        <v>240157.76059999998</v>
      </c>
      <c r="AB119" s="7">
        <f t="shared" si="71"/>
        <v>39003.760599999994</v>
      </c>
      <c r="AC119" s="7">
        <f t="shared" si="72"/>
        <v>201154</v>
      </c>
      <c r="AD119" s="59">
        <f t="shared" si="73"/>
        <v>0</v>
      </c>
      <c r="AE119" s="59">
        <f t="shared" si="74"/>
        <v>0</v>
      </c>
      <c r="AF119" s="60">
        <f t="shared" si="75"/>
        <v>0</v>
      </c>
      <c r="AG119" s="60">
        <f t="shared" si="76"/>
        <v>201154</v>
      </c>
      <c r="AH119" s="7">
        <v>0</v>
      </c>
      <c r="AI119" s="7">
        <v>0</v>
      </c>
      <c r="AJ119" s="3"/>
      <c r="AK119" s="3"/>
      <c r="AL119" s="8"/>
      <c r="AM119" s="8"/>
    </row>
    <row r="120" spans="1:39" x14ac:dyDescent="0.2">
      <c r="A120" s="1" t="s">
        <v>1412</v>
      </c>
      <c r="B120" s="1"/>
      <c r="C120" s="1">
        <v>9075</v>
      </c>
      <c r="D120" s="3" t="s">
        <v>189</v>
      </c>
      <c r="E120" s="3" t="s">
        <v>187</v>
      </c>
      <c r="F120" s="3" t="s">
        <v>1548</v>
      </c>
      <c r="G120" s="3" t="s">
        <v>1412</v>
      </c>
      <c r="H120" s="3">
        <v>1965</v>
      </c>
      <c r="I120" s="3"/>
      <c r="J120" s="3" t="s">
        <v>1416</v>
      </c>
      <c r="K120" s="4" t="s">
        <v>1417</v>
      </c>
      <c r="L120" s="5" t="s">
        <v>188</v>
      </c>
      <c r="M120" s="6">
        <v>65</v>
      </c>
      <c r="N120" s="57">
        <v>0.97099999999999997</v>
      </c>
      <c r="O120" s="57">
        <v>0.96899999999999997</v>
      </c>
      <c r="P120" s="57">
        <v>0.93799999999999994</v>
      </c>
      <c r="Q120" s="57">
        <v>0.86799999999999999</v>
      </c>
      <c r="R120" s="7">
        <v>878870</v>
      </c>
      <c r="S120" s="7">
        <v>748152</v>
      </c>
      <c r="T120" s="7">
        <f t="shared" si="66"/>
        <v>261463.82499999998</v>
      </c>
      <c r="U120" s="7">
        <v>748421</v>
      </c>
      <c r="V120" s="7">
        <f t="shared" si="67"/>
        <v>-269</v>
      </c>
      <c r="W120" s="7">
        <v>4477</v>
      </c>
      <c r="X120" s="58">
        <f t="shared" si="68"/>
        <v>0</v>
      </c>
      <c r="Y120" s="25">
        <f t="shared" si="69"/>
        <v>0</v>
      </c>
      <c r="Z120" s="8"/>
      <c r="AA120" s="7">
        <f t="shared" si="70"/>
        <v>1009615.825</v>
      </c>
      <c r="AB120" s="7">
        <f t="shared" si="71"/>
        <v>261463.82499999998</v>
      </c>
      <c r="AC120" s="7">
        <f t="shared" si="72"/>
        <v>748152</v>
      </c>
      <c r="AD120" s="59">
        <f t="shared" si="73"/>
        <v>0</v>
      </c>
      <c r="AE120" s="59">
        <f t="shared" si="74"/>
        <v>0</v>
      </c>
      <c r="AF120" s="60">
        <f t="shared" si="75"/>
        <v>0</v>
      </c>
      <c r="AG120" s="60">
        <f t="shared" si="76"/>
        <v>748152</v>
      </c>
      <c r="AH120" s="7">
        <v>0</v>
      </c>
      <c r="AI120" s="7">
        <v>0</v>
      </c>
      <c r="AJ120" s="3"/>
      <c r="AK120" s="3"/>
      <c r="AL120" s="8"/>
      <c r="AM120" s="8"/>
    </row>
    <row r="121" spans="1:39" x14ac:dyDescent="0.2">
      <c r="A121" s="1" t="s">
        <v>1412</v>
      </c>
      <c r="B121" s="1"/>
      <c r="C121" s="1">
        <v>2912</v>
      </c>
      <c r="D121" s="3" t="s">
        <v>190</v>
      </c>
      <c r="E121" s="3" t="s">
        <v>191</v>
      </c>
      <c r="F121" s="3" t="s">
        <v>1415</v>
      </c>
      <c r="G121" s="3" t="s">
        <v>1412</v>
      </c>
      <c r="H121" s="3">
        <v>1990</v>
      </c>
      <c r="I121" s="3"/>
      <c r="J121" s="3" t="s">
        <v>1512</v>
      </c>
      <c r="K121" s="4" t="s">
        <v>1417</v>
      </c>
      <c r="L121" s="5" t="s">
        <v>192</v>
      </c>
      <c r="M121" s="6">
        <v>10</v>
      </c>
      <c r="N121" s="57">
        <v>0.85099999999999998</v>
      </c>
      <c r="O121" s="57">
        <v>1</v>
      </c>
      <c r="P121" s="57">
        <v>1</v>
      </c>
      <c r="Q121" s="57">
        <v>0.80500000000000005</v>
      </c>
      <c r="R121" s="7"/>
      <c r="S121" s="7">
        <v>161348</v>
      </c>
      <c r="T121" s="7">
        <f t="shared" si="66"/>
        <v>31285.377199999999</v>
      </c>
      <c r="U121" s="7">
        <v>134935</v>
      </c>
      <c r="V121" s="7">
        <f t="shared" si="67"/>
        <v>26413</v>
      </c>
      <c r="W121" s="7">
        <v>685</v>
      </c>
      <c r="X121" s="58">
        <f t="shared" si="68"/>
        <v>0</v>
      </c>
      <c r="Y121" s="25">
        <f t="shared" si="69"/>
        <v>0</v>
      </c>
      <c r="Z121" s="8"/>
      <c r="AA121" s="7">
        <f t="shared" si="70"/>
        <v>192633.37719999999</v>
      </c>
      <c r="AB121" s="7">
        <f t="shared" si="71"/>
        <v>31285.377199999999</v>
      </c>
      <c r="AC121" s="7">
        <f t="shared" si="72"/>
        <v>161348</v>
      </c>
      <c r="AD121" s="59">
        <f t="shared" si="73"/>
        <v>0</v>
      </c>
      <c r="AE121" s="59">
        <f t="shared" si="74"/>
        <v>0</v>
      </c>
      <c r="AF121" s="60">
        <f t="shared" si="75"/>
        <v>0</v>
      </c>
      <c r="AG121" s="60">
        <f t="shared" si="76"/>
        <v>161348</v>
      </c>
      <c r="AH121" s="7">
        <v>0</v>
      </c>
      <c r="AI121" s="7">
        <v>0</v>
      </c>
      <c r="AJ121" s="11" t="s">
        <v>1419</v>
      </c>
      <c r="AK121" s="61">
        <v>66385</v>
      </c>
      <c r="AL121" s="8"/>
      <c r="AM121" s="8"/>
    </row>
    <row r="122" spans="1:39" x14ac:dyDescent="0.2">
      <c r="A122" s="1" t="s">
        <v>10</v>
      </c>
      <c r="B122" s="1" t="s">
        <v>1412</v>
      </c>
      <c r="C122" s="1">
        <v>2340</v>
      </c>
      <c r="D122" s="62" t="s">
        <v>193</v>
      </c>
      <c r="E122" s="3" t="s">
        <v>194</v>
      </c>
      <c r="F122" s="3" t="s">
        <v>1415</v>
      </c>
      <c r="G122" s="3" t="s">
        <v>1412</v>
      </c>
      <c r="H122" s="3">
        <v>1990</v>
      </c>
      <c r="I122" s="3"/>
      <c r="J122" s="3" t="s">
        <v>1416</v>
      </c>
      <c r="K122" s="4" t="s">
        <v>1417</v>
      </c>
      <c r="L122" s="56" t="s">
        <v>195</v>
      </c>
      <c r="M122" s="6">
        <v>68</v>
      </c>
      <c r="N122" s="57">
        <v>0.93</v>
      </c>
      <c r="O122" s="57">
        <v>0.93</v>
      </c>
      <c r="P122" s="57">
        <v>0.93899999999999995</v>
      </c>
      <c r="Q122" s="57">
        <v>0.94599999999999995</v>
      </c>
      <c r="R122" s="7">
        <v>591387</v>
      </c>
      <c r="S122" s="7">
        <v>428639</v>
      </c>
      <c r="T122" s="7">
        <f t="shared" si="66"/>
        <v>175937.63249999998</v>
      </c>
      <c r="U122" s="7">
        <v>220830</v>
      </c>
      <c r="V122" s="7">
        <f t="shared" si="67"/>
        <v>207809</v>
      </c>
      <c r="W122" s="7">
        <v>2000</v>
      </c>
      <c r="X122" s="58">
        <f t="shared" si="68"/>
        <v>724165.63249999995</v>
      </c>
      <c r="Y122" s="25">
        <f t="shared" si="69"/>
        <v>175937.63249999998</v>
      </c>
      <c r="Z122" s="25">
        <v>548228</v>
      </c>
      <c r="AA122" s="7">
        <f t="shared" si="70"/>
        <v>-119589</v>
      </c>
      <c r="AB122" s="7">
        <f t="shared" si="71"/>
        <v>0</v>
      </c>
      <c r="AC122" s="7">
        <f t="shared" si="72"/>
        <v>-119589</v>
      </c>
      <c r="AD122" s="59">
        <f t="shared" si="73"/>
        <v>0</v>
      </c>
      <c r="AE122" s="59">
        <f t="shared" si="74"/>
        <v>548228</v>
      </c>
      <c r="AF122" s="60">
        <f t="shared" si="75"/>
        <v>0</v>
      </c>
      <c r="AG122" s="60">
        <f t="shared" si="76"/>
        <v>-119589</v>
      </c>
      <c r="AH122" s="7">
        <v>0</v>
      </c>
      <c r="AI122" s="7">
        <v>0</v>
      </c>
      <c r="AJ122" s="11" t="s">
        <v>1419</v>
      </c>
      <c r="AK122" s="61">
        <v>826851</v>
      </c>
      <c r="AL122" s="8"/>
      <c r="AM122" s="8"/>
    </row>
    <row r="123" spans="1:39" x14ac:dyDescent="0.2">
      <c r="A123" s="1" t="s">
        <v>1412</v>
      </c>
      <c r="B123" s="1"/>
      <c r="C123" s="1">
        <v>4770</v>
      </c>
      <c r="D123" s="66" t="s">
        <v>196</v>
      </c>
      <c r="E123" s="3"/>
      <c r="F123" s="3"/>
      <c r="G123" s="3" t="s">
        <v>1417</v>
      </c>
      <c r="H123" s="3"/>
      <c r="I123" s="3"/>
      <c r="J123" s="3"/>
      <c r="K123" s="4"/>
      <c r="L123" s="56"/>
      <c r="M123" s="6"/>
      <c r="N123" s="57"/>
      <c r="O123" s="57"/>
      <c r="P123" s="57"/>
      <c r="Q123" s="57"/>
      <c r="R123" s="7"/>
      <c r="S123" s="7"/>
      <c r="T123" s="7"/>
      <c r="U123" s="7"/>
      <c r="V123" s="7"/>
      <c r="W123" s="7"/>
      <c r="X123" s="58"/>
      <c r="Y123" s="25"/>
      <c r="Z123" s="25"/>
      <c r="AA123" s="7"/>
      <c r="AB123" s="7"/>
      <c r="AC123" s="7"/>
      <c r="AD123" s="59"/>
      <c r="AE123" s="59"/>
      <c r="AF123" s="60"/>
      <c r="AG123" s="60"/>
      <c r="AH123" s="7">
        <v>0</v>
      </c>
      <c r="AI123" s="7">
        <v>0</v>
      </c>
      <c r="AK123" s="61"/>
      <c r="AL123" s="8"/>
      <c r="AM123" s="8"/>
    </row>
    <row r="124" spans="1:39" x14ac:dyDescent="0.2">
      <c r="A124" s="1" t="s">
        <v>1412</v>
      </c>
      <c r="B124" s="1" t="s">
        <v>1412</v>
      </c>
      <c r="C124" s="1">
        <v>4828</v>
      </c>
      <c r="D124" s="65" t="s">
        <v>197</v>
      </c>
      <c r="E124" s="63" t="s">
        <v>198</v>
      </c>
      <c r="F124" s="3"/>
      <c r="G124" s="3" t="s">
        <v>1412</v>
      </c>
      <c r="H124" s="3">
        <v>1972</v>
      </c>
      <c r="I124" s="3"/>
      <c r="J124" s="3" t="s">
        <v>1416</v>
      </c>
      <c r="K124" s="4" t="s">
        <v>1412</v>
      </c>
      <c r="L124" s="56" t="s">
        <v>199</v>
      </c>
      <c r="M124" s="6">
        <v>131</v>
      </c>
      <c r="N124" s="57">
        <v>0.92900000000000005</v>
      </c>
      <c r="O124" s="57">
        <v>0.95199999999999996</v>
      </c>
      <c r="P124" s="57">
        <v>0.92500000000000004</v>
      </c>
      <c r="Q124" s="57">
        <v>0.95199999999999996</v>
      </c>
      <c r="R124" s="7">
        <v>1110031</v>
      </c>
      <c r="S124" s="7">
        <v>990000</v>
      </c>
      <c r="T124" s="7">
        <f>IF(J124="regional",IF(R124&gt;0,R124*0.2975,S124*0.3484),S124*0.1939)</f>
        <v>330234.22249999997</v>
      </c>
      <c r="U124" s="7">
        <v>578100</v>
      </c>
      <c r="V124" s="7">
        <f t="shared" ref="V124:V141" si="77">S124-U124</f>
        <v>411900</v>
      </c>
      <c r="W124" s="7">
        <v>5774</v>
      </c>
      <c r="X124" s="58">
        <f>Y124+Z124</f>
        <v>843234.22249999992</v>
      </c>
      <c r="Y124" s="25">
        <f>IF(B124="y",T124,0)</f>
        <v>330234.22249999997</v>
      </c>
      <c r="Z124" s="25">
        <v>513000</v>
      </c>
      <c r="AA124" s="7">
        <f>AB124+AC124</f>
        <v>477000</v>
      </c>
      <c r="AB124" s="7">
        <f>IF(B124="y",0,T124)</f>
        <v>0</v>
      </c>
      <c r="AC124" s="7">
        <f>S124-Z124</f>
        <v>477000</v>
      </c>
      <c r="AD124" s="59">
        <f>IF(K124="y",Z124,0)</f>
        <v>513000</v>
      </c>
      <c r="AE124" s="59">
        <f>IF($K124="",Z124,0)+IF($K124="n",Z124,0)</f>
        <v>0</v>
      </c>
      <c r="AF124" s="60">
        <f>IF($K124="y",AC124,0)</f>
        <v>477000</v>
      </c>
      <c r="AG124" s="60">
        <f>IF($K124="",AC124,0)+IF($K124="n",AC124,0)</f>
        <v>0</v>
      </c>
      <c r="AH124" s="7">
        <v>1474000</v>
      </c>
      <c r="AI124" s="7">
        <v>779000</v>
      </c>
      <c r="AJ124" s="11" t="s">
        <v>1541</v>
      </c>
      <c r="AK124" s="61">
        <v>315018</v>
      </c>
      <c r="AL124" s="8"/>
      <c r="AM124" s="8"/>
    </row>
    <row r="125" spans="1:39" x14ac:dyDescent="0.2">
      <c r="A125" s="1" t="s">
        <v>1412</v>
      </c>
      <c r="B125" s="1"/>
      <c r="C125" s="1">
        <v>2356</v>
      </c>
      <c r="D125" s="64" t="s">
        <v>200</v>
      </c>
      <c r="E125" s="3" t="s">
        <v>201</v>
      </c>
      <c r="F125" s="3" t="s">
        <v>1422</v>
      </c>
      <c r="G125" s="3" t="s">
        <v>1412</v>
      </c>
      <c r="H125" s="3">
        <v>1978</v>
      </c>
      <c r="I125" s="3"/>
      <c r="J125" s="3" t="s">
        <v>1416</v>
      </c>
      <c r="K125" s="4" t="s">
        <v>1412</v>
      </c>
      <c r="L125" s="5" t="s">
        <v>202</v>
      </c>
      <c r="M125" s="6">
        <v>81</v>
      </c>
      <c r="N125" s="57">
        <v>0.82499999999999996</v>
      </c>
      <c r="O125" s="57">
        <v>0.88600000000000001</v>
      </c>
      <c r="P125" s="57">
        <v>0.83499999999999996</v>
      </c>
      <c r="Q125" s="57">
        <v>0.86</v>
      </c>
      <c r="R125" s="7">
        <v>720389</v>
      </c>
      <c r="S125" s="7">
        <v>647614</v>
      </c>
      <c r="T125" s="7">
        <f>IF(J125="regional",IF(R125&gt;0,R125*0.2975,S125*0.3484),S125*0.1939)</f>
        <v>214315.72749999998</v>
      </c>
      <c r="U125" s="7">
        <v>437360</v>
      </c>
      <c r="V125" s="7">
        <f t="shared" si="77"/>
        <v>210254</v>
      </c>
      <c r="W125" s="7">
        <v>3404</v>
      </c>
      <c r="X125" s="58">
        <f>Y125+Z125</f>
        <v>0</v>
      </c>
      <c r="Y125" s="25">
        <f>IF(B125="y",T125,0)</f>
        <v>0</v>
      </c>
      <c r="Z125" s="8"/>
      <c r="AA125" s="7">
        <f>AB125+AC125</f>
        <v>861929.72750000004</v>
      </c>
      <c r="AB125" s="7">
        <f>IF(B125="y",0,T125)</f>
        <v>214315.72749999998</v>
      </c>
      <c r="AC125" s="7">
        <f>S125-Z125</f>
        <v>647614</v>
      </c>
      <c r="AD125" s="59">
        <f>IF(K125="y",Z125,0)</f>
        <v>0</v>
      </c>
      <c r="AE125" s="59">
        <f>IF($K125="",Z125,0)+IF($K125="n",Z125,0)</f>
        <v>0</v>
      </c>
      <c r="AF125" s="60">
        <f>IF($K125="y",AC125,0)</f>
        <v>647614</v>
      </c>
      <c r="AG125" s="60">
        <f>IF($K125="",AC125,0)+IF($K125="n",AC125,0)</f>
        <v>0</v>
      </c>
      <c r="AH125" s="7">
        <v>335000</v>
      </c>
      <c r="AI125" s="7">
        <v>290000</v>
      </c>
      <c r="AJ125" s="11" t="s">
        <v>1419</v>
      </c>
      <c r="AK125" s="61">
        <v>451295</v>
      </c>
      <c r="AL125" s="8"/>
      <c r="AM125" s="8"/>
    </row>
    <row r="126" spans="1:39" x14ac:dyDescent="0.2">
      <c r="A126" s="1" t="s">
        <v>1412</v>
      </c>
      <c r="B126" s="1" t="s">
        <v>1412</v>
      </c>
      <c r="C126" s="1">
        <v>2380</v>
      </c>
      <c r="D126" s="65" t="s">
        <v>203</v>
      </c>
      <c r="E126" s="63" t="s">
        <v>204</v>
      </c>
      <c r="F126" s="3" t="s">
        <v>1604</v>
      </c>
      <c r="G126" s="3" t="s">
        <v>1417</v>
      </c>
      <c r="H126" s="3">
        <v>1981</v>
      </c>
      <c r="I126" s="3"/>
      <c r="J126" s="3" t="s">
        <v>1416</v>
      </c>
      <c r="K126" s="4" t="s">
        <v>1412</v>
      </c>
      <c r="L126" s="56" t="s">
        <v>205</v>
      </c>
      <c r="M126" s="6">
        <v>162</v>
      </c>
      <c r="N126" s="57">
        <v>0.83499999999999996</v>
      </c>
      <c r="O126" s="57">
        <v>0.86399999999999999</v>
      </c>
      <c r="P126" s="57">
        <v>0.93400000000000005</v>
      </c>
      <c r="Q126" s="57">
        <v>0.92600000000000005</v>
      </c>
      <c r="R126" s="7">
        <v>1118115</v>
      </c>
      <c r="S126" s="7">
        <v>1104248</v>
      </c>
      <c r="T126" s="7">
        <f>IF(J126="regional",IF(R126&gt;0,R126*0.2975,S126*0.3484),S126*0.1939)</f>
        <v>332639.21249999997</v>
      </c>
      <c r="U126" s="7">
        <v>690636</v>
      </c>
      <c r="V126" s="7">
        <f t="shared" si="77"/>
        <v>413612</v>
      </c>
      <c r="W126" s="7">
        <v>6500</v>
      </c>
      <c r="X126" s="58">
        <f>Y126+Z126</f>
        <v>970566.21249999991</v>
      </c>
      <c r="Y126" s="25">
        <f>IF(B126="y",T126,0)</f>
        <v>332639.21249999997</v>
      </c>
      <c r="Z126" s="25">
        <v>637927</v>
      </c>
      <c r="AA126" s="7">
        <f>AB126+AC126</f>
        <v>466321</v>
      </c>
      <c r="AB126" s="7">
        <f>IF(B126="y",0,T126)</f>
        <v>0</v>
      </c>
      <c r="AC126" s="7">
        <f>S126-Z126</f>
        <v>466321</v>
      </c>
      <c r="AD126" s="59">
        <f>IF(K126="y",Z126,0)</f>
        <v>637927</v>
      </c>
      <c r="AE126" s="59">
        <f>IF($K126="",Z126,0)+IF($K126="n",Z126,0)</f>
        <v>0</v>
      </c>
      <c r="AF126" s="60">
        <f>IF($K126="y",AC126,0)</f>
        <v>466321</v>
      </c>
      <c r="AG126" s="60">
        <f>IF($K126="",AC126,0)+IF($K126="n",AC126,0)</f>
        <v>0</v>
      </c>
      <c r="AH126" s="7">
        <v>749000</v>
      </c>
      <c r="AI126" s="7">
        <v>596000</v>
      </c>
      <c r="AJ126" s="65"/>
      <c r="AK126" s="65"/>
      <c r="AL126" s="8"/>
      <c r="AM126" s="8"/>
    </row>
    <row r="127" spans="1:39" x14ac:dyDescent="0.2">
      <c r="A127" s="1" t="s">
        <v>1412</v>
      </c>
      <c r="B127" s="1"/>
      <c r="C127" s="1">
        <v>2518</v>
      </c>
      <c r="D127" s="3" t="s">
        <v>206</v>
      </c>
      <c r="E127" s="3" t="s">
        <v>83</v>
      </c>
      <c r="F127" s="3" t="s">
        <v>1415</v>
      </c>
      <c r="G127" s="3" t="s">
        <v>1412</v>
      </c>
      <c r="H127" s="3">
        <v>1979</v>
      </c>
      <c r="I127" s="3"/>
      <c r="J127" s="3" t="s">
        <v>1416</v>
      </c>
      <c r="K127" s="4" t="s">
        <v>1412</v>
      </c>
      <c r="L127" s="5" t="s">
        <v>1545</v>
      </c>
      <c r="M127" s="6">
        <v>93</v>
      </c>
      <c r="N127" s="57">
        <v>0.75600000000000001</v>
      </c>
      <c r="O127" s="57">
        <v>0.748</v>
      </c>
      <c r="P127" s="57">
        <v>0.76300000000000001</v>
      </c>
      <c r="Q127" s="57">
        <v>0.81799999999999995</v>
      </c>
      <c r="R127" s="7">
        <v>665063</v>
      </c>
      <c r="S127" s="7">
        <v>550360</v>
      </c>
      <c r="T127" s="7">
        <f>IF(J127="regional",IF(R127&gt;0,R127*0.2975,S127*0.3484),S127*0.1939)</f>
        <v>197856.24249999999</v>
      </c>
      <c r="U127" s="7">
        <v>312920</v>
      </c>
      <c r="V127" s="7">
        <f t="shared" si="77"/>
        <v>237440</v>
      </c>
      <c r="W127" s="7">
        <v>3600</v>
      </c>
      <c r="X127" s="58">
        <f>Y127+Z127</f>
        <v>0</v>
      </c>
      <c r="Y127" s="25">
        <f>IF(B127="y",T127,0)</f>
        <v>0</v>
      </c>
      <c r="Z127" s="8"/>
      <c r="AA127" s="7">
        <f>AB127+AC127</f>
        <v>748216.24249999993</v>
      </c>
      <c r="AB127" s="7">
        <f>IF(B127="y",0,T127)</f>
        <v>197856.24249999999</v>
      </c>
      <c r="AC127" s="7">
        <f>S127-Z127</f>
        <v>550360</v>
      </c>
      <c r="AD127" s="59">
        <f>IF(K127="y",Z127,0)</f>
        <v>0</v>
      </c>
      <c r="AE127" s="59">
        <f>IF($K127="",Z127,0)+IF($K127="n",Z127,0)</f>
        <v>0</v>
      </c>
      <c r="AF127" s="60">
        <f>IF($K127="y",AC127,0)</f>
        <v>550360</v>
      </c>
      <c r="AG127" s="60">
        <f>IF($K127="",AC127,0)+IF($K127="n",AC127,0)</f>
        <v>0</v>
      </c>
      <c r="AH127" s="7">
        <v>358000</v>
      </c>
      <c r="AI127" s="7">
        <v>382000</v>
      </c>
      <c r="AJ127" s="3"/>
      <c r="AK127" s="3"/>
      <c r="AL127" s="8"/>
      <c r="AM127" s="8"/>
    </row>
    <row r="128" spans="1:39" x14ac:dyDescent="0.2">
      <c r="A128" s="1" t="s">
        <v>1412</v>
      </c>
      <c r="B128" s="1"/>
      <c r="C128" s="1">
        <v>9605</v>
      </c>
      <c r="D128" s="3" t="s">
        <v>207</v>
      </c>
      <c r="E128" s="3" t="s">
        <v>208</v>
      </c>
      <c r="F128" s="3" t="s">
        <v>1422</v>
      </c>
      <c r="G128" s="3" t="s">
        <v>1412</v>
      </c>
      <c r="H128" s="3">
        <v>1991</v>
      </c>
      <c r="I128" s="3"/>
      <c r="J128" s="3" t="s">
        <v>1512</v>
      </c>
      <c r="K128" s="4" t="s">
        <v>1412</v>
      </c>
      <c r="L128" s="5" t="s">
        <v>209</v>
      </c>
      <c r="M128" s="6">
        <v>26</v>
      </c>
      <c r="N128" s="57">
        <v>0.76500000000000001</v>
      </c>
      <c r="O128" s="57">
        <v>0.76500000000000001</v>
      </c>
      <c r="P128" s="57">
        <v>0.77200000000000002</v>
      </c>
      <c r="Q128" s="57">
        <v>0.38800000000000001</v>
      </c>
      <c r="R128" s="7"/>
      <c r="S128" s="7">
        <v>390986</v>
      </c>
      <c r="T128" s="7">
        <f>IF(J128="regional",IF(R128&gt;0,R128*0.2975,S128*0.3484),S128*0.1939)</f>
        <v>75812.185400000002</v>
      </c>
      <c r="U128" s="7">
        <v>306158</v>
      </c>
      <c r="V128" s="7">
        <f t="shared" si="77"/>
        <v>84828</v>
      </c>
      <c r="W128" s="7">
        <v>2000</v>
      </c>
      <c r="X128" s="58">
        <f>Y128+Z128</f>
        <v>0</v>
      </c>
      <c r="Y128" s="25">
        <f>IF(B128="y",T128,0)</f>
        <v>0</v>
      </c>
      <c r="Z128" s="8"/>
      <c r="AA128" s="7">
        <f>AB128+AC128</f>
        <v>466798.18540000002</v>
      </c>
      <c r="AB128" s="7">
        <f>IF(B128="y",0,T128)</f>
        <v>75812.185400000002</v>
      </c>
      <c r="AC128" s="7">
        <f>S128-Z128</f>
        <v>390986</v>
      </c>
      <c r="AD128" s="59">
        <f>IF(K128="y",Z128,0)</f>
        <v>0</v>
      </c>
      <c r="AE128" s="59">
        <f>IF($K128="",Z128,0)+IF($K128="n",Z128,0)</f>
        <v>0</v>
      </c>
      <c r="AF128" s="60">
        <f>IF($K128="y",AC128,0)</f>
        <v>390986</v>
      </c>
      <c r="AG128" s="60">
        <f>IF($K128="",AC128,0)+IF($K128="n",AC128,0)</f>
        <v>0</v>
      </c>
      <c r="AH128" s="7">
        <v>100000</v>
      </c>
      <c r="AI128" s="7">
        <v>123000</v>
      </c>
      <c r="AJ128" s="11" t="s">
        <v>1419</v>
      </c>
      <c r="AK128" s="61">
        <v>33206</v>
      </c>
      <c r="AL128" s="8"/>
      <c r="AM128" s="8"/>
    </row>
    <row r="129" spans="1:39" x14ac:dyDescent="0.2">
      <c r="A129" s="1" t="s">
        <v>1412</v>
      </c>
      <c r="B129" s="1" t="s">
        <v>1412</v>
      </c>
      <c r="C129" s="1">
        <v>2631</v>
      </c>
      <c r="D129" s="65" t="s">
        <v>210</v>
      </c>
      <c r="E129" s="63" t="s">
        <v>18</v>
      </c>
      <c r="F129" s="3"/>
      <c r="G129" s="3" t="s">
        <v>1417</v>
      </c>
      <c r="H129" s="3">
        <v>1992</v>
      </c>
      <c r="I129" s="3"/>
      <c r="J129" s="3" t="s">
        <v>1416</v>
      </c>
      <c r="K129" s="4" t="s">
        <v>1412</v>
      </c>
      <c r="L129" s="56" t="s">
        <v>211</v>
      </c>
      <c r="M129" s="6">
        <v>333</v>
      </c>
      <c r="N129" s="57">
        <v>0.94799999999999995</v>
      </c>
      <c r="O129" s="57">
        <v>0.94899999999999995</v>
      </c>
      <c r="P129" s="57">
        <v>0.92</v>
      </c>
      <c r="Q129" s="57">
        <v>0.86799999999999999</v>
      </c>
      <c r="R129" s="7"/>
      <c r="S129" s="7">
        <v>2574525</v>
      </c>
      <c r="T129" s="7">
        <f>IF(R129="",S129*0.3484,R129*0.2975)</f>
        <v>896964.51</v>
      </c>
      <c r="U129" s="7">
        <v>884036</v>
      </c>
      <c r="V129" s="7">
        <f t="shared" si="77"/>
        <v>1690489</v>
      </c>
      <c r="W129" s="7">
        <v>12500</v>
      </c>
      <c r="X129" s="25">
        <v>2215000</v>
      </c>
      <c r="Y129" s="25"/>
      <c r="Z129" s="25"/>
      <c r="AA129" s="7">
        <f>IF(A129="y",((S129-U129)+T129),"")</f>
        <v>2587453.5099999998</v>
      </c>
      <c r="AB129" s="7"/>
      <c r="AC129" s="7"/>
      <c r="AD129" s="59">
        <f>IF(K129="y",X129,0)</f>
        <v>2215000</v>
      </c>
      <c r="AE129" s="59">
        <f>IF($K129="",X129,0)</f>
        <v>0</v>
      </c>
      <c r="AF129" s="60">
        <f>IF($K129="y",AA129,0)</f>
        <v>2587453.5099999998</v>
      </c>
      <c r="AG129" s="60">
        <f>IF($K129="",AA129,0)</f>
        <v>0</v>
      </c>
      <c r="AK129" s="61"/>
      <c r="AL129" s="8"/>
      <c r="AM129" s="8"/>
    </row>
    <row r="130" spans="1:39" x14ac:dyDescent="0.2">
      <c r="A130" s="1" t="s">
        <v>10</v>
      </c>
      <c r="B130" s="1" t="s">
        <v>1412</v>
      </c>
      <c r="C130" s="1">
        <v>3878</v>
      </c>
      <c r="D130" s="65" t="s">
        <v>212</v>
      </c>
      <c r="E130" s="63" t="s">
        <v>213</v>
      </c>
      <c r="F130" s="3"/>
      <c r="G130" s="3" t="s">
        <v>1417</v>
      </c>
      <c r="H130" s="3">
        <v>1989</v>
      </c>
      <c r="I130" s="3"/>
      <c r="J130" s="3" t="s">
        <v>1416</v>
      </c>
      <c r="K130" s="4" t="s">
        <v>1412</v>
      </c>
      <c r="L130" s="56" t="s">
        <v>160</v>
      </c>
      <c r="M130" s="6">
        <v>117</v>
      </c>
      <c r="N130" s="57">
        <v>0.81499999999999995</v>
      </c>
      <c r="O130" s="57">
        <v>0.81499999999999995</v>
      </c>
      <c r="P130" s="57">
        <v>0.80200000000000005</v>
      </c>
      <c r="Q130" s="57">
        <v>0.78700000000000003</v>
      </c>
      <c r="R130" s="7">
        <v>664223</v>
      </c>
      <c r="S130" s="7">
        <v>494960</v>
      </c>
      <c r="T130" s="7">
        <f t="shared" ref="T130:T141" si="78">IF(J130="regional",IF(R130&gt;0,R130*0.2975,S130*0.3484),S130*0.1939)</f>
        <v>197606.3425</v>
      </c>
      <c r="U130" s="7">
        <v>309087</v>
      </c>
      <c r="V130" s="7">
        <f t="shared" si="77"/>
        <v>185873</v>
      </c>
      <c r="W130" s="7"/>
      <c r="X130" s="58">
        <f t="shared" ref="X130:X141" si="79">Y130+Z130</f>
        <v>1266798.3425</v>
      </c>
      <c r="Y130" s="25">
        <f t="shared" ref="Y130:Y141" si="80">IF(B130="y",T130,0)</f>
        <v>197606.3425</v>
      </c>
      <c r="Z130" s="25">
        <v>1069192</v>
      </c>
      <c r="AA130" s="7">
        <f t="shared" ref="AA130:AA141" si="81">AB130+AC130</f>
        <v>-574232</v>
      </c>
      <c r="AB130" s="7">
        <f t="shared" ref="AB130:AB141" si="82">IF(B130="y",0,T130)</f>
        <v>0</v>
      </c>
      <c r="AC130" s="7">
        <f t="shared" ref="AC130:AC141" si="83">S130-Z130</f>
        <v>-574232</v>
      </c>
      <c r="AD130" s="59">
        <f t="shared" ref="AD130:AD141" si="84">IF(K130="y",Z130,0)</f>
        <v>1069192</v>
      </c>
      <c r="AE130" s="59">
        <f t="shared" ref="AE130:AE141" si="85">IF($K130="",Z130,0)+IF($K130="n",Z130,0)</f>
        <v>0</v>
      </c>
      <c r="AF130" s="60">
        <f t="shared" ref="AF130:AF141" si="86">IF($K130="y",AC130,0)</f>
        <v>-574232</v>
      </c>
      <c r="AG130" s="60">
        <f t="shared" ref="AG130:AG141" si="87">IF($K130="",AC130,0)+IF($K130="n",AC130,0)</f>
        <v>0</v>
      </c>
      <c r="AH130" s="7">
        <v>1308000</v>
      </c>
      <c r="AI130" s="7">
        <v>1262000</v>
      </c>
      <c r="AJ130" s="65"/>
      <c r="AK130" s="65"/>
      <c r="AL130" s="8"/>
      <c r="AM130" s="8"/>
    </row>
    <row r="131" spans="1:39" x14ac:dyDescent="0.2">
      <c r="A131" s="1" t="s">
        <v>1412</v>
      </c>
      <c r="B131" s="1"/>
      <c r="C131" s="1">
        <v>2530</v>
      </c>
      <c r="D131" s="3" t="s">
        <v>214</v>
      </c>
      <c r="E131" s="3" t="s">
        <v>38</v>
      </c>
      <c r="F131" s="3" t="s">
        <v>39</v>
      </c>
      <c r="G131" s="3" t="s">
        <v>1412</v>
      </c>
      <c r="H131" s="3">
        <v>1970</v>
      </c>
      <c r="I131" s="3"/>
      <c r="J131" s="3" t="s">
        <v>1512</v>
      </c>
      <c r="K131" s="4"/>
      <c r="L131" s="5" t="s">
        <v>40</v>
      </c>
      <c r="M131" s="6">
        <v>12</v>
      </c>
      <c r="N131" s="57">
        <v>0.94099999999999995</v>
      </c>
      <c r="O131" s="57">
        <v>0.94099999999999995</v>
      </c>
      <c r="P131" s="57">
        <v>0.94099999999999995</v>
      </c>
      <c r="Q131" s="57">
        <v>0.80800000000000005</v>
      </c>
      <c r="R131" s="7"/>
      <c r="S131" s="7">
        <v>123789</v>
      </c>
      <c r="T131" s="7">
        <f t="shared" si="78"/>
        <v>24002.687099999999</v>
      </c>
      <c r="U131" s="7">
        <v>112714</v>
      </c>
      <c r="V131" s="7">
        <f t="shared" si="77"/>
        <v>11075</v>
      </c>
      <c r="W131" s="7">
        <v>751</v>
      </c>
      <c r="X131" s="58">
        <f t="shared" si="79"/>
        <v>0</v>
      </c>
      <c r="Y131" s="25">
        <f t="shared" si="80"/>
        <v>0</v>
      </c>
      <c r="Z131" s="8"/>
      <c r="AA131" s="7">
        <f t="shared" si="81"/>
        <v>147791.68710000001</v>
      </c>
      <c r="AB131" s="7">
        <f t="shared" si="82"/>
        <v>24002.687099999999</v>
      </c>
      <c r="AC131" s="7">
        <f t="shared" si="83"/>
        <v>123789</v>
      </c>
      <c r="AD131" s="59">
        <f t="shared" si="84"/>
        <v>0</v>
      </c>
      <c r="AE131" s="59">
        <f t="shared" si="85"/>
        <v>0</v>
      </c>
      <c r="AF131" s="60">
        <f t="shared" si="86"/>
        <v>0</v>
      </c>
      <c r="AG131" s="60">
        <f t="shared" si="87"/>
        <v>123789</v>
      </c>
      <c r="AH131" s="7">
        <v>0</v>
      </c>
      <c r="AI131" s="7">
        <v>0</v>
      </c>
      <c r="AJ131" s="3"/>
      <c r="AK131" s="3"/>
      <c r="AL131" s="8"/>
      <c r="AM131" s="8"/>
    </row>
    <row r="132" spans="1:39" x14ac:dyDescent="0.2">
      <c r="A132" s="1" t="s">
        <v>1412</v>
      </c>
      <c r="B132" s="1" t="s">
        <v>1412</v>
      </c>
      <c r="C132" s="1">
        <v>1506</v>
      </c>
      <c r="D132" s="3" t="s">
        <v>215</v>
      </c>
      <c r="E132" s="3" t="s">
        <v>216</v>
      </c>
      <c r="F132" s="3" t="s">
        <v>1415</v>
      </c>
      <c r="G132" s="3" t="s">
        <v>1412</v>
      </c>
      <c r="H132" s="3">
        <v>1968</v>
      </c>
      <c r="I132" s="3"/>
      <c r="J132" s="3" t="s">
        <v>1416</v>
      </c>
      <c r="K132" s="4" t="s">
        <v>1417</v>
      </c>
      <c r="L132" s="56" t="s">
        <v>19</v>
      </c>
      <c r="M132" s="6">
        <v>50</v>
      </c>
      <c r="N132" s="57">
        <v>0.77900000000000003</v>
      </c>
      <c r="O132" s="57">
        <v>0.77900000000000003</v>
      </c>
      <c r="P132" s="57">
        <v>0.86</v>
      </c>
      <c r="Q132" s="57">
        <v>0.88200000000000001</v>
      </c>
      <c r="R132" s="7">
        <v>442056</v>
      </c>
      <c r="S132" s="7">
        <v>385257</v>
      </c>
      <c r="T132" s="7">
        <f t="shared" si="78"/>
        <v>131511.66</v>
      </c>
      <c r="U132" s="7">
        <v>252444</v>
      </c>
      <c r="V132" s="7">
        <f t="shared" si="77"/>
        <v>132813</v>
      </c>
      <c r="W132" s="7">
        <v>1926</v>
      </c>
      <c r="X132" s="58">
        <f t="shared" si="79"/>
        <v>559634.66</v>
      </c>
      <c r="Y132" s="25">
        <f t="shared" si="80"/>
        <v>131511.66</v>
      </c>
      <c r="Z132" s="25">
        <v>428123</v>
      </c>
      <c r="AA132" s="7">
        <f t="shared" si="81"/>
        <v>-42866</v>
      </c>
      <c r="AB132" s="7">
        <f t="shared" si="82"/>
        <v>0</v>
      </c>
      <c r="AC132" s="7">
        <f t="shared" si="83"/>
        <v>-42866</v>
      </c>
      <c r="AD132" s="59">
        <f t="shared" si="84"/>
        <v>0</v>
      </c>
      <c r="AE132" s="59">
        <f t="shared" si="85"/>
        <v>428123</v>
      </c>
      <c r="AF132" s="60">
        <f t="shared" si="86"/>
        <v>0</v>
      </c>
      <c r="AG132" s="60">
        <f t="shared" si="87"/>
        <v>-42866</v>
      </c>
      <c r="AH132" s="7">
        <v>0</v>
      </c>
      <c r="AI132" s="7">
        <v>0</v>
      </c>
      <c r="AJ132" s="11" t="s">
        <v>1520</v>
      </c>
      <c r="AK132" s="61">
        <v>73853</v>
      </c>
      <c r="AL132" s="8"/>
      <c r="AM132" s="8"/>
    </row>
    <row r="133" spans="1:39" x14ac:dyDescent="0.2">
      <c r="A133" s="1" t="s">
        <v>1412</v>
      </c>
      <c r="B133" s="1"/>
      <c r="C133" s="1">
        <v>2531</v>
      </c>
      <c r="D133" s="3" t="s">
        <v>217</v>
      </c>
      <c r="E133" s="3" t="s">
        <v>216</v>
      </c>
      <c r="F133" s="3" t="s">
        <v>1564</v>
      </c>
      <c r="G133" s="3" t="s">
        <v>1412</v>
      </c>
      <c r="H133" s="3">
        <v>1974</v>
      </c>
      <c r="I133" s="3"/>
      <c r="J133" s="3" t="s">
        <v>1512</v>
      </c>
      <c r="K133" s="4"/>
      <c r="L133" s="56" t="s">
        <v>19</v>
      </c>
      <c r="M133" s="6">
        <v>9</v>
      </c>
      <c r="N133" s="57">
        <v>1</v>
      </c>
      <c r="O133" s="57">
        <v>1</v>
      </c>
      <c r="P133" s="57">
        <v>1</v>
      </c>
      <c r="Q133" s="57">
        <v>1</v>
      </c>
      <c r="R133" s="7"/>
      <c r="S133" s="7">
        <v>99029</v>
      </c>
      <c r="T133" s="7">
        <f t="shared" si="78"/>
        <v>19201.723099999999</v>
      </c>
      <c r="U133" s="7">
        <v>72104</v>
      </c>
      <c r="V133" s="7">
        <f t="shared" si="77"/>
        <v>26925</v>
      </c>
      <c r="W133" s="7">
        <v>600</v>
      </c>
      <c r="X133" s="58">
        <f t="shared" si="79"/>
        <v>0</v>
      </c>
      <c r="Y133" s="25">
        <f t="shared" si="80"/>
        <v>0</v>
      </c>
      <c r="Z133" s="25"/>
      <c r="AA133" s="7">
        <f t="shared" si="81"/>
        <v>118230.7231</v>
      </c>
      <c r="AB133" s="7">
        <f t="shared" si="82"/>
        <v>19201.723099999999</v>
      </c>
      <c r="AC133" s="7">
        <f t="shared" si="83"/>
        <v>99029</v>
      </c>
      <c r="AD133" s="59">
        <f t="shared" si="84"/>
        <v>0</v>
      </c>
      <c r="AE133" s="59">
        <f t="shared" si="85"/>
        <v>0</v>
      </c>
      <c r="AF133" s="60">
        <f t="shared" si="86"/>
        <v>0</v>
      </c>
      <c r="AG133" s="60">
        <f t="shared" si="87"/>
        <v>99029</v>
      </c>
      <c r="AH133" s="7">
        <v>0</v>
      </c>
      <c r="AI133" s="7">
        <v>0</v>
      </c>
      <c r="AJ133" s="11" t="s">
        <v>1520</v>
      </c>
      <c r="AK133" s="61">
        <v>17869.96</v>
      </c>
      <c r="AL133" s="8"/>
      <c r="AM133" s="8"/>
    </row>
    <row r="134" spans="1:39" x14ac:dyDescent="0.2">
      <c r="A134" s="1" t="s">
        <v>1412</v>
      </c>
      <c r="B134" s="1"/>
      <c r="C134" s="1">
        <v>2544</v>
      </c>
      <c r="D134" s="3" t="s">
        <v>218</v>
      </c>
      <c r="E134" s="3" t="s">
        <v>233</v>
      </c>
      <c r="F134" s="3" t="s">
        <v>1604</v>
      </c>
      <c r="G134" s="3" t="s">
        <v>1412</v>
      </c>
      <c r="H134" s="3">
        <v>1967</v>
      </c>
      <c r="I134" s="3"/>
      <c r="J134" s="3" t="s">
        <v>1512</v>
      </c>
      <c r="K134" s="4"/>
      <c r="L134" s="56" t="s">
        <v>188</v>
      </c>
      <c r="M134" s="6">
        <v>3</v>
      </c>
      <c r="N134" s="57">
        <v>0.97099999999999997</v>
      </c>
      <c r="O134" s="57">
        <v>0.97099999999999997</v>
      </c>
      <c r="P134" s="57">
        <v>0.97099999999999997</v>
      </c>
      <c r="Q134" s="57">
        <v>0.97099999999999997</v>
      </c>
      <c r="R134" s="7"/>
      <c r="S134" s="7">
        <v>94759</v>
      </c>
      <c r="T134" s="7">
        <f t="shared" si="78"/>
        <v>18373.770099999998</v>
      </c>
      <c r="U134" s="7">
        <v>88470</v>
      </c>
      <c r="V134" s="7">
        <f t="shared" si="77"/>
        <v>6289</v>
      </c>
      <c r="W134" s="7">
        <v>584</v>
      </c>
      <c r="X134" s="58">
        <f t="shared" si="79"/>
        <v>0</v>
      </c>
      <c r="Y134" s="25">
        <f t="shared" si="80"/>
        <v>0</v>
      </c>
      <c r="Z134" s="25"/>
      <c r="AA134" s="7">
        <f t="shared" si="81"/>
        <v>113132.77009999999</v>
      </c>
      <c r="AB134" s="7">
        <f t="shared" si="82"/>
        <v>18373.770099999998</v>
      </c>
      <c r="AC134" s="7">
        <f t="shared" si="83"/>
        <v>94759</v>
      </c>
      <c r="AD134" s="59">
        <f t="shared" si="84"/>
        <v>0</v>
      </c>
      <c r="AE134" s="59">
        <f t="shared" si="85"/>
        <v>0</v>
      </c>
      <c r="AF134" s="60">
        <f t="shared" si="86"/>
        <v>0</v>
      </c>
      <c r="AG134" s="60">
        <f t="shared" si="87"/>
        <v>94759</v>
      </c>
      <c r="AH134" s="7">
        <v>0</v>
      </c>
      <c r="AI134" s="7">
        <v>0</v>
      </c>
      <c r="AJ134" s="3"/>
      <c r="AK134" s="3"/>
      <c r="AL134" s="8"/>
      <c r="AM134" s="8"/>
    </row>
    <row r="135" spans="1:39" x14ac:dyDescent="0.2">
      <c r="A135" s="1" t="s">
        <v>1412</v>
      </c>
      <c r="B135" s="1"/>
      <c r="C135" s="1">
        <v>1583</v>
      </c>
      <c r="D135" s="3" t="s">
        <v>234</v>
      </c>
      <c r="E135" s="3" t="s">
        <v>1563</v>
      </c>
      <c r="F135" s="3" t="s">
        <v>1564</v>
      </c>
      <c r="G135" s="3" t="s">
        <v>1412</v>
      </c>
      <c r="H135" s="3">
        <v>1962</v>
      </c>
      <c r="I135" s="3"/>
      <c r="J135" s="3" t="s">
        <v>1512</v>
      </c>
      <c r="K135" s="4"/>
      <c r="L135" s="56" t="s">
        <v>1565</v>
      </c>
      <c r="M135" s="6">
        <v>11</v>
      </c>
      <c r="N135" s="57">
        <v>0.876</v>
      </c>
      <c r="O135" s="57">
        <v>0.876</v>
      </c>
      <c r="P135" s="57">
        <v>0.876</v>
      </c>
      <c r="Q135" s="57">
        <v>1</v>
      </c>
      <c r="R135" s="7"/>
      <c r="S135" s="7">
        <v>102451</v>
      </c>
      <c r="T135" s="7">
        <f t="shared" si="78"/>
        <v>19865.248899999999</v>
      </c>
      <c r="U135" s="7">
        <v>45427</v>
      </c>
      <c r="V135" s="7">
        <f t="shared" si="77"/>
        <v>57024</v>
      </c>
      <c r="W135" s="7">
        <v>590</v>
      </c>
      <c r="X135" s="58">
        <f t="shared" si="79"/>
        <v>0</v>
      </c>
      <c r="Y135" s="25">
        <f t="shared" si="80"/>
        <v>0</v>
      </c>
      <c r="Z135" s="25"/>
      <c r="AA135" s="7">
        <f t="shared" si="81"/>
        <v>122316.24890000001</v>
      </c>
      <c r="AB135" s="7">
        <f t="shared" si="82"/>
        <v>19865.248899999999</v>
      </c>
      <c r="AC135" s="7">
        <f t="shared" si="83"/>
        <v>102451</v>
      </c>
      <c r="AD135" s="59">
        <f t="shared" si="84"/>
        <v>0</v>
      </c>
      <c r="AE135" s="59">
        <f t="shared" si="85"/>
        <v>0</v>
      </c>
      <c r="AF135" s="60">
        <f t="shared" si="86"/>
        <v>0</v>
      </c>
      <c r="AG135" s="60">
        <f t="shared" si="87"/>
        <v>102451</v>
      </c>
      <c r="AH135" s="7">
        <v>0</v>
      </c>
      <c r="AI135" s="7">
        <v>0</v>
      </c>
      <c r="AJ135" s="3"/>
      <c r="AK135" s="3"/>
      <c r="AL135" s="8"/>
      <c r="AM135" s="8"/>
    </row>
    <row r="136" spans="1:39" x14ac:dyDescent="0.2">
      <c r="A136" s="1" t="s">
        <v>1412</v>
      </c>
      <c r="B136" s="1"/>
      <c r="C136" s="1">
        <v>2614</v>
      </c>
      <c r="D136" s="3" t="s">
        <v>235</v>
      </c>
      <c r="E136" s="3" t="s">
        <v>236</v>
      </c>
      <c r="F136" s="3" t="s">
        <v>1415</v>
      </c>
      <c r="G136" s="3" t="s">
        <v>1412</v>
      </c>
      <c r="H136" s="3">
        <v>1988</v>
      </c>
      <c r="I136" s="3"/>
      <c r="J136" s="3" t="s">
        <v>1512</v>
      </c>
      <c r="K136" s="4"/>
      <c r="L136" s="56" t="s">
        <v>1545</v>
      </c>
      <c r="M136" s="6">
        <v>14</v>
      </c>
      <c r="N136" s="57">
        <v>0.88600000000000001</v>
      </c>
      <c r="O136" s="57">
        <v>0.86</v>
      </c>
      <c r="P136" s="57">
        <v>0.86</v>
      </c>
      <c r="Q136" s="57">
        <v>0.86399999999999999</v>
      </c>
      <c r="R136" s="7"/>
      <c r="S136" s="7">
        <v>267455</v>
      </c>
      <c r="T136" s="7">
        <f t="shared" si="78"/>
        <v>51859.5245</v>
      </c>
      <c r="U136" s="7">
        <v>230855</v>
      </c>
      <c r="V136" s="7">
        <f t="shared" si="77"/>
        <v>36600</v>
      </c>
      <c r="W136" s="7">
        <v>1232</v>
      </c>
      <c r="X136" s="58">
        <f t="shared" si="79"/>
        <v>0</v>
      </c>
      <c r="Y136" s="25">
        <f t="shared" si="80"/>
        <v>0</v>
      </c>
      <c r="Z136" s="25"/>
      <c r="AA136" s="7">
        <f t="shared" si="81"/>
        <v>319314.5245</v>
      </c>
      <c r="AB136" s="7">
        <f t="shared" si="82"/>
        <v>51859.5245</v>
      </c>
      <c r="AC136" s="7">
        <f t="shared" si="83"/>
        <v>267455</v>
      </c>
      <c r="AD136" s="59">
        <f t="shared" si="84"/>
        <v>0</v>
      </c>
      <c r="AE136" s="59">
        <f t="shared" si="85"/>
        <v>0</v>
      </c>
      <c r="AF136" s="60">
        <f t="shared" si="86"/>
        <v>0</v>
      </c>
      <c r="AG136" s="60">
        <f t="shared" si="87"/>
        <v>267455</v>
      </c>
      <c r="AH136" s="7">
        <v>0</v>
      </c>
      <c r="AI136" s="7">
        <v>0</v>
      </c>
      <c r="AJ136" s="3"/>
      <c r="AK136" s="3"/>
      <c r="AL136" s="8"/>
      <c r="AM136" s="8"/>
    </row>
    <row r="137" spans="1:39" x14ac:dyDescent="0.2">
      <c r="A137" s="1" t="s">
        <v>1412</v>
      </c>
      <c r="B137" s="1" t="s">
        <v>1412</v>
      </c>
      <c r="C137" s="1">
        <v>2547</v>
      </c>
      <c r="D137" s="62" t="s">
        <v>237</v>
      </c>
      <c r="E137" s="3" t="s">
        <v>238</v>
      </c>
      <c r="F137" s="3" t="s">
        <v>239</v>
      </c>
      <c r="G137" s="3" t="s">
        <v>1412</v>
      </c>
      <c r="H137" s="3">
        <v>1973</v>
      </c>
      <c r="I137" s="3"/>
      <c r="J137" s="3" t="s">
        <v>1416</v>
      </c>
      <c r="K137" s="4" t="s">
        <v>1417</v>
      </c>
      <c r="L137" s="56" t="s">
        <v>240</v>
      </c>
      <c r="M137" s="6">
        <v>83</v>
      </c>
      <c r="N137" s="57">
        <v>0.86399999999999999</v>
      </c>
      <c r="O137" s="57">
        <v>0.96399999999999997</v>
      </c>
      <c r="P137" s="57">
        <v>0.95099999999999996</v>
      </c>
      <c r="Q137" s="57">
        <v>0.95399999999999996</v>
      </c>
      <c r="R137" s="7">
        <v>862393</v>
      </c>
      <c r="S137" s="7">
        <v>761685</v>
      </c>
      <c r="T137" s="7">
        <f t="shared" si="78"/>
        <v>256561.91749999998</v>
      </c>
      <c r="U137" s="7">
        <v>554156</v>
      </c>
      <c r="V137" s="7">
        <f t="shared" si="77"/>
        <v>207529</v>
      </c>
      <c r="W137" s="7">
        <v>3815</v>
      </c>
      <c r="X137" s="58">
        <f t="shared" si="79"/>
        <v>532908.91749999998</v>
      </c>
      <c r="Y137" s="25">
        <f t="shared" si="80"/>
        <v>256561.91749999998</v>
      </c>
      <c r="Z137" s="25">
        <v>276347</v>
      </c>
      <c r="AA137" s="7">
        <f t="shared" si="81"/>
        <v>485338</v>
      </c>
      <c r="AB137" s="7">
        <f t="shared" si="82"/>
        <v>0</v>
      </c>
      <c r="AC137" s="7">
        <f t="shared" si="83"/>
        <v>485338</v>
      </c>
      <c r="AD137" s="59">
        <f t="shared" si="84"/>
        <v>0</v>
      </c>
      <c r="AE137" s="59">
        <f t="shared" si="85"/>
        <v>276347</v>
      </c>
      <c r="AF137" s="60">
        <f t="shared" si="86"/>
        <v>0</v>
      </c>
      <c r="AG137" s="60">
        <f t="shared" si="87"/>
        <v>485338</v>
      </c>
      <c r="AH137" s="7">
        <v>0</v>
      </c>
      <c r="AI137" s="7">
        <v>0</v>
      </c>
      <c r="AJ137" s="11" t="s">
        <v>1419</v>
      </c>
      <c r="AK137" s="61">
        <v>470038</v>
      </c>
      <c r="AL137" s="8"/>
      <c r="AM137" s="8"/>
    </row>
    <row r="138" spans="1:39" x14ac:dyDescent="0.2">
      <c r="A138" s="1" t="s">
        <v>1412</v>
      </c>
      <c r="B138" s="1"/>
      <c r="C138" s="1">
        <v>9133</v>
      </c>
      <c r="D138" s="3" t="s">
        <v>241</v>
      </c>
      <c r="E138" s="3" t="s">
        <v>242</v>
      </c>
      <c r="F138" s="3" t="s">
        <v>1525</v>
      </c>
      <c r="G138" s="3" t="s">
        <v>1412</v>
      </c>
      <c r="H138" s="3">
        <v>1982</v>
      </c>
      <c r="I138" s="3"/>
      <c r="J138" s="3" t="s">
        <v>1416</v>
      </c>
      <c r="K138" s="4"/>
      <c r="L138" s="5" t="s">
        <v>1552</v>
      </c>
      <c r="M138" s="6">
        <v>141</v>
      </c>
      <c r="N138" s="57">
        <v>0.85099999999999998</v>
      </c>
      <c r="O138" s="57">
        <v>0.85599999999999998</v>
      </c>
      <c r="P138" s="57">
        <v>0.80600000000000005</v>
      </c>
      <c r="Q138" s="57">
        <v>0.81499999999999995</v>
      </c>
      <c r="R138" s="7">
        <v>771233</v>
      </c>
      <c r="S138" s="7">
        <v>740219</v>
      </c>
      <c r="T138" s="7">
        <f t="shared" si="78"/>
        <v>229441.81749999998</v>
      </c>
      <c r="U138" s="7">
        <v>472605</v>
      </c>
      <c r="V138" s="7">
        <f t="shared" si="77"/>
        <v>267614</v>
      </c>
      <c r="W138" s="7">
        <v>3892</v>
      </c>
      <c r="X138" s="58">
        <f t="shared" si="79"/>
        <v>0</v>
      </c>
      <c r="Y138" s="25">
        <f t="shared" si="80"/>
        <v>0</v>
      </c>
      <c r="Z138" s="8"/>
      <c r="AA138" s="7">
        <f t="shared" si="81"/>
        <v>969660.8175</v>
      </c>
      <c r="AB138" s="7">
        <f t="shared" si="82"/>
        <v>229441.81749999998</v>
      </c>
      <c r="AC138" s="7">
        <f t="shared" si="83"/>
        <v>740219</v>
      </c>
      <c r="AD138" s="59">
        <f t="shared" si="84"/>
        <v>0</v>
      </c>
      <c r="AE138" s="59">
        <f t="shared" si="85"/>
        <v>0</v>
      </c>
      <c r="AF138" s="60">
        <f t="shared" si="86"/>
        <v>0</v>
      </c>
      <c r="AG138" s="60">
        <f t="shared" si="87"/>
        <v>740219</v>
      </c>
      <c r="AH138" s="7">
        <v>0</v>
      </c>
      <c r="AI138" s="7">
        <v>0</v>
      </c>
      <c r="AJ138" s="11" t="s">
        <v>1419</v>
      </c>
      <c r="AK138" s="61">
        <v>729997</v>
      </c>
      <c r="AL138" s="8"/>
      <c r="AM138" s="8"/>
    </row>
    <row r="139" spans="1:39" x14ac:dyDescent="0.2">
      <c r="A139" s="1" t="s">
        <v>1412</v>
      </c>
      <c r="B139" s="1"/>
      <c r="C139" s="1">
        <v>1509</v>
      </c>
      <c r="D139" s="3" t="s">
        <v>243</v>
      </c>
      <c r="E139" s="3" t="s">
        <v>244</v>
      </c>
      <c r="F139" s="3" t="s">
        <v>1535</v>
      </c>
      <c r="G139" s="3" t="s">
        <v>1412</v>
      </c>
      <c r="H139" s="3">
        <v>1969</v>
      </c>
      <c r="I139" s="3"/>
      <c r="J139" s="3" t="s">
        <v>1416</v>
      </c>
      <c r="K139" s="4" t="s">
        <v>1417</v>
      </c>
      <c r="L139" s="5" t="s">
        <v>81</v>
      </c>
      <c r="M139" s="6">
        <v>43</v>
      </c>
      <c r="N139" s="57">
        <v>0.999</v>
      </c>
      <c r="O139" s="57">
        <v>1</v>
      </c>
      <c r="P139" s="57">
        <v>1</v>
      </c>
      <c r="Q139" s="57">
        <v>0.89700000000000002</v>
      </c>
      <c r="R139" s="7">
        <v>458455</v>
      </c>
      <c r="S139" s="7">
        <v>422618</v>
      </c>
      <c r="T139" s="7">
        <f t="shared" si="78"/>
        <v>136390.36249999999</v>
      </c>
      <c r="U139" s="7">
        <v>307884</v>
      </c>
      <c r="V139" s="7">
        <f t="shared" si="77"/>
        <v>114734</v>
      </c>
      <c r="W139" s="7">
        <v>1868</v>
      </c>
      <c r="X139" s="58">
        <f t="shared" si="79"/>
        <v>0</v>
      </c>
      <c r="Y139" s="25">
        <f t="shared" si="80"/>
        <v>0</v>
      </c>
      <c r="Z139" s="8"/>
      <c r="AA139" s="7">
        <f t="shared" si="81"/>
        <v>559008.36250000005</v>
      </c>
      <c r="AB139" s="7">
        <f t="shared" si="82"/>
        <v>136390.36249999999</v>
      </c>
      <c r="AC139" s="7">
        <f t="shared" si="83"/>
        <v>422618</v>
      </c>
      <c r="AD139" s="59">
        <f t="shared" si="84"/>
        <v>0</v>
      </c>
      <c r="AE139" s="59">
        <f t="shared" si="85"/>
        <v>0</v>
      </c>
      <c r="AF139" s="60">
        <f t="shared" si="86"/>
        <v>0</v>
      </c>
      <c r="AG139" s="60">
        <f t="shared" si="87"/>
        <v>422618</v>
      </c>
      <c r="AH139" s="7">
        <v>0</v>
      </c>
      <c r="AI139" s="7">
        <v>0</v>
      </c>
      <c r="AJ139" s="11" t="s">
        <v>1580</v>
      </c>
      <c r="AK139" s="61">
        <v>65723.94</v>
      </c>
      <c r="AL139" s="8"/>
      <c r="AM139" s="8"/>
    </row>
    <row r="140" spans="1:39" x14ac:dyDescent="0.2">
      <c r="A140" s="1" t="s">
        <v>1412</v>
      </c>
      <c r="B140" s="1"/>
      <c r="C140" s="1">
        <v>3724</v>
      </c>
      <c r="D140" s="3" t="s">
        <v>245</v>
      </c>
      <c r="E140" s="3" t="s">
        <v>244</v>
      </c>
      <c r="F140" s="3" t="s">
        <v>1535</v>
      </c>
      <c r="G140" s="3" t="s">
        <v>1412</v>
      </c>
      <c r="H140" s="3">
        <v>1966</v>
      </c>
      <c r="I140" s="3"/>
      <c r="J140" s="3" t="s">
        <v>1512</v>
      </c>
      <c r="K140" s="4"/>
      <c r="L140" s="5" t="s">
        <v>81</v>
      </c>
      <c r="M140" s="6">
        <v>2</v>
      </c>
      <c r="N140" s="57">
        <v>0.48199999999999998</v>
      </c>
      <c r="O140" s="57">
        <v>0.49199999999999999</v>
      </c>
      <c r="P140" s="57">
        <v>0.49199999999999999</v>
      </c>
      <c r="Q140" s="57">
        <v>0.24</v>
      </c>
      <c r="R140" s="7"/>
      <c r="S140" s="7">
        <v>88463</v>
      </c>
      <c r="T140" s="7">
        <f t="shared" si="78"/>
        <v>17152.975699999999</v>
      </c>
      <c r="U140" s="7">
        <v>58820</v>
      </c>
      <c r="V140" s="7">
        <f t="shared" si="77"/>
        <v>29643</v>
      </c>
      <c r="W140" s="7">
        <v>460</v>
      </c>
      <c r="X140" s="58">
        <f t="shared" si="79"/>
        <v>0</v>
      </c>
      <c r="Y140" s="25">
        <f t="shared" si="80"/>
        <v>0</v>
      </c>
      <c r="Z140" s="8"/>
      <c r="AA140" s="7">
        <f t="shared" si="81"/>
        <v>105615.9757</v>
      </c>
      <c r="AB140" s="7">
        <f t="shared" si="82"/>
        <v>17152.975699999999</v>
      </c>
      <c r="AC140" s="7">
        <f t="shared" si="83"/>
        <v>88463</v>
      </c>
      <c r="AD140" s="59">
        <f t="shared" si="84"/>
        <v>0</v>
      </c>
      <c r="AE140" s="59">
        <f t="shared" si="85"/>
        <v>0</v>
      </c>
      <c r="AF140" s="60">
        <f t="shared" si="86"/>
        <v>0</v>
      </c>
      <c r="AG140" s="60">
        <f t="shared" si="87"/>
        <v>88463</v>
      </c>
      <c r="AH140" s="7">
        <v>0</v>
      </c>
      <c r="AI140" s="7">
        <v>0</v>
      </c>
      <c r="AJ140" s="11" t="s">
        <v>1580</v>
      </c>
      <c r="AK140" s="61">
        <v>3751.42</v>
      </c>
      <c r="AL140" s="8"/>
      <c r="AM140" s="8"/>
    </row>
    <row r="141" spans="1:39" x14ac:dyDescent="0.2">
      <c r="A141" s="1" t="s">
        <v>1412</v>
      </c>
      <c r="B141" s="1"/>
      <c r="C141" s="1">
        <v>4666</v>
      </c>
      <c r="D141" s="64" t="s">
        <v>246</v>
      </c>
      <c r="E141" s="3" t="s">
        <v>247</v>
      </c>
      <c r="F141" s="3" t="s">
        <v>1539</v>
      </c>
      <c r="G141" s="3" t="s">
        <v>1412</v>
      </c>
      <c r="H141" s="3">
        <v>1997</v>
      </c>
      <c r="I141" s="3"/>
      <c r="J141" s="3" t="s">
        <v>1416</v>
      </c>
      <c r="K141" s="4" t="s">
        <v>1417</v>
      </c>
      <c r="L141" s="5" t="s">
        <v>248</v>
      </c>
      <c r="M141" s="6">
        <v>170</v>
      </c>
      <c r="N141" s="57">
        <v>0.92700000000000005</v>
      </c>
      <c r="O141" s="57">
        <v>0.96499999999999997</v>
      </c>
      <c r="P141" s="57">
        <v>0.93200000000000005</v>
      </c>
      <c r="Q141" s="57">
        <v>0.95199999999999996</v>
      </c>
      <c r="R141" s="7">
        <v>1421049</v>
      </c>
      <c r="S141" s="7">
        <v>1222180</v>
      </c>
      <c r="T141" s="7">
        <f t="shared" si="78"/>
        <v>422762.07749999996</v>
      </c>
      <c r="U141" s="7">
        <v>587591</v>
      </c>
      <c r="V141" s="7">
        <f t="shared" si="77"/>
        <v>634589</v>
      </c>
      <c r="W141" s="7">
        <v>6700</v>
      </c>
      <c r="X141" s="58">
        <f t="shared" si="79"/>
        <v>0</v>
      </c>
      <c r="Y141" s="25">
        <f t="shared" si="80"/>
        <v>0</v>
      </c>
      <c r="Z141" s="8"/>
      <c r="AA141" s="7">
        <f t="shared" si="81"/>
        <v>1644942.0774999999</v>
      </c>
      <c r="AB141" s="7">
        <f t="shared" si="82"/>
        <v>422762.07749999996</v>
      </c>
      <c r="AC141" s="7">
        <f t="shared" si="83"/>
        <v>1222180</v>
      </c>
      <c r="AD141" s="59">
        <f t="shared" si="84"/>
        <v>0</v>
      </c>
      <c r="AE141" s="59">
        <f t="shared" si="85"/>
        <v>0</v>
      </c>
      <c r="AF141" s="60">
        <f t="shared" si="86"/>
        <v>0</v>
      </c>
      <c r="AG141" s="60">
        <f t="shared" si="87"/>
        <v>1222180</v>
      </c>
      <c r="AH141" s="7">
        <v>0</v>
      </c>
      <c r="AI141" s="7">
        <v>0</v>
      </c>
      <c r="AJ141" s="64"/>
      <c r="AK141" s="64"/>
      <c r="AL141" s="8"/>
      <c r="AM141" s="8"/>
    </row>
    <row r="142" spans="1:39" x14ac:dyDescent="0.2">
      <c r="A142" s="1" t="s">
        <v>1412</v>
      </c>
      <c r="B142" s="1"/>
      <c r="C142" s="1">
        <v>4779</v>
      </c>
      <c r="D142" s="66" t="s">
        <v>249</v>
      </c>
      <c r="E142" s="3"/>
      <c r="F142" s="3"/>
      <c r="G142" s="3" t="s">
        <v>1417</v>
      </c>
      <c r="H142" s="3"/>
      <c r="I142" s="3"/>
      <c r="J142" s="3"/>
      <c r="K142" s="4"/>
      <c r="L142" s="5"/>
      <c r="M142" s="6"/>
      <c r="N142" s="57"/>
      <c r="O142" s="57"/>
      <c r="P142" s="57"/>
      <c r="Q142" s="57"/>
      <c r="R142" s="7"/>
      <c r="S142" s="7"/>
      <c r="T142" s="7"/>
      <c r="U142" s="7"/>
      <c r="V142" s="7"/>
      <c r="W142" s="7"/>
      <c r="X142" s="58"/>
      <c r="Y142" s="25"/>
      <c r="Z142" s="8"/>
      <c r="AA142" s="7"/>
      <c r="AB142" s="7"/>
      <c r="AC142" s="7"/>
      <c r="AD142" s="59"/>
      <c r="AE142" s="59"/>
      <c r="AF142" s="60"/>
      <c r="AG142" s="60"/>
      <c r="AH142" s="7">
        <v>393000</v>
      </c>
      <c r="AI142" s="7">
        <v>539000</v>
      </c>
      <c r="AJ142" s="64"/>
      <c r="AK142" s="64"/>
      <c r="AL142" s="8"/>
      <c r="AM142" s="8"/>
    </row>
    <row r="143" spans="1:39" x14ac:dyDescent="0.2">
      <c r="A143" s="1" t="s">
        <v>1412</v>
      </c>
      <c r="B143" s="1"/>
      <c r="C143" s="1">
        <v>9780</v>
      </c>
      <c r="D143" s="3" t="s">
        <v>250</v>
      </c>
      <c r="E143" s="3" t="s">
        <v>47</v>
      </c>
      <c r="F143" s="3" t="s">
        <v>1525</v>
      </c>
      <c r="G143" s="3" t="s">
        <v>1417</v>
      </c>
      <c r="H143" s="3">
        <v>1982</v>
      </c>
      <c r="I143" s="3"/>
      <c r="J143" s="3" t="s">
        <v>1416</v>
      </c>
      <c r="K143" s="4" t="s">
        <v>1417</v>
      </c>
      <c r="L143" s="56" t="s">
        <v>1552</v>
      </c>
      <c r="M143" s="6">
        <v>141</v>
      </c>
      <c r="N143" s="57">
        <v>0.91800000000000004</v>
      </c>
      <c r="O143" s="57">
        <v>0.91900000000000004</v>
      </c>
      <c r="P143" s="57">
        <v>0.95699999999999996</v>
      </c>
      <c r="Q143" s="57">
        <v>0.94499999999999995</v>
      </c>
      <c r="R143" s="7">
        <v>1030690</v>
      </c>
      <c r="S143" s="7">
        <v>872429</v>
      </c>
      <c r="T143" s="7">
        <f>IF(J143="regional",IF(R143&gt;0,R143*0.2975,S143*0.3484),S143*0.1939)</f>
        <v>306630.27499999997</v>
      </c>
      <c r="U143" s="7">
        <v>683308</v>
      </c>
      <c r="V143" s="7">
        <f>S143-U143</f>
        <v>189121</v>
      </c>
      <c r="W143" s="7">
        <v>4984</v>
      </c>
      <c r="X143" s="58">
        <f>Y143+Z143</f>
        <v>0</v>
      </c>
      <c r="Y143" s="25">
        <f>IF(B143="y",T143,0)</f>
        <v>0</v>
      </c>
      <c r="Z143" s="25"/>
      <c r="AA143" s="7">
        <f>AB143+AC143</f>
        <v>1179059.2749999999</v>
      </c>
      <c r="AB143" s="7">
        <f>IF(B143="y",0,T143)</f>
        <v>306630.27499999997</v>
      </c>
      <c r="AC143" s="7">
        <f>S143-Z143</f>
        <v>872429</v>
      </c>
      <c r="AD143" s="59">
        <f>IF(K143="y",Z143,0)</f>
        <v>0</v>
      </c>
      <c r="AE143" s="59">
        <f>IF($K143="",Z143,0)+IF($K143="n",Z143,0)</f>
        <v>0</v>
      </c>
      <c r="AF143" s="60">
        <f>IF($K143="y",AC143,0)</f>
        <v>0</v>
      </c>
      <c r="AG143" s="60">
        <f>IF($K143="",AC143,0)+IF($K143="n",AC143,0)</f>
        <v>872429</v>
      </c>
      <c r="AH143" s="7">
        <v>0</v>
      </c>
      <c r="AI143" s="7">
        <v>0</v>
      </c>
      <c r="AJ143" s="11" t="s">
        <v>1419</v>
      </c>
      <c r="AK143" s="61">
        <v>1234680</v>
      </c>
      <c r="AL143" s="8"/>
      <c r="AM143" s="8"/>
    </row>
    <row r="144" spans="1:39" x14ac:dyDescent="0.2">
      <c r="A144" s="1" t="s">
        <v>1412</v>
      </c>
      <c r="B144" s="1"/>
      <c r="C144" s="1">
        <v>2580</v>
      </c>
      <c r="D144" s="64" t="s">
        <v>251</v>
      </c>
      <c r="E144" s="3" t="s">
        <v>252</v>
      </c>
      <c r="F144" s="3" t="s">
        <v>1422</v>
      </c>
      <c r="G144" s="3" t="s">
        <v>1412</v>
      </c>
      <c r="H144" s="3">
        <v>1980</v>
      </c>
      <c r="I144" s="3"/>
      <c r="J144" s="3" t="s">
        <v>1416</v>
      </c>
      <c r="K144" s="4" t="s">
        <v>1412</v>
      </c>
      <c r="L144" s="56" t="s">
        <v>1568</v>
      </c>
      <c r="M144" s="6">
        <v>104</v>
      </c>
      <c r="N144" s="57">
        <v>0.82899999999999996</v>
      </c>
      <c r="O144" s="57">
        <v>0.83199999999999996</v>
      </c>
      <c r="P144" s="57">
        <v>0.89</v>
      </c>
      <c r="Q144" s="57">
        <v>0.78700000000000003</v>
      </c>
      <c r="R144" s="7">
        <v>767081</v>
      </c>
      <c r="S144" s="7">
        <v>630482</v>
      </c>
      <c r="T144" s="7">
        <f>IF(J144="regional",IF(R144&gt;0,R144*0.2975,S144*0.3484),S144*0.1939)</f>
        <v>228206.5975</v>
      </c>
      <c r="U144" s="7">
        <v>376198</v>
      </c>
      <c r="V144" s="7">
        <f>S144-U144</f>
        <v>254284</v>
      </c>
      <c r="W144" s="7">
        <v>3600</v>
      </c>
      <c r="X144" s="58">
        <f>Y144+Z144</f>
        <v>0</v>
      </c>
      <c r="Y144" s="25">
        <f>IF(B144="y",T144,0)</f>
        <v>0</v>
      </c>
      <c r="Z144" s="25"/>
      <c r="AA144" s="7">
        <f>AB144+AC144</f>
        <v>858688.59750000003</v>
      </c>
      <c r="AB144" s="7">
        <f>IF(B144="y",0,T144)</f>
        <v>228206.5975</v>
      </c>
      <c r="AC144" s="7">
        <f>S144-Z144</f>
        <v>630482</v>
      </c>
      <c r="AD144" s="59">
        <f>IF(K144="y",Z144,0)</f>
        <v>0</v>
      </c>
      <c r="AE144" s="59">
        <f>IF($K144="",Z144,0)+IF($K144="n",Z144,0)</f>
        <v>0</v>
      </c>
      <c r="AF144" s="60">
        <f>IF($K144="y",AC144,0)</f>
        <v>630482</v>
      </c>
      <c r="AG144" s="60">
        <f>IF($K144="",AC144,0)+IF($K144="n",AC144,0)</f>
        <v>0</v>
      </c>
      <c r="AH144" s="7">
        <v>586000</v>
      </c>
      <c r="AI144" s="7">
        <v>484000</v>
      </c>
      <c r="AJ144" s="11" t="s">
        <v>1419</v>
      </c>
      <c r="AK144" s="61">
        <v>373577</v>
      </c>
      <c r="AL144" s="8"/>
      <c r="AM144" s="8"/>
    </row>
    <row r="145" spans="1:39" x14ac:dyDescent="0.2">
      <c r="A145" s="1"/>
      <c r="B145" s="1" t="s">
        <v>1412</v>
      </c>
      <c r="C145" s="1">
        <v>3854</v>
      </c>
      <c r="D145" s="66" t="s">
        <v>253</v>
      </c>
      <c r="E145" s="3"/>
      <c r="F145" s="3"/>
      <c r="G145" s="3" t="s">
        <v>1417</v>
      </c>
      <c r="H145" s="3"/>
      <c r="I145" s="3"/>
      <c r="J145" s="3"/>
      <c r="K145" s="4"/>
      <c r="L145" s="56"/>
      <c r="M145" s="6"/>
      <c r="N145" s="57"/>
      <c r="O145" s="57"/>
      <c r="P145" s="57"/>
      <c r="Q145" s="57"/>
      <c r="R145" s="7"/>
      <c r="S145" s="7"/>
      <c r="T145" s="7"/>
      <c r="U145" s="7"/>
      <c r="V145" s="7"/>
      <c r="W145" s="7"/>
      <c r="X145" s="58"/>
      <c r="Y145" s="25"/>
      <c r="Z145" s="25"/>
      <c r="AA145" s="7"/>
      <c r="AB145" s="7"/>
      <c r="AC145" s="7"/>
      <c r="AD145" s="59"/>
      <c r="AE145" s="59"/>
      <c r="AF145" s="60"/>
      <c r="AG145" s="60"/>
      <c r="AH145" s="7">
        <v>364000</v>
      </c>
      <c r="AI145" s="7">
        <v>360000</v>
      </c>
      <c r="AK145" s="61"/>
      <c r="AL145" s="8"/>
      <c r="AM145" s="8"/>
    </row>
    <row r="146" spans="1:39" x14ac:dyDescent="0.2">
      <c r="A146" s="1" t="s">
        <v>1412</v>
      </c>
      <c r="B146" s="1"/>
      <c r="C146" s="1">
        <v>732</v>
      </c>
      <c r="D146" s="3" t="s">
        <v>254</v>
      </c>
      <c r="E146" s="3" t="s">
        <v>124</v>
      </c>
      <c r="F146" s="3" t="s">
        <v>255</v>
      </c>
      <c r="G146" s="3" t="s">
        <v>1412</v>
      </c>
      <c r="H146" s="3">
        <v>1973</v>
      </c>
      <c r="I146" s="3"/>
      <c r="J146" s="3" t="s">
        <v>1416</v>
      </c>
      <c r="K146" s="4" t="s">
        <v>1412</v>
      </c>
      <c r="L146" s="56" t="s">
        <v>258</v>
      </c>
      <c r="M146" s="6">
        <v>108</v>
      </c>
      <c r="N146" s="57">
        <v>0.95499999999999996</v>
      </c>
      <c r="O146" s="57">
        <v>0.96199999999999997</v>
      </c>
      <c r="P146" s="57">
        <v>0.91300000000000003</v>
      </c>
      <c r="Q146" s="57">
        <v>0.91</v>
      </c>
      <c r="R146" s="7">
        <v>913969</v>
      </c>
      <c r="S146" s="7">
        <v>588509</v>
      </c>
      <c r="T146" s="7">
        <f t="shared" ref="T146:T167" si="88">IF(J146="regional",IF(R146&gt;0,R146*0.2975,S146*0.3484),S146*0.1939)</f>
        <v>271905.77749999997</v>
      </c>
      <c r="U146" s="7">
        <v>545891</v>
      </c>
      <c r="V146" s="7">
        <f t="shared" ref="V146:V167" si="89">S146-U146</f>
        <v>42618</v>
      </c>
      <c r="W146" s="7">
        <v>3442</v>
      </c>
      <c r="X146" s="58">
        <f t="shared" ref="X146:X167" si="90">Y146+Z146</f>
        <v>0</v>
      </c>
      <c r="Y146" s="25">
        <f t="shared" ref="Y146:Y167" si="91">IF(B146="y",T146,0)</f>
        <v>0</v>
      </c>
      <c r="Z146" s="25"/>
      <c r="AA146" s="7">
        <f t="shared" ref="AA146:AA167" si="92">AB146+AC146</f>
        <v>860414.77749999997</v>
      </c>
      <c r="AB146" s="7">
        <f t="shared" ref="AB146:AB167" si="93">IF(B146="y",0,T146)</f>
        <v>271905.77749999997</v>
      </c>
      <c r="AC146" s="7">
        <f t="shared" ref="AC146:AC167" si="94">S146-Z146</f>
        <v>588509</v>
      </c>
      <c r="AD146" s="59">
        <f t="shared" ref="AD146:AD167" si="95">IF(K146="y",Z146,0)</f>
        <v>0</v>
      </c>
      <c r="AE146" s="59">
        <f t="shared" ref="AE146:AE167" si="96">IF($K146="",Z146,0)+IF($K146="n",Z146,0)</f>
        <v>0</v>
      </c>
      <c r="AF146" s="60">
        <f t="shared" ref="AF146:AF167" si="97">IF($K146="y",AC146,0)</f>
        <v>588509</v>
      </c>
      <c r="AG146" s="60">
        <f t="shared" ref="AG146:AG167" si="98">IF($K146="",AC146,0)+IF($K146="n",AC146,0)</f>
        <v>0</v>
      </c>
      <c r="AH146" s="7">
        <v>1079000</v>
      </c>
      <c r="AI146" s="7">
        <v>876000</v>
      </c>
      <c r="AJ146" s="11" t="s">
        <v>1580</v>
      </c>
      <c r="AK146" s="61">
        <v>209189.24</v>
      </c>
      <c r="AL146" s="8"/>
      <c r="AM146" s="8"/>
    </row>
    <row r="147" spans="1:39" x14ac:dyDescent="0.2">
      <c r="A147" s="1" t="s">
        <v>1412</v>
      </c>
      <c r="B147" s="1"/>
      <c r="C147" s="1">
        <v>9180</v>
      </c>
      <c r="D147" s="62" t="s">
        <v>259</v>
      </c>
      <c r="E147" s="3" t="s">
        <v>260</v>
      </c>
      <c r="F147" s="3" t="s">
        <v>1555</v>
      </c>
      <c r="G147" s="3" t="s">
        <v>1412</v>
      </c>
      <c r="H147" s="3">
        <v>1979</v>
      </c>
      <c r="I147" s="3"/>
      <c r="J147" s="3" t="s">
        <v>1416</v>
      </c>
      <c r="K147" s="4" t="s">
        <v>1417</v>
      </c>
      <c r="L147" s="56" t="s">
        <v>261</v>
      </c>
      <c r="M147" s="6">
        <v>137</v>
      </c>
      <c r="N147" s="57">
        <v>0.35599999999999998</v>
      </c>
      <c r="O147" s="57">
        <v>0.38600000000000001</v>
      </c>
      <c r="P147" s="57">
        <v>0.48799999999999999</v>
      </c>
      <c r="Q147" s="57">
        <v>0.63800000000000001</v>
      </c>
      <c r="R147" s="7">
        <v>987234</v>
      </c>
      <c r="S147" s="7">
        <v>818169</v>
      </c>
      <c r="T147" s="7">
        <f t="shared" si="88"/>
        <v>293702.11499999999</v>
      </c>
      <c r="U147" s="7">
        <v>519434</v>
      </c>
      <c r="V147" s="7">
        <f t="shared" si="89"/>
        <v>298735</v>
      </c>
      <c r="W147" s="7">
        <v>5040</v>
      </c>
      <c r="X147" s="58">
        <f t="shared" si="90"/>
        <v>0</v>
      </c>
      <c r="Y147" s="25">
        <f t="shared" si="91"/>
        <v>0</v>
      </c>
      <c r="Z147" s="25"/>
      <c r="AA147" s="7">
        <f t="shared" si="92"/>
        <v>1111871.115</v>
      </c>
      <c r="AB147" s="7">
        <f t="shared" si="93"/>
        <v>293702.11499999999</v>
      </c>
      <c r="AC147" s="7">
        <f t="shared" si="94"/>
        <v>818169</v>
      </c>
      <c r="AD147" s="59">
        <f t="shared" si="95"/>
        <v>0</v>
      </c>
      <c r="AE147" s="59">
        <f t="shared" si="96"/>
        <v>0</v>
      </c>
      <c r="AF147" s="60">
        <f t="shared" si="97"/>
        <v>0</v>
      </c>
      <c r="AG147" s="60">
        <f t="shared" si="98"/>
        <v>818169</v>
      </c>
      <c r="AH147" s="7">
        <v>0</v>
      </c>
      <c r="AI147" s="7">
        <v>0</v>
      </c>
      <c r="AJ147" s="11" t="s">
        <v>1419</v>
      </c>
      <c r="AK147" s="61">
        <v>530497</v>
      </c>
      <c r="AL147" s="8"/>
      <c r="AM147" s="8"/>
    </row>
    <row r="148" spans="1:39" x14ac:dyDescent="0.2">
      <c r="A148" s="1" t="s">
        <v>1412</v>
      </c>
      <c r="B148" s="1"/>
      <c r="C148" s="1">
        <v>2568</v>
      </c>
      <c r="D148" s="3" t="s">
        <v>262</v>
      </c>
      <c r="E148" s="3" t="s">
        <v>1507</v>
      </c>
      <c r="F148" s="3" t="s">
        <v>1564</v>
      </c>
      <c r="G148" s="3" t="s">
        <v>1412</v>
      </c>
      <c r="H148" s="3">
        <v>1965</v>
      </c>
      <c r="I148" s="3"/>
      <c r="J148" s="3" t="s">
        <v>1416</v>
      </c>
      <c r="K148" s="4" t="s">
        <v>1417</v>
      </c>
      <c r="L148" s="56" t="s">
        <v>263</v>
      </c>
      <c r="M148" s="6">
        <v>38</v>
      </c>
      <c r="N148" s="57">
        <v>0.77100000000000002</v>
      </c>
      <c r="O148" s="57">
        <v>0.77100000000000002</v>
      </c>
      <c r="P148" s="57">
        <v>0.874</v>
      </c>
      <c r="Q148" s="57">
        <v>0.84</v>
      </c>
      <c r="R148" s="7">
        <v>447368</v>
      </c>
      <c r="S148" s="7">
        <v>395274</v>
      </c>
      <c r="T148" s="7">
        <f t="shared" si="88"/>
        <v>133091.97999999998</v>
      </c>
      <c r="U148" s="7">
        <v>292256</v>
      </c>
      <c r="V148" s="7">
        <f t="shared" si="89"/>
        <v>103018</v>
      </c>
      <c r="W148" s="7">
        <v>2565</v>
      </c>
      <c r="X148" s="58">
        <f t="shared" si="90"/>
        <v>0</v>
      </c>
      <c r="Y148" s="25">
        <f t="shared" si="91"/>
        <v>0</v>
      </c>
      <c r="Z148" s="25"/>
      <c r="AA148" s="7">
        <f t="shared" si="92"/>
        <v>528365.98</v>
      </c>
      <c r="AB148" s="7">
        <f t="shared" si="93"/>
        <v>133091.97999999998</v>
      </c>
      <c r="AC148" s="7">
        <f t="shared" si="94"/>
        <v>395274</v>
      </c>
      <c r="AD148" s="59">
        <f t="shared" si="95"/>
        <v>0</v>
      </c>
      <c r="AE148" s="59">
        <f t="shared" si="96"/>
        <v>0</v>
      </c>
      <c r="AF148" s="60">
        <f t="shared" si="97"/>
        <v>0</v>
      </c>
      <c r="AG148" s="60">
        <f t="shared" si="98"/>
        <v>395274</v>
      </c>
      <c r="AH148" s="7">
        <v>0</v>
      </c>
      <c r="AI148" s="7">
        <v>0</v>
      </c>
      <c r="AJ148" s="11" t="s">
        <v>1520</v>
      </c>
      <c r="AK148" s="61">
        <v>97268</v>
      </c>
      <c r="AL148" s="8"/>
      <c r="AM148" s="8"/>
    </row>
    <row r="149" spans="1:39" x14ac:dyDescent="0.2">
      <c r="A149" s="1" t="s">
        <v>1412</v>
      </c>
      <c r="B149" s="1"/>
      <c r="C149" s="1">
        <v>520</v>
      </c>
      <c r="D149" s="3" t="s">
        <v>262</v>
      </c>
      <c r="E149" s="3" t="s">
        <v>1507</v>
      </c>
      <c r="F149" s="3" t="s">
        <v>1564</v>
      </c>
      <c r="G149" s="3" t="s">
        <v>1412</v>
      </c>
      <c r="H149" s="3">
        <v>1974</v>
      </c>
      <c r="I149" s="3"/>
      <c r="J149" s="3" t="s">
        <v>1512</v>
      </c>
      <c r="K149" s="4"/>
      <c r="L149" s="56" t="s">
        <v>263</v>
      </c>
      <c r="M149" s="6">
        <v>1</v>
      </c>
      <c r="N149" s="57">
        <v>1</v>
      </c>
      <c r="O149" s="57">
        <v>1</v>
      </c>
      <c r="P149" s="57">
        <v>1</v>
      </c>
      <c r="Q149" s="57">
        <v>1</v>
      </c>
      <c r="R149" s="7"/>
      <c r="S149" s="7">
        <v>7500</v>
      </c>
      <c r="T149" s="7">
        <f t="shared" si="88"/>
        <v>1454.25</v>
      </c>
      <c r="U149" s="7">
        <v>7500</v>
      </c>
      <c r="V149" s="7">
        <f t="shared" si="89"/>
        <v>0</v>
      </c>
      <c r="W149" s="7"/>
      <c r="X149" s="58">
        <f t="shared" si="90"/>
        <v>0</v>
      </c>
      <c r="Y149" s="25">
        <f t="shared" si="91"/>
        <v>0</v>
      </c>
      <c r="Z149" s="25"/>
      <c r="AA149" s="7">
        <f t="shared" si="92"/>
        <v>8954.25</v>
      </c>
      <c r="AB149" s="7">
        <f t="shared" si="93"/>
        <v>1454.25</v>
      </c>
      <c r="AC149" s="7">
        <f t="shared" si="94"/>
        <v>7500</v>
      </c>
      <c r="AD149" s="59">
        <f t="shared" si="95"/>
        <v>0</v>
      </c>
      <c r="AE149" s="59">
        <f t="shared" si="96"/>
        <v>0</v>
      </c>
      <c r="AF149" s="60">
        <f t="shared" si="97"/>
        <v>0</v>
      </c>
      <c r="AG149" s="60">
        <f t="shared" si="98"/>
        <v>7500</v>
      </c>
      <c r="AH149" s="7">
        <v>0</v>
      </c>
      <c r="AI149" s="7">
        <v>0</v>
      </c>
      <c r="AJ149" s="3"/>
      <c r="AK149" s="3"/>
      <c r="AL149" s="8"/>
      <c r="AM149" s="8"/>
    </row>
    <row r="150" spans="1:39" x14ac:dyDescent="0.2">
      <c r="A150" s="1" t="s">
        <v>1412</v>
      </c>
      <c r="B150" s="1"/>
      <c r="C150" s="1">
        <v>1584</v>
      </c>
      <c r="D150" s="3" t="s">
        <v>264</v>
      </c>
      <c r="E150" s="3" t="s">
        <v>265</v>
      </c>
      <c r="F150" s="3" t="s">
        <v>1564</v>
      </c>
      <c r="G150" s="3" t="s">
        <v>1412</v>
      </c>
      <c r="H150" s="3">
        <v>1970</v>
      </c>
      <c r="I150" s="3"/>
      <c r="J150" s="3" t="s">
        <v>1416</v>
      </c>
      <c r="K150" s="4" t="s">
        <v>1417</v>
      </c>
      <c r="L150" s="56" t="s">
        <v>188</v>
      </c>
      <c r="M150" s="6">
        <v>61</v>
      </c>
      <c r="N150" s="57">
        <v>0.90100000000000002</v>
      </c>
      <c r="O150" s="57">
        <v>0.92</v>
      </c>
      <c r="P150" s="57">
        <v>0.89800000000000002</v>
      </c>
      <c r="Q150" s="57">
        <v>0.85399999999999998</v>
      </c>
      <c r="R150" s="7">
        <v>705862</v>
      </c>
      <c r="S150" s="7">
        <v>655567</v>
      </c>
      <c r="T150" s="7">
        <f t="shared" si="88"/>
        <v>209993.94499999998</v>
      </c>
      <c r="U150" s="7">
        <v>435956</v>
      </c>
      <c r="V150" s="7">
        <f t="shared" si="89"/>
        <v>219611</v>
      </c>
      <c r="W150" s="7">
        <v>3222</v>
      </c>
      <c r="X150" s="58">
        <f t="shared" si="90"/>
        <v>0</v>
      </c>
      <c r="Y150" s="25">
        <f t="shared" si="91"/>
        <v>0</v>
      </c>
      <c r="Z150" s="25"/>
      <c r="AA150" s="7">
        <f t="shared" si="92"/>
        <v>865560.94499999995</v>
      </c>
      <c r="AB150" s="7">
        <f t="shared" si="93"/>
        <v>209993.94499999998</v>
      </c>
      <c r="AC150" s="7">
        <f t="shared" si="94"/>
        <v>655567</v>
      </c>
      <c r="AD150" s="59">
        <f t="shared" si="95"/>
        <v>0</v>
      </c>
      <c r="AE150" s="59">
        <f t="shared" si="96"/>
        <v>0</v>
      </c>
      <c r="AF150" s="60">
        <f t="shared" si="97"/>
        <v>0</v>
      </c>
      <c r="AG150" s="60">
        <f t="shared" si="98"/>
        <v>655567</v>
      </c>
      <c r="AH150" s="7">
        <v>0</v>
      </c>
      <c r="AI150" s="7">
        <v>0</v>
      </c>
      <c r="AJ150" s="11" t="s">
        <v>1419</v>
      </c>
      <c r="AK150" s="61">
        <v>509720</v>
      </c>
      <c r="AL150" s="8"/>
      <c r="AM150" s="8"/>
    </row>
    <row r="151" spans="1:39" x14ac:dyDescent="0.2">
      <c r="A151" s="1" t="s">
        <v>1412</v>
      </c>
      <c r="B151" s="1"/>
      <c r="C151" s="1">
        <v>2654</v>
      </c>
      <c r="D151" s="3" t="s">
        <v>266</v>
      </c>
      <c r="E151" s="3" t="s">
        <v>265</v>
      </c>
      <c r="F151" s="3" t="s">
        <v>1564</v>
      </c>
      <c r="G151" s="3" t="s">
        <v>1412</v>
      </c>
      <c r="H151" s="3">
        <v>1998</v>
      </c>
      <c r="I151" s="3"/>
      <c r="J151" s="3" t="s">
        <v>1512</v>
      </c>
      <c r="K151" s="4"/>
      <c r="L151" s="5" t="s">
        <v>188</v>
      </c>
      <c r="M151" s="6"/>
      <c r="N151" s="57">
        <v>0.94599999999999995</v>
      </c>
      <c r="O151" s="57">
        <v>0.89900000000000002</v>
      </c>
      <c r="P151" s="57">
        <v>1</v>
      </c>
      <c r="Q151" s="57">
        <v>0.86799999999999999</v>
      </c>
      <c r="R151" s="7"/>
      <c r="S151" s="7">
        <v>153496</v>
      </c>
      <c r="T151" s="7">
        <f t="shared" si="88"/>
        <v>29762.874399999997</v>
      </c>
      <c r="U151" s="7">
        <v>153496</v>
      </c>
      <c r="V151" s="7">
        <f t="shared" si="89"/>
        <v>0</v>
      </c>
      <c r="W151" s="7"/>
      <c r="X151" s="58">
        <f t="shared" si="90"/>
        <v>0</v>
      </c>
      <c r="Y151" s="25">
        <f t="shared" si="91"/>
        <v>0</v>
      </c>
      <c r="Z151" s="8"/>
      <c r="AA151" s="7">
        <f t="shared" si="92"/>
        <v>183258.8744</v>
      </c>
      <c r="AB151" s="7">
        <f t="shared" si="93"/>
        <v>29762.874399999997</v>
      </c>
      <c r="AC151" s="7">
        <f t="shared" si="94"/>
        <v>153496</v>
      </c>
      <c r="AD151" s="59">
        <f t="shared" si="95"/>
        <v>0</v>
      </c>
      <c r="AE151" s="59">
        <f t="shared" si="96"/>
        <v>0</v>
      </c>
      <c r="AF151" s="60">
        <f t="shared" si="97"/>
        <v>0</v>
      </c>
      <c r="AG151" s="60">
        <f t="shared" si="98"/>
        <v>153496</v>
      </c>
      <c r="AH151" s="7">
        <v>0</v>
      </c>
      <c r="AI151" s="7">
        <v>0</v>
      </c>
      <c r="AJ151" s="11" t="s">
        <v>1419</v>
      </c>
      <c r="AK151" s="61">
        <v>78710</v>
      </c>
      <c r="AL151" s="8"/>
      <c r="AM151" s="8"/>
    </row>
    <row r="152" spans="1:39" x14ac:dyDescent="0.2">
      <c r="A152" s="1" t="s">
        <v>1412</v>
      </c>
      <c r="B152" s="1" t="s">
        <v>1412</v>
      </c>
      <c r="C152" s="1">
        <v>4830</v>
      </c>
      <c r="D152" s="65" t="s">
        <v>267</v>
      </c>
      <c r="E152" s="63" t="s">
        <v>268</v>
      </c>
      <c r="F152" s="3"/>
      <c r="G152" s="3" t="s">
        <v>1412</v>
      </c>
      <c r="H152" s="3">
        <v>1969</v>
      </c>
      <c r="I152" s="3"/>
      <c r="J152" s="3" t="s">
        <v>1416</v>
      </c>
      <c r="K152" s="4" t="s">
        <v>1417</v>
      </c>
      <c r="L152" s="56" t="s">
        <v>269</v>
      </c>
      <c r="M152" s="6">
        <v>24</v>
      </c>
      <c r="N152" s="57">
        <v>0.90400000000000003</v>
      </c>
      <c r="O152" s="57">
        <v>0.93100000000000005</v>
      </c>
      <c r="P152" s="57">
        <v>0.92500000000000004</v>
      </c>
      <c r="Q152" s="57">
        <v>0.95199999999999996</v>
      </c>
      <c r="R152" s="7">
        <v>980009</v>
      </c>
      <c r="S152" s="7">
        <v>910000</v>
      </c>
      <c r="T152" s="7">
        <f t="shared" si="88"/>
        <v>291552.67749999999</v>
      </c>
      <c r="U152" s="7">
        <v>592700</v>
      </c>
      <c r="V152" s="7">
        <f t="shared" si="89"/>
        <v>317300</v>
      </c>
      <c r="W152" s="7">
        <v>4000</v>
      </c>
      <c r="X152" s="58">
        <f t="shared" si="90"/>
        <v>687552.67749999999</v>
      </c>
      <c r="Y152" s="25">
        <f t="shared" si="91"/>
        <v>291552.67749999999</v>
      </c>
      <c r="Z152" s="25">
        <v>396000</v>
      </c>
      <c r="AA152" s="7">
        <f t="shared" si="92"/>
        <v>514000</v>
      </c>
      <c r="AB152" s="7">
        <f t="shared" si="93"/>
        <v>0</v>
      </c>
      <c r="AC152" s="7">
        <f t="shared" si="94"/>
        <v>514000</v>
      </c>
      <c r="AD152" s="59">
        <f t="shared" si="95"/>
        <v>0</v>
      </c>
      <c r="AE152" s="59">
        <f t="shared" si="96"/>
        <v>396000</v>
      </c>
      <c r="AF152" s="60">
        <f t="shared" si="97"/>
        <v>0</v>
      </c>
      <c r="AG152" s="60">
        <f t="shared" si="98"/>
        <v>514000</v>
      </c>
      <c r="AH152" s="7">
        <v>275000</v>
      </c>
      <c r="AI152" s="7">
        <v>593000</v>
      </c>
      <c r="AJ152" s="11" t="s">
        <v>1541</v>
      </c>
      <c r="AK152" s="61">
        <v>79439</v>
      </c>
      <c r="AL152" s="8"/>
      <c r="AM152" s="8"/>
    </row>
    <row r="153" spans="1:39" x14ac:dyDescent="0.2">
      <c r="A153" s="1" t="s">
        <v>1412</v>
      </c>
      <c r="B153" s="1"/>
      <c r="C153" s="1">
        <v>1585</v>
      </c>
      <c r="D153" s="3" t="s">
        <v>270</v>
      </c>
      <c r="E153" s="3" t="s">
        <v>271</v>
      </c>
      <c r="F153" s="3" t="s">
        <v>1564</v>
      </c>
      <c r="G153" s="3" t="s">
        <v>1412</v>
      </c>
      <c r="H153" s="3">
        <v>1966</v>
      </c>
      <c r="I153" s="3"/>
      <c r="J153" s="3" t="s">
        <v>1512</v>
      </c>
      <c r="K153" s="4"/>
      <c r="L153" s="56" t="s">
        <v>19</v>
      </c>
      <c r="M153" s="6">
        <v>7</v>
      </c>
      <c r="N153" s="57">
        <v>1</v>
      </c>
      <c r="O153" s="57">
        <v>1</v>
      </c>
      <c r="P153" s="57">
        <v>1</v>
      </c>
      <c r="Q153" s="57">
        <v>1</v>
      </c>
      <c r="R153" s="7"/>
      <c r="S153" s="7">
        <v>91650</v>
      </c>
      <c r="T153" s="7">
        <f t="shared" si="88"/>
        <v>17770.934999999998</v>
      </c>
      <c r="U153" s="7">
        <v>24912</v>
      </c>
      <c r="V153" s="7">
        <f t="shared" si="89"/>
        <v>66738</v>
      </c>
      <c r="W153" s="7">
        <v>502</v>
      </c>
      <c r="X153" s="58">
        <f t="shared" si="90"/>
        <v>0</v>
      </c>
      <c r="Y153" s="25">
        <f t="shared" si="91"/>
        <v>0</v>
      </c>
      <c r="Z153" s="25"/>
      <c r="AA153" s="7">
        <f t="shared" si="92"/>
        <v>109420.935</v>
      </c>
      <c r="AB153" s="7">
        <f t="shared" si="93"/>
        <v>17770.934999999998</v>
      </c>
      <c r="AC153" s="7">
        <f t="shared" si="94"/>
        <v>91650</v>
      </c>
      <c r="AD153" s="59">
        <f t="shared" si="95"/>
        <v>0</v>
      </c>
      <c r="AE153" s="59">
        <f t="shared" si="96"/>
        <v>0</v>
      </c>
      <c r="AF153" s="60">
        <f t="shared" si="97"/>
        <v>0</v>
      </c>
      <c r="AG153" s="60">
        <f t="shared" si="98"/>
        <v>91650</v>
      </c>
      <c r="AH153" s="7">
        <v>0</v>
      </c>
      <c r="AI153" s="7">
        <v>0</v>
      </c>
      <c r="AJ153" s="3"/>
      <c r="AK153" s="3"/>
      <c r="AL153" s="8"/>
      <c r="AM153" s="8"/>
    </row>
    <row r="154" spans="1:39" x14ac:dyDescent="0.2">
      <c r="A154" s="1" t="s">
        <v>1412</v>
      </c>
      <c r="B154" s="1"/>
      <c r="C154" s="1">
        <v>9397</v>
      </c>
      <c r="D154" s="62" t="s">
        <v>272</v>
      </c>
      <c r="E154" s="3" t="s">
        <v>273</v>
      </c>
      <c r="F154" s="3" t="s">
        <v>274</v>
      </c>
      <c r="G154" s="3" t="s">
        <v>1412</v>
      </c>
      <c r="H154" s="3">
        <v>1988</v>
      </c>
      <c r="I154" s="3"/>
      <c r="J154" s="3" t="s">
        <v>275</v>
      </c>
      <c r="K154" s="4" t="s">
        <v>1417</v>
      </c>
      <c r="L154" s="56" t="s">
        <v>276</v>
      </c>
      <c r="M154" s="6">
        <v>115</v>
      </c>
      <c r="N154" s="57">
        <v>0.63700000000000001</v>
      </c>
      <c r="O154" s="57">
        <v>0.61899999999999999</v>
      </c>
      <c r="P154" s="57">
        <v>0.55200000000000005</v>
      </c>
      <c r="Q154" s="57">
        <v>0.53700000000000003</v>
      </c>
      <c r="R154" s="7">
        <v>640416</v>
      </c>
      <c r="S154" s="7">
        <v>536930</v>
      </c>
      <c r="T154" s="7">
        <f t="shared" si="88"/>
        <v>104110.727</v>
      </c>
      <c r="U154" s="7">
        <v>331831</v>
      </c>
      <c r="V154" s="7">
        <f t="shared" si="89"/>
        <v>205099</v>
      </c>
      <c r="W154" s="7">
        <v>3610</v>
      </c>
      <c r="X154" s="58">
        <f t="shared" si="90"/>
        <v>0</v>
      </c>
      <c r="Y154" s="25">
        <f t="shared" si="91"/>
        <v>0</v>
      </c>
      <c r="Z154" s="25"/>
      <c r="AA154" s="7">
        <f t="shared" si="92"/>
        <v>641040.72699999996</v>
      </c>
      <c r="AB154" s="7">
        <f t="shared" si="93"/>
        <v>104110.727</v>
      </c>
      <c r="AC154" s="7">
        <f t="shared" si="94"/>
        <v>536930</v>
      </c>
      <c r="AD154" s="59">
        <f t="shared" si="95"/>
        <v>0</v>
      </c>
      <c r="AE154" s="59">
        <f t="shared" si="96"/>
        <v>0</v>
      </c>
      <c r="AF154" s="60">
        <f t="shared" si="97"/>
        <v>0</v>
      </c>
      <c r="AG154" s="60">
        <f t="shared" si="98"/>
        <v>536930</v>
      </c>
      <c r="AH154" s="7">
        <v>0</v>
      </c>
      <c r="AI154" s="7">
        <v>0</v>
      </c>
      <c r="AJ154" s="11" t="s">
        <v>1419</v>
      </c>
      <c r="AK154" s="61">
        <v>759244</v>
      </c>
      <c r="AL154" s="8"/>
      <c r="AM154" s="8"/>
    </row>
    <row r="155" spans="1:39" x14ac:dyDescent="0.2">
      <c r="A155" s="1" t="s">
        <v>1412</v>
      </c>
      <c r="B155" s="1" t="s">
        <v>1412</v>
      </c>
      <c r="C155" s="1">
        <v>2810</v>
      </c>
      <c r="D155" s="65" t="s">
        <v>277</v>
      </c>
      <c r="E155" s="63" t="s">
        <v>278</v>
      </c>
      <c r="F155" s="3" t="s">
        <v>1539</v>
      </c>
      <c r="G155" s="3" t="s">
        <v>1417</v>
      </c>
      <c r="H155" s="3">
        <v>1987</v>
      </c>
      <c r="I155" s="3"/>
      <c r="J155" s="3" t="s">
        <v>1416</v>
      </c>
      <c r="K155" s="4" t="s">
        <v>1412</v>
      </c>
      <c r="L155" s="56" t="s">
        <v>279</v>
      </c>
      <c r="M155" s="6">
        <v>126</v>
      </c>
      <c r="N155" s="57">
        <v>0.93899999999999995</v>
      </c>
      <c r="O155" s="57">
        <v>0.93200000000000005</v>
      </c>
      <c r="P155" s="57">
        <v>0.92900000000000005</v>
      </c>
      <c r="Q155" s="57">
        <v>0.92700000000000005</v>
      </c>
      <c r="R155" s="7">
        <v>1400573</v>
      </c>
      <c r="S155" s="7">
        <v>920709</v>
      </c>
      <c r="T155" s="7">
        <f t="shared" si="88"/>
        <v>416670.46749999997</v>
      </c>
      <c r="U155" s="7">
        <v>530971</v>
      </c>
      <c r="V155" s="7">
        <f t="shared" si="89"/>
        <v>389738</v>
      </c>
      <c r="W155" s="7">
        <v>4500</v>
      </c>
      <c r="X155" s="58">
        <f t="shared" si="90"/>
        <v>1115833.4675</v>
      </c>
      <c r="Y155" s="25">
        <f t="shared" si="91"/>
        <v>416670.46749999997</v>
      </c>
      <c r="Z155" s="25">
        <v>699163</v>
      </c>
      <c r="AA155" s="7">
        <f t="shared" si="92"/>
        <v>221546</v>
      </c>
      <c r="AB155" s="7">
        <f t="shared" si="93"/>
        <v>0</v>
      </c>
      <c r="AC155" s="7">
        <f t="shared" si="94"/>
        <v>221546</v>
      </c>
      <c r="AD155" s="59">
        <f t="shared" si="95"/>
        <v>699163</v>
      </c>
      <c r="AE155" s="59">
        <f t="shared" si="96"/>
        <v>0</v>
      </c>
      <c r="AF155" s="60">
        <f t="shared" si="97"/>
        <v>221546</v>
      </c>
      <c r="AG155" s="60">
        <f t="shared" si="98"/>
        <v>0</v>
      </c>
      <c r="AH155" s="7">
        <v>1021000</v>
      </c>
      <c r="AI155" s="7">
        <v>969000</v>
      </c>
      <c r="AJ155" s="11" t="s">
        <v>1541</v>
      </c>
      <c r="AK155" s="61">
        <v>220214</v>
      </c>
      <c r="AL155" s="8"/>
      <c r="AM155" s="8"/>
    </row>
    <row r="156" spans="1:39" x14ac:dyDescent="0.2">
      <c r="A156" s="1" t="s">
        <v>1412</v>
      </c>
      <c r="B156" s="1"/>
      <c r="C156" s="1">
        <v>1540</v>
      </c>
      <c r="D156" s="3" t="s">
        <v>280</v>
      </c>
      <c r="E156" s="3" t="s">
        <v>281</v>
      </c>
      <c r="F156" s="3" t="s">
        <v>1422</v>
      </c>
      <c r="G156" s="3" t="s">
        <v>1412</v>
      </c>
      <c r="H156" s="3">
        <v>1971</v>
      </c>
      <c r="I156" s="3"/>
      <c r="J156" s="3" t="s">
        <v>1416</v>
      </c>
      <c r="K156" s="4" t="s">
        <v>1417</v>
      </c>
      <c r="L156" s="56" t="s">
        <v>1568</v>
      </c>
      <c r="M156" s="6">
        <v>113</v>
      </c>
      <c r="N156" s="57">
        <v>0.74399999999999999</v>
      </c>
      <c r="O156" s="57">
        <v>0.879</v>
      </c>
      <c r="P156" s="57">
        <v>0.88400000000000001</v>
      </c>
      <c r="Q156" s="57">
        <v>0.86499999999999999</v>
      </c>
      <c r="R156" s="7">
        <v>1288322</v>
      </c>
      <c r="S156" s="7">
        <v>1141556</v>
      </c>
      <c r="T156" s="7">
        <f t="shared" si="88"/>
        <v>383275.79499999998</v>
      </c>
      <c r="U156" s="7">
        <v>839873</v>
      </c>
      <c r="V156" s="7">
        <f t="shared" si="89"/>
        <v>301683</v>
      </c>
      <c r="W156" s="7">
        <v>6055</v>
      </c>
      <c r="X156" s="58">
        <f t="shared" si="90"/>
        <v>0</v>
      </c>
      <c r="Y156" s="25">
        <f t="shared" si="91"/>
        <v>0</v>
      </c>
      <c r="Z156" s="25"/>
      <c r="AA156" s="7">
        <f t="shared" si="92"/>
        <v>1524831.7949999999</v>
      </c>
      <c r="AB156" s="7">
        <f t="shared" si="93"/>
        <v>383275.79499999998</v>
      </c>
      <c r="AC156" s="7">
        <f t="shared" si="94"/>
        <v>1141556</v>
      </c>
      <c r="AD156" s="59">
        <f t="shared" si="95"/>
        <v>0</v>
      </c>
      <c r="AE156" s="59">
        <f t="shared" si="96"/>
        <v>0</v>
      </c>
      <c r="AF156" s="60">
        <f t="shared" si="97"/>
        <v>0</v>
      </c>
      <c r="AG156" s="60">
        <f t="shared" si="98"/>
        <v>1141556</v>
      </c>
      <c r="AH156" s="7">
        <v>0</v>
      </c>
      <c r="AI156" s="7">
        <v>0</v>
      </c>
      <c r="AJ156" s="11" t="s">
        <v>1419</v>
      </c>
      <c r="AK156" s="61">
        <v>371338</v>
      </c>
      <c r="AL156" s="8"/>
      <c r="AM156" s="8"/>
    </row>
    <row r="157" spans="1:39" x14ac:dyDescent="0.2">
      <c r="A157" s="1" t="s">
        <v>1412</v>
      </c>
      <c r="B157" s="1" t="s">
        <v>1412</v>
      </c>
      <c r="C157" s="1">
        <v>4771</v>
      </c>
      <c r="D157" s="63" t="s">
        <v>282</v>
      </c>
      <c r="E157" s="63" t="s">
        <v>283</v>
      </c>
      <c r="F157" s="3"/>
      <c r="G157" s="3" t="s">
        <v>1417</v>
      </c>
      <c r="H157" s="3">
        <v>1973</v>
      </c>
      <c r="I157" s="3">
        <v>1997</v>
      </c>
      <c r="J157" s="3" t="s">
        <v>1416</v>
      </c>
      <c r="K157" s="4" t="s">
        <v>1412</v>
      </c>
      <c r="L157" s="56" t="s">
        <v>290</v>
      </c>
      <c r="M157" s="6">
        <v>120</v>
      </c>
      <c r="N157" s="57">
        <v>0.85</v>
      </c>
      <c r="O157" s="57">
        <v>0.86599999999999999</v>
      </c>
      <c r="P157" s="57">
        <v>0.92500000000000004</v>
      </c>
      <c r="Q157" s="57">
        <v>0.95199999999999996</v>
      </c>
      <c r="R157" s="7">
        <v>1133987</v>
      </c>
      <c r="S157" s="7">
        <v>992959</v>
      </c>
      <c r="T157" s="7">
        <f t="shared" si="88"/>
        <v>337361.13250000001</v>
      </c>
      <c r="U157" s="7">
        <v>651533</v>
      </c>
      <c r="V157" s="7">
        <f t="shared" si="89"/>
        <v>341426</v>
      </c>
      <c r="W157" s="7">
        <v>5829</v>
      </c>
      <c r="X157" s="58">
        <f t="shared" si="90"/>
        <v>763361.13250000007</v>
      </c>
      <c r="Y157" s="25">
        <f t="shared" si="91"/>
        <v>337361.13250000001</v>
      </c>
      <c r="Z157" s="25">
        <v>426000</v>
      </c>
      <c r="AA157" s="7">
        <f t="shared" si="92"/>
        <v>566959</v>
      </c>
      <c r="AB157" s="7">
        <f t="shared" si="93"/>
        <v>0</v>
      </c>
      <c r="AC157" s="7">
        <f t="shared" si="94"/>
        <v>566959</v>
      </c>
      <c r="AD157" s="59">
        <f t="shared" si="95"/>
        <v>426000</v>
      </c>
      <c r="AE157" s="59">
        <f t="shared" si="96"/>
        <v>0</v>
      </c>
      <c r="AF157" s="60">
        <f t="shared" si="97"/>
        <v>566959</v>
      </c>
      <c r="AG157" s="60">
        <f t="shared" si="98"/>
        <v>0</v>
      </c>
      <c r="AH157" s="7">
        <v>373000</v>
      </c>
      <c r="AI157" s="7">
        <v>185000</v>
      </c>
      <c r="AJ157" s="11" t="s">
        <v>1520</v>
      </c>
      <c r="AK157" s="61">
        <v>289219</v>
      </c>
      <c r="AL157" s="8"/>
      <c r="AM157" s="8"/>
    </row>
    <row r="158" spans="1:39" x14ac:dyDescent="0.2">
      <c r="A158" s="1" t="s">
        <v>1412</v>
      </c>
      <c r="B158" s="1"/>
      <c r="C158" s="1">
        <v>1926</v>
      </c>
      <c r="D158" s="3" t="s">
        <v>291</v>
      </c>
      <c r="E158" s="3" t="s">
        <v>292</v>
      </c>
      <c r="F158" s="3" t="s">
        <v>1415</v>
      </c>
      <c r="G158" s="3" t="s">
        <v>1412</v>
      </c>
      <c r="H158" s="3">
        <v>1985</v>
      </c>
      <c r="I158" s="3"/>
      <c r="J158" s="3" t="s">
        <v>1512</v>
      </c>
      <c r="K158" s="4"/>
      <c r="L158" s="56" t="s">
        <v>1545</v>
      </c>
      <c r="M158" s="6">
        <v>11</v>
      </c>
      <c r="N158" s="57">
        <v>0.98</v>
      </c>
      <c r="O158" s="57">
        <v>0.98</v>
      </c>
      <c r="P158" s="57">
        <v>1</v>
      </c>
      <c r="Q158" s="57">
        <v>1</v>
      </c>
      <c r="R158" s="7"/>
      <c r="S158" s="7">
        <v>245808</v>
      </c>
      <c r="T158" s="7">
        <f t="shared" si="88"/>
        <v>47662.171199999997</v>
      </c>
      <c r="U158" s="7">
        <v>208925</v>
      </c>
      <c r="V158" s="7">
        <f t="shared" si="89"/>
        <v>36883</v>
      </c>
      <c r="W158" s="7">
        <v>1600</v>
      </c>
      <c r="X158" s="58">
        <f t="shared" si="90"/>
        <v>0</v>
      </c>
      <c r="Y158" s="25">
        <f t="shared" si="91"/>
        <v>0</v>
      </c>
      <c r="Z158" s="25"/>
      <c r="AA158" s="7">
        <f t="shared" si="92"/>
        <v>293470.17119999998</v>
      </c>
      <c r="AB158" s="7">
        <f t="shared" si="93"/>
        <v>47662.171199999997</v>
      </c>
      <c r="AC158" s="7">
        <f t="shared" si="94"/>
        <v>245808</v>
      </c>
      <c r="AD158" s="59">
        <f t="shared" si="95"/>
        <v>0</v>
      </c>
      <c r="AE158" s="59">
        <f t="shared" si="96"/>
        <v>0</v>
      </c>
      <c r="AF158" s="60">
        <f t="shared" si="97"/>
        <v>0</v>
      </c>
      <c r="AG158" s="60">
        <f t="shared" si="98"/>
        <v>245808</v>
      </c>
      <c r="AH158" s="7">
        <v>0</v>
      </c>
      <c r="AI158" s="7">
        <v>0</v>
      </c>
      <c r="AJ158" s="3"/>
      <c r="AK158" s="3"/>
      <c r="AL158" s="8"/>
      <c r="AM158" s="8"/>
    </row>
    <row r="159" spans="1:39" x14ac:dyDescent="0.2">
      <c r="A159" s="1" t="s">
        <v>1412</v>
      </c>
      <c r="B159" s="1"/>
      <c r="C159" s="1">
        <v>3527</v>
      </c>
      <c r="D159" s="3" t="s">
        <v>293</v>
      </c>
      <c r="E159" s="3" t="s">
        <v>294</v>
      </c>
      <c r="F159" s="3" t="s">
        <v>1415</v>
      </c>
      <c r="G159" s="3" t="s">
        <v>1412</v>
      </c>
      <c r="H159" s="3">
        <v>1977</v>
      </c>
      <c r="I159" s="3"/>
      <c r="J159" s="3" t="s">
        <v>1512</v>
      </c>
      <c r="K159" s="4" t="s">
        <v>1417</v>
      </c>
      <c r="L159" s="56" t="s">
        <v>1545</v>
      </c>
      <c r="M159" s="6">
        <v>20</v>
      </c>
      <c r="N159" s="57">
        <v>0.95499999999999996</v>
      </c>
      <c r="O159" s="57">
        <v>0.95499999999999996</v>
      </c>
      <c r="P159" s="57">
        <v>0.91</v>
      </c>
      <c r="Q159" s="57">
        <v>0.95499999999999996</v>
      </c>
      <c r="R159" s="7"/>
      <c r="S159" s="7">
        <v>114051</v>
      </c>
      <c r="T159" s="7">
        <f t="shared" si="88"/>
        <v>22114.4889</v>
      </c>
      <c r="U159" s="7">
        <v>78587</v>
      </c>
      <c r="V159" s="7">
        <f t="shared" si="89"/>
        <v>35464</v>
      </c>
      <c r="W159" s="7">
        <v>548</v>
      </c>
      <c r="X159" s="58">
        <f t="shared" si="90"/>
        <v>0</v>
      </c>
      <c r="Y159" s="25">
        <f t="shared" si="91"/>
        <v>0</v>
      </c>
      <c r="Z159" s="25"/>
      <c r="AA159" s="7">
        <f t="shared" si="92"/>
        <v>136165.4889</v>
      </c>
      <c r="AB159" s="7">
        <f t="shared" si="93"/>
        <v>22114.4889</v>
      </c>
      <c r="AC159" s="7">
        <f t="shared" si="94"/>
        <v>114051</v>
      </c>
      <c r="AD159" s="59">
        <f t="shared" si="95"/>
        <v>0</v>
      </c>
      <c r="AE159" s="59">
        <f t="shared" si="96"/>
        <v>0</v>
      </c>
      <c r="AF159" s="60">
        <f t="shared" si="97"/>
        <v>0</v>
      </c>
      <c r="AG159" s="60">
        <f t="shared" si="98"/>
        <v>114051</v>
      </c>
      <c r="AH159" s="7">
        <v>0</v>
      </c>
      <c r="AI159" s="7">
        <v>0</v>
      </c>
      <c r="AJ159" s="3"/>
      <c r="AK159" s="3"/>
      <c r="AL159" s="8"/>
      <c r="AM159" s="8"/>
    </row>
    <row r="160" spans="1:39" x14ac:dyDescent="0.2">
      <c r="A160" s="1" t="s">
        <v>1412</v>
      </c>
      <c r="B160" s="1"/>
      <c r="C160" s="1">
        <v>2717</v>
      </c>
      <c r="D160" s="3" t="s">
        <v>295</v>
      </c>
      <c r="E160" s="3" t="s">
        <v>296</v>
      </c>
      <c r="F160" s="3" t="s">
        <v>1548</v>
      </c>
      <c r="G160" s="3" t="s">
        <v>1412</v>
      </c>
      <c r="H160" s="3">
        <v>1980</v>
      </c>
      <c r="I160" s="3"/>
      <c r="J160" s="3" t="s">
        <v>1416</v>
      </c>
      <c r="K160" s="4" t="s">
        <v>1412</v>
      </c>
      <c r="L160" s="56" t="s">
        <v>297</v>
      </c>
      <c r="M160" s="6">
        <v>101</v>
      </c>
      <c r="N160" s="57">
        <v>0.68500000000000005</v>
      </c>
      <c r="O160" s="57">
        <v>0.70599999999999996</v>
      </c>
      <c r="P160" s="57">
        <v>0.72799999999999998</v>
      </c>
      <c r="Q160" s="57">
        <v>0.78600000000000003</v>
      </c>
      <c r="R160" s="7">
        <v>861645</v>
      </c>
      <c r="S160" s="7">
        <v>758176</v>
      </c>
      <c r="T160" s="7">
        <f t="shared" si="88"/>
        <v>256339.38749999998</v>
      </c>
      <c r="U160" s="7">
        <v>480230</v>
      </c>
      <c r="V160" s="7">
        <f t="shared" si="89"/>
        <v>277946</v>
      </c>
      <c r="W160" s="7">
        <v>4200</v>
      </c>
      <c r="X160" s="58">
        <f t="shared" si="90"/>
        <v>0</v>
      </c>
      <c r="Y160" s="25">
        <f t="shared" si="91"/>
        <v>0</v>
      </c>
      <c r="Z160" s="25"/>
      <c r="AA160" s="7">
        <f t="shared" si="92"/>
        <v>1014515.3875</v>
      </c>
      <c r="AB160" s="7">
        <f t="shared" si="93"/>
        <v>256339.38749999998</v>
      </c>
      <c r="AC160" s="7">
        <f t="shared" si="94"/>
        <v>758176</v>
      </c>
      <c r="AD160" s="59">
        <f t="shared" si="95"/>
        <v>0</v>
      </c>
      <c r="AE160" s="59">
        <f t="shared" si="96"/>
        <v>0</v>
      </c>
      <c r="AF160" s="60">
        <f t="shared" si="97"/>
        <v>758176</v>
      </c>
      <c r="AG160" s="60">
        <f t="shared" si="98"/>
        <v>0</v>
      </c>
      <c r="AH160" s="7">
        <v>593000</v>
      </c>
      <c r="AI160" s="7">
        <v>683000</v>
      </c>
      <c r="AJ160" s="11" t="s">
        <v>1419</v>
      </c>
      <c r="AK160" s="61">
        <v>556433</v>
      </c>
      <c r="AL160" s="8"/>
      <c r="AM160" s="8"/>
    </row>
    <row r="161" spans="1:39" x14ac:dyDescent="0.2">
      <c r="A161" s="1" t="s">
        <v>1412</v>
      </c>
      <c r="B161" s="1"/>
      <c r="C161" s="1">
        <v>9245</v>
      </c>
      <c r="D161" s="3" t="s">
        <v>298</v>
      </c>
      <c r="E161" s="3" t="s">
        <v>299</v>
      </c>
      <c r="F161" s="3" t="s">
        <v>1415</v>
      </c>
      <c r="G161" s="3" t="s">
        <v>1412</v>
      </c>
      <c r="H161" s="3">
        <v>1990</v>
      </c>
      <c r="I161" s="3"/>
      <c r="J161" s="3" t="s">
        <v>1416</v>
      </c>
      <c r="K161" s="4" t="s">
        <v>1417</v>
      </c>
      <c r="L161" s="56" t="s">
        <v>1545</v>
      </c>
      <c r="M161" s="6">
        <v>112</v>
      </c>
      <c r="N161" s="57">
        <v>0.78600000000000003</v>
      </c>
      <c r="O161" s="57">
        <v>0.78600000000000003</v>
      </c>
      <c r="P161" s="57">
        <v>0.755</v>
      </c>
      <c r="Q161" s="57">
        <v>0.70599999999999996</v>
      </c>
      <c r="R161" s="7">
        <v>695498</v>
      </c>
      <c r="S161" s="7">
        <v>559188</v>
      </c>
      <c r="T161" s="7">
        <f t="shared" si="88"/>
        <v>206910.655</v>
      </c>
      <c r="U161" s="7">
        <v>310994</v>
      </c>
      <c r="V161" s="7">
        <f t="shared" si="89"/>
        <v>248194</v>
      </c>
      <c r="W161" s="7">
        <v>3155</v>
      </c>
      <c r="X161" s="58">
        <f t="shared" si="90"/>
        <v>0</v>
      </c>
      <c r="Y161" s="25">
        <f t="shared" si="91"/>
        <v>0</v>
      </c>
      <c r="Z161" s="25"/>
      <c r="AA161" s="7">
        <f t="shared" si="92"/>
        <v>766098.65500000003</v>
      </c>
      <c r="AB161" s="7">
        <f t="shared" si="93"/>
        <v>206910.655</v>
      </c>
      <c r="AC161" s="7">
        <f t="shared" si="94"/>
        <v>559188</v>
      </c>
      <c r="AD161" s="59">
        <f t="shared" si="95"/>
        <v>0</v>
      </c>
      <c r="AE161" s="59">
        <f t="shared" si="96"/>
        <v>0</v>
      </c>
      <c r="AF161" s="60">
        <f t="shared" si="97"/>
        <v>0</v>
      </c>
      <c r="AG161" s="60">
        <f t="shared" si="98"/>
        <v>559188</v>
      </c>
      <c r="AH161" s="7">
        <v>0</v>
      </c>
      <c r="AI161" s="7">
        <v>0</v>
      </c>
      <c r="AJ161" s="3"/>
      <c r="AK161" s="3"/>
      <c r="AL161" s="8"/>
      <c r="AM161" s="8"/>
    </row>
    <row r="162" spans="1:39" x14ac:dyDescent="0.2">
      <c r="A162" s="1" t="s">
        <v>1412</v>
      </c>
      <c r="B162" s="1"/>
      <c r="C162" s="1">
        <v>9250</v>
      </c>
      <c r="D162" s="64" t="s">
        <v>300</v>
      </c>
      <c r="E162" s="3" t="s">
        <v>301</v>
      </c>
      <c r="F162" s="3" t="s">
        <v>22</v>
      </c>
      <c r="G162" s="3" t="s">
        <v>1412</v>
      </c>
      <c r="H162" s="3">
        <v>1987</v>
      </c>
      <c r="I162" s="3"/>
      <c r="J162" s="3" t="s">
        <v>1416</v>
      </c>
      <c r="K162" s="4" t="s">
        <v>1417</v>
      </c>
      <c r="L162" s="56" t="s">
        <v>302</v>
      </c>
      <c r="M162" s="6">
        <v>112</v>
      </c>
      <c r="N162" s="57">
        <v>0.90300000000000002</v>
      </c>
      <c r="O162" s="57">
        <v>0.93100000000000005</v>
      </c>
      <c r="P162" s="57">
        <v>0.86499999999999999</v>
      </c>
      <c r="Q162" s="57">
        <v>0.91900000000000004</v>
      </c>
      <c r="R162" s="7">
        <v>1197680</v>
      </c>
      <c r="S162" s="7">
        <v>1105795</v>
      </c>
      <c r="T162" s="7">
        <f t="shared" si="88"/>
        <v>356309.8</v>
      </c>
      <c r="U162" s="7">
        <v>680555</v>
      </c>
      <c r="V162" s="7">
        <f t="shared" si="89"/>
        <v>425240</v>
      </c>
      <c r="W162" s="7">
        <v>7000</v>
      </c>
      <c r="X162" s="58">
        <f t="shared" si="90"/>
        <v>0</v>
      </c>
      <c r="Y162" s="25">
        <f t="shared" si="91"/>
        <v>0</v>
      </c>
      <c r="Z162" s="25"/>
      <c r="AA162" s="7">
        <f t="shared" si="92"/>
        <v>1462104.8</v>
      </c>
      <c r="AB162" s="7">
        <f t="shared" si="93"/>
        <v>356309.8</v>
      </c>
      <c r="AC162" s="7">
        <f t="shared" si="94"/>
        <v>1105795</v>
      </c>
      <c r="AD162" s="59">
        <f t="shared" si="95"/>
        <v>0</v>
      </c>
      <c r="AE162" s="59">
        <f t="shared" si="96"/>
        <v>0</v>
      </c>
      <c r="AF162" s="60">
        <f t="shared" si="97"/>
        <v>0</v>
      </c>
      <c r="AG162" s="60">
        <f t="shared" si="98"/>
        <v>1105795</v>
      </c>
      <c r="AH162" s="7">
        <v>0</v>
      </c>
      <c r="AI162" s="7">
        <v>0</v>
      </c>
      <c r="AJ162" s="11" t="s">
        <v>1419</v>
      </c>
      <c r="AK162" s="61">
        <v>822693</v>
      </c>
      <c r="AL162" s="8"/>
      <c r="AM162" s="8"/>
    </row>
    <row r="163" spans="1:39" x14ac:dyDescent="0.2">
      <c r="A163" s="1" t="s">
        <v>10</v>
      </c>
      <c r="B163" s="1" t="s">
        <v>1412</v>
      </c>
      <c r="C163" s="1">
        <v>4831</v>
      </c>
      <c r="D163" s="65" t="s">
        <v>303</v>
      </c>
      <c r="E163" s="63" t="s">
        <v>185</v>
      </c>
      <c r="F163" s="3" t="s">
        <v>125</v>
      </c>
      <c r="G163" s="3" t="s">
        <v>1412</v>
      </c>
      <c r="H163" s="3">
        <v>1971</v>
      </c>
      <c r="I163" s="3"/>
      <c r="J163" s="3" t="s">
        <v>1416</v>
      </c>
      <c r="K163" s="4" t="s">
        <v>1417</v>
      </c>
      <c r="L163" s="56" t="s">
        <v>126</v>
      </c>
      <c r="M163" s="6">
        <v>126</v>
      </c>
      <c r="N163" s="57">
        <v>0.92700000000000005</v>
      </c>
      <c r="O163" s="57">
        <v>0.93799999999999994</v>
      </c>
      <c r="P163" s="57">
        <v>0.92500000000000004</v>
      </c>
      <c r="Q163" s="57">
        <v>0.95199999999999996</v>
      </c>
      <c r="R163" s="7">
        <v>1151275</v>
      </c>
      <c r="S163" s="7">
        <v>950000</v>
      </c>
      <c r="T163" s="7">
        <f t="shared" si="88"/>
        <v>342504.3125</v>
      </c>
      <c r="U163" s="7">
        <v>665100</v>
      </c>
      <c r="V163" s="7">
        <f t="shared" si="89"/>
        <v>284900</v>
      </c>
      <c r="W163" s="7">
        <v>5000</v>
      </c>
      <c r="X163" s="58">
        <f t="shared" si="90"/>
        <v>698504.3125</v>
      </c>
      <c r="Y163" s="25">
        <f t="shared" si="91"/>
        <v>342504.3125</v>
      </c>
      <c r="Z163" s="25">
        <v>356000</v>
      </c>
      <c r="AA163" s="7">
        <f t="shared" si="92"/>
        <v>594000</v>
      </c>
      <c r="AB163" s="7">
        <f t="shared" si="93"/>
        <v>0</v>
      </c>
      <c r="AC163" s="7">
        <f t="shared" si="94"/>
        <v>594000</v>
      </c>
      <c r="AD163" s="59">
        <f t="shared" si="95"/>
        <v>0</v>
      </c>
      <c r="AE163" s="59">
        <f t="shared" si="96"/>
        <v>356000</v>
      </c>
      <c r="AF163" s="60">
        <f t="shared" si="97"/>
        <v>0</v>
      </c>
      <c r="AG163" s="60">
        <f t="shared" si="98"/>
        <v>594000</v>
      </c>
      <c r="AH163" s="7">
        <v>0</v>
      </c>
      <c r="AI163" s="7">
        <v>0</v>
      </c>
      <c r="AJ163" s="11" t="s">
        <v>1419</v>
      </c>
      <c r="AK163" s="61">
        <v>28050</v>
      </c>
      <c r="AL163" s="8"/>
      <c r="AM163" s="8"/>
    </row>
    <row r="164" spans="1:39" x14ac:dyDescent="0.2">
      <c r="A164" s="1" t="s">
        <v>1412</v>
      </c>
      <c r="B164" s="1"/>
      <c r="C164" s="1">
        <v>544</v>
      </c>
      <c r="D164" s="3" t="s">
        <v>304</v>
      </c>
      <c r="E164" s="3" t="s">
        <v>305</v>
      </c>
      <c r="F164" s="3" t="s">
        <v>1548</v>
      </c>
      <c r="G164" s="3" t="s">
        <v>1412</v>
      </c>
      <c r="H164" s="3">
        <v>1988</v>
      </c>
      <c r="I164" s="3"/>
      <c r="J164" s="3" t="s">
        <v>1512</v>
      </c>
      <c r="K164" s="4"/>
      <c r="L164" s="56" t="s">
        <v>188</v>
      </c>
      <c r="M164" s="6">
        <v>22</v>
      </c>
      <c r="N164" s="57">
        <v>0.91500000000000004</v>
      </c>
      <c r="O164" s="57">
        <v>0.91500000000000004</v>
      </c>
      <c r="P164" s="57">
        <v>0.97899999999999998</v>
      </c>
      <c r="Q164" s="57">
        <v>0.92100000000000004</v>
      </c>
      <c r="R164" s="7"/>
      <c r="S164" s="7">
        <v>198133</v>
      </c>
      <c r="T164" s="7">
        <f t="shared" si="88"/>
        <v>38417.988699999994</v>
      </c>
      <c r="U164" s="7">
        <v>118304</v>
      </c>
      <c r="V164" s="7">
        <f t="shared" si="89"/>
        <v>79829</v>
      </c>
      <c r="W164" s="7">
        <v>991</v>
      </c>
      <c r="X164" s="58">
        <f t="shared" si="90"/>
        <v>0</v>
      </c>
      <c r="Y164" s="25">
        <f t="shared" si="91"/>
        <v>0</v>
      </c>
      <c r="Z164" s="25"/>
      <c r="AA164" s="7">
        <f t="shared" si="92"/>
        <v>236550.98869999999</v>
      </c>
      <c r="AB164" s="7">
        <f t="shared" si="93"/>
        <v>38417.988699999994</v>
      </c>
      <c r="AC164" s="7">
        <f t="shared" si="94"/>
        <v>198133</v>
      </c>
      <c r="AD164" s="59">
        <f t="shared" si="95"/>
        <v>0</v>
      </c>
      <c r="AE164" s="59">
        <f t="shared" si="96"/>
        <v>0</v>
      </c>
      <c r="AF164" s="60">
        <f t="shared" si="97"/>
        <v>0</v>
      </c>
      <c r="AG164" s="60">
        <f t="shared" si="98"/>
        <v>198133</v>
      </c>
      <c r="AH164" s="7">
        <v>0</v>
      </c>
      <c r="AI164" s="7">
        <v>0</v>
      </c>
      <c r="AJ164" s="3"/>
      <c r="AK164" s="3"/>
      <c r="AL164" s="8"/>
      <c r="AM164" s="8"/>
    </row>
    <row r="165" spans="1:39" x14ac:dyDescent="0.2">
      <c r="A165" s="1" t="s">
        <v>1412</v>
      </c>
      <c r="B165" s="1"/>
      <c r="C165" s="1">
        <v>2525</v>
      </c>
      <c r="D165" s="3" t="s">
        <v>306</v>
      </c>
      <c r="E165" s="3" t="s">
        <v>307</v>
      </c>
      <c r="F165" s="3" t="s">
        <v>1415</v>
      </c>
      <c r="G165" s="3" t="s">
        <v>1412</v>
      </c>
      <c r="H165" s="3">
        <v>1974</v>
      </c>
      <c r="I165" s="3"/>
      <c r="J165" s="3" t="s">
        <v>1512</v>
      </c>
      <c r="K165" s="4" t="s">
        <v>1417</v>
      </c>
      <c r="L165" s="56" t="s">
        <v>188</v>
      </c>
      <c r="M165" s="6">
        <v>18</v>
      </c>
      <c r="N165" s="57">
        <v>0.79700000000000004</v>
      </c>
      <c r="O165" s="57">
        <v>0.95499999999999996</v>
      </c>
      <c r="P165" s="57">
        <v>0.89900000000000002</v>
      </c>
      <c r="Q165" s="57">
        <v>1</v>
      </c>
      <c r="R165" s="7"/>
      <c r="S165" s="7">
        <v>182666</v>
      </c>
      <c r="T165" s="7">
        <f t="shared" si="88"/>
        <v>35418.937399999995</v>
      </c>
      <c r="U165" s="7">
        <v>124028</v>
      </c>
      <c r="V165" s="7">
        <f t="shared" si="89"/>
        <v>58638</v>
      </c>
      <c r="W165" s="7">
        <v>1077</v>
      </c>
      <c r="X165" s="58">
        <f t="shared" si="90"/>
        <v>0</v>
      </c>
      <c r="Y165" s="25">
        <f t="shared" si="91"/>
        <v>0</v>
      </c>
      <c r="Z165" s="25"/>
      <c r="AA165" s="7">
        <f t="shared" si="92"/>
        <v>218084.9374</v>
      </c>
      <c r="AB165" s="7">
        <f t="shared" si="93"/>
        <v>35418.937399999995</v>
      </c>
      <c r="AC165" s="7">
        <f t="shared" si="94"/>
        <v>182666</v>
      </c>
      <c r="AD165" s="59">
        <f t="shared" si="95"/>
        <v>0</v>
      </c>
      <c r="AE165" s="59">
        <f t="shared" si="96"/>
        <v>0</v>
      </c>
      <c r="AF165" s="60">
        <f t="shared" si="97"/>
        <v>0</v>
      </c>
      <c r="AG165" s="60">
        <f t="shared" si="98"/>
        <v>182666</v>
      </c>
      <c r="AH165" s="7">
        <v>0</v>
      </c>
      <c r="AI165" s="7">
        <v>0</v>
      </c>
      <c r="AJ165" s="3"/>
      <c r="AK165" s="3"/>
      <c r="AL165" s="8"/>
      <c r="AM165" s="8"/>
    </row>
    <row r="166" spans="1:39" x14ac:dyDescent="0.2">
      <c r="A166" s="1" t="s">
        <v>10</v>
      </c>
      <c r="B166" s="1" t="s">
        <v>1412</v>
      </c>
      <c r="C166" s="1">
        <v>2743</v>
      </c>
      <c r="D166" s="62" t="s">
        <v>308</v>
      </c>
      <c r="E166" s="3" t="s">
        <v>309</v>
      </c>
      <c r="F166" s="3" t="s">
        <v>1415</v>
      </c>
      <c r="G166" s="3" t="s">
        <v>1412</v>
      </c>
      <c r="H166" s="3">
        <v>1983</v>
      </c>
      <c r="I166" s="3"/>
      <c r="J166" s="3" t="s">
        <v>1416</v>
      </c>
      <c r="K166" s="4" t="s">
        <v>1412</v>
      </c>
      <c r="L166" s="56" t="s">
        <v>310</v>
      </c>
      <c r="M166" s="6">
        <v>106</v>
      </c>
      <c r="N166" s="57">
        <v>0.90900000000000003</v>
      </c>
      <c r="O166" s="57">
        <v>0.91200000000000003</v>
      </c>
      <c r="P166" s="57">
        <v>0.94899999999999995</v>
      </c>
      <c r="Q166" s="57">
        <v>0.92800000000000005</v>
      </c>
      <c r="R166" s="7">
        <v>748702</v>
      </c>
      <c r="S166" s="7">
        <v>664092</v>
      </c>
      <c r="T166" s="7">
        <f t="shared" si="88"/>
        <v>222738.845</v>
      </c>
      <c r="U166" s="7">
        <v>445389</v>
      </c>
      <c r="V166" s="7">
        <f t="shared" si="89"/>
        <v>218703</v>
      </c>
      <c r="W166" s="7">
        <v>3270</v>
      </c>
      <c r="X166" s="58">
        <f t="shared" si="90"/>
        <v>677872.84499999997</v>
      </c>
      <c r="Y166" s="25">
        <f t="shared" si="91"/>
        <v>222738.845</v>
      </c>
      <c r="Z166" s="25">
        <v>455134</v>
      </c>
      <c r="AA166" s="7">
        <f t="shared" si="92"/>
        <v>208958</v>
      </c>
      <c r="AB166" s="7">
        <f t="shared" si="93"/>
        <v>0</v>
      </c>
      <c r="AC166" s="7">
        <f t="shared" si="94"/>
        <v>208958</v>
      </c>
      <c r="AD166" s="59">
        <f t="shared" si="95"/>
        <v>455134</v>
      </c>
      <c r="AE166" s="59">
        <f t="shared" si="96"/>
        <v>0</v>
      </c>
      <c r="AF166" s="60">
        <f t="shared" si="97"/>
        <v>208958</v>
      </c>
      <c r="AG166" s="60">
        <f t="shared" si="98"/>
        <v>0</v>
      </c>
      <c r="AH166" s="7">
        <v>326000</v>
      </c>
      <c r="AI166" s="7">
        <v>281000</v>
      </c>
      <c r="AJ166" s="11" t="s">
        <v>1419</v>
      </c>
      <c r="AK166" s="61">
        <v>861468</v>
      </c>
      <c r="AL166" s="8"/>
      <c r="AM166" s="8"/>
    </row>
    <row r="167" spans="1:39" x14ac:dyDescent="0.2">
      <c r="A167" s="1" t="s">
        <v>1412</v>
      </c>
      <c r="B167" s="1"/>
      <c r="C167" s="1">
        <v>4668</v>
      </c>
      <c r="D167" s="3" t="s">
        <v>311</v>
      </c>
      <c r="E167" s="3" t="s">
        <v>312</v>
      </c>
      <c r="F167" s="3" t="s">
        <v>165</v>
      </c>
      <c r="G167" s="3" t="s">
        <v>1412</v>
      </c>
      <c r="H167" s="3">
        <v>1997</v>
      </c>
      <c r="I167" s="3"/>
      <c r="J167" s="3" t="s">
        <v>1416</v>
      </c>
      <c r="K167" s="4" t="s">
        <v>1417</v>
      </c>
      <c r="L167" s="56" t="s">
        <v>313</v>
      </c>
      <c r="M167" s="6">
        <v>76</v>
      </c>
      <c r="N167" s="57">
        <v>0.82099999999999995</v>
      </c>
      <c r="O167" s="57">
        <v>0.84699999999999998</v>
      </c>
      <c r="P167" s="57">
        <v>0.9</v>
      </c>
      <c r="Q167" s="57">
        <v>0.95199999999999996</v>
      </c>
      <c r="R167" s="7">
        <v>877189</v>
      </c>
      <c r="S167" s="7">
        <v>721715</v>
      </c>
      <c r="T167" s="7">
        <f t="shared" si="88"/>
        <v>260963.72749999998</v>
      </c>
      <c r="U167" s="7">
        <v>535500</v>
      </c>
      <c r="V167" s="7">
        <f t="shared" si="89"/>
        <v>186215</v>
      </c>
      <c r="W167" s="7">
        <v>2000</v>
      </c>
      <c r="X167" s="58">
        <f t="shared" si="90"/>
        <v>0</v>
      </c>
      <c r="Y167" s="25">
        <f t="shared" si="91"/>
        <v>0</v>
      </c>
      <c r="Z167" s="25"/>
      <c r="AA167" s="7">
        <f t="shared" si="92"/>
        <v>982678.72750000004</v>
      </c>
      <c r="AB167" s="7">
        <f t="shared" si="93"/>
        <v>260963.72749999998</v>
      </c>
      <c r="AC167" s="7">
        <f t="shared" si="94"/>
        <v>721715</v>
      </c>
      <c r="AD167" s="59">
        <f t="shared" si="95"/>
        <v>0</v>
      </c>
      <c r="AE167" s="59">
        <f t="shared" si="96"/>
        <v>0</v>
      </c>
      <c r="AF167" s="60">
        <f t="shared" si="97"/>
        <v>0</v>
      </c>
      <c r="AG167" s="60">
        <f t="shared" si="98"/>
        <v>721715</v>
      </c>
      <c r="AH167" s="7">
        <v>0</v>
      </c>
      <c r="AI167" s="7">
        <v>0</v>
      </c>
      <c r="AJ167" s="11" t="s">
        <v>1419</v>
      </c>
      <c r="AK167" s="61">
        <v>747373</v>
      </c>
      <c r="AL167" s="8"/>
      <c r="AM167" s="8"/>
    </row>
    <row r="168" spans="1:39" x14ac:dyDescent="0.2">
      <c r="A168" s="1"/>
      <c r="B168" s="1" t="s">
        <v>1412</v>
      </c>
      <c r="C168" s="1">
        <v>2905</v>
      </c>
      <c r="D168" s="3" t="s">
        <v>314</v>
      </c>
      <c r="E168" s="3"/>
      <c r="F168" s="3"/>
      <c r="G168" s="3" t="s">
        <v>1417</v>
      </c>
      <c r="H168" s="3"/>
      <c r="I168" s="3"/>
      <c r="J168" s="3"/>
      <c r="K168" s="4"/>
      <c r="L168" s="56"/>
      <c r="M168" s="6"/>
      <c r="N168" s="57"/>
      <c r="O168" s="57"/>
      <c r="P168" s="57"/>
      <c r="Q168" s="57"/>
      <c r="R168" s="7"/>
      <c r="S168" s="7"/>
      <c r="T168" s="7"/>
      <c r="U168" s="7"/>
      <c r="V168" s="7"/>
      <c r="W168" s="7"/>
      <c r="X168" s="58"/>
      <c r="Y168" s="25"/>
      <c r="Z168" s="25"/>
      <c r="AA168" s="7"/>
      <c r="AB168" s="7"/>
      <c r="AC168" s="7"/>
      <c r="AD168" s="59"/>
      <c r="AE168" s="59"/>
      <c r="AF168" s="60"/>
      <c r="AG168" s="60"/>
      <c r="AH168" s="7">
        <v>308000</v>
      </c>
      <c r="AI168" s="7">
        <v>314000</v>
      </c>
      <c r="AJ168" s="11" t="s">
        <v>1419</v>
      </c>
      <c r="AK168" s="61">
        <v>144386</v>
      </c>
      <c r="AL168" s="8"/>
      <c r="AM168" s="8"/>
    </row>
    <row r="169" spans="1:39" x14ac:dyDescent="0.2">
      <c r="A169" s="1" t="s">
        <v>1412</v>
      </c>
      <c r="B169" s="1"/>
      <c r="C169" s="1">
        <v>4832</v>
      </c>
      <c r="D169" s="63" t="s">
        <v>315</v>
      </c>
      <c r="E169" s="63" t="s">
        <v>316</v>
      </c>
      <c r="F169" s="3" t="s">
        <v>1539</v>
      </c>
      <c r="G169" s="3" t="s">
        <v>1412</v>
      </c>
      <c r="H169" s="3">
        <v>1976</v>
      </c>
      <c r="I169" s="3"/>
      <c r="J169" s="3" t="s">
        <v>1416</v>
      </c>
      <c r="K169" s="4" t="s">
        <v>1417</v>
      </c>
      <c r="L169" s="56" t="s">
        <v>199</v>
      </c>
      <c r="M169" s="6">
        <v>113</v>
      </c>
      <c r="N169" s="57">
        <v>0.97099999999999997</v>
      </c>
      <c r="O169" s="57">
        <v>0.96</v>
      </c>
      <c r="P169" s="57">
        <v>0.92500000000000004</v>
      </c>
      <c r="Q169" s="57">
        <v>0.95199999999999996</v>
      </c>
      <c r="R169" s="7">
        <v>999838</v>
      </c>
      <c r="S169" s="7">
        <v>870000</v>
      </c>
      <c r="T169" s="7">
        <f t="shared" ref="T169:T194" si="99">IF(J169="regional",IF(R169&gt;0,R169*0.2975,S169*0.3484),S169*0.1939)</f>
        <v>297451.80499999999</v>
      </c>
      <c r="U169" s="7">
        <v>596500</v>
      </c>
      <c r="V169" s="7">
        <f t="shared" ref="V169:V194" si="100">S169-U169</f>
        <v>273500</v>
      </c>
      <c r="W169" s="7">
        <v>4700</v>
      </c>
      <c r="X169" s="58">
        <f t="shared" ref="X169:X194" si="101">Y169+Z169</f>
        <v>0</v>
      </c>
      <c r="Y169" s="25">
        <f t="shared" ref="Y169:Y194" si="102">IF(B169="y",T169,0)</f>
        <v>0</v>
      </c>
      <c r="Z169" s="25"/>
      <c r="AA169" s="7">
        <f t="shared" ref="AA169:AA194" si="103">AB169+AC169</f>
        <v>1167451.8049999999</v>
      </c>
      <c r="AB169" s="7">
        <f t="shared" ref="AB169:AB194" si="104">IF(B169="y",0,T169)</f>
        <v>297451.80499999999</v>
      </c>
      <c r="AC169" s="7">
        <f t="shared" ref="AC169:AC194" si="105">S169-Z169</f>
        <v>870000</v>
      </c>
      <c r="AD169" s="59">
        <f t="shared" ref="AD169:AD194" si="106">IF(K169="y",Z169,0)</f>
        <v>0</v>
      </c>
      <c r="AE169" s="59">
        <f t="shared" ref="AE169:AE194" si="107">IF($K169="",Z169,0)+IF($K169="n",Z169,0)</f>
        <v>0</v>
      </c>
      <c r="AF169" s="60">
        <f t="shared" ref="AF169:AF194" si="108">IF($K169="y",AC169,0)</f>
        <v>0</v>
      </c>
      <c r="AG169" s="60">
        <f t="shared" ref="AG169:AG194" si="109">IF($K169="",AC169,0)+IF($K169="n",AC169,0)</f>
        <v>870000</v>
      </c>
      <c r="AH169" s="7">
        <v>0</v>
      </c>
      <c r="AI169" s="7">
        <v>0</v>
      </c>
      <c r="AJ169" s="11" t="s">
        <v>1541</v>
      </c>
      <c r="AK169" s="61">
        <v>26383</v>
      </c>
      <c r="AL169" s="8"/>
      <c r="AM169" s="8"/>
    </row>
    <row r="170" spans="1:39" x14ac:dyDescent="0.2">
      <c r="A170" s="1" t="s">
        <v>1412</v>
      </c>
      <c r="B170" s="1"/>
      <c r="C170" s="1">
        <v>1625</v>
      </c>
      <c r="D170" s="64" t="s">
        <v>317</v>
      </c>
      <c r="E170" s="3" t="s">
        <v>318</v>
      </c>
      <c r="F170" s="3" t="s">
        <v>1415</v>
      </c>
      <c r="G170" s="3" t="s">
        <v>1417</v>
      </c>
      <c r="H170" s="3">
        <v>1988</v>
      </c>
      <c r="I170" s="3"/>
      <c r="J170" s="3" t="s">
        <v>275</v>
      </c>
      <c r="K170" s="4"/>
      <c r="L170" s="56"/>
      <c r="M170" s="6"/>
      <c r="R170" s="7"/>
      <c r="S170" s="7">
        <v>496058</v>
      </c>
      <c r="T170" s="7">
        <f t="shared" si="99"/>
        <v>96185.646199999988</v>
      </c>
      <c r="U170" s="7"/>
      <c r="V170" s="7">
        <f t="shared" si="100"/>
        <v>496058</v>
      </c>
      <c r="W170" s="7"/>
      <c r="X170" s="58">
        <f t="shared" si="101"/>
        <v>0</v>
      </c>
      <c r="Y170" s="25">
        <f t="shared" si="102"/>
        <v>0</v>
      </c>
      <c r="Z170" s="25"/>
      <c r="AA170" s="7">
        <f t="shared" si="103"/>
        <v>592243.64619999996</v>
      </c>
      <c r="AB170" s="7">
        <f t="shared" si="104"/>
        <v>96185.646199999988</v>
      </c>
      <c r="AC170" s="7">
        <f t="shared" si="105"/>
        <v>496058</v>
      </c>
      <c r="AD170" s="59">
        <f t="shared" si="106"/>
        <v>0</v>
      </c>
      <c r="AE170" s="59">
        <f t="shared" si="107"/>
        <v>0</v>
      </c>
      <c r="AF170" s="60">
        <f t="shared" si="108"/>
        <v>0</v>
      </c>
      <c r="AG170" s="60">
        <f t="shared" si="109"/>
        <v>496058</v>
      </c>
      <c r="AH170" s="7">
        <v>0</v>
      </c>
      <c r="AI170" s="7">
        <v>0</v>
      </c>
      <c r="AJ170" s="64"/>
      <c r="AK170" s="64"/>
      <c r="AL170" s="8"/>
      <c r="AM170" s="8"/>
    </row>
    <row r="171" spans="1:39" x14ac:dyDescent="0.2">
      <c r="A171" s="1" t="s">
        <v>1412</v>
      </c>
      <c r="B171" s="1"/>
      <c r="C171" s="1">
        <v>2924</v>
      </c>
      <c r="D171" s="3" t="s">
        <v>319</v>
      </c>
      <c r="E171" s="3" t="s">
        <v>1524</v>
      </c>
      <c r="F171" s="3" t="s">
        <v>1525</v>
      </c>
      <c r="G171" s="3" t="s">
        <v>1412</v>
      </c>
      <c r="H171" s="3">
        <v>1994</v>
      </c>
      <c r="I171" s="3"/>
      <c r="J171" s="3" t="s">
        <v>1416</v>
      </c>
      <c r="K171" s="4" t="s">
        <v>1417</v>
      </c>
      <c r="L171" s="56" t="s">
        <v>320</v>
      </c>
      <c r="M171" s="6">
        <v>100</v>
      </c>
      <c r="N171" s="57">
        <v>0.93600000000000005</v>
      </c>
      <c r="O171" s="57">
        <v>0.94599999999999995</v>
      </c>
      <c r="P171" s="57">
        <v>0.90900000000000003</v>
      </c>
      <c r="Q171" s="57">
        <v>0.90200000000000002</v>
      </c>
      <c r="R171" s="7">
        <v>1132074</v>
      </c>
      <c r="S171" s="7">
        <v>915836</v>
      </c>
      <c r="T171" s="7">
        <f t="shared" si="99"/>
        <v>336792.01500000001</v>
      </c>
      <c r="U171" s="7">
        <v>534180</v>
      </c>
      <c r="V171" s="7">
        <f t="shared" si="100"/>
        <v>381656</v>
      </c>
      <c r="W171" s="7">
        <v>4280</v>
      </c>
      <c r="X171" s="58">
        <f t="shared" si="101"/>
        <v>0</v>
      </c>
      <c r="Y171" s="25">
        <f t="shared" si="102"/>
        <v>0</v>
      </c>
      <c r="Z171" s="25"/>
      <c r="AA171" s="7">
        <f t="shared" si="103"/>
        <v>1252628.0150000001</v>
      </c>
      <c r="AB171" s="7">
        <f t="shared" si="104"/>
        <v>336792.01500000001</v>
      </c>
      <c r="AC171" s="7">
        <f t="shared" si="105"/>
        <v>915836</v>
      </c>
      <c r="AD171" s="59">
        <f t="shared" si="106"/>
        <v>0</v>
      </c>
      <c r="AE171" s="59">
        <f t="shared" si="107"/>
        <v>0</v>
      </c>
      <c r="AF171" s="60">
        <f t="shared" si="108"/>
        <v>0</v>
      </c>
      <c r="AG171" s="60">
        <f t="shared" si="109"/>
        <v>915836</v>
      </c>
      <c r="AH171" s="7">
        <v>0</v>
      </c>
      <c r="AI171" s="7">
        <v>0</v>
      </c>
      <c r="AJ171" s="11" t="s">
        <v>1419</v>
      </c>
      <c r="AK171" s="61">
        <v>694800</v>
      </c>
      <c r="AL171" s="8"/>
      <c r="AM171" s="8"/>
    </row>
    <row r="172" spans="1:39" x14ac:dyDescent="0.2">
      <c r="A172" s="1" t="s">
        <v>10</v>
      </c>
      <c r="B172" s="1" t="s">
        <v>1412</v>
      </c>
      <c r="C172" s="1">
        <v>4670</v>
      </c>
      <c r="D172" s="3" t="s">
        <v>321</v>
      </c>
      <c r="E172" s="3" t="s">
        <v>177</v>
      </c>
      <c r="F172" s="3" t="s">
        <v>1415</v>
      </c>
      <c r="G172" s="3" t="s">
        <v>1412</v>
      </c>
      <c r="H172" s="3">
        <v>1997</v>
      </c>
      <c r="I172" s="3"/>
      <c r="J172" s="3" t="s">
        <v>1416</v>
      </c>
      <c r="K172" s="4" t="s">
        <v>1417</v>
      </c>
      <c r="L172" s="56" t="s">
        <v>1545</v>
      </c>
      <c r="M172" s="6">
        <v>155</v>
      </c>
      <c r="N172" s="57">
        <v>0.91100000000000003</v>
      </c>
      <c r="O172" s="57">
        <v>0.91700000000000004</v>
      </c>
      <c r="P172" s="57">
        <v>0.96299999999999997</v>
      </c>
      <c r="Q172" s="57">
        <v>0.95199999999999996</v>
      </c>
      <c r="R172" s="7">
        <v>1456971</v>
      </c>
      <c r="S172" s="7">
        <v>1201464</v>
      </c>
      <c r="T172" s="7">
        <f t="shared" si="99"/>
        <v>433448.8725</v>
      </c>
      <c r="U172" s="7">
        <v>735737</v>
      </c>
      <c r="V172" s="7">
        <f t="shared" si="100"/>
        <v>465727</v>
      </c>
      <c r="W172" s="7">
        <v>6800</v>
      </c>
      <c r="X172" s="58">
        <f t="shared" si="101"/>
        <v>995448.87250000006</v>
      </c>
      <c r="Y172" s="25">
        <f t="shared" si="102"/>
        <v>433448.8725</v>
      </c>
      <c r="Z172" s="25">
        <v>562000</v>
      </c>
      <c r="AA172" s="7">
        <f t="shared" si="103"/>
        <v>639464</v>
      </c>
      <c r="AB172" s="7">
        <f t="shared" si="104"/>
        <v>0</v>
      </c>
      <c r="AC172" s="7">
        <f t="shared" si="105"/>
        <v>639464</v>
      </c>
      <c r="AD172" s="59">
        <f t="shared" si="106"/>
        <v>0</v>
      </c>
      <c r="AE172" s="59">
        <f t="shared" si="107"/>
        <v>562000</v>
      </c>
      <c r="AF172" s="60">
        <f t="shared" si="108"/>
        <v>0</v>
      </c>
      <c r="AG172" s="60">
        <f t="shared" si="109"/>
        <v>639464</v>
      </c>
      <c r="AH172" s="7">
        <v>0</v>
      </c>
      <c r="AI172" s="7">
        <v>0</v>
      </c>
      <c r="AJ172" s="3"/>
      <c r="AK172" s="3"/>
      <c r="AL172" s="8"/>
      <c r="AM172" s="8"/>
    </row>
    <row r="173" spans="1:39" x14ac:dyDescent="0.2">
      <c r="A173" s="1" t="s">
        <v>1412</v>
      </c>
      <c r="B173" s="1"/>
      <c r="C173" s="1">
        <v>4508</v>
      </c>
      <c r="D173" s="3" t="s">
        <v>322</v>
      </c>
      <c r="E173" s="3" t="s">
        <v>98</v>
      </c>
      <c r="F173" s="3" t="s">
        <v>1525</v>
      </c>
      <c r="G173" s="3" t="s">
        <v>1412</v>
      </c>
      <c r="H173" s="3">
        <v>1980</v>
      </c>
      <c r="I173" s="3"/>
      <c r="J173" s="3" t="s">
        <v>1416</v>
      </c>
      <c r="K173" s="4"/>
      <c r="L173" s="5" t="s">
        <v>99</v>
      </c>
      <c r="M173" s="6">
        <v>91</v>
      </c>
      <c r="N173" s="57">
        <v>0.97899999999999998</v>
      </c>
      <c r="O173" s="57">
        <v>0.98799999999999999</v>
      </c>
      <c r="P173" s="57">
        <v>1</v>
      </c>
      <c r="Q173" s="57">
        <v>0.96399999999999997</v>
      </c>
      <c r="R173" s="7">
        <v>661436</v>
      </c>
      <c r="S173" s="7">
        <v>560032</v>
      </c>
      <c r="T173" s="7">
        <f t="shared" si="99"/>
        <v>196777.21</v>
      </c>
      <c r="U173" s="7">
        <v>387378</v>
      </c>
      <c r="V173" s="7">
        <f t="shared" si="100"/>
        <v>172654</v>
      </c>
      <c r="W173" s="7">
        <v>3045</v>
      </c>
      <c r="X173" s="58">
        <f t="shared" si="101"/>
        <v>0</v>
      </c>
      <c r="Y173" s="25">
        <f t="shared" si="102"/>
        <v>0</v>
      </c>
      <c r="Z173" s="8"/>
      <c r="AA173" s="7">
        <f t="shared" si="103"/>
        <v>756809.21</v>
      </c>
      <c r="AB173" s="7">
        <f t="shared" si="104"/>
        <v>196777.21</v>
      </c>
      <c r="AC173" s="7">
        <f t="shared" si="105"/>
        <v>560032</v>
      </c>
      <c r="AD173" s="59">
        <f t="shared" si="106"/>
        <v>0</v>
      </c>
      <c r="AE173" s="59">
        <f t="shared" si="107"/>
        <v>0</v>
      </c>
      <c r="AF173" s="60">
        <f t="shared" si="108"/>
        <v>0</v>
      </c>
      <c r="AG173" s="60">
        <f t="shared" si="109"/>
        <v>560032</v>
      </c>
      <c r="AH173" s="7">
        <v>0</v>
      </c>
      <c r="AI173" s="7">
        <v>0</v>
      </c>
      <c r="AJ173" s="3"/>
      <c r="AK173" s="3"/>
      <c r="AL173" s="8"/>
      <c r="AM173" s="8"/>
    </row>
    <row r="174" spans="1:39" x14ac:dyDescent="0.2">
      <c r="A174" s="1" t="s">
        <v>1412</v>
      </c>
      <c r="B174" s="1"/>
      <c r="C174" s="1">
        <v>9363</v>
      </c>
      <c r="D174" s="3" t="s">
        <v>323</v>
      </c>
      <c r="E174" s="3" t="s">
        <v>324</v>
      </c>
      <c r="F174" s="3" t="s">
        <v>1525</v>
      </c>
      <c r="G174" s="3" t="s">
        <v>1417</v>
      </c>
      <c r="H174" s="3">
        <v>1967</v>
      </c>
      <c r="I174" s="3"/>
      <c r="J174" s="3" t="s">
        <v>1416</v>
      </c>
      <c r="K174" s="4" t="s">
        <v>1417</v>
      </c>
      <c r="L174" s="56" t="s">
        <v>325</v>
      </c>
      <c r="M174" s="6">
        <v>135</v>
      </c>
      <c r="N174" s="57">
        <v>0.93799999999999994</v>
      </c>
      <c r="O174" s="57">
        <v>0.93799999999999994</v>
      </c>
      <c r="P174" s="57">
        <v>0.90700000000000003</v>
      </c>
      <c r="Q174" s="57">
        <v>0.91500000000000004</v>
      </c>
      <c r="R174" s="7">
        <v>1280382</v>
      </c>
      <c r="S174" s="7">
        <v>1263212</v>
      </c>
      <c r="T174" s="7">
        <f t="shared" si="99"/>
        <v>380913.64499999996</v>
      </c>
      <c r="U174" s="7">
        <v>904288</v>
      </c>
      <c r="V174" s="7">
        <f t="shared" si="100"/>
        <v>358924</v>
      </c>
      <c r="W174" s="7">
        <v>3168</v>
      </c>
      <c r="X174" s="58">
        <f t="shared" si="101"/>
        <v>0</v>
      </c>
      <c r="Y174" s="25">
        <f t="shared" si="102"/>
        <v>0</v>
      </c>
      <c r="Z174" s="25"/>
      <c r="AA174" s="7">
        <f t="shared" si="103"/>
        <v>1644125.645</v>
      </c>
      <c r="AB174" s="7">
        <f t="shared" si="104"/>
        <v>380913.64499999996</v>
      </c>
      <c r="AC174" s="7">
        <f t="shared" si="105"/>
        <v>1263212</v>
      </c>
      <c r="AD174" s="59">
        <f t="shared" si="106"/>
        <v>0</v>
      </c>
      <c r="AE174" s="59">
        <f t="shared" si="107"/>
        <v>0</v>
      </c>
      <c r="AF174" s="60">
        <f t="shared" si="108"/>
        <v>0</v>
      </c>
      <c r="AG174" s="60">
        <f t="shared" si="109"/>
        <v>1263212</v>
      </c>
      <c r="AH174" s="7">
        <v>0</v>
      </c>
      <c r="AI174" s="7">
        <v>0</v>
      </c>
      <c r="AJ174" s="11" t="s">
        <v>1419</v>
      </c>
      <c r="AK174" s="61">
        <v>1024041</v>
      </c>
      <c r="AL174" s="8"/>
      <c r="AM174" s="8"/>
    </row>
    <row r="175" spans="1:39" x14ac:dyDescent="0.2">
      <c r="A175" s="1" t="s">
        <v>1412</v>
      </c>
      <c r="B175" s="1"/>
      <c r="C175" s="1">
        <v>1536</v>
      </c>
      <c r="D175" s="3" t="s">
        <v>326</v>
      </c>
      <c r="E175" s="3" t="s">
        <v>327</v>
      </c>
      <c r="F175" s="3" t="s">
        <v>328</v>
      </c>
      <c r="G175" s="3" t="s">
        <v>1412</v>
      </c>
      <c r="H175" s="3">
        <v>1968</v>
      </c>
      <c r="I175" s="3"/>
      <c r="J175" s="3" t="s">
        <v>1512</v>
      </c>
      <c r="K175" s="4"/>
      <c r="L175" s="56" t="s">
        <v>329</v>
      </c>
      <c r="M175" s="6">
        <v>4</v>
      </c>
      <c r="N175" s="57">
        <v>1</v>
      </c>
      <c r="O175" s="57">
        <v>1</v>
      </c>
      <c r="P175" s="57">
        <v>1</v>
      </c>
      <c r="Q175" s="57">
        <v>1</v>
      </c>
      <c r="R175" s="7"/>
      <c r="S175" s="7">
        <v>111101</v>
      </c>
      <c r="T175" s="7">
        <f t="shared" si="99"/>
        <v>21542.483899999999</v>
      </c>
      <c r="U175" s="7">
        <v>82398</v>
      </c>
      <c r="V175" s="7">
        <f t="shared" si="100"/>
        <v>28703</v>
      </c>
      <c r="W175" s="7">
        <v>752</v>
      </c>
      <c r="X175" s="58">
        <f t="shared" si="101"/>
        <v>0</v>
      </c>
      <c r="Y175" s="25">
        <f t="shared" si="102"/>
        <v>0</v>
      </c>
      <c r="Z175" s="25"/>
      <c r="AA175" s="7">
        <f t="shared" si="103"/>
        <v>132643.48389999999</v>
      </c>
      <c r="AB175" s="7">
        <f t="shared" si="104"/>
        <v>21542.483899999999</v>
      </c>
      <c r="AC175" s="7">
        <f t="shared" si="105"/>
        <v>111101</v>
      </c>
      <c r="AD175" s="59">
        <f t="shared" si="106"/>
        <v>0</v>
      </c>
      <c r="AE175" s="59">
        <f t="shared" si="107"/>
        <v>0</v>
      </c>
      <c r="AF175" s="60">
        <f t="shared" si="108"/>
        <v>0</v>
      </c>
      <c r="AG175" s="60">
        <f t="shared" si="109"/>
        <v>111101</v>
      </c>
      <c r="AH175" s="7">
        <v>0</v>
      </c>
      <c r="AI175" s="7">
        <v>0</v>
      </c>
      <c r="AJ175" s="3"/>
      <c r="AK175" s="3"/>
      <c r="AL175" s="8"/>
      <c r="AM175" s="8"/>
    </row>
    <row r="176" spans="1:39" x14ac:dyDescent="0.2">
      <c r="A176" s="1" t="s">
        <v>10</v>
      </c>
      <c r="B176" s="1" t="s">
        <v>1412</v>
      </c>
      <c r="C176" s="1">
        <v>4834</v>
      </c>
      <c r="D176" s="65" t="s">
        <v>330</v>
      </c>
      <c r="E176" s="63" t="s">
        <v>185</v>
      </c>
      <c r="F176" s="3"/>
      <c r="G176" s="3" t="s">
        <v>1412</v>
      </c>
      <c r="H176" s="3">
        <v>1968</v>
      </c>
      <c r="I176" s="3"/>
      <c r="J176" s="3" t="s">
        <v>1416</v>
      </c>
      <c r="K176" s="4" t="s">
        <v>1412</v>
      </c>
      <c r="L176" s="56" t="s">
        <v>126</v>
      </c>
      <c r="M176" s="6">
        <v>110</v>
      </c>
      <c r="N176" s="57">
        <v>0.86399999999999999</v>
      </c>
      <c r="O176" s="57">
        <v>0.86699999999999999</v>
      </c>
      <c r="P176" s="57">
        <v>0.92500000000000004</v>
      </c>
      <c r="Q176" s="57">
        <v>0.95199999999999996</v>
      </c>
      <c r="R176" s="7">
        <v>1008030</v>
      </c>
      <c r="S176" s="7">
        <v>820000</v>
      </c>
      <c r="T176" s="7">
        <f t="shared" si="99"/>
        <v>299888.92499999999</v>
      </c>
      <c r="U176" s="7">
        <v>427000</v>
      </c>
      <c r="V176" s="7">
        <f t="shared" si="100"/>
        <v>393000</v>
      </c>
      <c r="W176" s="7">
        <v>4100</v>
      </c>
      <c r="X176" s="58">
        <f t="shared" si="101"/>
        <v>790888.92500000005</v>
      </c>
      <c r="Y176" s="25">
        <f t="shared" si="102"/>
        <v>299888.92499999999</v>
      </c>
      <c r="Z176" s="25">
        <v>491000</v>
      </c>
      <c r="AA176" s="7">
        <f t="shared" si="103"/>
        <v>329000</v>
      </c>
      <c r="AB176" s="7">
        <f t="shared" si="104"/>
        <v>0</v>
      </c>
      <c r="AC176" s="7">
        <f t="shared" si="105"/>
        <v>329000</v>
      </c>
      <c r="AD176" s="59">
        <f t="shared" si="106"/>
        <v>491000</v>
      </c>
      <c r="AE176" s="59">
        <f t="shared" si="107"/>
        <v>0</v>
      </c>
      <c r="AF176" s="60">
        <f t="shared" si="108"/>
        <v>329000</v>
      </c>
      <c r="AG176" s="60">
        <f t="shared" si="109"/>
        <v>0</v>
      </c>
      <c r="AH176" s="7">
        <v>566000</v>
      </c>
      <c r="AI176" s="7">
        <v>540000</v>
      </c>
      <c r="AJ176" s="11" t="s">
        <v>1419</v>
      </c>
      <c r="AK176" s="61">
        <v>1512</v>
      </c>
      <c r="AL176" s="8"/>
      <c r="AM176" s="8"/>
    </row>
    <row r="177" spans="1:39" x14ac:dyDescent="0.2">
      <c r="A177" s="1" t="s">
        <v>1412</v>
      </c>
      <c r="B177" s="1"/>
      <c r="C177" s="1">
        <v>728</v>
      </c>
      <c r="D177" s="3" t="s">
        <v>331</v>
      </c>
      <c r="E177" s="3" t="s">
        <v>332</v>
      </c>
      <c r="F177" s="3" t="s">
        <v>333</v>
      </c>
      <c r="G177" s="3" t="s">
        <v>1417</v>
      </c>
      <c r="H177" s="3">
        <v>1993</v>
      </c>
      <c r="I177" s="3"/>
      <c r="J177" s="3" t="s">
        <v>1512</v>
      </c>
      <c r="K177" s="4"/>
      <c r="L177" s="56" t="s">
        <v>334</v>
      </c>
      <c r="M177" s="6">
        <v>25</v>
      </c>
      <c r="N177" s="57">
        <v>0.93300000000000005</v>
      </c>
      <c r="O177" s="57">
        <v>0.94099999999999995</v>
      </c>
      <c r="P177" s="57">
        <v>0.65600000000000003</v>
      </c>
      <c r="Q177" s="57">
        <v>0.94399999999999995</v>
      </c>
      <c r="R177" s="7"/>
      <c r="S177" s="7">
        <v>308434</v>
      </c>
      <c r="T177" s="7">
        <f t="shared" si="99"/>
        <v>59805.352599999998</v>
      </c>
      <c r="U177" s="7">
        <v>250749</v>
      </c>
      <c r="V177" s="7">
        <f t="shared" si="100"/>
        <v>57685</v>
      </c>
      <c r="W177" s="7">
        <v>2854</v>
      </c>
      <c r="X177" s="58">
        <f t="shared" si="101"/>
        <v>0</v>
      </c>
      <c r="Y177" s="25">
        <f t="shared" si="102"/>
        <v>0</v>
      </c>
      <c r="Z177" s="25"/>
      <c r="AA177" s="7">
        <f t="shared" si="103"/>
        <v>368239.35259999998</v>
      </c>
      <c r="AB177" s="7">
        <f t="shared" si="104"/>
        <v>59805.352599999998</v>
      </c>
      <c r="AC177" s="7">
        <f t="shared" si="105"/>
        <v>308434</v>
      </c>
      <c r="AD177" s="59">
        <f t="shared" si="106"/>
        <v>0</v>
      </c>
      <c r="AE177" s="59">
        <f t="shared" si="107"/>
        <v>0</v>
      </c>
      <c r="AF177" s="60">
        <f t="shared" si="108"/>
        <v>0</v>
      </c>
      <c r="AG177" s="60">
        <f t="shared" si="109"/>
        <v>308434</v>
      </c>
      <c r="AH177" s="7">
        <v>0</v>
      </c>
      <c r="AI177" s="7">
        <v>0</v>
      </c>
      <c r="AJ177" s="3"/>
      <c r="AK177" s="3"/>
      <c r="AL177" s="8"/>
      <c r="AM177" s="8"/>
    </row>
    <row r="178" spans="1:39" x14ac:dyDescent="0.2">
      <c r="A178" s="1" t="s">
        <v>1412</v>
      </c>
      <c r="B178" s="1"/>
      <c r="C178" s="1">
        <v>9903</v>
      </c>
      <c r="D178" s="3" t="s">
        <v>335</v>
      </c>
      <c r="E178" s="3" t="s">
        <v>336</v>
      </c>
      <c r="F178" s="3" t="s">
        <v>1525</v>
      </c>
      <c r="G178" s="3" t="s">
        <v>1417</v>
      </c>
      <c r="H178" s="3">
        <v>1989</v>
      </c>
      <c r="I178" s="3"/>
      <c r="J178" s="3" t="s">
        <v>1416</v>
      </c>
      <c r="K178" s="4" t="s">
        <v>1417</v>
      </c>
      <c r="L178" s="56" t="s">
        <v>325</v>
      </c>
      <c r="M178" s="6">
        <v>132</v>
      </c>
      <c r="N178" s="57">
        <v>0.70499999999999996</v>
      </c>
      <c r="O178" s="57">
        <v>0.71699999999999997</v>
      </c>
      <c r="P178" s="57">
        <v>0.746</v>
      </c>
      <c r="Q178" s="57">
        <v>0.73599999999999999</v>
      </c>
      <c r="R178" s="7">
        <v>944410</v>
      </c>
      <c r="S178" s="7">
        <v>782383</v>
      </c>
      <c r="T178" s="7">
        <f t="shared" si="99"/>
        <v>280961.97499999998</v>
      </c>
      <c r="U178" s="7">
        <v>458554</v>
      </c>
      <c r="V178" s="7">
        <f t="shared" si="100"/>
        <v>323829</v>
      </c>
      <c r="W178" s="7">
        <v>3671</v>
      </c>
      <c r="X178" s="58">
        <f t="shared" si="101"/>
        <v>0</v>
      </c>
      <c r="Y178" s="25">
        <f t="shared" si="102"/>
        <v>0</v>
      </c>
      <c r="Z178" s="25"/>
      <c r="AA178" s="7">
        <f t="shared" si="103"/>
        <v>1063344.9750000001</v>
      </c>
      <c r="AB178" s="7">
        <f t="shared" si="104"/>
        <v>280961.97499999998</v>
      </c>
      <c r="AC178" s="7">
        <f t="shared" si="105"/>
        <v>782383</v>
      </c>
      <c r="AD178" s="59">
        <f t="shared" si="106"/>
        <v>0</v>
      </c>
      <c r="AE178" s="59">
        <f t="shared" si="107"/>
        <v>0</v>
      </c>
      <c r="AF178" s="60">
        <f t="shared" si="108"/>
        <v>0</v>
      </c>
      <c r="AG178" s="60">
        <f t="shared" si="109"/>
        <v>782383</v>
      </c>
      <c r="AH178" s="7">
        <v>0</v>
      </c>
      <c r="AI178" s="7">
        <v>0</v>
      </c>
      <c r="AJ178" s="11" t="s">
        <v>1419</v>
      </c>
      <c r="AK178" s="61">
        <v>617746</v>
      </c>
      <c r="AL178" s="8"/>
      <c r="AM178" s="8"/>
    </row>
    <row r="179" spans="1:39" x14ac:dyDescent="0.2">
      <c r="A179" s="1" t="s">
        <v>1412</v>
      </c>
      <c r="B179" s="1"/>
      <c r="C179" s="1">
        <v>2318</v>
      </c>
      <c r="D179" s="3" t="s">
        <v>337</v>
      </c>
      <c r="E179" s="3" t="s">
        <v>338</v>
      </c>
      <c r="F179" s="3" t="s">
        <v>274</v>
      </c>
      <c r="G179" s="3" t="s">
        <v>1412</v>
      </c>
      <c r="H179" s="3">
        <v>1972</v>
      </c>
      <c r="I179" s="3"/>
      <c r="J179" s="3" t="s">
        <v>1416</v>
      </c>
      <c r="K179" s="4" t="s">
        <v>1412</v>
      </c>
      <c r="L179" s="56" t="s">
        <v>276</v>
      </c>
      <c r="M179" s="6">
        <v>53</v>
      </c>
      <c r="N179" s="57">
        <v>0.93</v>
      </c>
      <c r="O179" s="57">
        <v>0.92300000000000004</v>
      </c>
      <c r="P179" s="57">
        <v>0.91900000000000004</v>
      </c>
      <c r="Q179" s="57">
        <v>0.94399999999999995</v>
      </c>
      <c r="R179" s="7">
        <v>804218</v>
      </c>
      <c r="S179" s="7">
        <v>782000</v>
      </c>
      <c r="T179" s="7">
        <f t="shared" si="99"/>
        <v>239254.85499999998</v>
      </c>
      <c r="U179" s="7">
        <v>600982</v>
      </c>
      <c r="V179" s="7">
        <f t="shared" si="100"/>
        <v>181018</v>
      </c>
      <c r="W179" s="7">
        <v>2352</v>
      </c>
      <c r="X179" s="58">
        <f t="shared" si="101"/>
        <v>0</v>
      </c>
      <c r="Y179" s="25">
        <f t="shared" si="102"/>
        <v>0</v>
      </c>
      <c r="Z179" s="25"/>
      <c r="AA179" s="7">
        <f t="shared" si="103"/>
        <v>1021254.855</v>
      </c>
      <c r="AB179" s="7">
        <f t="shared" si="104"/>
        <v>239254.85499999998</v>
      </c>
      <c r="AC179" s="7">
        <f t="shared" si="105"/>
        <v>782000</v>
      </c>
      <c r="AD179" s="59">
        <f t="shared" si="106"/>
        <v>0</v>
      </c>
      <c r="AE179" s="59">
        <f t="shared" si="107"/>
        <v>0</v>
      </c>
      <c r="AF179" s="60">
        <f t="shared" si="108"/>
        <v>782000</v>
      </c>
      <c r="AG179" s="60">
        <f t="shared" si="109"/>
        <v>0</v>
      </c>
      <c r="AH179" s="7">
        <v>60000</v>
      </c>
      <c r="AI179" s="7">
        <v>61000</v>
      </c>
      <c r="AJ179" s="11" t="s">
        <v>1419</v>
      </c>
      <c r="AK179" s="61">
        <v>352425</v>
      </c>
      <c r="AL179" s="8"/>
      <c r="AM179" s="8"/>
    </row>
    <row r="180" spans="1:39" x14ac:dyDescent="0.2">
      <c r="A180" s="1" t="s">
        <v>1412</v>
      </c>
      <c r="B180" s="1"/>
      <c r="C180" s="1">
        <v>9419</v>
      </c>
      <c r="D180" s="3" t="s">
        <v>339</v>
      </c>
      <c r="E180" s="3" t="s">
        <v>312</v>
      </c>
      <c r="F180" s="3" t="s">
        <v>165</v>
      </c>
      <c r="G180" s="3" t="s">
        <v>1412</v>
      </c>
      <c r="H180" s="3">
        <v>1979</v>
      </c>
      <c r="I180" s="3"/>
      <c r="J180" s="3" t="s">
        <v>1416</v>
      </c>
      <c r="K180" s="4" t="s">
        <v>1417</v>
      </c>
      <c r="L180" s="56" t="s">
        <v>340</v>
      </c>
      <c r="M180" s="6">
        <v>73</v>
      </c>
      <c r="N180" s="57">
        <v>0.65700000000000003</v>
      </c>
      <c r="O180" s="57">
        <v>0.69799999999999995</v>
      </c>
      <c r="P180" s="57">
        <v>0.69199999999999995</v>
      </c>
      <c r="Q180" s="57">
        <v>0.68</v>
      </c>
      <c r="R180" s="7">
        <v>974410</v>
      </c>
      <c r="S180" s="7">
        <v>904777</v>
      </c>
      <c r="T180" s="7">
        <f t="shared" si="99"/>
        <v>289886.97499999998</v>
      </c>
      <c r="U180" s="7">
        <v>691230</v>
      </c>
      <c r="V180" s="7">
        <f t="shared" si="100"/>
        <v>213547</v>
      </c>
      <c r="W180" s="7">
        <v>4584</v>
      </c>
      <c r="X180" s="58">
        <f t="shared" si="101"/>
        <v>0</v>
      </c>
      <c r="Y180" s="25">
        <f t="shared" si="102"/>
        <v>0</v>
      </c>
      <c r="Z180" s="25"/>
      <c r="AA180" s="7">
        <f t="shared" si="103"/>
        <v>1194663.9750000001</v>
      </c>
      <c r="AB180" s="7">
        <f t="shared" si="104"/>
        <v>289886.97499999998</v>
      </c>
      <c r="AC180" s="7">
        <f t="shared" si="105"/>
        <v>904777</v>
      </c>
      <c r="AD180" s="59">
        <f t="shared" si="106"/>
        <v>0</v>
      </c>
      <c r="AE180" s="59">
        <f t="shared" si="107"/>
        <v>0</v>
      </c>
      <c r="AF180" s="60">
        <f t="shared" si="108"/>
        <v>0</v>
      </c>
      <c r="AG180" s="60">
        <f t="shared" si="109"/>
        <v>904777</v>
      </c>
      <c r="AH180" s="7">
        <v>0</v>
      </c>
      <c r="AI180" s="7">
        <v>0</v>
      </c>
      <c r="AJ180" s="11" t="s">
        <v>1419</v>
      </c>
      <c r="AK180" s="61">
        <v>430564</v>
      </c>
      <c r="AL180" s="8"/>
      <c r="AM180" s="8"/>
    </row>
    <row r="181" spans="1:39" x14ac:dyDescent="0.2">
      <c r="A181" s="1" t="s">
        <v>1412</v>
      </c>
      <c r="B181" s="1"/>
      <c r="C181" s="1">
        <v>9421</v>
      </c>
      <c r="D181" s="3" t="s">
        <v>341</v>
      </c>
      <c r="E181" s="3" t="s">
        <v>342</v>
      </c>
      <c r="F181" s="3"/>
      <c r="G181" s="3" t="s">
        <v>1412</v>
      </c>
      <c r="H181" s="3">
        <v>1976</v>
      </c>
      <c r="I181" s="3"/>
      <c r="J181" s="3" t="s">
        <v>1416</v>
      </c>
      <c r="K181" s="4"/>
      <c r="L181" s="56" t="s">
        <v>109</v>
      </c>
      <c r="M181" s="6">
        <v>174</v>
      </c>
      <c r="N181" s="57">
        <v>0.66200000000000003</v>
      </c>
      <c r="O181" s="57">
        <v>0.65100000000000002</v>
      </c>
      <c r="P181" s="57">
        <v>0.64800000000000002</v>
      </c>
      <c r="Q181" s="57">
        <v>0.64900000000000002</v>
      </c>
      <c r="R181" s="7">
        <v>205220</v>
      </c>
      <c r="S181" s="7">
        <v>1583427</v>
      </c>
      <c r="T181" s="7">
        <f t="shared" si="99"/>
        <v>61052.95</v>
      </c>
      <c r="U181" s="7">
        <v>1126240</v>
      </c>
      <c r="V181" s="7">
        <f t="shared" si="100"/>
        <v>457187</v>
      </c>
      <c r="W181" s="7">
        <v>8016</v>
      </c>
      <c r="X181" s="58">
        <f t="shared" si="101"/>
        <v>0</v>
      </c>
      <c r="Y181" s="25">
        <f t="shared" si="102"/>
        <v>0</v>
      </c>
      <c r="Z181" s="25"/>
      <c r="AA181" s="7">
        <f t="shared" si="103"/>
        <v>1644479.95</v>
      </c>
      <c r="AB181" s="7">
        <f t="shared" si="104"/>
        <v>61052.95</v>
      </c>
      <c r="AC181" s="7">
        <f t="shared" si="105"/>
        <v>1583427</v>
      </c>
      <c r="AD181" s="59">
        <f t="shared" si="106"/>
        <v>0</v>
      </c>
      <c r="AE181" s="59">
        <f t="shared" si="107"/>
        <v>0</v>
      </c>
      <c r="AF181" s="60">
        <f t="shared" si="108"/>
        <v>0</v>
      </c>
      <c r="AG181" s="60">
        <f t="shared" si="109"/>
        <v>1583427</v>
      </c>
      <c r="AH181" s="7">
        <v>0</v>
      </c>
      <c r="AI181" s="7">
        <v>0</v>
      </c>
      <c r="AJ181" s="11" t="s">
        <v>1419</v>
      </c>
      <c r="AK181" s="61">
        <v>972717</v>
      </c>
      <c r="AL181" s="8"/>
      <c r="AM181" s="8"/>
    </row>
    <row r="182" spans="1:39" x14ac:dyDescent="0.2">
      <c r="A182" s="1" t="s">
        <v>1412</v>
      </c>
      <c r="B182" s="1"/>
      <c r="C182" s="1">
        <v>3518</v>
      </c>
      <c r="D182" s="3" t="s">
        <v>343</v>
      </c>
      <c r="E182" s="3" t="s">
        <v>344</v>
      </c>
      <c r="F182" s="3" t="s">
        <v>1531</v>
      </c>
      <c r="G182" s="3" t="s">
        <v>1412</v>
      </c>
      <c r="H182" s="3">
        <v>1988</v>
      </c>
      <c r="I182" s="3"/>
      <c r="J182" s="3" t="s">
        <v>1512</v>
      </c>
      <c r="K182" s="4"/>
      <c r="L182" s="56" t="s">
        <v>1418</v>
      </c>
      <c r="M182" s="6">
        <v>10</v>
      </c>
      <c r="N182" s="57">
        <v>1</v>
      </c>
      <c r="O182" s="57">
        <v>1</v>
      </c>
      <c r="P182" s="57">
        <v>1</v>
      </c>
      <c r="Q182" s="57">
        <v>1</v>
      </c>
      <c r="R182" s="7"/>
      <c r="S182" s="7">
        <v>277187</v>
      </c>
      <c r="T182" s="7">
        <f t="shared" si="99"/>
        <v>53746.559299999994</v>
      </c>
      <c r="U182" s="7">
        <v>210627</v>
      </c>
      <c r="V182" s="7">
        <f t="shared" si="100"/>
        <v>66560</v>
      </c>
      <c r="W182" s="7">
        <v>1262</v>
      </c>
      <c r="X182" s="58">
        <f t="shared" si="101"/>
        <v>0</v>
      </c>
      <c r="Y182" s="25">
        <f t="shared" si="102"/>
        <v>0</v>
      </c>
      <c r="Z182" s="25"/>
      <c r="AA182" s="7">
        <f t="shared" si="103"/>
        <v>330933.55929999996</v>
      </c>
      <c r="AB182" s="7">
        <f t="shared" si="104"/>
        <v>53746.559299999994</v>
      </c>
      <c r="AC182" s="7">
        <f t="shared" si="105"/>
        <v>277187</v>
      </c>
      <c r="AD182" s="59">
        <f t="shared" si="106"/>
        <v>0</v>
      </c>
      <c r="AE182" s="59">
        <f t="shared" si="107"/>
        <v>0</v>
      </c>
      <c r="AF182" s="60">
        <f t="shared" si="108"/>
        <v>0</v>
      </c>
      <c r="AG182" s="60">
        <f t="shared" si="109"/>
        <v>277187</v>
      </c>
      <c r="AH182" s="7">
        <v>0</v>
      </c>
      <c r="AI182" s="7">
        <v>0</v>
      </c>
      <c r="AJ182" s="11" t="s">
        <v>1419</v>
      </c>
      <c r="AK182" s="61">
        <v>75404</v>
      </c>
      <c r="AL182" s="8"/>
      <c r="AM182" s="8"/>
    </row>
    <row r="183" spans="1:39" x14ac:dyDescent="0.2">
      <c r="A183" s="1" t="s">
        <v>1412</v>
      </c>
      <c r="B183" s="1"/>
      <c r="C183" s="1">
        <v>9555</v>
      </c>
      <c r="D183" s="3" t="s">
        <v>345</v>
      </c>
      <c r="E183" s="3" t="s">
        <v>363</v>
      </c>
      <c r="F183" s="3" t="s">
        <v>1422</v>
      </c>
      <c r="G183" s="3" t="s">
        <v>1412</v>
      </c>
      <c r="H183" s="3">
        <v>1977</v>
      </c>
      <c r="I183" s="3"/>
      <c r="J183" s="3" t="s">
        <v>1416</v>
      </c>
      <c r="K183" s="4"/>
      <c r="L183" s="56" t="s">
        <v>1568</v>
      </c>
      <c r="M183" s="6">
        <v>106</v>
      </c>
      <c r="N183" s="57">
        <v>0.77400000000000002</v>
      </c>
      <c r="O183" s="57">
        <v>0.78500000000000003</v>
      </c>
      <c r="P183" s="57">
        <v>0.61199999999999999</v>
      </c>
      <c r="Q183" s="57">
        <v>0.51500000000000001</v>
      </c>
      <c r="R183" s="7">
        <v>890408</v>
      </c>
      <c r="S183" s="7">
        <v>860358</v>
      </c>
      <c r="T183" s="7">
        <f t="shared" si="99"/>
        <v>264896.38</v>
      </c>
      <c r="U183" s="7">
        <v>598255</v>
      </c>
      <c r="V183" s="7">
        <f t="shared" si="100"/>
        <v>262103</v>
      </c>
      <c r="W183" s="7">
        <v>4721</v>
      </c>
      <c r="X183" s="58">
        <f t="shared" si="101"/>
        <v>0</v>
      </c>
      <c r="Y183" s="25">
        <f t="shared" si="102"/>
        <v>0</v>
      </c>
      <c r="Z183" s="25"/>
      <c r="AA183" s="7">
        <f t="shared" si="103"/>
        <v>1125254.3799999999</v>
      </c>
      <c r="AB183" s="7">
        <f t="shared" si="104"/>
        <v>264896.38</v>
      </c>
      <c r="AC183" s="7">
        <f t="shared" si="105"/>
        <v>860358</v>
      </c>
      <c r="AD183" s="59">
        <f t="shared" si="106"/>
        <v>0</v>
      </c>
      <c r="AE183" s="59">
        <f t="shared" si="107"/>
        <v>0</v>
      </c>
      <c r="AF183" s="60">
        <f t="shared" si="108"/>
        <v>0</v>
      </c>
      <c r="AG183" s="60">
        <f t="shared" si="109"/>
        <v>860358</v>
      </c>
      <c r="AH183" s="7">
        <v>0</v>
      </c>
      <c r="AI183" s="7">
        <v>0</v>
      </c>
      <c r="AJ183" s="11" t="s">
        <v>1419</v>
      </c>
      <c r="AK183" s="61">
        <v>459312</v>
      </c>
      <c r="AL183" s="8"/>
      <c r="AM183" s="8"/>
    </row>
    <row r="184" spans="1:39" x14ac:dyDescent="0.2">
      <c r="A184" s="1" t="s">
        <v>1412</v>
      </c>
      <c r="B184" s="1"/>
      <c r="C184" s="1">
        <v>9448</v>
      </c>
      <c r="D184" s="3" t="s">
        <v>364</v>
      </c>
      <c r="E184" s="3" t="s">
        <v>365</v>
      </c>
      <c r="F184" s="3" t="s">
        <v>1564</v>
      </c>
      <c r="G184" s="3" t="s">
        <v>1412</v>
      </c>
      <c r="H184" s="3">
        <v>1966</v>
      </c>
      <c r="I184" s="3"/>
      <c r="J184" s="3" t="s">
        <v>1416</v>
      </c>
      <c r="K184" s="4" t="s">
        <v>1417</v>
      </c>
      <c r="L184" s="56" t="s">
        <v>366</v>
      </c>
      <c r="M184" s="6">
        <v>45</v>
      </c>
      <c r="N184" s="57">
        <v>0.89900000000000002</v>
      </c>
      <c r="O184" s="57">
        <v>0.86799999999999999</v>
      </c>
      <c r="P184" s="57">
        <v>0.80600000000000005</v>
      </c>
      <c r="Q184" s="57">
        <v>0.77600000000000002</v>
      </c>
      <c r="R184" s="7">
        <v>457256</v>
      </c>
      <c r="S184" s="7">
        <v>392395</v>
      </c>
      <c r="T184" s="7">
        <f t="shared" si="99"/>
        <v>136033.66</v>
      </c>
      <c r="U184" s="7">
        <v>283103</v>
      </c>
      <c r="V184" s="7">
        <f t="shared" si="100"/>
        <v>109292</v>
      </c>
      <c r="W184" s="7">
        <v>2000</v>
      </c>
      <c r="X184" s="58">
        <f t="shared" si="101"/>
        <v>0</v>
      </c>
      <c r="Y184" s="25">
        <f t="shared" si="102"/>
        <v>0</v>
      </c>
      <c r="Z184" s="25"/>
      <c r="AA184" s="7">
        <f t="shared" si="103"/>
        <v>528428.66</v>
      </c>
      <c r="AB184" s="7">
        <f t="shared" si="104"/>
        <v>136033.66</v>
      </c>
      <c r="AC184" s="7">
        <f t="shared" si="105"/>
        <v>392395</v>
      </c>
      <c r="AD184" s="59">
        <f t="shared" si="106"/>
        <v>0</v>
      </c>
      <c r="AE184" s="59">
        <f t="shared" si="107"/>
        <v>0</v>
      </c>
      <c r="AF184" s="60">
        <f t="shared" si="108"/>
        <v>0</v>
      </c>
      <c r="AG184" s="60">
        <f t="shared" si="109"/>
        <v>392395</v>
      </c>
      <c r="AH184" s="7">
        <v>0</v>
      </c>
      <c r="AI184" s="7">
        <v>0</v>
      </c>
      <c r="AJ184" s="11" t="s">
        <v>1419</v>
      </c>
      <c r="AK184" s="61">
        <v>237598</v>
      </c>
      <c r="AL184" s="8"/>
      <c r="AM184" s="8"/>
    </row>
    <row r="185" spans="1:39" x14ac:dyDescent="0.2">
      <c r="A185" s="1" t="s">
        <v>1412</v>
      </c>
      <c r="B185" s="1"/>
      <c r="C185" s="1">
        <v>9445</v>
      </c>
      <c r="D185" s="3" t="s">
        <v>367</v>
      </c>
      <c r="E185" s="3" t="s">
        <v>108</v>
      </c>
      <c r="F185" s="3" t="s">
        <v>1548</v>
      </c>
      <c r="G185" s="3" t="s">
        <v>1412</v>
      </c>
      <c r="H185" s="3">
        <v>1966</v>
      </c>
      <c r="I185" s="3"/>
      <c r="J185" s="3" t="s">
        <v>1416</v>
      </c>
      <c r="K185" s="4" t="s">
        <v>1417</v>
      </c>
      <c r="L185" s="56" t="s">
        <v>109</v>
      </c>
      <c r="M185" s="6">
        <v>94</v>
      </c>
      <c r="N185" s="57">
        <v>0.38300000000000001</v>
      </c>
      <c r="O185" s="57">
        <v>0.43099999999999999</v>
      </c>
      <c r="P185" s="57">
        <v>0.64800000000000002</v>
      </c>
      <c r="Q185" s="57">
        <v>0.64900000000000002</v>
      </c>
      <c r="R185" s="7">
        <v>898374</v>
      </c>
      <c r="S185" s="7">
        <v>873142</v>
      </c>
      <c r="T185" s="7">
        <f t="shared" si="99"/>
        <v>267266.26500000001</v>
      </c>
      <c r="U185" s="7">
        <v>587036</v>
      </c>
      <c r="V185" s="7">
        <f t="shared" si="100"/>
        <v>286106</v>
      </c>
      <c r="W185" s="7">
        <v>4865</v>
      </c>
      <c r="X185" s="58">
        <f t="shared" si="101"/>
        <v>0</v>
      </c>
      <c r="Y185" s="25">
        <f t="shared" si="102"/>
        <v>0</v>
      </c>
      <c r="Z185" s="25"/>
      <c r="AA185" s="7">
        <f t="shared" si="103"/>
        <v>1140408.2650000001</v>
      </c>
      <c r="AB185" s="7">
        <f t="shared" si="104"/>
        <v>267266.26500000001</v>
      </c>
      <c r="AC185" s="7">
        <f t="shared" si="105"/>
        <v>873142</v>
      </c>
      <c r="AD185" s="59">
        <f t="shared" si="106"/>
        <v>0</v>
      </c>
      <c r="AE185" s="59">
        <f t="shared" si="107"/>
        <v>0</v>
      </c>
      <c r="AF185" s="60">
        <f t="shared" si="108"/>
        <v>0</v>
      </c>
      <c r="AG185" s="60">
        <f t="shared" si="109"/>
        <v>873142</v>
      </c>
      <c r="AH185" s="7">
        <v>0</v>
      </c>
      <c r="AI185" s="7">
        <v>0</v>
      </c>
      <c r="AJ185" s="11" t="s">
        <v>1419</v>
      </c>
      <c r="AK185" s="61">
        <v>303220</v>
      </c>
      <c r="AL185" s="8"/>
      <c r="AM185" s="8"/>
    </row>
    <row r="186" spans="1:39" x14ac:dyDescent="0.2">
      <c r="A186" s="1" t="s">
        <v>1412</v>
      </c>
      <c r="B186" s="1"/>
      <c r="C186" s="1">
        <v>7314</v>
      </c>
      <c r="D186" s="3" t="s">
        <v>368</v>
      </c>
      <c r="E186" s="3" t="s">
        <v>369</v>
      </c>
      <c r="F186" s="3" t="s">
        <v>1422</v>
      </c>
      <c r="G186" s="3" t="s">
        <v>1417</v>
      </c>
      <c r="H186" s="3"/>
      <c r="I186" s="3">
        <v>1992</v>
      </c>
      <c r="J186" s="3" t="s">
        <v>1512</v>
      </c>
      <c r="L186" s="56" t="s">
        <v>1545</v>
      </c>
      <c r="M186" s="6">
        <v>28</v>
      </c>
      <c r="N186" s="57">
        <v>0.79700000000000004</v>
      </c>
      <c r="O186" s="57">
        <v>0.80200000000000005</v>
      </c>
      <c r="P186" s="57">
        <v>0.81200000000000006</v>
      </c>
      <c r="Q186" s="57">
        <v>0.85499999999999998</v>
      </c>
      <c r="R186" s="7"/>
      <c r="S186" s="7">
        <v>176728</v>
      </c>
      <c r="T186" s="7">
        <f t="shared" si="99"/>
        <v>34267.559199999996</v>
      </c>
      <c r="U186" s="7">
        <v>93667</v>
      </c>
      <c r="V186" s="7">
        <f t="shared" si="100"/>
        <v>83061</v>
      </c>
      <c r="W186" s="7">
        <v>1100</v>
      </c>
      <c r="X186" s="58">
        <f t="shared" si="101"/>
        <v>0</v>
      </c>
      <c r="Y186" s="25">
        <f t="shared" si="102"/>
        <v>0</v>
      </c>
      <c r="Z186" s="25"/>
      <c r="AA186" s="7">
        <f t="shared" si="103"/>
        <v>210995.55919999999</v>
      </c>
      <c r="AB186" s="7">
        <f t="shared" si="104"/>
        <v>34267.559199999996</v>
      </c>
      <c r="AC186" s="7">
        <f t="shared" si="105"/>
        <v>176728</v>
      </c>
      <c r="AD186" s="59">
        <f t="shared" si="106"/>
        <v>0</v>
      </c>
      <c r="AE186" s="59">
        <f t="shared" si="107"/>
        <v>0</v>
      </c>
      <c r="AF186" s="60">
        <f t="shared" si="108"/>
        <v>0</v>
      </c>
      <c r="AG186" s="60">
        <f t="shared" si="109"/>
        <v>176728</v>
      </c>
      <c r="AH186" s="7">
        <v>0</v>
      </c>
      <c r="AI186" s="7">
        <v>0</v>
      </c>
      <c r="AJ186" s="3"/>
      <c r="AK186" s="3"/>
      <c r="AL186" s="8"/>
      <c r="AM186" s="8"/>
    </row>
    <row r="187" spans="1:39" x14ac:dyDescent="0.2">
      <c r="A187" s="1" t="s">
        <v>1412</v>
      </c>
      <c r="B187" s="1"/>
      <c r="C187" s="1">
        <v>1904</v>
      </c>
      <c r="D187" s="3" t="s">
        <v>370</v>
      </c>
      <c r="E187" s="3" t="s">
        <v>371</v>
      </c>
      <c r="F187" s="3" t="s">
        <v>372</v>
      </c>
      <c r="G187" s="3" t="s">
        <v>1417</v>
      </c>
      <c r="H187" s="3">
        <v>1993</v>
      </c>
      <c r="I187" s="3"/>
      <c r="J187" s="3" t="s">
        <v>1512</v>
      </c>
      <c r="K187" s="4"/>
      <c r="L187" s="56" t="s">
        <v>276</v>
      </c>
      <c r="M187" s="6">
        <v>20</v>
      </c>
      <c r="N187" s="57">
        <v>0.86099999999999999</v>
      </c>
      <c r="O187" s="57">
        <v>0.86099999999999999</v>
      </c>
      <c r="P187" s="57">
        <v>0.86899999999999999</v>
      </c>
      <c r="Q187" s="57">
        <v>1</v>
      </c>
      <c r="R187" s="7"/>
      <c r="S187" s="7">
        <v>240843</v>
      </c>
      <c r="T187" s="7">
        <f t="shared" si="99"/>
        <v>46699.457699999999</v>
      </c>
      <c r="U187" s="7">
        <v>186175</v>
      </c>
      <c r="V187" s="7">
        <f t="shared" si="100"/>
        <v>54668</v>
      </c>
      <c r="W187" s="7">
        <v>1666</v>
      </c>
      <c r="X187" s="58">
        <f t="shared" si="101"/>
        <v>0</v>
      </c>
      <c r="Y187" s="25">
        <f t="shared" si="102"/>
        <v>0</v>
      </c>
      <c r="Z187" s="25"/>
      <c r="AA187" s="7">
        <f t="shared" si="103"/>
        <v>287542.45770000003</v>
      </c>
      <c r="AB187" s="7">
        <f t="shared" si="104"/>
        <v>46699.457699999999</v>
      </c>
      <c r="AC187" s="7">
        <f t="shared" si="105"/>
        <v>240843</v>
      </c>
      <c r="AD187" s="59">
        <f t="shared" si="106"/>
        <v>0</v>
      </c>
      <c r="AE187" s="59">
        <f t="shared" si="107"/>
        <v>0</v>
      </c>
      <c r="AF187" s="60">
        <f t="shared" si="108"/>
        <v>0</v>
      </c>
      <c r="AG187" s="60">
        <f t="shared" si="109"/>
        <v>240843</v>
      </c>
      <c r="AH187" s="7">
        <v>0</v>
      </c>
      <c r="AI187" s="7">
        <v>0</v>
      </c>
      <c r="AJ187" s="3"/>
      <c r="AK187" s="3"/>
      <c r="AL187" s="8"/>
      <c r="AM187" s="8"/>
    </row>
    <row r="188" spans="1:39" x14ac:dyDescent="0.2">
      <c r="A188" s="1" t="s">
        <v>10</v>
      </c>
      <c r="B188" s="1" t="s">
        <v>1412</v>
      </c>
      <c r="C188" s="1">
        <v>4671</v>
      </c>
      <c r="D188" s="62" t="s">
        <v>373</v>
      </c>
      <c r="E188" s="3" t="s">
        <v>413</v>
      </c>
      <c r="F188" s="3" t="s">
        <v>1415</v>
      </c>
      <c r="G188" s="3" t="s">
        <v>1412</v>
      </c>
      <c r="H188" s="3">
        <v>1997</v>
      </c>
      <c r="I188" s="3"/>
      <c r="J188" s="3" t="s">
        <v>1416</v>
      </c>
      <c r="K188" s="4" t="s">
        <v>1417</v>
      </c>
      <c r="L188" s="56"/>
      <c r="M188" s="6">
        <v>100</v>
      </c>
      <c r="N188" s="57">
        <v>0.94699999999999995</v>
      </c>
      <c r="O188" s="57">
        <v>0.94899999999999995</v>
      </c>
      <c r="P188" s="57">
        <v>0.91700000000000004</v>
      </c>
      <c r="Q188" s="57">
        <v>0.95199999999999996</v>
      </c>
      <c r="R188" s="7">
        <v>1443739</v>
      </c>
      <c r="S188" s="7">
        <v>1242503</v>
      </c>
      <c r="T188" s="7">
        <f t="shared" si="99"/>
        <v>429512.35249999998</v>
      </c>
      <c r="U188" s="7">
        <v>825706</v>
      </c>
      <c r="V188" s="7">
        <f t="shared" si="100"/>
        <v>416797</v>
      </c>
      <c r="W188" s="7">
        <v>6605</v>
      </c>
      <c r="X188" s="58">
        <f t="shared" si="101"/>
        <v>856512.35250000004</v>
      </c>
      <c r="Y188" s="25">
        <f t="shared" si="102"/>
        <v>429512.35249999998</v>
      </c>
      <c r="Z188" s="25">
        <v>427000</v>
      </c>
      <c r="AA188" s="7">
        <f t="shared" si="103"/>
        <v>815503</v>
      </c>
      <c r="AB188" s="7">
        <f t="shared" si="104"/>
        <v>0</v>
      </c>
      <c r="AC188" s="7">
        <f t="shared" si="105"/>
        <v>815503</v>
      </c>
      <c r="AD188" s="59">
        <f t="shared" si="106"/>
        <v>0</v>
      </c>
      <c r="AE188" s="59">
        <f t="shared" si="107"/>
        <v>427000</v>
      </c>
      <c r="AF188" s="60">
        <f t="shared" si="108"/>
        <v>0</v>
      </c>
      <c r="AG188" s="60">
        <f t="shared" si="109"/>
        <v>815503</v>
      </c>
      <c r="AH188" s="7">
        <v>0</v>
      </c>
      <c r="AI188" s="7">
        <v>0</v>
      </c>
      <c r="AJ188" s="62"/>
      <c r="AK188" s="62"/>
      <c r="AL188" s="8"/>
      <c r="AM188" s="8"/>
    </row>
    <row r="189" spans="1:39" x14ac:dyDescent="0.2">
      <c r="A189" s="1" t="s">
        <v>1412</v>
      </c>
      <c r="B189" s="1"/>
      <c r="C189" s="1"/>
      <c r="D189" s="3" t="s">
        <v>414</v>
      </c>
      <c r="E189" s="3" t="s">
        <v>318</v>
      </c>
      <c r="F189" s="3" t="s">
        <v>1415</v>
      </c>
      <c r="G189" s="3" t="s">
        <v>1417</v>
      </c>
      <c r="H189" s="3">
        <v>1991</v>
      </c>
      <c r="I189" s="3"/>
      <c r="J189" s="3" t="s">
        <v>275</v>
      </c>
      <c r="K189" s="4"/>
      <c r="L189" s="5" t="s">
        <v>1545</v>
      </c>
      <c r="M189" s="6"/>
      <c r="R189" s="7"/>
      <c r="S189" s="7">
        <v>818278</v>
      </c>
      <c r="T189" s="7">
        <f t="shared" si="99"/>
        <v>158664.1042</v>
      </c>
      <c r="U189" s="7">
        <v>780000</v>
      </c>
      <c r="V189" s="7">
        <f t="shared" si="100"/>
        <v>38278</v>
      </c>
      <c r="W189" s="7"/>
      <c r="X189" s="58">
        <f t="shared" si="101"/>
        <v>0</v>
      </c>
      <c r="Y189" s="25">
        <f t="shared" si="102"/>
        <v>0</v>
      </c>
      <c r="Z189" s="8"/>
      <c r="AA189" s="7">
        <f t="shared" si="103"/>
        <v>976942.10419999994</v>
      </c>
      <c r="AB189" s="7">
        <f t="shared" si="104"/>
        <v>158664.1042</v>
      </c>
      <c r="AC189" s="7">
        <f t="shared" si="105"/>
        <v>818278</v>
      </c>
      <c r="AD189" s="59">
        <f t="shared" si="106"/>
        <v>0</v>
      </c>
      <c r="AE189" s="59">
        <f t="shared" si="107"/>
        <v>0</v>
      </c>
      <c r="AF189" s="60">
        <f t="shared" si="108"/>
        <v>0</v>
      </c>
      <c r="AG189" s="60">
        <f t="shared" si="109"/>
        <v>818278</v>
      </c>
      <c r="AH189" s="7">
        <v>0</v>
      </c>
      <c r="AI189" s="7">
        <v>0</v>
      </c>
      <c r="AJ189" s="3"/>
      <c r="AK189" s="3"/>
      <c r="AL189" s="8"/>
      <c r="AM189" s="8"/>
    </row>
    <row r="190" spans="1:39" x14ac:dyDescent="0.2">
      <c r="A190" s="1" t="s">
        <v>1412</v>
      </c>
      <c r="B190" s="1" t="s">
        <v>1412</v>
      </c>
      <c r="C190" s="1">
        <v>4835</v>
      </c>
      <c r="D190" s="65" t="s">
        <v>415</v>
      </c>
      <c r="E190" s="63" t="s">
        <v>416</v>
      </c>
      <c r="F190" s="3"/>
      <c r="G190" s="3" t="s">
        <v>1412</v>
      </c>
      <c r="H190" s="3">
        <v>1977</v>
      </c>
      <c r="I190" s="3"/>
      <c r="J190" s="3" t="s">
        <v>1416</v>
      </c>
      <c r="K190" s="4" t="s">
        <v>1412</v>
      </c>
      <c r="L190" s="56" t="s">
        <v>199</v>
      </c>
      <c r="M190" s="6">
        <v>205</v>
      </c>
      <c r="N190" s="57">
        <v>0.92100000000000004</v>
      </c>
      <c r="O190" s="57">
        <v>0.94599999999999995</v>
      </c>
      <c r="P190" s="57">
        <v>0.92500000000000004</v>
      </c>
      <c r="Q190" s="57">
        <v>0.95199999999999996</v>
      </c>
      <c r="R190" s="7">
        <v>127293</v>
      </c>
      <c r="S190" s="7">
        <v>1210000</v>
      </c>
      <c r="T190" s="7">
        <f t="shared" si="99"/>
        <v>37869.667499999996</v>
      </c>
      <c r="U190" s="7">
        <v>763000</v>
      </c>
      <c r="V190" s="7">
        <f t="shared" si="100"/>
        <v>447000</v>
      </c>
      <c r="W190" s="7">
        <v>7200</v>
      </c>
      <c r="X190" s="58">
        <f t="shared" si="101"/>
        <v>595869.66749999998</v>
      </c>
      <c r="Y190" s="25">
        <f t="shared" si="102"/>
        <v>37869.667499999996</v>
      </c>
      <c r="Z190" s="25">
        <v>558000</v>
      </c>
      <c r="AA190" s="7">
        <f t="shared" si="103"/>
        <v>652000</v>
      </c>
      <c r="AB190" s="7">
        <f t="shared" si="104"/>
        <v>0</v>
      </c>
      <c r="AC190" s="7">
        <f t="shared" si="105"/>
        <v>652000</v>
      </c>
      <c r="AD190" s="59">
        <f t="shared" si="106"/>
        <v>558000</v>
      </c>
      <c r="AE190" s="59">
        <f t="shared" si="107"/>
        <v>0</v>
      </c>
      <c r="AF190" s="60">
        <f t="shared" si="108"/>
        <v>652000</v>
      </c>
      <c r="AG190" s="60">
        <f t="shared" si="109"/>
        <v>0</v>
      </c>
      <c r="AH190" s="7">
        <v>1840000</v>
      </c>
      <c r="AI190" s="7">
        <v>1072000</v>
      </c>
      <c r="AJ190" s="11" t="s">
        <v>1541</v>
      </c>
      <c r="AK190" s="61">
        <v>143493</v>
      </c>
      <c r="AL190" s="8"/>
      <c r="AM190" s="8"/>
    </row>
    <row r="191" spans="1:39" x14ac:dyDescent="0.2">
      <c r="A191" s="1" t="s">
        <v>1412</v>
      </c>
      <c r="B191" s="1" t="s">
        <v>1412</v>
      </c>
      <c r="C191" s="1">
        <v>3805</v>
      </c>
      <c r="D191" s="62" t="s">
        <v>417</v>
      </c>
      <c r="E191" s="3" t="s">
        <v>418</v>
      </c>
      <c r="F191" s="3" t="s">
        <v>1422</v>
      </c>
      <c r="G191" s="3" t="s">
        <v>1417</v>
      </c>
      <c r="H191" s="3">
        <v>1988</v>
      </c>
      <c r="I191" s="3"/>
      <c r="J191" s="3" t="s">
        <v>1416</v>
      </c>
      <c r="K191" s="4" t="s">
        <v>1412</v>
      </c>
      <c r="L191" s="56" t="s">
        <v>419</v>
      </c>
      <c r="M191" s="6">
        <v>132</v>
      </c>
      <c r="N191" s="57">
        <v>0.59699999999999998</v>
      </c>
      <c r="O191" s="57">
        <v>0.64400000000000002</v>
      </c>
      <c r="P191" s="57">
        <v>0.66200000000000003</v>
      </c>
      <c r="Q191" s="57">
        <v>0.68500000000000005</v>
      </c>
      <c r="R191" s="7">
        <v>970198</v>
      </c>
      <c r="S191" s="7">
        <v>756838</v>
      </c>
      <c r="T191" s="7">
        <f t="shared" si="99"/>
        <v>288633.90499999997</v>
      </c>
      <c r="U191" s="7">
        <v>460857</v>
      </c>
      <c r="V191" s="7">
        <f t="shared" si="100"/>
        <v>295981</v>
      </c>
      <c r="W191" s="7">
        <v>6518</v>
      </c>
      <c r="X191" s="58">
        <f t="shared" si="101"/>
        <v>696354.90500000003</v>
      </c>
      <c r="Y191" s="25">
        <f t="shared" si="102"/>
        <v>288633.90499999997</v>
      </c>
      <c r="Z191" s="25">
        <v>407721</v>
      </c>
      <c r="AA191" s="7">
        <f t="shared" si="103"/>
        <v>349117</v>
      </c>
      <c r="AB191" s="7">
        <f t="shared" si="104"/>
        <v>0</v>
      </c>
      <c r="AC191" s="7">
        <f t="shared" si="105"/>
        <v>349117</v>
      </c>
      <c r="AD191" s="59">
        <f t="shared" si="106"/>
        <v>407721</v>
      </c>
      <c r="AE191" s="59">
        <f t="shared" si="107"/>
        <v>0</v>
      </c>
      <c r="AF191" s="60">
        <f t="shared" si="108"/>
        <v>349117</v>
      </c>
      <c r="AG191" s="60">
        <f t="shared" si="109"/>
        <v>0</v>
      </c>
      <c r="AH191" s="7">
        <v>339000</v>
      </c>
      <c r="AI191" s="7">
        <v>261000</v>
      </c>
      <c r="AJ191" s="11" t="s">
        <v>1419</v>
      </c>
      <c r="AK191" s="61">
        <v>814510</v>
      </c>
      <c r="AL191" s="8"/>
      <c r="AM191" s="8"/>
    </row>
    <row r="192" spans="1:39" x14ac:dyDescent="0.2">
      <c r="A192" s="1" t="s">
        <v>1412</v>
      </c>
      <c r="B192" s="1"/>
      <c r="C192" s="1">
        <v>4836</v>
      </c>
      <c r="D192" s="63" t="s">
        <v>420</v>
      </c>
      <c r="E192" s="63" t="s">
        <v>421</v>
      </c>
      <c r="F192" s="3" t="s">
        <v>1608</v>
      </c>
      <c r="G192" s="3" t="s">
        <v>1412</v>
      </c>
      <c r="H192" s="3">
        <v>1958</v>
      </c>
      <c r="I192" s="3"/>
      <c r="J192" s="3" t="s">
        <v>1416</v>
      </c>
      <c r="L192" s="56" t="s">
        <v>422</v>
      </c>
      <c r="M192" s="6">
        <v>205</v>
      </c>
      <c r="N192" s="57">
        <v>0.93200000000000005</v>
      </c>
      <c r="O192" s="57">
        <v>0.96899999999999997</v>
      </c>
      <c r="P192" s="57">
        <v>0.92500000000000004</v>
      </c>
      <c r="Q192" s="57">
        <v>0.95199999999999996</v>
      </c>
      <c r="R192" s="7">
        <v>2881095</v>
      </c>
      <c r="S192" s="7">
        <v>2260000</v>
      </c>
      <c r="T192" s="7">
        <f t="shared" si="99"/>
        <v>857125.76249999995</v>
      </c>
      <c r="U192" s="7">
        <v>1440000</v>
      </c>
      <c r="V192" s="7">
        <f t="shared" si="100"/>
        <v>820000</v>
      </c>
      <c r="W192" s="7">
        <v>9143</v>
      </c>
      <c r="X192" s="58">
        <f t="shared" si="101"/>
        <v>0</v>
      </c>
      <c r="Y192" s="25">
        <f t="shared" si="102"/>
        <v>0</v>
      </c>
      <c r="Z192" s="25"/>
      <c r="AA192" s="7">
        <f t="shared" si="103"/>
        <v>3117125.7625000002</v>
      </c>
      <c r="AB192" s="7">
        <f t="shared" si="104"/>
        <v>857125.76249999995</v>
      </c>
      <c r="AC192" s="7">
        <f t="shared" si="105"/>
        <v>2260000</v>
      </c>
      <c r="AD192" s="59">
        <f t="shared" si="106"/>
        <v>0</v>
      </c>
      <c r="AE192" s="59">
        <f t="shared" si="107"/>
        <v>0</v>
      </c>
      <c r="AF192" s="60">
        <f t="shared" si="108"/>
        <v>0</v>
      </c>
      <c r="AG192" s="60">
        <f t="shared" si="109"/>
        <v>2260000</v>
      </c>
      <c r="AH192" s="7">
        <v>0</v>
      </c>
      <c r="AI192" s="7">
        <v>0</v>
      </c>
      <c r="AJ192" s="63"/>
      <c r="AK192" s="63"/>
      <c r="AL192" s="8"/>
      <c r="AM192" s="8"/>
    </row>
    <row r="193" spans="1:39" x14ac:dyDescent="0.2">
      <c r="A193" s="1" t="s">
        <v>1412</v>
      </c>
      <c r="B193" s="1" t="s">
        <v>1412</v>
      </c>
      <c r="C193" s="1">
        <v>3107</v>
      </c>
      <c r="D193" s="62" t="s">
        <v>423</v>
      </c>
      <c r="E193" s="3" t="s">
        <v>1593</v>
      </c>
      <c r="F193" s="3" t="s">
        <v>1594</v>
      </c>
      <c r="G193" s="3" t="s">
        <v>1412</v>
      </c>
      <c r="H193" s="3">
        <v>1986</v>
      </c>
      <c r="I193" s="3"/>
      <c r="J193" s="3" t="s">
        <v>1416</v>
      </c>
      <c r="K193" s="4" t="s">
        <v>1412</v>
      </c>
      <c r="L193" s="56" t="s">
        <v>424</v>
      </c>
      <c r="M193" s="6">
        <v>191</v>
      </c>
      <c r="N193" s="57">
        <v>0.90500000000000003</v>
      </c>
      <c r="O193" s="57">
        <v>0.91900000000000004</v>
      </c>
      <c r="P193" s="57">
        <v>0.94199999999999995</v>
      </c>
      <c r="Q193" s="57">
        <v>0.92400000000000004</v>
      </c>
      <c r="R193" s="7">
        <v>1480272</v>
      </c>
      <c r="S193" s="7">
        <v>1202049</v>
      </c>
      <c r="T193" s="7">
        <f t="shared" si="99"/>
        <v>440380.92</v>
      </c>
      <c r="U193" s="7">
        <v>823347</v>
      </c>
      <c r="V193" s="7">
        <f t="shared" si="100"/>
        <v>378702</v>
      </c>
      <c r="W193" s="7">
        <v>5616</v>
      </c>
      <c r="X193" s="58">
        <f t="shared" si="101"/>
        <v>1100373.92</v>
      </c>
      <c r="Y193" s="25">
        <f t="shared" si="102"/>
        <v>440380.92</v>
      </c>
      <c r="Z193" s="25">
        <v>659993</v>
      </c>
      <c r="AA193" s="7">
        <f t="shared" si="103"/>
        <v>542056</v>
      </c>
      <c r="AB193" s="7">
        <f t="shared" si="104"/>
        <v>0</v>
      </c>
      <c r="AC193" s="7">
        <f t="shared" si="105"/>
        <v>542056</v>
      </c>
      <c r="AD193" s="59">
        <f t="shared" si="106"/>
        <v>659993</v>
      </c>
      <c r="AE193" s="59">
        <f t="shared" si="107"/>
        <v>0</v>
      </c>
      <c r="AF193" s="60">
        <f t="shared" si="108"/>
        <v>542056</v>
      </c>
      <c r="AG193" s="60">
        <f t="shared" si="109"/>
        <v>0</v>
      </c>
      <c r="AH193" s="7">
        <v>778000</v>
      </c>
      <c r="AI193" s="7">
        <v>632000</v>
      </c>
      <c r="AJ193" s="11" t="s">
        <v>1419</v>
      </c>
      <c r="AK193" s="61">
        <v>1427621</v>
      </c>
      <c r="AL193" s="8"/>
      <c r="AM193" s="8"/>
    </row>
    <row r="194" spans="1:39" x14ac:dyDescent="0.2">
      <c r="A194" s="1" t="s">
        <v>1412</v>
      </c>
      <c r="B194" s="1"/>
      <c r="C194" s="1">
        <v>546</v>
      </c>
      <c r="D194" s="3" t="s">
        <v>425</v>
      </c>
      <c r="E194" s="3" t="s">
        <v>25</v>
      </c>
      <c r="F194" s="3" t="s">
        <v>1525</v>
      </c>
      <c r="G194" s="3" t="s">
        <v>1417</v>
      </c>
      <c r="H194" s="3">
        <v>1989</v>
      </c>
      <c r="I194" s="3"/>
      <c r="J194" s="3" t="s">
        <v>1512</v>
      </c>
      <c r="K194" s="4"/>
      <c r="L194" s="56" t="s">
        <v>325</v>
      </c>
      <c r="M194" s="6">
        <v>24</v>
      </c>
      <c r="N194" s="57">
        <v>0.96399999999999997</v>
      </c>
      <c r="O194" s="57">
        <v>0.96399999999999997</v>
      </c>
      <c r="P194" s="57">
        <v>0.95899999999999996</v>
      </c>
      <c r="Q194" s="57">
        <v>0.97899999999999998</v>
      </c>
      <c r="R194" s="7"/>
      <c r="S194" s="7">
        <v>192081</v>
      </c>
      <c r="T194" s="7">
        <f t="shared" si="99"/>
        <v>37244.505899999996</v>
      </c>
      <c r="U194" s="7">
        <v>124479</v>
      </c>
      <c r="V194" s="7">
        <f t="shared" si="100"/>
        <v>67602</v>
      </c>
      <c r="W194" s="7">
        <v>960</v>
      </c>
      <c r="X194" s="58">
        <f t="shared" si="101"/>
        <v>0</v>
      </c>
      <c r="Y194" s="25">
        <f t="shared" si="102"/>
        <v>0</v>
      </c>
      <c r="Z194" s="25"/>
      <c r="AA194" s="7">
        <f t="shared" si="103"/>
        <v>229325.50589999999</v>
      </c>
      <c r="AB194" s="7">
        <f t="shared" si="104"/>
        <v>37244.505899999996</v>
      </c>
      <c r="AC194" s="7">
        <f t="shared" si="105"/>
        <v>192081</v>
      </c>
      <c r="AD194" s="59">
        <f t="shared" si="106"/>
        <v>0</v>
      </c>
      <c r="AE194" s="59">
        <f t="shared" si="107"/>
        <v>0</v>
      </c>
      <c r="AF194" s="60">
        <f t="shared" si="108"/>
        <v>0</v>
      </c>
      <c r="AG194" s="60">
        <f t="shared" si="109"/>
        <v>192081</v>
      </c>
      <c r="AH194" s="7">
        <v>0</v>
      </c>
      <c r="AI194" s="7">
        <v>0</v>
      </c>
      <c r="AJ194" s="3"/>
      <c r="AK194" s="3"/>
      <c r="AL194" s="8"/>
      <c r="AM194" s="8"/>
    </row>
    <row r="195" spans="1:39" x14ac:dyDescent="0.2">
      <c r="A195" s="1" t="s">
        <v>1412</v>
      </c>
      <c r="B195" s="1"/>
      <c r="C195" s="1">
        <v>4780</v>
      </c>
      <c r="D195" s="3" t="s">
        <v>426</v>
      </c>
      <c r="E195" s="3"/>
      <c r="F195" s="3"/>
      <c r="G195" s="3" t="s">
        <v>1417</v>
      </c>
      <c r="H195" s="3"/>
      <c r="I195" s="3"/>
      <c r="J195" s="3"/>
      <c r="K195" s="4"/>
      <c r="L195" s="56"/>
      <c r="M195" s="6"/>
      <c r="N195" s="57"/>
      <c r="O195" s="57"/>
      <c r="P195" s="57"/>
      <c r="Q195" s="57"/>
      <c r="R195" s="7"/>
      <c r="S195" s="7"/>
      <c r="T195" s="7"/>
      <c r="U195" s="7"/>
      <c r="V195" s="7"/>
      <c r="W195" s="7"/>
      <c r="X195" s="58"/>
      <c r="Y195" s="25"/>
      <c r="Z195" s="25"/>
      <c r="AA195" s="7"/>
      <c r="AB195" s="7"/>
      <c r="AC195" s="7"/>
      <c r="AD195" s="59"/>
      <c r="AE195" s="59"/>
      <c r="AF195" s="60"/>
      <c r="AG195" s="60"/>
      <c r="AH195" s="7">
        <v>560000</v>
      </c>
      <c r="AI195" s="7">
        <v>577000</v>
      </c>
      <c r="AJ195" s="3"/>
      <c r="AK195" s="3"/>
      <c r="AL195" s="8"/>
      <c r="AM195" s="8"/>
    </row>
    <row r="196" spans="1:39" x14ac:dyDescent="0.2">
      <c r="A196" s="1" t="s">
        <v>1412</v>
      </c>
      <c r="B196" s="1"/>
      <c r="C196" s="1">
        <v>4837</v>
      </c>
      <c r="D196" s="65" t="s">
        <v>427</v>
      </c>
      <c r="E196" s="63" t="s">
        <v>428</v>
      </c>
      <c r="F196" s="3" t="s">
        <v>1555</v>
      </c>
      <c r="G196" s="3" t="s">
        <v>1412</v>
      </c>
      <c r="H196" s="3">
        <v>1982</v>
      </c>
      <c r="I196" s="3"/>
      <c r="J196" s="3" t="s">
        <v>1416</v>
      </c>
      <c r="K196" s="4" t="s">
        <v>1417</v>
      </c>
      <c r="L196" s="56" t="s">
        <v>429</v>
      </c>
      <c r="M196" s="6">
        <v>126</v>
      </c>
      <c r="N196" s="57">
        <v>0.81599999999999995</v>
      </c>
      <c r="O196" s="57">
        <v>0.84499999999999997</v>
      </c>
      <c r="P196" s="57">
        <v>0.92500000000000004</v>
      </c>
      <c r="Q196" s="57">
        <v>0.95199999999999996</v>
      </c>
      <c r="R196" s="7">
        <v>809359</v>
      </c>
      <c r="S196" s="7">
        <v>695000</v>
      </c>
      <c r="T196" s="7">
        <f>IF(J196="regional",IF(R196&gt;0,R196*0.2975,S196*0.3484),S196*0.1939)</f>
        <v>240784.30249999999</v>
      </c>
      <c r="U196" s="7">
        <v>426400</v>
      </c>
      <c r="V196" s="7">
        <f>S196-U196</f>
        <v>268600</v>
      </c>
      <c r="W196" s="7">
        <v>3150</v>
      </c>
      <c r="X196" s="58">
        <f>Y196+Z196</f>
        <v>0</v>
      </c>
      <c r="Y196" s="25">
        <f>IF(B196="y",T196,0)</f>
        <v>0</v>
      </c>
      <c r="Z196" s="25"/>
      <c r="AA196" s="7">
        <f>AB196+AC196</f>
        <v>935784.30249999999</v>
      </c>
      <c r="AB196" s="7">
        <f>IF(B196="y",0,T196)</f>
        <v>240784.30249999999</v>
      </c>
      <c r="AC196" s="7">
        <f>S196-Z196</f>
        <v>695000</v>
      </c>
      <c r="AD196" s="59">
        <f>IF(K196="y",Z196,0)</f>
        <v>0</v>
      </c>
      <c r="AE196" s="59">
        <f>IF($K196="",Z196,0)+IF($K196="n",Z196,0)</f>
        <v>0</v>
      </c>
      <c r="AF196" s="60">
        <f>IF($K196="y",AC196,0)</f>
        <v>0</v>
      </c>
      <c r="AG196" s="60">
        <f>IF($K196="",AC196,0)+IF($K196="n",AC196,0)</f>
        <v>695000</v>
      </c>
      <c r="AH196" s="7">
        <v>0</v>
      </c>
      <c r="AI196" s="7">
        <v>0</v>
      </c>
      <c r="AJ196" s="65"/>
      <c r="AK196" s="65"/>
      <c r="AL196" s="8"/>
      <c r="AM196" s="8"/>
    </row>
    <row r="197" spans="1:39" x14ac:dyDescent="0.2">
      <c r="A197" s="1" t="s">
        <v>1412</v>
      </c>
      <c r="B197" s="1"/>
      <c r="C197" s="1">
        <v>3625</v>
      </c>
      <c r="D197" s="62" t="s">
        <v>430</v>
      </c>
      <c r="E197" s="3" t="s">
        <v>431</v>
      </c>
      <c r="F197" s="3" t="s">
        <v>1525</v>
      </c>
      <c r="G197" s="3" t="s">
        <v>1417</v>
      </c>
      <c r="H197" s="3">
        <v>1995</v>
      </c>
      <c r="I197" s="3"/>
      <c r="J197" s="3" t="s">
        <v>1416</v>
      </c>
      <c r="K197" s="4" t="s">
        <v>1412</v>
      </c>
      <c r="L197" s="56" t="s">
        <v>325</v>
      </c>
      <c r="M197" s="6">
        <v>139</v>
      </c>
      <c r="N197" s="57">
        <v>0.83799999999999997</v>
      </c>
      <c r="O197" s="57">
        <v>0.83699999999999997</v>
      </c>
      <c r="P197" s="57">
        <v>0.82199999999999995</v>
      </c>
      <c r="Q197" s="57">
        <v>0.83399999999999996</v>
      </c>
      <c r="R197" s="7">
        <v>1384706</v>
      </c>
      <c r="S197" s="7">
        <v>1139034</v>
      </c>
      <c r="T197" s="7">
        <f>IF(J197="regional",IF(R197&gt;0,R197*0.2975,S197*0.3484),S197*0.1939)</f>
        <v>411950.03499999997</v>
      </c>
      <c r="U197" s="7">
        <v>768798</v>
      </c>
      <c r="V197" s="7">
        <f>S197-U197</f>
        <v>370236</v>
      </c>
      <c r="W197" s="7">
        <v>5600</v>
      </c>
      <c r="X197" s="58">
        <f>Y197+Z197</f>
        <v>0</v>
      </c>
      <c r="Y197" s="25">
        <f>IF(B197="y",T197,0)</f>
        <v>0</v>
      </c>
      <c r="Z197" s="25"/>
      <c r="AA197" s="7">
        <f>AB197+AC197</f>
        <v>1550984.0349999999</v>
      </c>
      <c r="AB197" s="7">
        <f>IF(B197="y",0,T197)</f>
        <v>411950.03499999997</v>
      </c>
      <c r="AC197" s="7">
        <f>S197-Z197</f>
        <v>1139034</v>
      </c>
      <c r="AD197" s="59">
        <f>IF(K197="y",Z197,0)</f>
        <v>0</v>
      </c>
      <c r="AE197" s="59">
        <f>IF($K197="",Z197,0)+IF($K197="n",Z197,0)</f>
        <v>0</v>
      </c>
      <c r="AF197" s="60">
        <f>IF($K197="y",AC197,0)</f>
        <v>1139034</v>
      </c>
      <c r="AG197" s="60">
        <f>IF($K197="",AC197,0)+IF($K197="n",AC197,0)</f>
        <v>0</v>
      </c>
      <c r="AH197" s="7">
        <v>792000</v>
      </c>
      <c r="AI197" s="7">
        <v>646000</v>
      </c>
      <c r="AJ197" s="11" t="s">
        <v>1419</v>
      </c>
      <c r="AK197" s="61">
        <v>805815</v>
      </c>
      <c r="AL197" s="8"/>
      <c r="AM197" s="8"/>
    </row>
    <row r="198" spans="1:39" x14ac:dyDescent="0.2">
      <c r="A198" s="1" t="s">
        <v>1412</v>
      </c>
      <c r="B198" s="1"/>
      <c r="C198" s="1">
        <v>1</v>
      </c>
      <c r="D198" s="3" t="s">
        <v>432</v>
      </c>
      <c r="E198" s="3" t="s">
        <v>47</v>
      </c>
      <c r="F198" s="3" t="s">
        <v>1525</v>
      </c>
      <c r="G198" s="3" t="s">
        <v>1417</v>
      </c>
      <c r="H198" s="3">
        <v>1998</v>
      </c>
      <c r="I198" s="3"/>
      <c r="J198" s="3" t="s">
        <v>433</v>
      </c>
      <c r="K198" s="4" t="s">
        <v>1412</v>
      </c>
      <c r="L198" s="56" t="s">
        <v>36</v>
      </c>
      <c r="M198" s="6"/>
      <c r="R198" s="7"/>
      <c r="S198" s="7">
        <v>510000</v>
      </c>
      <c r="T198" s="7">
        <f>IF(J198="regional",IF(R198&gt;0,R198*0.2975,S198*0.3484),S198*0.1939)</f>
        <v>98889</v>
      </c>
      <c r="U198" s="7">
        <v>280181</v>
      </c>
      <c r="V198" s="7">
        <f>S198-U198</f>
        <v>229819</v>
      </c>
      <c r="W198" s="7"/>
      <c r="X198" s="58">
        <f>Y198+Z198</f>
        <v>0</v>
      </c>
      <c r="Y198" s="25">
        <f>IF(B198="y",T198,0)</f>
        <v>0</v>
      </c>
      <c r="Z198" s="25"/>
      <c r="AA198" s="7">
        <f>AB198+AC198</f>
        <v>608889</v>
      </c>
      <c r="AB198" s="7">
        <f>IF(B198="y",0,T198)</f>
        <v>98889</v>
      </c>
      <c r="AC198" s="7">
        <f>S198-Z198</f>
        <v>510000</v>
      </c>
      <c r="AD198" s="59">
        <f>IF(K198="y",Z198,0)</f>
        <v>0</v>
      </c>
      <c r="AE198" s="59">
        <f>IF($K198="",Z198,0)+IF($K198="n",Z198,0)</f>
        <v>0</v>
      </c>
      <c r="AF198" s="60">
        <f>IF($K198="y",AC198,0)</f>
        <v>510000</v>
      </c>
      <c r="AG198" s="60">
        <f>IF($K198="",AC198,0)+IF($K198="n",AC198,0)</f>
        <v>0</v>
      </c>
      <c r="AH198" s="7">
        <v>0</v>
      </c>
      <c r="AI198" s="7">
        <v>0</v>
      </c>
      <c r="AJ198" s="3"/>
      <c r="AK198" s="3"/>
      <c r="AL198" s="8"/>
      <c r="AM198" s="8"/>
    </row>
    <row r="199" spans="1:39" x14ac:dyDescent="0.2">
      <c r="A199" s="1" t="s">
        <v>1412</v>
      </c>
      <c r="B199" s="1"/>
      <c r="C199" s="1">
        <v>3824</v>
      </c>
      <c r="D199" s="3" t="s">
        <v>434</v>
      </c>
      <c r="E199" s="3"/>
      <c r="F199" s="3"/>
      <c r="G199" s="3" t="s">
        <v>1417</v>
      </c>
      <c r="H199" s="3"/>
      <c r="I199" s="3"/>
      <c r="J199" s="3"/>
      <c r="K199" s="4"/>
      <c r="L199" s="56"/>
      <c r="M199" s="6"/>
      <c r="R199" s="7"/>
      <c r="S199" s="7"/>
      <c r="T199" s="7"/>
      <c r="U199" s="7"/>
      <c r="V199" s="7"/>
      <c r="W199" s="7"/>
      <c r="X199" s="58"/>
      <c r="Y199" s="25"/>
      <c r="Z199" s="25"/>
      <c r="AA199" s="7"/>
      <c r="AB199" s="7"/>
      <c r="AC199" s="7"/>
      <c r="AD199" s="59"/>
      <c r="AE199" s="59"/>
      <c r="AF199" s="60"/>
      <c r="AG199" s="60"/>
      <c r="AH199" s="7">
        <v>0</v>
      </c>
      <c r="AI199" s="7">
        <v>0</v>
      </c>
      <c r="AJ199" s="3"/>
      <c r="AK199" s="3"/>
      <c r="AL199" s="8"/>
      <c r="AM199" s="8"/>
    </row>
    <row r="200" spans="1:39" x14ac:dyDescent="0.2">
      <c r="A200" s="1" t="s">
        <v>1412</v>
      </c>
      <c r="B200" s="1"/>
      <c r="C200" s="1">
        <v>3894</v>
      </c>
      <c r="D200" s="3" t="s">
        <v>435</v>
      </c>
      <c r="E200" s="3"/>
      <c r="F200" s="3"/>
      <c r="G200" s="3" t="s">
        <v>1417</v>
      </c>
      <c r="H200" s="3"/>
      <c r="I200" s="3"/>
      <c r="J200" s="3"/>
      <c r="K200" s="4"/>
      <c r="L200" s="56"/>
      <c r="M200" s="6"/>
      <c r="R200" s="7"/>
      <c r="S200" s="7"/>
      <c r="T200" s="7"/>
      <c r="U200" s="7"/>
      <c r="V200" s="7"/>
      <c r="W200" s="7"/>
      <c r="X200" s="58"/>
      <c r="Y200" s="25"/>
      <c r="Z200" s="25"/>
      <c r="AA200" s="7"/>
      <c r="AB200" s="7"/>
      <c r="AC200" s="7"/>
      <c r="AD200" s="59"/>
      <c r="AE200" s="59"/>
      <c r="AF200" s="60"/>
      <c r="AG200" s="60"/>
      <c r="AH200" s="7">
        <v>0</v>
      </c>
      <c r="AI200" s="7">
        <v>0</v>
      </c>
      <c r="AJ200" s="3"/>
      <c r="AK200" s="3"/>
      <c r="AL200" s="8"/>
      <c r="AM200" s="8"/>
    </row>
    <row r="201" spans="1:39" x14ac:dyDescent="0.2">
      <c r="A201" s="1" t="s">
        <v>10</v>
      </c>
      <c r="B201" s="1" t="s">
        <v>1412</v>
      </c>
      <c r="C201" s="1">
        <v>3632</v>
      </c>
      <c r="D201" s="3" t="s">
        <v>436</v>
      </c>
      <c r="E201" s="3" t="s">
        <v>437</v>
      </c>
      <c r="F201" s="3" t="s">
        <v>1608</v>
      </c>
      <c r="G201" s="3" t="s">
        <v>1417</v>
      </c>
      <c r="H201" s="3">
        <v>1995</v>
      </c>
      <c r="I201" s="3"/>
      <c r="J201" s="3" t="s">
        <v>1416</v>
      </c>
      <c r="K201" s="4" t="s">
        <v>1417</v>
      </c>
      <c r="L201" s="56" t="s">
        <v>422</v>
      </c>
      <c r="M201" s="6">
        <v>158</v>
      </c>
      <c r="N201" s="57">
        <v>0.92200000000000004</v>
      </c>
      <c r="O201" s="57">
        <v>0.92200000000000004</v>
      </c>
      <c r="P201" s="57">
        <v>0.86899999999999999</v>
      </c>
      <c r="Q201" s="57">
        <v>0.89200000000000002</v>
      </c>
      <c r="R201" s="7">
        <v>1604003</v>
      </c>
      <c r="S201" s="7">
        <v>1376005</v>
      </c>
      <c r="T201" s="7">
        <f t="shared" ref="T201:T206" si="110">IF(J201="regional",IF(R201&gt;0,R201*0.2975,S201*0.3484),S201*0.1939)</f>
        <v>477190.89249999996</v>
      </c>
      <c r="U201" s="7">
        <v>865639</v>
      </c>
      <c r="V201" s="7">
        <f t="shared" ref="V201:V206" si="111">S201-U201</f>
        <v>510366</v>
      </c>
      <c r="W201" s="7">
        <v>7200</v>
      </c>
      <c r="X201" s="58">
        <f t="shared" ref="X201:X206" si="112">Y201+Z201</f>
        <v>1141351.8925000001</v>
      </c>
      <c r="Y201" s="25">
        <f t="shared" ref="Y201:Y206" si="113">IF(B201="y",T201,0)</f>
        <v>477190.89249999996</v>
      </c>
      <c r="Z201" s="25">
        <v>664161</v>
      </c>
      <c r="AA201" s="7">
        <f t="shared" ref="AA201:AA206" si="114">AB201+AC201</f>
        <v>711844</v>
      </c>
      <c r="AB201" s="7">
        <f t="shared" ref="AB201:AB206" si="115">IF(B201="y",0,T201)</f>
        <v>0</v>
      </c>
      <c r="AC201" s="7">
        <f t="shared" ref="AC201:AC206" si="116">S201-Z201</f>
        <v>711844</v>
      </c>
      <c r="AD201" s="59">
        <f t="shared" ref="AD201:AD206" si="117">IF(K201="y",Z201,0)</f>
        <v>0</v>
      </c>
      <c r="AE201" s="59">
        <f t="shared" ref="AE201:AE206" si="118">IF($K201="",Z201,0)+IF($K201="n",Z201,0)</f>
        <v>664161</v>
      </c>
      <c r="AF201" s="60">
        <f t="shared" ref="AF201:AF206" si="119">IF($K201="y",AC201,0)</f>
        <v>0</v>
      </c>
      <c r="AG201" s="60">
        <f t="shared" ref="AG201:AG206" si="120">IF($K201="",AC201,0)+IF($K201="n",AC201,0)</f>
        <v>711844</v>
      </c>
      <c r="AH201" s="7">
        <v>0</v>
      </c>
      <c r="AI201" s="7">
        <v>0</v>
      </c>
      <c r="AJ201" s="3"/>
      <c r="AK201" s="3"/>
      <c r="AL201" s="8"/>
      <c r="AM201" s="8"/>
    </row>
    <row r="202" spans="1:39" x14ac:dyDescent="0.2">
      <c r="A202" s="1" t="s">
        <v>1412</v>
      </c>
      <c r="B202" s="1"/>
      <c r="C202" s="1">
        <v>3635</v>
      </c>
      <c r="D202" s="3" t="s">
        <v>438</v>
      </c>
      <c r="E202" s="3" t="s">
        <v>439</v>
      </c>
      <c r="F202" s="3" t="s">
        <v>1608</v>
      </c>
      <c r="G202" s="3" t="s">
        <v>1417</v>
      </c>
      <c r="H202" s="3">
        <v>1997</v>
      </c>
      <c r="I202" s="3"/>
      <c r="J202" s="3" t="s">
        <v>1416</v>
      </c>
      <c r="K202" s="4" t="s">
        <v>1412</v>
      </c>
      <c r="L202" s="5" t="s">
        <v>422</v>
      </c>
      <c r="M202" s="6"/>
      <c r="N202" s="57">
        <v>0.97099999999999997</v>
      </c>
      <c r="O202" s="57">
        <v>0.97599999999999998</v>
      </c>
      <c r="P202" s="57">
        <v>0.89500000000000002</v>
      </c>
      <c r="Q202" s="57">
        <v>0.82399999999999995</v>
      </c>
      <c r="R202" s="7">
        <v>1032173</v>
      </c>
      <c r="S202" s="7">
        <v>679383</v>
      </c>
      <c r="T202" s="7">
        <f t="shared" si="110"/>
        <v>307071.46749999997</v>
      </c>
      <c r="U202" s="7">
        <v>472747</v>
      </c>
      <c r="V202" s="7">
        <f t="shared" si="111"/>
        <v>206636</v>
      </c>
      <c r="W202" s="7">
        <v>3600</v>
      </c>
      <c r="X202" s="58">
        <f t="shared" si="112"/>
        <v>0</v>
      </c>
      <c r="Y202" s="25">
        <f t="shared" si="113"/>
        <v>0</v>
      </c>
      <c r="Z202" s="8"/>
      <c r="AA202" s="7">
        <f t="shared" si="114"/>
        <v>986454.46750000003</v>
      </c>
      <c r="AB202" s="7">
        <f t="shared" si="115"/>
        <v>307071.46749999997</v>
      </c>
      <c r="AC202" s="7">
        <f t="shared" si="116"/>
        <v>679383</v>
      </c>
      <c r="AD202" s="59">
        <f t="shared" si="117"/>
        <v>0</v>
      </c>
      <c r="AE202" s="59">
        <f t="shared" si="118"/>
        <v>0</v>
      </c>
      <c r="AF202" s="60">
        <f t="shared" si="119"/>
        <v>679383</v>
      </c>
      <c r="AG202" s="60">
        <f t="shared" si="120"/>
        <v>0</v>
      </c>
      <c r="AH202" s="7">
        <v>1936000</v>
      </c>
      <c r="AI202" s="7">
        <v>1972000</v>
      </c>
      <c r="AJ202" s="11" t="s">
        <v>1541</v>
      </c>
      <c r="AK202" s="61">
        <v>429721</v>
      </c>
      <c r="AL202" s="8"/>
      <c r="AM202" s="8" t="s">
        <v>1419</v>
      </c>
    </row>
    <row r="203" spans="1:39" x14ac:dyDescent="0.2">
      <c r="A203" s="1" t="s">
        <v>1412</v>
      </c>
      <c r="B203" s="1"/>
      <c r="C203" s="1">
        <v>4674</v>
      </c>
      <c r="D203" s="62" t="s">
        <v>440</v>
      </c>
      <c r="E203" s="3" t="s">
        <v>1593</v>
      </c>
      <c r="F203" s="3" t="s">
        <v>1594</v>
      </c>
      <c r="G203" s="3" t="s">
        <v>1412</v>
      </c>
      <c r="H203" s="3">
        <v>1997</v>
      </c>
      <c r="I203" s="3"/>
      <c r="J203" s="3" t="s">
        <v>1416</v>
      </c>
      <c r="K203" s="4" t="s">
        <v>1412</v>
      </c>
      <c r="L203" s="56" t="s">
        <v>441</v>
      </c>
      <c r="M203" s="6">
        <v>122</v>
      </c>
      <c r="N203" s="57">
        <v>0.93</v>
      </c>
      <c r="O203" s="57">
        <v>0.93300000000000005</v>
      </c>
      <c r="P203" s="57">
        <v>0.94</v>
      </c>
      <c r="Q203" s="57">
        <v>0.95199999999999996</v>
      </c>
      <c r="R203" s="7">
        <v>697704</v>
      </c>
      <c r="S203" s="7">
        <v>1046630</v>
      </c>
      <c r="T203" s="7">
        <f t="shared" si="110"/>
        <v>207566.94</v>
      </c>
      <c r="U203" s="7">
        <v>655987</v>
      </c>
      <c r="V203" s="7">
        <f t="shared" si="111"/>
        <v>390643</v>
      </c>
      <c r="W203" s="7">
        <v>6000</v>
      </c>
      <c r="X203" s="58">
        <f t="shared" si="112"/>
        <v>0</v>
      </c>
      <c r="Y203" s="25">
        <f t="shared" si="113"/>
        <v>0</v>
      </c>
      <c r="Z203" s="25"/>
      <c r="AA203" s="7">
        <f t="shared" si="114"/>
        <v>1254196.94</v>
      </c>
      <c r="AB203" s="7">
        <f t="shared" si="115"/>
        <v>207566.94</v>
      </c>
      <c r="AC203" s="7">
        <f t="shared" si="116"/>
        <v>1046630</v>
      </c>
      <c r="AD203" s="59">
        <f t="shared" si="117"/>
        <v>0</v>
      </c>
      <c r="AE203" s="59">
        <f t="shared" si="118"/>
        <v>0</v>
      </c>
      <c r="AF203" s="60">
        <f t="shared" si="119"/>
        <v>1046630</v>
      </c>
      <c r="AG203" s="60">
        <f t="shared" si="120"/>
        <v>0</v>
      </c>
      <c r="AH203" s="7">
        <v>889000</v>
      </c>
      <c r="AI203" s="7">
        <v>199000</v>
      </c>
      <c r="AJ203" s="11" t="s">
        <v>1419</v>
      </c>
      <c r="AK203" s="61">
        <v>936983</v>
      </c>
      <c r="AL203" s="8"/>
      <c r="AM203" s="8"/>
    </row>
    <row r="204" spans="1:39" x14ac:dyDescent="0.2">
      <c r="A204" s="1" t="s">
        <v>1412</v>
      </c>
      <c r="B204" s="1"/>
      <c r="C204" s="1">
        <v>3725</v>
      </c>
      <c r="D204" s="3" t="s">
        <v>442</v>
      </c>
      <c r="E204" s="3" t="s">
        <v>443</v>
      </c>
      <c r="F204" s="3" t="s">
        <v>274</v>
      </c>
      <c r="G204" s="3" t="s">
        <v>1412</v>
      </c>
      <c r="H204" s="3">
        <v>1975</v>
      </c>
      <c r="I204" s="3"/>
      <c r="J204" s="3" t="s">
        <v>1416</v>
      </c>
      <c r="K204" s="4" t="s">
        <v>1412</v>
      </c>
      <c r="L204" s="56" t="s">
        <v>444</v>
      </c>
      <c r="M204" s="6">
        <v>83</v>
      </c>
      <c r="N204" s="57">
        <v>0.84</v>
      </c>
      <c r="O204" s="57">
        <v>0.879</v>
      </c>
      <c r="P204" s="57">
        <v>0.878</v>
      </c>
      <c r="Q204" s="57">
        <v>0.84899999999999998</v>
      </c>
      <c r="R204" s="7">
        <v>961354</v>
      </c>
      <c r="S204" s="7">
        <v>850638</v>
      </c>
      <c r="T204" s="7">
        <f t="shared" si="110"/>
        <v>286002.815</v>
      </c>
      <c r="U204" s="7">
        <v>639637</v>
      </c>
      <c r="V204" s="7">
        <f t="shared" si="111"/>
        <v>211001</v>
      </c>
      <c r="W204" s="7">
        <v>4680</v>
      </c>
      <c r="X204" s="58">
        <f t="shared" si="112"/>
        <v>0</v>
      </c>
      <c r="Y204" s="25">
        <f t="shared" si="113"/>
        <v>0</v>
      </c>
      <c r="Z204" s="25"/>
      <c r="AA204" s="7">
        <f t="shared" si="114"/>
        <v>1136640.8149999999</v>
      </c>
      <c r="AB204" s="7">
        <f t="shared" si="115"/>
        <v>286002.815</v>
      </c>
      <c r="AC204" s="7">
        <f t="shared" si="116"/>
        <v>850638</v>
      </c>
      <c r="AD204" s="59">
        <f t="shared" si="117"/>
        <v>0</v>
      </c>
      <c r="AE204" s="59">
        <f t="shared" si="118"/>
        <v>0</v>
      </c>
      <c r="AF204" s="60">
        <f t="shared" si="119"/>
        <v>850638</v>
      </c>
      <c r="AG204" s="60">
        <f t="shared" si="120"/>
        <v>0</v>
      </c>
      <c r="AH204" s="7">
        <v>401000</v>
      </c>
      <c r="AI204" s="7">
        <v>329000</v>
      </c>
      <c r="AJ204" s="11" t="s">
        <v>1419</v>
      </c>
      <c r="AK204" s="61">
        <v>435047</v>
      </c>
      <c r="AL204" s="8"/>
      <c r="AM204" s="8"/>
    </row>
    <row r="205" spans="1:39" x14ac:dyDescent="0.2">
      <c r="A205" s="1" t="s">
        <v>1412</v>
      </c>
      <c r="B205" s="1"/>
      <c r="C205" s="1">
        <v>4772</v>
      </c>
      <c r="D205" s="3" t="s">
        <v>442</v>
      </c>
      <c r="E205" s="3" t="s">
        <v>445</v>
      </c>
      <c r="F205" s="3" t="s">
        <v>1415</v>
      </c>
      <c r="G205" s="3" t="s">
        <v>1417</v>
      </c>
      <c r="H205" s="3">
        <v>1974</v>
      </c>
      <c r="I205" s="3">
        <v>1997</v>
      </c>
      <c r="J205" s="3" t="s">
        <v>1416</v>
      </c>
      <c r="K205" s="4" t="s">
        <v>1412</v>
      </c>
      <c r="L205" s="56" t="s">
        <v>450</v>
      </c>
      <c r="M205" s="6">
        <v>125</v>
      </c>
      <c r="N205" s="57">
        <v>0.89400000000000002</v>
      </c>
      <c r="O205" s="57">
        <v>0.89800000000000002</v>
      </c>
      <c r="P205" s="57">
        <v>0.92500000000000004</v>
      </c>
      <c r="Q205" s="57">
        <v>0.95199999999999996</v>
      </c>
      <c r="R205" s="7">
        <v>954926</v>
      </c>
      <c r="S205" s="7">
        <v>927592</v>
      </c>
      <c r="T205" s="7">
        <f t="shared" si="110"/>
        <v>284090.48499999999</v>
      </c>
      <c r="U205" s="7">
        <v>578056</v>
      </c>
      <c r="V205" s="7">
        <f t="shared" si="111"/>
        <v>349536</v>
      </c>
      <c r="W205" s="7">
        <v>5268</v>
      </c>
      <c r="X205" s="58">
        <f t="shared" si="112"/>
        <v>0</v>
      </c>
      <c r="Y205" s="25">
        <f t="shared" si="113"/>
        <v>0</v>
      </c>
      <c r="Z205" s="25"/>
      <c r="AA205" s="7">
        <f t="shared" si="114"/>
        <v>1211682.4849999999</v>
      </c>
      <c r="AB205" s="7">
        <f t="shared" si="115"/>
        <v>284090.48499999999</v>
      </c>
      <c r="AC205" s="7">
        <f t="shared" si="116"/>
        <v>927592</v>
      </c>
      <c r="AD205" s="59">
        <f t="shared" si="117"/>
        <v>0</v>
      </c>
      <c r="AE205" s="59">
        <f t="shared" si="118"/>
        <v>0</v>
      </c>
      <c r="AF205" s="60">
        <f t="shared" si="119"/>
        <v>927592</v>
      </c>
      <c r="AG205" s="60">
        <f t="shared" si="120"/>
        <v>0</v>
      </c>
      <c r="AH205" s="7">
        <v>674000</v>
      </c>
      <c r="AI205" s="7">
        <v>458000</v>
      </c>
      <c r="AJ205" s="11" t="s">
        <v>1520</v>
      </c>
      <c r="AK205" s="61">
        <v>290806.95</v>
      </c>
      <c r="AL205" s="8"/>
      <c r="AM205" s="8"/>
    </row>
    <row r="206" spans="1:39" x14ac:dyDescent="0.2">
      <c r="A206" s="1" t="s">
        <v>1412</v>
      </c>
      <c r="B206" s="1"/>
      <c r="C206" s="1">
        <v>4838</v>
      </c>
      <c r="D206" s="62" t="s">
        <v>451</v>
      </c>
      <c r="E206" s="3" t="s">
        <v>452</v>
      </c>
      <c r="F206" s="3" t="s">
        <v>1577</v>
      </c>
      <c r="G206" s="3" t="s">
        <v>1412</v>
      </c>
      <c r="H206" s="3">
        <v>1961</v>
      </c>
      <c r="I206" s="3"/>
      <c r="J206" s="3" t="s">
        <v>1416</v>
      </c>
      <c r="K206" s="4" t="s">
        <v>1417</v>
      </c>
      <c r="L206" s="5" t="s">
        <v>453</v>
      </c>
      <c r="M206" s="6">
        <v>184</v>
      </c>
      <c r="N206" s="57">
        <v>0.93700000000000006</v>
      </c>
      <c r="O206" s="57">
        <v>0.93300000000000005</v>
      </c>
      <c r="P206" s="57">
        <v>0.92500000000000004</v>
      </c>
      <c r="Q206" s="57">
        <v>0.95199999999999996</v>
      </c>
      <c r="R206" s="7">
        <v>1645706</v>
      </c>
      <c r="S206" s="7">
        <v>1595000</v>
      </c>
      <c r="T206" s="7">
        <f t="shared" si="110"/>
        <v>489597.53499999997</v>
      </c>
      <c r="U206" s="7">
        <v>865500</v>
      </c>
      <c r="V206" s="7">
        <f t="shared" si="111"/>
        <v>729500</v>
      </c>
      <c r="W206" s="7">
        <v>8730</v>
      </c>
      <c r="X206" s="58">
        <f t="shared" si="112"/>
        <v>0</v>
      </c>
      <c r="Y206" s="25">
        <f t="shared" si="113"/>
        <v>0</v>
      </c>
      <c r="Z206" s="8"/>
      <c r="AA206" s="7">
        <f t="shared" si="114"/>
        <v>2084597.5349999999</v>
      </c>
      <c r="AB206" s="7">
        <f t="shared" si="115"/>
        <v>489597.53499999997</v>
      </c>
      <c r="AC206" s="7">
        <f t="shared" si="116"/>
        <v>1595000</v>
      </c>
      <c r="AD206" s="59">
        <f t="shared" si="117"/>
        <v>0</v>
      </c>
      <c r="AE206" s="59">
        <f t="shared" si="118"/>
        <v>0</v>
      </c>
      <c r="AF206" s="60">
        <f t="shared" si="119"/>
        <v>0</v>
      </c>
      <c r="AG206" s="60">
        <f t="shared" si="120"/>
        <v>1595000</v>
      </c>
      <c r="AH206" s="7">
        <v>0</v>
      </c>
      <c r="AI206" s="7">
        <v>0</v>
      </c>
      <c r="AJ206" s="11" t="s">
        <v>1580</v>
      </c>
      <c r="AK206" s="61">
        <v>117485</v>
      </c>
      <c r="AL206" s="8"/>
      <c r="AM206" s="8"/>
    </row>
    <row r="207" spans="1:39" x14ac:dyDescent="0.2">
      <c r="A207" s="1" t="s">
        <v>1412</v>
      </c>
      <c r="B207" s="1"/>
      <c r="C207" s="1">
        <v>4778</v>
      </c>
      <c r="D207" s="66" t="s">
        <v>454</v>
      </c>
      <c r="E207" s="3"/>
      <c r="F207" s="3"/>
      <c r="G207" s="3" t="s">
        <v>1417</v>
      </c>
      <c r="H207" s="3"/>
      <c r="I207" s="3"/>
      <c r="J207" s="3"/>
      <c r="K207" s="4"/>
      <c r="L207" s="5"/>
      <c r="M207" s="6"/>
      <c r="N207" s="57"/>
      <c r="O207" s="57"/>
      <c r="P207" s="57"/>
      <c r="Q207" s="57"/>
      <c r="R207" s="7"/>
      <c r="S207" s="7"/>
      <c r="T207" s="7"/>
      <c r="U207" s="7"/>
      <c r="V207" s="7"/>
      <c r="W207" s="7"/>
      <c r="X207" s="58"/>
      <c r="Y207" s="25"/>
      <c r="Z207" s="8"/>
      <c r="AA207" s="7"/>
      <c r="AB207" s="7"/>
      <c r="AC207" s="7"/>
      <c r="AD207" s="59"/>
      <c r="AE207" s="59"/>
      <c r="AF207" s="60"/>
      <c r="AG207" s="60"/>
      <c r="AH207" s="7">
        <v>550000</v>
      </c>
      <c r="AI207" s="7">
        <v>548000</v>
      </c>
      <c r="AK207" s="61"/>
      <c r="AL207" s="8"/>
      <c r="AM207" s="8"/>
    </row>
    <row r="208" spans="1:39" x14ac:dyDescent="0.2">
      <c r="A208" s="1" t="s">
        <v>1412</v>
      </c>
      <c r="B208" s="1"/>
      <c r="C208" s="1">
        <v>9550</v>
      </c>
      <c r="D208" s="3" t="s">
        <v>455</v>
      </c>
      <c r="E208" s="3" t="s">
        <v>456</v>
      </c>
      <c r="F208" s="3" t="s">
        <v>1548</v>
      </c>
      <c r="G208" s="3" t="s">
        <v>1412</v>
      </c>
      <c r="H208" s="3">
        <v>1970</v>
      </c>
      <c r="I208" s="3"/>
      <c r="J208" s="3" t="s">
        <v>1416</v>
      </c>
      <c r="K208" s="4" t="s">
        <v>1417</v>
      </c>
      <c r="L208" s="56" t="s">
        <v>1549</v>
      </c>
      <c r="M208" s="6">
        <v>130</v>
      </c>
      <c r="N208" s="57">
        <v>0.90400000000000003</v>
      </c>
      <c r="O208" s="57">
        <v>0.90800000000000003</v>
      </c>
      <c r="P208" s="57">
        <v>0.91400000000000003</v>
      </c>
      <c r="Q208" s="57">
        <v>0.91900000000000004</v>
      </c>
      <c r="R208" s="7">
        <v>1259825</v>
      </c>
      <c r="S208" s="7">
        <v>1167033</v>
      </c>
      <c r="T208" s="7">
        <f>IF(J208="regional",IF(R208&gt;0,R208*0.2975,S208*0.3484),S208*0.1939)</f>
        <v>374797.9375</v>
      </c>
      <c r="U208" s="7">
        <v>866746</v>
      </c>
      <c r="V208" s="7">
        <f>S208-U208</f>
        <v>300287</v>
      </c>
      <c r="W208" s="7">
        <v>5683</v>
      </c>
      <c r="X208" s="58">
        <f>Y208+Z208</f>
        <v>0</v>
      </c>
      <c r="Y208" s="25">
        <f>IF(B208="y",T208,0)</f>
        <v>0</v>
      </c>
      <c r="Z208" s="25"/>
      <c r="AA208" s="7">
        <f>AB208+AC208</f>
        <v>1541830.9375</v>
      </c>
      <c r="AB208" s="7">
        <f>IF(B208="y",0,T208)</f>
        <v>374797.9375</v>
      </c>
      <c r="AC208" s="7">
        <f>S208-Z208</f>
        <v>1167033</v>
      </c>
      <c r="AD208" s="59">
        <f>IF(K208="y",Z208,0)</f>
        <v>0</v>
      </c>
      <c r="AE208" s="59">
        <f>IF($K208="",Z208,0)+IF($K208="n",Z208,0)</f>
        <v>0</v>
      </c>
      <c r="AF208" s="60">
        <f>IF($K208="y",AC208,0)</f>
        <v>0</v>
      </c>
      <c r="AG208" s="60">
        <f>IF($K208="",AC208,0)+IF($K208="n",AC208,0)</f>
        <v>1167033</v>
      </c>
      <c r="AH208" s="7">
        <v>0</v>
      </c>
      <c r="AI208" s="7">
        <v>0</v>
      </c>
      <c r="AJ208" s="11" t="s">
        <v>1419</v>
      </c>
      <c r="AK208" s="61">
        <v>931568</v>
      </c>
      <c r="AL208" s="8"/>
      <c r="AM208" s="8"/>
    </row>
    <row r="209" spans="1:39" x14ac:dyDescent="0.2">
      <c r="A209" s="1" t="s">
        <v>1412</v>
      </c>
      <c r="B209" s="1"/>
      <c r="C209" s="1">
        <v>3892</v>
      </c>
      <c r="D209" s="3" t="s">
        <v>457</v>
      </c>
      <c r="E209" s="3" t="s">
        <v>458</v>
      </c>
      <c r="F209" s="3" t="s">
        <v>459</v>
      </c>
      <c r="G209" s="3" t="s">
        <v>1417</v>
      </c>
      <c r="H209" s="3">
        <v>1988</v>
      </c>
      <c r="I209" s="3"/>
      <c r="J209" s="3" t="s">
        <v>1416</v>
      </c>
      <c r="K209" s="4" t="s">
        <v>1417</v>
      </c>
      <c r="L209" s="56" t="s">
        <v>460</v>
      </c>
      <c r="M209" s="6">
        <v>32</v>
      </c>
      <c r="N209" s="57">
        <v>0.88800000000000001</v>
      </c>
      <c r="O209" s="57">
        <v>0.91500000000000004</v>
      </c>
      <c r="P209" s="57">
        <v>0.91400000000000003</v>
      </c>
      <c r="Q209" s="57">
        <v>0.81100000000000005</v>
      </c>
      <c r="R209" s="7">
        <v>368196</v>
      </c>
      <c r="S209" s="7">
        <v>295848</v>
      </c>
      <c r="T209" s="7">
        <f>IF(J209="regional",IF(R209&gt;0,R209*0.2975,S209*0.3484),S209*0.1939)</f>
        <v>109538.31</v>
      </c>
      <c r="U209" s="7">
        <v>252264</v>
      </c>
      <c r="V209" s="7">
        <f>S209-U209</f>
        <v>43584</v>
      </c>
      <c r="W209" s="7">
        <v>2000</v>
      </c>
      <c r="X209" s="58">
        <f>Y209+Z209</f>
        <v>0</v>
      </c>
      <c r="Y209" s="25">
        <f>IF(B209="y",T209,0)</f>
        <v>0</v>
      </c>
      <c r="Z209" s="25"/>
      <c r="AA209" s="7">
        <f>AB209+AC209</f>
        <v>405386.31</v>
      </c>
      <c r="AB209" s="7">
        <f>IF(B209="y",0,T209)</f>
        <v>109538.31</v>
      </c>
      <c r="AC209" s="7">
        <f>S209-Z209</f>
        <v>295848</v>
      </c>
      <c r="AD209" s="59">
        <f>IF(K209="y",Z209,0)</f>
        <v>0</v>
      </c>
      <c r="AE209" s="59">
        <f>IF($K209="",Z209,0)+IF($K209="n",Z209,0)</f>
        <v>0</v>
      </c>
      <c r="AF209" s="60">
        <f>IF($K209="y",AC209,0)</f>
        <v>0</v>
      </c>
      <c r="AG209" s="60">
        <f>IF($K209="",AC209,0)+IF($K209="n",AC209,0)</f>
        <v>295848</v>
      </c>
      <c r="AH209" s="7">
        <v>0</v>
      </c>
      <c r="AI209" s="7">
        <v>0</v>
      </c>
      <c r="AJ209" s="11" t="s">
        <v>1419</v>
      </c>
      <c r="AK209" s="61">
        <v>98281</v>
      </c>
      <c r="AL209" s="8"/>
      <c r="AM209" s="8"/>
    </row>
    <row r="210" spans="1:39" x14ac:dyDescent="0.2">
      <c r="A210" s="1" t="s">
        <v>1412</v>
      </c>
      <c r="B210" s="1"/>
      <c r="C210" s="1">
        <v>4777</v>
      </c>
      <c r="D210" s="3" t="s">
        <v>461</v>
      </c>
      <c r="E210" s="3"/>
      <c r="F210" s="3"/>
      <c r="G210" s="3" t="s">
        <v>1417</v>
      </c>
      <c r="H210" s="3"/>
      <c r="I210" s="3"/>
      <c r="J210" s="3"/>
      <c r="K210" s="4"/>
      <c r="L210" s="56"/>
      <c r="M210" s="6"/>
      <c r="N210" s="57"/>
      <c r="O210" s="57"/>
      <c r="P210" s="57"/>
      <c r="Q210" s="57"/>
      <c r="R210" s="7"/>
      <c r="S210" s="7"/>
      <c r="T210" s="7"/>
      <c r="U210" s="7"/>
      <c r="V210" s="7"/>
      <c r="W210" s="7"/>
      <c r="X210" s="58"/>
      <c r="Y210" s="25"/>
      <c r="Z210" s="25"/>
      <c r="AA210" s="7"/>
      <c r="AB210" s="7"/>
      <c r="AC210" s="7"/>
      <c r="AD210" s="59"/>
      <c r="AE210" s="59"/>
      <c r="AF210" s="60"/>
      <c r="AG210" s="60"/>
      <c r="AH210" s="7">
        <v>526000</v>
      </c>
      <c r="AI210" s="7">
        <v>508000</v>
      </c>
      <c r="AK210" s="61"/>
      <c r="AL210" s="8"/>
      <c r="AM210" s="8"/>
    </row>
    <row r="211" spans="1:39" x14ac:dyDescent="0.2">
      <c r="A211" s="1" t="s">
        <v>1412</v>
      </c>
      <c r="B211" s="1" t="s">
        <v>1412</v>
      </c>
      <c r="C211" s="1">
        <v>508</v>
      </c>
      <c r="D211" s="62" t="s">
        <v>462</v>
      </c>
      <c r="E211" s="3" t="s">
        <v>463</v>
      </c>
      <c r="F211" s="3" t="s">
        <v>86</v>
      </c>
      <c r="G211" s="3" t="s">
        <v>1412</v>
      </c>
      <c r="H211" s="3">
        <v>1990</v>
      </c>
      <c r="I211" s="3"/>
      <c r="J211" s="3" t="s">
        <v>1416</v>
      </c>
      <c r="K211" s="4" t="s">
        <v>1412</v>
      </c>
      <c r="L211" s="56" t="s">
        <v>464</v>
      </c>
      <c r="M211" s="6">
        <v>99</v>
      </c>
      <c r="N211" s="57">
        <v>0.88800000000000001</v>
      </c>
      <c r="O211" s="57">
        <v>0.90100000000000002</v>
      </c>
      <c r="P211" s="57">
        <v>0.91200000000000003</v>
      </c>
      <c r="Q211" s="57">
        <v>0.86399999999999999</v>
      </c>
      <c r="R211" s="7">
        <v>1185727</v>
      </c>
      <c r="S211" s="7">
        <v>979982</v>
      </c>
      <c r="T211" s="7">
        <f t="shared" ref="T211:T234" si="121">IF(J211="regional",IF(R211&gt;0,R211*0.2975,S211*0.3484),S211*0.1939)</f>
        <v>352753.78249999997</v>
      </c>
      <c r="U211" s="7">
        <v>640797</v>
      </c>
      <c r="V211" s="7">
        <f t="shared" ref="V211:V234" si="122">S211-U211</f>
        <v>339185</v>
      </c>
      <c r="W211" s="7">
        <v>5527</v>
      </c>
      <c r="X211" s="58">
        <f t="shared" ref="X211:X234" si="123">Y211+Z211</f>
        <v>843834.78249999997</v>
      </c>
      <c r="Y211" s="25">
        <f t="shared" ref="Y211:Y234" si="124">IF(B211="y",T211,0)</f>
        <v>352753.78249999997</v>
      </c>
      <c r="Z211" s="25">
        <v>491081</v>
      </c>
      <c r="AA211" s="7">
        <f t="shared" ref="AA211:AA234" si="125">AB211+AC211</f>
        <v>488901</v>
      </c>
      <c r="AB211" s="7">
        <f t="shared" ref="AB211:AB234" si="126">IF(B211="y",0,T211)</f>
        <v>0</v>
      </c>
      <c r="AC211" s="7">
        <f t="shared" ref="AC211:AC234" si="127">S211-Z211</f>
        <v>488901</v>
      </c>
      <c r="AD211" s="59">
        <f t="shared" ref="AD211:AD234" si="128">IF(K211="y",Z211,0)</f>
        <v>491081</v>
      </c>
      <c r="AE211" s="59">
        <f t="shared" ref="AE211:AE234" si="129">IF($K211="",Z211,0)+IF($K211="n",Z211,0)</f>
        <v>0</v>
      </c>
      <c r="AF211" s="60">
        <f t="shared" ref="AF211:AF234" si="130">IF($K211="y",AC211,0)</f>
        <v>488901</v>
      </c>
      <c r="AG211" s="60">
        <f t="shared" ref="AG211:AG234" si="131">IF($K211="",AC211,0)+IF($K211="n",AC211,0)</f>
        <v>0</v>
      </c>
      <c r="AH211" s="7">
        <v>1362000</v>
      </c>
      <c r="AI211" s="7">
        <v>1303000</v>
      </c>
      <c r="AJ211" s="11" t="s">
        <v>1419</v>
      </c>
      <c r="AK211" s="61">
        <v>1151545</v>
      </c>
      <c r="AL211" s="8"/>
      <c r="AM211" s="8"/>
    </row>
    <row r="212" spans="1:39" x14ac:dyDescent="0.2">
      <c r="A212" s="1" t="s">
        <v>1412</v>
      </c>
      <c r="B212" s="1" t="s">
        <v>1412</v>
      </c>
      <c r="C212" s="1">
        <v>3881</v>
      </c>
      <c r="D212" s="65" t="s">
        <v>465</v>
      </c>
      <c r="E212" s="63" t="s">
        <v>466</v>
      </c>
      <c r="F212" s="3" t="s">
        <v>467</v>
      </c>
      <c r="G212" s="3" t="s">
        <v>1412</v>
      </c>
      <c r="H212" s="3">
        <v>1985</v>
      </c>
      <c r="I212" s="3"/>
      <c r="J212" s="3" t="s">
        <v>1416</v>
      </c>
      <c r="K212" s="4" t="s">
        <v>1412</v>
      </c>
      <c r="L212" s="56" t="s">
        <v>1418</v>
      </c>
      <c r="M212" s="6">
        <v>155</v>
      </c>
      <c r="N212" s="57">
        <v>0.34</v>
      </c>
      <c r="O212" s="57">
        <v>0.503</v>
      </c>
      <c r="P212" s="57">
        <v>0.46600000000000003</v>
      </c>
      <c r="Q212" s="57">
        <v>0.53100000000000003</v>
      </c>
      <c r="R212" s="7">
        <v>1198640</v>
      </c>
      <c r="S212" s="7">
        <v>969423</v>
      </c>
      <c r="T212" s="7">
        <f t="shared" si="121"/>
        <v>356595.39999999997</v>
      </c>
      <c r="U212" s="7">
        <v>661270</v>
      </c>
      <c r="V212" s="7">
        <f t="shared" si="122"/>
        <v>308153</v>
      </c>
      <c r="W212" s="7">
        <v>4808</v>
      </c>
      <c r="X212" s="58">
        <f t="shared" si="123"/>
        <v>1487039.4</v>
      </c>
      <c r="Y212" s="25">
        <f t="shared" si="124"/>
        <v>356595.39999999997</v>
      </c>
      <c r="Z212" s="25">
        <v>1130444</v>
      </c>
      <c r="AA212" s="7">
        <f t="shared" si="125"/>
        <v>-161021</v>
      </c>
      <c r="AB212" s="7">
        <f t="shared" si="126"/>
        <v>0</v>
      </c>
      <c r="AC212" s="7">
        <f t="shared" si="127"/>
        <v>-161021</v>
      </c>
      <c r="AD212" s="59">
        <f t="shared" si="128"/>
        <v>1130444</v>
      </c>
      <c r="AE212" s="59">
        <f t="shared" si="129"/>
        <v>0</v>
      </c>
      <c r="AF212" s="60">
        <f t="shared" si="130"/>
        <v>-161021</v>
      </c>
      <c r="AG212" s="60">
        <f t="shared" si="131"/>
        <v>0</v>
      </c>
      <c r="AH212" s="7">
        <v>227000</v>
      </c>
      <c r="AI212" s="7">
        <v>369000</v>
      </c>
      <c r="AJ212" s="11" t="s">
        <v>1419</v>
      </c>
      <c r="AK212" s="61">
        <v>768498</v>
      </c>
      <c r="AL212" s="8"/>
      <c r="AM212" s="8"/>
    </row>
    <row r="213" spans="1:39" x14ac:dyDescent="0.2">
      <c r="A213" s="1" t="s">
        <v>1412</v>
      </c>
      <c r="B213" s="1"/>
      <c r="C213" s="1">
        <v>3762</v>
      </c>
      <c r="D213" s="3" t="s">
        <v>468</v>
      </c>
      <c r="E213" s="3" t="s">
        <v>463</v>
      </c>
      <c r="F213" s="3" t="s">
        <v>86</v>
      </c>
      <c r="G213" s="3" t="s">
        <v>1412</v>
      </c>
      <c r="H213" s="3">
        <v>1987</v>
      </c>
      <c r="I213" s="3"/>
      <c r="J213" s="3" t="s">
        <v>1512</v>
      </c>
      <c r="K213" s="4"/>
      <c r="L213" s="5" t="s">
        <v>469</v>
      </c>
      <c r="M213" s="6">
        <v>39</v>
      </c>
      <c r="N213" s="57">
        <v>0.94199999999999995</v>
      </c>
      <c r="O213" s="57">
        <v>0.94499999999999995</v>
      </c>
      <c r="P213" s="57">
        <v>0.97</v>
      </c>
      <c r="Q213" s="57">
        <v>0.95899999999999996</v>
      </c>
      <c r="R213" s="7"/>
      <c r="S213" s="7">
        <v>411368</v>
      </c>
      <c r="T213" s="7">
        <f t="shared" si="121"/>
        <v>79764.2552</v>
      </c>
      <c r="U213" s="7">
        <v>321705</v>
      </c>
      <c r="V213" s="7">
        <f t="shared" si="122"/>
        <v>89663</v>
      </c>
      <c r="W213" s="7">
        <v>2065</v>
      </c>
      <c r="X213" s="58">
        <f t="shared" si="123"/>
        <v>0</v>
      </c>
      <c r="Y213" s="25">
        <f t="shared" si="124"/>
        <v>0</v>
      </c>
      <c r="Z213" s="8"/>
      <c r="AA213" s="7">
        <f t="shared" si="125"/>
        <v>491132.25520000001</v>
      </c>
      <c r="AB213" s="7">
        <f t="shared" si="126"/>
        <v>79764.2552</v>
      </c>
      <c r="AC213" s="7">
        <f t="shared" si="127"/>
        <v>411368</v>
      </c>
      <c r="AD213" s="59">
        <f t="shared" si="128"/>
        <v>0</v>
      </c>
      <c r="AE213" s="59">
        <f t="shared" si="129"/>
        <v>0</v>
      </c>
      <c r="AF213" s="60">
        <f t="shared" si="130"/>
        <v>0</v>
      </c>
      <c r="AG213" s="60">
        <f t="shared" si="131"/>
        <v>411368</v>
      </c>
      <c r="AH213" s="7">
        <v>0</v>
      </c>
      <c r="AI213" s="7">
        <v>0</v>
      </c>
      <c r="AJ213" s="11" t="s">
        <v>1419</v>
      </c>
      <c r="AK213" s="61">
        <v>108844</v>
      </c>
      <c r="AL213" s="8"/>
      <c r="AM213" s="8"/>
    </row>
    <row r="214" spans="1:39" x14ac:dyDescent="0.2">
      <c r="A214" s="1" t="s">
        <v>1412</v>
      </c>
      <c r="B214" s="1"/>
      <c r="C214" s="1">
        <v>9570</v>
      </c>
      <c r="D214" s="3" t="s">
        <v>470</v>
      </c>
      <c r="E214" s="3" t="s">
        <v>471</v>
      </c>
      <c r="F214" s="3" t="s">
        <v>1548</v>
      </c>
      <c r="G214" s="3" t="s">
        <v>1412</v>
      </c>
      <c r="H214" s="3">
        <v>1965</v>
      </c>
      <c r="I214" s="3"/>
      <c r="J214" s="3" t="s">
        <v>1416</v>
      </c>
      <c r="K214" s="4" t="s">
        <v>1417</v>
      </c>
      <c r="L214" s="56" t="s">
        <v>1549</v>
      </c>
      <c r="M214" s="6">
        <v>116</v>
      </c>
      <c r="N214" s="57">
        <v>0.879</v>
      </c>
      <c r="O214" s="57">
        <v>0.90800000000000003</v>
      </c>
      <c r="P214" s="57">
        <v>0.85799999999999998</v>
      </c>
      <c r="Q214" s="57">
        <v>0.82799999999999996</v>
      </c>
      <c r="R214" s="7">
        <v>1209833</v>
      </c>
      <c r="S214" s="7">
        <v>907670</v>
      </c>
      <c r="T214" s="7">
        <f t="shared" si="121"/>
        <v>359925.3175</v>
      </c>
      <c r="U214" s="7">
        <v>370057</v>
      </c>
      <c r="V214" s="7">
        <f t="shared" si="122"/>
        <v>537613</v>
      </c>
      <c r="W214" s="7">
        <v>3957</v>
      </c>
      <c r="X214" s="58">
        <f t="shared" si="123"/>
        <v>0</v>
      </c>
      <c r="Y214" s="25">
        <f t="shared" si="124"/>
        <v>0</v>
      </c>
      <c r="Z214" s="25"/>
      <c r="AA214" s="7">
        <f t="shared" si="125"/>
        <v>1267595.3174999999</v>
      </c>
      <c r="AB214" s="7">
        <f t="shared" si="126"/>
        <v>359925.3175</v>
      </c>
      <c r="AC214" s="7">
        <f t="shared" si="127"/>
        <v>907670</v>
      </c>
      <c r="AD214" s="59">
        <f t="shared" si="128"/>
        <v>0</v>
      </c>
      <c r="AE214" s="59">
        <f t="shared" si="129"/>
        <v>0</v>
      </c>
      <c r="AF214" s="60">
        <f t="shared" si="130"/>
        <v>0</v>
      </c>
      <c r="AG214" s="60">
        <f t="shared" si="131"/>
        <v>907670</v>
      </c>
      <c r="AH214" s="7">
        <v>0</v>
      </c>
      <c r="AI214" s="7">
        <v>0</v>
      </c>
      <c r="AJ214" s="11" t="s">
        <v>1419</v>
      </c>
      <c r="AK214" s="61">
        <v>679153</v>
      </c>
      <c r="AL214" s="8"/>
      <c r="AM214" s="8"/>
    </row>
    <row r="215" spans="1:39" x14ac:dyDescent="0.2">
      <c r="A215" s="1" t="s">
        <v>10</v>
      </c>
      <c r="B215" s="1" t="s">
        <v>1412</v>
      </c>
      <c r="C215" s="1">
        <v>2550</v>
      </c>
      <c r="D215" s="62" t="s">
        <v>472</v>
      </c>
      <c r="E215" s="3" t="s">
        <v>1590</v>
      </c>
      <c r="F215" s="3" t="s">
        <v>1422</v>
      </c>
      <c r="G215" s="3" t="s">
        <v>1412</v>
      </c>
      <c r="H215" s="3">
        <v>1988</v>
      </c>
      <c r="I215" s="3"/>
      <c r="J215" s="3" t="s">
        <v>1416</v>
      </c>
      <c r="K215" s="4" t="s">
        <v>1412</v>
      </c>
      <c r="L215" s="56" t="s">
        <v>8</v>
      </c>
      <c r="M215" s="6">
        <v>140</v>
      </c>
      <c r="N215" s="57">
        <v>0.73899999999999999</v>
      </c>
      <c r="O215" s="57">
        <v>0.77800000000000002</v>
      </c>
      <c r="P215" s="57">
        <v>0.76</v>
      </c>
      <c r="Q215" s="57">
        <v>0.75700000000000001</v>
      </c>
      <c r="R215" s="7">
        <v>193720</v>
      </c>
      <c r="S215" s="7">
        <v>885608</v>
      </c>
      <c r="T215" s="7">
        <f t="shared" si="121"/>
        <v>57631.7</v>
      </c>
      <c r="U215" s="7">
        <v>575730</v>
      </c>
      <c r="V215" s="7">
        <f t="shared" si="122"/>
        <v>309878</v>
      </c>
      <c r="W215" s="7">
        <v>4750</v>
      </c>
      <c r="X215" s="58">
        <f t="shared" si="123"/>
        <v>574203.69999999995</v>
      </c>
      <c r="Y215" s="25">
        <f t="shared" si="124"/>
        <v>57631.7</v>
      </c>
      <c r="Z215" s="25">
        <v>516572</v>
      </c>
      <c r="AA215" s="7">
        <f t="shared" si="125"/>
        <v>369036</v>
      </c>
      <c r="AB215" s="7">
        <f t="shared" si="126"/>
        <v>0</v>
      </c>
      <c r="AC215" s="7">
        <f t="shared" si="127"/>
        <v>369036</v>
      </c>
      <c r="AD215" s="59">
        <f t="shared" si="128"/>
        <v>516572</v>
      </c>
      <c r="AE215" s="59">
        <f t="shared" si="129"/>
        <v>0</v>
      </c>
      <c r="AF215" s="60">
        <f t="shared" si="130"/>
        <v>369036</v>
      </c>
      <c r="AG215" s="60">
        <f t="shared" si="131"/>
        <v>0</v>
      </c>
      <c r="AH215" s="7">
        <v>677000</v>
      </c>
      <c r="AI215" s="7">
        <v>587000</v>
      </c>
      <c r="AJ215" s="11" t="s">
        <v>1419</v>
      </c>
      <c r="AK215" s="61">
        <v>814037</v>
      </c>
      <c r="AL215" s="8"/>
      <c r="AM215" s="8"/>
    </row>
    <row r="216" spans="1:39" x14ac:dyDescent="0.2">
      <c r="A216" s="1" t="s">
        <v>1412</v>
      </c>
      <c r="B216" s="1"/>
      <c r="C216" s="1">
        <v>9600</v>
      </c>
      <c r="D216" s="62" t="s">
        <v>473</v>
      </c>
      <c r="E216" s="3" t="s">
        <v>474</v>
      </c>
      <c r="F216" s="3" t="s">
        <v>22</v>
      </c>
      <c r="G216" s="3" t="s">
        <v>1412</v>
      </c>
      <c r="H216" s="3">
        <v>1987</v>
      </c>
      <c r="I216" s="3"/>
      <c r="J216" s="3" t="s">
        <v>1416</v>
      </c>
      <c r="K216" s="4" t="s">
        <v>1417</v>
      </c>
      <c r="L216" s="56" t="s">
        <v>475</v>
      </c>
      <c r="M216" s="6">
        <v>149</v>
      </c>
      <c r="N216" s="57">
        <v>0.84399999999999997</v>
      </c>
      <c r="O216" s="57">
        <v>0.85399999999999998</v>
      </c>
      <c r="P216" s="57">
        <v>0.82</v>
      </c>
      <c r="Q216" s="57">
        <v>0.77500000000000002</v>
      </c>
      <c r="R216" s="7">
        <v>1402976</v>
      </c>
      <c r="S216" s="7">
        <v>1253536</v>
      </c>
      <c r="T216" s="7">
        <f t="shared" si="121"/>
        <v>417385.36</v>
      </c>
      <c r="U216" s="7">
        <v>924045</v>
      </c>
      <c r="V216" s="7">
        <f t="shared" si="122"/>
        <v>329491</v>
      </c>
      <c r="W216" s="7">
        <v>7800</v>
      </c>
      <c r="X216" s="58">
        <f t="shared" si="123"/>
        <v>0</v>
      </c>
      <c r="Y216" s="25">
        <f t="shared" si="124"/>
        <v>0</v>
      </c>
      <c r="Z216" s="25"/>
      <c r="AA216" s="7">
        <f t="shared" si="125"/>
        <v>1670921.3599999999</v>
      </c>
      <c r="AB216" s="7">
        <f t="shared" si="126"/>
        <v>417385.36</v>
      </c>
      <c r="AC216" s="7">
        <f t="shared" si="127"/>
        <v>1253536</v>
      </c>
      <c r="AD216" s="59">
        <f t="shared" si="128"/>
        <v>0</v>
      </c>
      <c r="AE216" s="59">
        <f t="shared" si="129"/>
        <v>0</v>
      </c>
      <c r="AF216" s="60">
        <f t="shared" si="130"/>
        <v>0</v>
      </c>
      <c r="AG216" s="60">
        <f t="shared" si="131"/>
        <v>1253536</v>
      </c>
      <c r="AH216" s="7">
        <v>0</v>
      </c>
      <c r="AI216" s="7">
        <v>0</v>
      </c>
      <c r="AJ216" s="11" t="s">
        <v>1419</v>
      </c>
      <c r="AK216" s="61">
        <v>735375</v>
      </c>
      <c r="AL216" s="8"/>
      <c r="AM216" s="8"/>
    </row>
    <row r="217" spans="1:39" x14ac:dyDescent="0.2">
      <c r="A217" s="1" t="s">
        <v>1412</v>
      </c>
      <c r="B217" s="1"/>
      <c r="C217" s="1">
        <v>3911</v>
      </c>
      <c r="D217" s="3" t="s">
        <v>476</v>
      </c>
      <c r="E217" s="3" t="s">
        <v>477</v>
      </c>
      <c r="F217" s="3" t="s">
        <v>1564</v>
      </c>
      <c r="G217" s="3" t="s">
        <v>1412</v>
      </c>
      <c r="H217" s="3">
        <v>1962</v>
      </c>
      <c r="I217" s="3"/>
      <c r="J217" s="3" t="s">
        <v>1512</v>
      </c>
      <c r="K217" s="4"/>
      <c r="L217" s="56" t="s">
        <v>19</v>
      </c>
      <c r="M217" s="6"/>
      <c r="N217" s="57">
        <v>1</v>
      </c>
      <c r="O217" s="57">
        <v>1</v>
      </c>
      <c r="P217" s="57">
        <v>0</v>
      </c>
      <c r="Q217" s="57">
        <v>0</v>
      </c>
      <c r="R217" s="7"/>
      <c r="S217" s="7">
        <v>108001</v>
      </c>
      <c r="T217" s="7">
        <f t="shared" si="121"/>
        <v>20941.393899999999</v>
      </c>
      <c r="U217" s="7">
        <v>98083</v>
      </c>
      <c r="V217" s="7">
        <f t="shared" si="122"/>
        <v>9918</v>
      </c>
      <c r="W217" s="7">
        <v>1600</v>
      </c>
      <c r="X217" s="58">
        <f t="shared" si="123"/>
        <v>0</v>
      </c>
      <c r="Y217" s="25">
        <f t="shared" si="124"/>
        <v>0</v>
      </c>
      <c r="Z217" s="25"/>
      <c r="AA217" s="7">
        <f t="shared" si="125"/>
        <v>128942.3939</v>
      </c>
      <c r="AB217" s="7">
        <f t="shared" si="126"/>
        <v>20941.393899999999</v>
      </c>
      <c r="AC217" s="7">
        <f t="shared" si="127"/>
        <v>108001</v>
      </c>
      <c r="AD217" s="59">
        <f t="shared" si="128"/>
        <v>0</v>
      </c>
      <c r="AE217" s="59">
        <f t="shared" si="129"/>
        <v>0</v>
      </c>
      <c r="AF217" s="60">
        <f t="shared" si="130"/>
        <v>0</v>
      </c>
      <c r="AG217" s="60">
        <f t="shared" si="131"/>
        <v>108001</v>
      </c>
      <c r="AH217" s="7">
        <v>0</v>
      </c>
      <c r="AI217" s="7">
        <v>0</v>
      </c>
      <c r="AJ217" s="11" t="s">
        <v>1520</v>
      </c>
      <c r="AK217" s="61">
        <v>12055.08</v>
      </c>
      <c r="AL217" s="8"/>
      <c r="AM217" s="8"/>
    </row>
    <row r="218" spans="1:39" x14ac:dyDescent="0.2">
      <c r="A218" s="1" t="s">
        <v>1412</v>
      </c>
      <c r="B218" s="1"/>
      <c r="C218" s="1">
        <v>9620</v>
      </c>
      <c r="D218" s="3" t="s">
        <v>478</v>
      </c>
      <c r="E218" s="3" t="s">
        <v>77</v>
      </c>
      <c r="F218" s="3" t="s">
        <v>1525</v>
      </c>
      <c r="G218" s="3" t="s">
        <v>1412</v>
      </c>
      <c r="H218" s="3">
        <v>1989</v>
      </c>
      <c r="I218" s="3"/>
      <c r="J218" s="3" t="s">
        <v>1512</v>
      </c>
      <c r="K218" s="4"/>
      <c r="L218" s="56" t="s">
        <v>78</v>
      </c>
      <c r="M218" s="6">
        <v>14</v>
      </c>
      <c r="N218" s="57">
        <v>0.91100000000000003</v>
      </c>
      <c r="O218" s="57">
        <v>0.91100000000000003</v>
      </c>
      <c r="P218" s="57">
        <v>0.88</v>
      </c>
      <c r="Q218" s="57">
        <v>0.95699999999999996</v>
      </c>
      <c r="R218" s="7"/>
      <c r="S218" s="7">
        <v>332980</v>
      </c>
      <c r="T218" s="7">
        <f t="shared" si="121"/>
        <v>64564.821999999993</v>
      </c>
      <c r="U218" s="7">
        <v>281831</v>
      </c>
      <c r="V218" s="7">
        <f t="shared" si="122"/>
        <v>51149</v>
      </c>
      <c r="W218" s="7">
        <v>1700</v>
      </c>
      <c r="X218" s="58">
        <f t="shared" si="123"/>
        <v>0</v>
      </c>
      <c r="Y218" s="25">
        <f t="shared" si="124"/>
        <v>0</v>
      </c>
      <c r="Z218" s="25"/>
      <c r="AA218" s="7">
        <f t="shared" si="125"/>
        <v>397544.82199999999</v>
      </c>
      <c r="AB218" s="7">
        <f t="shared" si="126"/>
        <v>64564.821999999993</v>
      </c>
      <c r="AC218" s="7">
        <f t="shared" si="127"/>
        <v>332980</v>
      </c>
      <c r="AD218" s="59">
        <f t="shared" si="128"/>
        <v>0</v>
      </c>
      <c r="AE218" s="59">
        <f t="shared" si="129"/>
        <v>0</v>
      </c>
      <c r="AF218" s="60">
        <f t="shared" si="130"/>
        <v>0</v>
      </c>
      <c r="AG218" s="60">
        <f t="shared" si="131"/>
        <v>332980</v>
      </c>
      <c r="AH218" s="7">
        <v>0</v>
      </c>
      <c r="AI218" s="7">
        <v>0</v>
      </c>
      <c r="AJ218" s="11" t="s">
        <v>1419</v>
      </c>
      <c r="AK218" s="61">
        <v>3516</v>
      </c>
      <c r="AL218" s="8"/>
      <c r="AM218" s="8"/>
    </row>
    <row r="219" spans="1:39" x14ac:dyDescent="0.2">
      <c r="A219" s="1" t="s">
        <v>1412</v>
      </c>
      <c r="B219" s="1"/>
      <c r="C219" s="1">
        <v>2307</v>
      </c>
      <c r="D219" s="3" t="s">
        <v>479</v>
      </c>
      <c r="E219" s="3" t="s">
        <v>477</v>
      </c>
      <c r="F219" s="3" t="s">
        <v>1564</v>
      </c>
      <c r="G219" s="3" t="s">
        <v>1412</v>
      </c>
      <c r="H219" s="3">
        <v>1973</v>
      </c>
      <c r="I219" s="3"/>
      <c r="J219" s="3" t="s">
        <v>1416</v>
      </c>
      <c r="K219" s="4" t="s">
        <v>1412</v>
      </c>
      <c r="L219" s="56" t="s">
        <v>19</v>
      </c>
      <c r="M219" s="6">
        <v>75</v>
      </c>
      <c r="N219" s="57">
        <v>0.879</v>
      </c>
      <c r="O219" s="57">
        <v>0.93899999999999995</v>
      </c>
      <c r="P219" s="57">
        <v>0.84499999999999997</v>
      </c>
      <c r="Q219" s="57">
        <v>0.82099999999999995</v>
      </c>
      <c r="R219" s="7">
        <v>984155</v>
      </c>
      <c r="S219" s="7">
        <v>855667</v>
      </c>
      <c r="T219" s="7">
        <f t="shared" si="121"/>
        <v>292786.11249999999</v>
      </c>
      <c r="U219" s="7">
        <v>568373</v>
      </c>
      <c r="V219" s="7">
        <f t="shared" si="122"/>
        <v>287294</v>
      </c>
      <c r="W219" s="7">
        <v>3000</v>
      </c>
      <c r="X219" s="58">
        <f t="shared" si="123"/>
        <v>0</v>
      </c>
      <c r="Y219" s="25">
        <f t="shared" si="124"/>
        <v>0</v>
      </c>
      <c r="Z219" s="25"/>
      <c r="AA219" s="7">
        <f t="shared" si="125"/>
        <v>1148453.1125</v>
      </c>
      <c r="AB219" s="7">
        <f t="shared" si="126"/>
        <v>292786.11249999999</v>
      </c>
      <c r="AC219" s="7">
        <f t="shared" si="127"/>
        <v>855667</v>
      </c>
      <c r="AD219" s="59">
        <f t="shared" si="128"/>
        <v>0</v>
      </c>
      <c r="AE219" s="59">
        <f t="shared" si="129"/>
        <v>0</v>
      </c>
      <c r="AF219" s="60">
        <f t="shared" si="130"/>
        <v>855667</v>
      </c>
      <c r="AG219" s="60">
        <f t="shared" si="131"/>
        <v>0</v>
      </c>
      <c r="AH219" s="7">
        <v>185000</v>
      </c>
      <c r="AI219" s="7">
        <v>174000</v>
      </c>
      <c r="AJ219" s="11" t="s">
        <v>1520</v>
      </c>
      <c r="AK219" s="61">
        <v>204122</v>
      </c>
      <c r="AL219" s="8"/>
      <c r="AM219" s="8"/>
    </row>
    <row r="220" spans="1:39" x14ac:dyDescent="0.2">
      <c r="A220" s="1" t="s">
        <v>1412</v>
      </c>
      <c r="B220" s="1"/>
      <c r="C220" s="1">
        <v>2311</v>
      </c>
      <c r="D220" s="3" t="s">
        <v>480</v>
      </c>
      <c r="E220" s="3" t="s">
        <v>477</v>
      </c>
      <c r="F220" s="3" t="s">
        <v>1564</v>
      </c>
      <c r="G220" s="3" t="s">
        <v>1412</v>
      </c>
      <c r="H220" s="3">
        <v>1974</v>
      </c>
      <c r="I220" s="3"/>
      <c r="J220" s="3" t="s">
        <v>1512</v>
      </c>
      <c r="K220" s="4" t="s">
        <v>1417</v>
      </c>
      <c r="L220" s="56" t="s">
        <v>19</v>
      </c>
      <c r="M220" s="6"/>
      <c r="N220" s="57">
        <v>1</v>
      </c>
      <c r="O220" s="57">
        <v>1</v>
      </c>
      <c r="P220" s="57">
        <v>1</v>
      </c>
      <c r="Q220" s="57">
        <v>1</v>
      </c>
      <c r="R220" s="7"/>
      <c r="S220" s="7">
        <v>85000</v>
      </c>
      <c r="T220" s="7">
        <f t="shared" si="121"/>
        <v>16481.5</v>
      </c>
      <c r="U220" s="7">
        <v>86676</v>
      </c>
      <c r="V220" s="7">
        <f t="shared" si="122"/>
        <v>-1676</v>
      </c>
      <c r="W220" s="7">
        <v>952</v>
      </c>
      <c r="X220" s="58">
        <f t="shared" si="123"/>
        <v>0</v>
      </c>
      <c r="Y220" s="25">
        <f t="shared" si="124"/>
        <v>0</v>
      </c>
      <c r="Z220" s="25"/>
      <c r="AA220" s="7">
        <f t="shared" si="125"/>
        <v>101481.5</v>
      </c>
      <c r="AB220" s="7">
        <f t="shared" si="126"/>
        <v>16481.5</v>
      </c>
      <c r="AC220" s="7">
        <f t="shared" si="127"/>
        <v>85000</v>
      </c>
      <c r="AD220" s="59">
        <f t="shared" si="128"/>
        <v>0</v>
      </c>
      <c r="AE220" s="59">
        <f t="shared" si="129"/>
        <v>0</v>
      </c>
      <c r="AF220" s="60">
        <f t="shared" si="130"/>
        <v>0</v>
      </c>
      <c r="AG220" s="60">
        <f t="shared" si="131"/>
        <v>85000</v>
      </c>
      <c r="AH220" s="7">
        <v>0</v>
      </c>
      <c r="AI220" s="7">
        <v>0</v>
      </c>
      <c r="AJ220" s="11" t="s">
        <v>1520</v>
      </c>
      <c r="AK220" s="61">
        <v>12661.64</v>
      </c>
      <c r="AL220" s="8"/>
      <c r="AM220" s="8"/>
    </row>
    <row r="221" spans="1:39" x14ac:dyDescent="0.2">
      <c r="A221" s="1" t="s">
        <v>1412</v>
      </c>
      <c r="B221" s="1"/>
      <c r="C221" s="1">
        <v>3633</v>
      </c>
      <c r="D221" s="64" t="s">
        <v>481</v>
      </c>
      <c r="E221" s="3" t="s">
        <v>89</v>
      </c>
      <c r="F221" s="3" t="s">
        <v>90</v>
      </c>
      <c r="G221" s="3" t="s">
        <v>1417</v>
      </c>
      <c r="H221" s="3">
        <v>1996</v>
      </c>
      <c r="I221" s="3"/>
      <c r="J221" s="3" t="s">
        <v>1416</v>
      </c>
      <c r="K221" s="4" t="s">
        <v>1412</v>
      </c>
      <c r="L221" s="56"/>
      <c r="M221" s="6">
        <v>54</v>
      </c>
      <c r="N221" s="57">
        <v>0.92100000000000004</v>
      </c>
      <c r="O221" s="57">
        <v>0.94799999999999995</v>
      </c>
      <c r="P221" s="57">
        <v>0.95899999999999996</v>
      </c>
      <c r="Q221" s="57">
        <v>0.82399999999999995</v>
      </c>
      <c r="R221" s="7">
        <v>60273</v>
      </c>
      <c r="S221" s="7">
        <v>59331</v>
      </c>
      <c r="T221" s="7">
        <f t="shared" si="121"/>
        <v>17931.217499999999</v>
      </c>
      <c r="U221" s="7">
        <v>0</v>
      </c>
      <c r="V221" s="7">
        <f t="shared" si="122"/>
        <v>59331</v>
      </c>
      <c r="W221" s="7"/>
      <c r="X221" s="58">
        <f t="shared" si="123"/>
        <v>0</v>
      </c>
      <c r="Y221" s="25">
        <f t="shared" si="124"/>
        <v>0</v>
      </c>
      <c r="Z221" s="25"/>
      <c r="AA221" s="7">
        <f t="shared" si="125"/>
        <v>77262.217499999999</v>
      </c>
      <c r="AB221" s="7">
        <f t="shared" si="126"/>
        <v>17931.217499999999</v>
      </c>
      <c r="AC221" s="7">
        <f t="shared" si="127"/>
        <v>59331</v>
      </c>
      <c r="AD221" s="59">
        <f t="shared" si="128"/>
        <v>0</v>
      </c>
      <c r="AE221" s="59">
        <f t="shared" si="129"/>
        <v>0</v>
      </c>
      <c r="AF221" s="60">
        <f t="shared" si="130"/>
        <v>59331</v>
      </c>
      <c r="AG221" s="60">
        <f t="shared" si="131"/>
        <v>0</v>
      </c>
      <c r="AH221" s="7">
        <v>172000</v>
      </c>
      <c r="AI221" s="7">
        <v>112000</v>
      </c>
      <c r="AJ221" s="64"/>
      <c r="AK221" s="64"/>
      <c r="AL221" s="8"/>
      <c r="AM221" s="8"/>
    </row>
    <row r="222" spans="1:39" x14ac:dyDescent="0.2">
      <c r="A222" s="1" t="s">
        <v>1412</v>
      </c>
      <c r="B222" s="1"/>
      <c r="C222" s="1">
        <v>4839</v>
      </c>
      <c r="D222" s="63" t="s">
        <v>482</v>
      </c>
      <c r="E222" s="63" t="s">
        <v>483</v>
      </c>
      <c r="F222" s="3" t="s">
        <v>1525</v>
      </c>
      <c r="G222" s="3" t="s">
        <v>1412</v>
      </c>
      <c r="H222" s="3">
        <v>1980</v>
      </c>
      <c r="I222" s="3"/>
      <c r="J222" s="3" t="s">
        <v>1416</v>
      </c>
      <c r="K222" s="4" t="s">
        <v>1412</v>
      </c>
      <c r="L222" s="56" t="s">
        <v>325</v>
      </c>
      <c r="M222" s="6">
        <v>184</v>
      </c>
      <c r="N222" s="57">
        <v>0.90600000000000003</v>
      </c>
      <c r="O222" s="57">
        <v>0.91700000000000004</v>
      </c>
      <c r="P222" s="57">
        <v>0.92500000000000004</v>
      </c>
      <c r="Q222" s="57">
        <v>0.95199999999999996</v>
      </c>
      <c r="R222" s="7">
        <v>1207554</v>
      </c>
      <c r="S222" s="7">
        <v>1320000</v>
      </c>
      <c r="T222" s="7">
        <f t="shared" si="121"/>
        <v>359247.315</v>
      </c>
      <c r="U222" s="7">
        <v>791000</v>
      </c>
      <c r="V222" s="7">
        <f t="shared" si="122"/>
        <v>529000</v>
      </c>
      <c r="W222" s="7">
        <v>7000</v>
      </c>
      <c r="X222" s="58">
        <f t="shared" si="123"/>
        <v>0</v>
      </c>
      <c r="Y222" s="25">
        <f t="shared" si="124"/>
        <v>0</v>
      </c>
      <c r="Z222" s="25"/>
      <c r="AA222" s="7">
        <f t="shared" si="125"/>
        <v>1679247.3149999999</v>
      </c>
      <c r="AB222" s="7">
        <f t="shared" si="126"/>
        <v>359247.315</v>
      </c>
      <c r="AC222" s="7">
        <f t="shared" si="127"/>
        <v>1320000</v>
      </c>
      <c r="AD222" s="59">
        <f t="shared" si="128"/>
        <v>0</v>
      </c>
      <c r="AE222" s="59">
        <f t="shared" si="129"/>
        <v>0</v>
      </c>
      <c r="AF222" s="60">
        <f t="shared" si="130"/>
        <v>1320000</v>
      </c>
      <c r="AG222" s="60">
        <f t="shared" si="131"/>
        <v>0</v>
      </c>
      <c r="AH222" s="7">
        <v>1212000</v>
      </c>
      <c r="AI222" s="7">
        <v>1001000</v>
      </c>
      <c r="AJ222" s="63"/>
      <c r="AK222" s="63"/>
      <c r="AL222" s="8"/>
      <c r="AM222" s="8"/>
    </row>
    <row r="223" spans="1:39" x14ac:dyDescent="0.2">
      <c r="A223" s="1" t="s">
        <v>1412</v>
      </c>
      <c r="B223" s="1"/>
      <c r="C223" s="1">
        <v>4840</v>
      </c>
      <c r="D223" s="63" t="s">
        <v>484</v>
      </c>
      <c r="E223" s="63" t="s">
        <v>485</v>
      </c>
      <c r="F223" s="3" t="s">
        <v>125</v>
      </c>
      <c r="G223" s="3" t="s">
        <v>1417</v>
      </c>
      <c r="H223" s="3">
        <v>1986</v>
      </c>
      <c r="I223" s="3"/>
      <c r="J223" s="3" t="s">
        <v>1416</v>
      </c>
      <c r="K223" s="4" t="s">
        <v>1412</v>
      </c>
      <c r="L223" s="56" t="s">
        <v>126</v>
      </c>
      <c r="M223" s="6">
        <v>182</v>
      </c>
      <c r="N223" s="57">
        <v>0.94199999999999995</v>
      </c>
      <c r="O223" s="57">
        <v>0.95699999999999996</v>
      </c>
      <c r="P223" s="57">
        <v>0.92500000000000004</v>
      </c>
      <c r="Q223" s="57">
        <v>0.95199999999999996</v>
      </c>
      <c r="R223" s="7">
        <v>844738</v>
      </c>
      <c r="S223" s="7">
        <v>1275000</v>
      </c>
      <c r="T223" s="7">
        <f t="shared" si="121"/>
        <v>251309.55499999999</v>
      </c>
      <c r="U223" s="7">
        <v>844738</v>
      </c>
      <c r="V223" s="7">
        <f t="shared" si="122"/>
        <v>430262</v>
      </c>
      <c r="W223" s="7">
        <v>6787</v>
      </c>
      <c r="X223" s="58">
        <f t="shared" si="123"/>
        <v>0</v>
      </c>
      <c r="Y223" s="25">
        <f t="shared" si="124"/>
        <v>0</v>
      </c>
      <c r="Z223" s="25"/>
      <c r="AA223" s="7">
        <f t="shared" si="125"/>
        <v>1526309.5549999999</v>
      </c>
      <c r="AB223" s="7">
        <f t="shared" si="126"/>
        <v>251309.55499999999</v>
      </c>
      <c r="AC223" s="7">
        <f t="shared" si="127"/>
        <v>1275000</v>
      </c>
      <c r="AD223" s="59">
        <f t="shared" si="128"/>
        <v>0</v>
      </c>
      <c r="AE223" s="59">
        <f t="shared" si="129"/>
        <v>0</v>
      </c>
      <c r="AF223" s="60">
        <f t="shared" si="130"/>
        <v>1275000</v>
      </c>
      <c r="AG223" s="60">
        <f t="shared" si="131"/>
        <v>0</v>
      </c>
      <c r="AH223" s="7">
        <v>1027000</v>
      </c>
      <c r="AI223" s="7">
        <v>1026000</v>
      </c>
      <c r="AJ223" s="11" t="s">
        <v>1419</v>
      </c>
      <c r="AK223" s="61">
        <v>52222</v>
      </c>
      <c r="AL223" s="8"/>
      <c r="AM223" s="8"/>
    </row>
    <row r="224" spans="1:39" x14ac:dyDescent="0.2">
      <c r="A224" s="1" t="s">
        <v>10</v>
      </c>
      <c r="B224" s="1" t="s">
        <v>1417</v>
      </c>
      <c r="C224" s="1">
        <v>2105</v>
      </c>
      <c r="D224" s="64" t="s">
        <v>486</v>
      </c>
      <c r="E224" s="3" t="s">
        <v>487</v>
      </c>
      <c r="F224" s="3" t="s">
        <v>137</v>
      </c>
      <c r="G224" s="3" t="s">
        <v>1412</v>
      </c>
      <c r="H224" s="3">
        <v>1975</v>
      </c>
      <c r="I224" s="3"/>
      <c r="J224" s="3" t="s">
        <v>1416</v>
      </c>
      <c r="K224" s="4" t="s">
        <v>1412</v>
      </c>
      <c r="L224" s="56" t="s">
        <v>488</v>
      </c>
      <c r="M224" s="6">
        <v>144</v>
      </c>
      <c r="N224" s="57">
        <v>0.77300000000000002</v>
      </c>
      <c r="O224" s="57">
        <v>0.85799999999999998</v>
      </c>
      <c r="P224" s="57">
        <v>0.82599999999999996</v>
      </c>
      <c r="Q224" s="57">
        <v>0.73099999999999998</v>
      </c>
      <c r="R224" s="7">
        <v>1321540</v>
      </c>
      <c r="S224" s="7">
        <v>1084519</v>
      </c>
      <c r="T224" s="7">
        <f t="shared" si="121"/>
        <v>393158.14999999997</v>
      </c>
      <c r="U224" s="7">
        <v>662313</v>
      </c>
      <c r="V224" s="7">
        <f t="shared" si="122"/>
        <v>422206</v>
      </c>
      <c r="W224" s="7">
        <v>5000</v>
      </c>
      <c r="X224" s="58">
        <f t="shared" si="123"/>
        <v>541854</v>
      </c>
      <c r="Y224" s="25">
        <f t="shared" si="124"/>
        <v>0</v>
      </c>
      <c r="Z224" s="25">
        <v>541854</v>
      </c>
      <c r="AA224" s="7">
        <f t="shared" si="125"/>
        <v>935823.14999999991</v>
      </c>
      <c r="AB224" s="7">
        <f t="shared" si="126"/>
        <v>393158.14999999997</v>
      </c>
      <c r="AC224" s="7">
        <f t="shared" si="127"/>
        <v>542665</v>
      </c>
      <c r="AD224" s="59">
        <f t="shared" si="128"/>
        <v>541854</v>
      </c>
      <c r="AE224" s="59">
        <f t="shared" si="129"/>
        <v>0</v>
      </c>
      <c r="AF224" s="60">
        <f t="shared" si="130"/>
        <v>542665</v>
      </c>
      <c r="AG224" s="60">
        <f t="shared" si="131"/>
        <v>0</v>
      </c>
      <c r="AH224" s="7">
        <v>905000</v>
      </c>
      <c r="AI224" s="7">
        <v>876000</v>
      </c>
      <c r="AJ224" s="11" t="s">
        <v>1520</v>
      </c>
      <c r="AK224" s="61">
        <v>477571</v>
      </c>
      <c r="AL224" s="8"/>
      <c r="AM224" s="8"/>
    </row>
    <row r="225" spans="1:39" x14ac:dyDescent="0.2">
      <c r="A225" s="1" t="s">
        <v>1412</v>
      </c>
      <c r="B225" s="1"/>
      <c r="C225" s="1">
        <v>3920</v>
      </c>
      <c r="D225" s="3" t="s">
        <v>489</v>
      </c>
      <c r="E225" s="3" t="s">
        <v>487</v>
      </c>
      <c r="F225" s="3" t="s">
        <v>137</v>
      </c>
      <c r="G225" s="3" t="s">
        <v>1412</v>
      </c>
      <c r="H225" s="3">
        <v>1980</v>
      </c>
      <c r="I225" s="3"/>
      <c r="J225" s="3" t="s">
        <v>1416</v>
      </c>
      <c r="K225" s="4" t="s">
        <v>1412</v>
      </c>
      <c r="L225" s="56" t="s">
        <v>490</v>
      </c>
      <c r="M225" s="6">
        <v>120</v>
      </c>
      <c r="N225" s="57">
        <v>0.92200000000000004</v>
      </c>
      <c r="O225" s="57">
        <v>0.92500000000000004</v>
      </c>
      <c r="P225" s="57">
        <v>0.89400000000000002</v>
      </c>
      <c r="Q225" s="57">
        <v>0.877</v>
      </c>
      <c r="R225" s="7">
        <v>1072563</v>
      </c>
      <c r="S225" s="7">
        <v>941575</v>
      </c>
      <c r="T225" s="7">
        <f t="shared" si="121"/>
        <v>319087.49249999999</v>
      </c>
      <c r="U225" s="7">
        <v>654711</v>
      </c>
      <c r="V225" s="7">
        <f t="shared" si="122"/>
        <v>286864</v>
      </c>
      <c r="W225" s="7">
        <v>4852</v>
      </c>
      <c r="X225" s="58">
        <f t="shared" si="123"/>
        <v>0</v>
      </c>
      <c r="Y225" s="25">
        <f t="shared" si="124"/>
        <v>0</v>
      </c>
      <c r="Z225" s="25"/>
      <c r="AA225" s="7">
        <f t="shared" si="125"/>
        <v>1260662.4924999999</v>
      </c>
      <c r="AB225" s="7">
        <f t="shared" si="126"/>
        <v>319087.49249999999</v>
      </c>
      <c r="AC225" s="7">
        <f t="shared" si="127"/>
        <v>941575</v>
      </c>
      <c r="AD225" s="59">
        <f t="shared" si="128"/>
        <v>0</v>
      </c>
      <c r="AE225" s="59">
        <f t="shared" si="129"/>
        <v>0</v>
      </c>
      <c r="AF225" s="60">
        <f t="shared" si="130"/>
        <v>941575</v>
      </c>
      <c r="AG225" s="60">
        <f t="shared" si="131"/>
        <v>0</v>
      </c>
      <c r="AH225" s="7">
        <v>772000</v>
      </c>
      <c r="AI225" s="7">
        <v>695000</v>
      </c>
      <c r="AJ225" s="11" t="s">
        <v>1520</v>
      </c>
      <c r="AK225" s="61">
        <v>345523.92</v>
      </c>
      <c r="AL225" s="8"/>
      <c r="AM225" s="8"/>
    </row>
    <row r="226" spans="1:39" x14ac:dyDescent="0.2">
      <c r="A226" s="1" t="s">
        <v>1412</v>
      </c>
      <c r="B226" s="1"/>
      <c r="C226" s="1">
        <v>9896</v>
      </c>
      <c r="D226" s="3" t="s">
        <v>491</v>
      </c>
      <c r="E226" s="3" t="s">
        <v>492</v>
      </c>
      <c r="F226" s="3" t="s">
        <v>137</v>
      </c>
      <c r="G226" s="3" t="s">
        <v>1412</v>
      </c>
      <c r="H226" s="3">
        <v>1987</v>
      </c>
      <c r="I226" s="3"/>
      <c r="J226" s="3" t="s">
        <v>1416</v>
      </c>
      <c r="K226" s="4"/>
      <c r="L226" s="56" t="s">
        <v>325</v>
      </c>
      <c r="M226" s="6">
        <v>139</v>
      </c>
      <c r="N226" s="57">
        <v>0.79400000000000004</v>
      </c>
      <c r="O226" s="57">
        <v>0.79300000000000004</v>
      </c>
      <c r="P226" s="57">
        <v>0.84099999999999997</v>
      </c>
      <c r="Q226" s="57">
        <v>0.84699999999999998</v>
      </c>
      <c r="R226" s="7">
        <v>1062497</v>
      </c>
      <c r="S226" s="7">
        <v>885313</v>
      </c>
      <c r="T226" s="7">
        <f t="shared" si="121"/>
        <v>316092.85749999998</v>
      </c>
      <c r="U226" s="7">
        <v>595468</v>
      </c>
      <c r="V226" s="7">
        <f t="shared" si="122"/>
        <v>289845</v>
      </c>
      <c r="W226" s="7">
        <v>4458</v>
      </c>
      <c r="X226" s="58">
        <f t="shared" si="123"/>
        <v>0</v>
      </c>
      <c r="Y226" s="25">
        <f t="shared" si="124"/>
        <v>0</v>
      </c>
      <c r="Z226" s="25"/>
      <c r="AA226" s="7">
        <f t="shared" si="125"/>
        <v>1201405.8574999999</v>
      </c>
      <c r="AB226" s="7">
        <f t="shared" si="126"/>
        <v>316092.85749999998</v>
      </c>
      <c r="AC226" s="7">
        <f t="shared" si="127"/>
        <v>885313</v>
      </c>
      <c r="AD226" s="59">
        <f t="shared" si="128"/>
        <v>0</v>
      </c>
      <c r="AE226" s="59">
        <f t="shared" si="129"/>
        <v>0</v>
      </c>
      <c r="AF226" s="60">
        <f t="shared" si="130"/>
        <v>0</v>
      </c>
      <c r="AG226" s="60">
        <f t="shared" si="131"/>
        <v>885313</v>
      </c>
      <c r="AH226" s="7">
        <v>0</v>
      </c>
      <c r="AI226" s="7">
        <v>0</v>
      </c>
      <c r="AJ226" s="11" t="s">
        <v>1419</v>
      </c>
      <c r="AK226" s="61">
        <v>811912</v>
      </c>
      <c r="AL226" s="8"/>
      <c r="AM226" s="8"/>
    </row>
    <row r="227" spans="1:39" x14ac:dyDescent="0.2">
      <c r="A227" s="1" t="s">
        <v>1412</v>
      </c>
      <c r="B227" s="1" t="s">
        <v>1412</v>
      </c>
      <c r="C227" s="1">
        <v>3951</v>
      </c>
      <c r="D227" s="62" t="s">
        <v>493</v>
      </c>
      <c r="E227" s="3" t="s">
        <v>494</v>
      </c>
      <c r="F227" s="3" t="s">
        <v>495</v>
      </c>
      <c r="G227" s="3" t="s">
        <v>1417</v>
      </c>
      <c r="H227" s="3">
        <v>1986</v>
      </c>
      <c r="I227" s="3"/>
      <c r="J227" s="3" t="s">
        <v>1416</v>
      </c>
      <c r="K227" s="4" t="s">
        <v>1417</v>
      </c>
      <c r="L227" s="56" t="s">
        <v>496</v>
      </c>
      <c r="M227" s="6">
        <v>98</v>
      </c>
      <c r="N227" s="57">
        <v>0.82299999999999995</v>
      </c>
      <c r="O227" s="57">
        <v>0.83499999999999996</v>
      </c>
      <c r="P227" s="57">
        <v>0.85099999999999998</v>
      </c>
      <c r="Q227" s="57">
        <v>0.75800000000000001</v>
      </c>
      <c r="R227" s="7">
        <v>259829</v>
      </c>
      <c r="S227" s="7">
        <v>244707</v>
      </c>
      <c r="T227" s="7">
        <f t="shared" si="121"/>
        <v>77299.127500000002</v>
      </c>
      <c r="U227" s="7">
        <v>214110</v>
      </c>
      <c r="V227" s="7">
        <f t="shared" si="122"/>
        <v>30597</v>
      </c>
      <c r="W227" s="7">
        <v>943</v>
      </c>
      <c r="X227" s="58">
        <f t="shared" si="123"/>
        <v>312690.1275</v>
      </c>
      <c r="Y227" s="25">
        <f t="shared" si="124"/>
        <v>77299.127500000002</v>
      </c>
      <c r="Z227" s="25">
        <v>235391</v>
      </c>
      <c r="AA227" s="7">
        <f t="shared" si="125"/>
        <v>9316</v>
      </c>
      <c r="AB227" s="7">
        <f t="shared" si="126"/>
        <v>0</v>
      </c>
      <c r="AC227" s="7">
        <f t="shared" si="127"/>
        <v>9316</v>
      </c>
      <c r="AD227" s="59">
        <f t="shared" si="128"/>
        <v>0</v>
      </c>
      <c r="AE227" s="59">
        <f t="shared" si="129"/>
        <v>235391</v>
      </c>
      <c r="AF227" s="60">
        <f t="shared" si="130"/>
        <v>0</v>
      </c>
      <c r="AG227" s="60">
        <f t="shared" si="131"/>
        <v>9316</v>
      </c>
      <c r="AH227" s="7">
        <v>0</v>
      </c>
      <c r="AI227" s="7">
        <v>0</v>
      </c>
      <c r="AJ227" s="11" t="s">
        <v>1520</v>
      </c>
      <c r="AK227" s="61">
        <v>232497</v>
      </c>
      <c r="AL227" s="8"/>
      <c r="AM227" s="8"/>
    </row>
    <row r="228" spans="1:39" x14ac:dyDescent="0.2">
      <c r="A228" s="1" t="s">
        <v>1412</v>
      </c>
      <c r="B228" s="1"/>
      <c r="C228" s="1">
        <v>9690</v>
      </c>
      <c r="D228" s="3" t="s">
        <v>497</v>
      </c>
      <c r="E228" s="3" t="s">
        <v>498</v>
      </c>
      <c r="F228" s="3" t="s">
        <v>1525</v>
      </c>
      <c r="G228" s="3" t="s">
        <v>1412</v>
      </c>
      <c r="H228" s="3">
        <v>1972</v>
      </c>
      <c r="I228" s="3"/>
      <c r="J228" s="3" t="s">
        <v>1416</v>
      </c>
      <c r="K228" s="4" t="s">
        <v>1417</v>
      </c>
      <c r="L228" s="56" t="s">
        <v>78</v>
      </c>
      <c r="M228" s="6"/>
      <c r="N228" s="57">
        <v>0.90700000000000003</v>
      </c>
      <c r="O228" s="57">
        <v>0.92400000000000004</v>
      </c>
      <c r="P228" s="57">
        <v>0.92500000000000004</v>
      </c>
      <c r="Q228" s="57">
        <v>0.93</v>
      </c>
      <c r="R228" s="7">
        <v>1379609</v>
      </c>
      <c r="S228" s="7">
        <v>1122809</v>
      </c>
      <c r="T228" s="7">
        <f t="shared" si="121"/>
        <v>410433.67749999999</v>
      </c>
      <c r="U228" s="7">
        <v>748269</v>
      </c>
      <c r="V228" s="7">
        <f t="shared" si="122"/>
        <v>374540</v>
      </c>
      <c r="W228" s="7">
        <v>7000</v>
      </c>
      <c r="X228" s="58">
        <f t="shared" si="123"/>
        <v>0</v>
      </c>
      <c r="Y228" s="25">
        <f t="shared" si="124"/>
        <v>0</v>
      </c>
      <c r="Z228" s="25"/>
      <c r="AA228" s="7">
        <f t="shared" si="125"/>
        <v>1533242.6775</v>
      </c>
      <c r="AB228" s="7">
        <f t="shared" si="126"/>
        <v>410433.67749999999</v>
      </c>
      <c r="AC228" s="7">
        <f t="shared" si="127"/>
        <v>1122809</v>
      </c>
      <c r="AD228" s="59">
        <f t="shared" si="128"/>
        <v>0</v>
      </c>
      <c r="AE228" s="59">
        <f t="shared" si="129"/>
        <v>0</v>
      </c>
      <c r="AF228" s="60">
        <f t="shared" si="130"/>
        <v>0</v>
      </c>
      <c r="AG228" s="60">
        <f t="shared" si="131"/>
        <v>1122809</v>
      </c>
      <c r="AH228" s="7">
        <v>0</v>
      </c>
      <c r="AI228" s="7">
        <v>0</v>
      </c>
      <c r="AJ228" s="11" t="s">
        <v>1419</v>
      </c>
      <c r="AK228" s="61">
        <v>4697</v>
      </c>
      <c r="AL228" s="8"/>
      <c r="AM228" s="8"/>
    </row>
    <row r="229" spans="1:39" x14ac:dyDescent="0.2">
      <c r="A229" s="1" t="s">
        <v>1412</v>
      </c>
      <c r="B229" s="1"/>
      <c r="C229" s="1">
        <v>9711</v>
      </c>
      <c r="D229" s="3" t="s">
        <v>499</v>
      </c>
      <c r="E229" s="3" t="s">
        <v>500</v>
      </c>
      <c r="F229" s="3" t="s">
        <v>1564</v>
      </c>
      <c r="G229" s="3" t="s">
        <v>1417</v>
      </c>
      <c r="H229" s="3">
        <v>1980</v>
      </c>
      <c r="I229" s="3"/>
      <c r="J229" s="3" t="s">
        <v>1512</v>
      </c>
      <c r="K229" s="4"/>
      <c r="L229" s="56" t="s">
        <v>501</v>
      </c>
      <c r="M229" s="6">
        <v>15</v>
      </c>
      <c r="N229" s="57">
        <v>0.93300000000000005</v>
      </c>
      <c r="O229" s="57">
        <v>0.93300000000000005</v>
      </c>
      <c r="P229" s="57">
        <v>0.91500000000000004</v>
      </c>
      <c r="Q229" s="57">
        <v>0.97799999999999998</v>
      </c>
      <c r="R229" s="7"/>
      <c r="S229" s="7">
        <v>150533</v>
      </c>
      <c r="T229" s="7">
        <f t="shared" si="121"/>
        <v>29188.348699999999</v>
      </c>
      <c r="U229" s="7">
        <v>104359</v>
      </c>
      <c r="V229" s="7">
        <f t="shared" si="122"/>
        <v>46174</v>
      </c>
      <c r="W229" s="7">
        <v>750</v>
      </c>
      <c r="X229" s="58">
        <f t="shared" si="123"/>
        <v>0</v>
      </c>
      <c r="Y229" s="25">
        <f t="shared" si="124"/>
        <v>0</v>
      </c>
      <c r="Z229" s="25"/>
      <c r="AA229" s="7">
        <f t="shared" si="125"/>
        <v>179721.3487</v>
      </c>
      <c r="AB229" s="7">
        <f t="shared" si="126"/>
        <v>29188.348699999999</v>
      </c>
      <c r="AC229" s="7">
        <f t="shared" si="127"/>
        <v>150533</v>
      </c>
      <c r="AD229" s="59">
        <f t="shared" si="128"/>
        <v>0</v>
      </c>
      <c r="AE229" s="59">
        <f t="shared" si="129"/>
        <v>0</v>
      </c>
      <c r="AF229" s="60">
        <f t="shared" si="130"/>
        <v>0</v>
      </c>
      <c r="AG229" s="60">
        <f t="shared" si="131"/>
        <v>150533</v>
      </c>
      <c r="AH229" s="7">
        <v>0</v>
      </c>
      <c r="AI229" s="7">
        <v>0</v>
      </c>
      <c r="AJ229" s="11" t="s">
        <v>1419</v>
      </c>
      <c r="AK229" s="61">
        <v>66807</v>
      </c>
      <c r="AL229" s="8"/>
      <c r="AM229" s="8"/>
    </row>
    <row r="230" spans="1:39" x14ac:dyDescent="0.2">
      <c r="A230" s="1" t="s">
        <v>10</v>
      </c>
      <c r="B230" s="1" t="s">
        <v>1412</v>
      </c>
      <c r="C230" s="1">
        <v>2520</v>
      </c>
      <c r="D230" s="62" t="s">
        <v>504</v>
      </c>
      <c r="E230" s="3" t="s">
        <v>505</v>
      </c>
      <c r="F230" s="3" t="s">
        <v>239</v>
      </c>
      <c r="G230" s="3" t="s">
        <v>1412</v>
      </c>
      <c r="H230" s="3">
        <v>1967</v>
      </c>
      <c r="I230" s="3"/>
      <c r="J230" s="3" t="s">
        <v>1416</v>
      </c>
      <c r="K230" s="4" t="s">
        <v>1412</v>
      </c>
      <c r="L230" s="56" t="s">
        <v>506</v>
      </c>
      <c r="M230" s="6">
        <v>69</v>
      </c>
      <c r="N230" s="57">
        <v>0.65300000000000002</v>
      </c>
      <c r="O230" s="57">
        <v>0.78400000000000003</v>
      </c>
      <c r="P230" s="57">
        <v>0.748</v>
      </c>
      <c r="Q230" s="57">
        <v>0.85799999999999998</v>
      </c>
      <c r="R230" s="7">
        <v>663257</v>
      </c>
      <c r="S230" s="7">
        <v>566472</v>
      </c>
      <c r="T230" s="7">
        <f t="shared" si="121"/>
        <v>197318.95749999999</v>
      </c>
      <c r="U230" s="7">
        <v>412761</v>
      </c>
      <c r="V230" s="7">
        <f t="shared" si="122"/>
        <v>153711</v>
      </c>
      <c r="W230" s="7">
        <v>1927</v>
      </c>
      <c r="X230" s="58">
        <f t="shared" si="123"/>
        <v>513036.95750000002</v>
      </c>
      <c r="Y230" s="25">
        <f t="shared" si="124"/>
        <v>197318.95749999999</v>
      </c>
      <c r="Z230" s="25">
        <v>315718</v>
      </c>
      <c r="AA230" s="7">
        <f t="shared" si="125"/>
        <v>250754</v>
      </c>
      <c r="AB230" s="7">
        <f t="shared" si="126"/>
        <v>0</v>
      </c>
      <c r="AC230" s="7">
        <f t="shared" si="127"/>
        <v>250754</v>
      </c>
      <c r="AD230" s="59">
        <f t="shared" si="128"/>
        <v>315718</v>
      </c>
      <c r="AE230" s="59">
        <f t="shared" si="129"/>
        <v>0</v>
      </c>
      <c r="AF230" s="60">
        <f t="shared" si="130"/>
        <v>250754</v>
      </c>
      <c r="AG230" s="60">
        <f t="shared" si="131"/>
        <v>0</v>
      </c>
      <c r="AH230" s="7">
        <v>138000</v>
      </c>
      <c r="AI230" s="7">
        <v>185000</v>
      </c>
      <c r="AJ230" s="11" t="s">
        <v>1419</v>
      </c>
      <c r="AK230" s="61">
        <v>77517</v>
      </c>
      <c r="AL230" s="8"/>
      <c r="AM230" s="8"/>
    </row>
    <row r="231" spans="1:39" x14ac:dyDescent="0.2">
      <c r="A231" s="1" t="s">
        <v>1412</v>
      </c>
      <c r="B231" s="1"/>
      <c r="C231" s="1">
        <v>4116</v>
      </c>
      <c r="D231" s="3" t="s">
        <v>504</v>
      </c>
      <c r="E231" s="3" t="s">
        <v>27</v>
      </c>
      <c r="F231" s="3" t="s">
        <v>1525</v>
      </c>
      <c r="G231" s="3" t="s">
        <v>1412</v>
      </c>
      <c r="H231" s="3">
        <v>1994</v>
      </c>
      <c r="I231" s="3"/>
      <c r="J231" s="3" t="s">
        <v>1416</v>
      </c>
      <c r="K231" s="4" t="s">
        <v>1417</v>
      </c>
      <c r="L231" s="56" t="s">
        <v>506</v>
      </c>
      <c r="M231" s="6">
        <v>90</v>
      </c>
      <c r="N231" s="57">
        <v>0.877</v>
      </c>
      <c r="O231" s="57">
        <v>0.89400000000000002</v>
      </c>
      <c r="P231" s="57">
        <v>0.84799999999999998</v>
      </c>
      <c r="Q231" s="57">
        <v>0.80100000000000005</v>
      </c>
      <c r="R231" s="7">
        <v>830190</v>
      </c>
      <c r="S231" s="7">
        <v>705697</v>
      </c>
      <c r="T231" s="7">
        <f t="shared" si="121"/>
        <v>246981.52499999999</v>
      </c>
      <c r="U231" s="7">
        <v>478449</v>
      </c>
      <c r="V231" s="7">
        <f t="shared" si="122"/>
        <v>227248</v>
      </c>
      <c r="W231" s="7">
        <v>3585</v>
      </c>
      <c r="X231" s="58">
        <f t="shared" si="123"/>
        <v>0</v>
      </c>
      <c r="Y231" s="25">
        <f t="shared" si="124"/>
        <v>0</v>
      </c>
      <c r="Z231" s="25"/>
      <c r="AA231" s="7">
        <f t="shared" si="125"/>
        <v>952678.52500000002</v>
      </c>
      <c r="AB231" s="7">
        <f t="shared" si="126"/>
        <v>246981.52499999999</v>
      </c>
      <c r="AC231" s="7">
        <f t="shared" si="127"/>
        <v>705697</v>
      </c>
      <c r="AD231" s="59">
        <f t="shared" si="128"/>
        <v>0</v>
      </c>
      <c r="AE231" s="59">
        <f t="shared" si="129"/>
        <v>0</v>
      </c>
      <c r="AF231" s="60">
        <f t="shared" si="130"/>
        <v>0</v>
      </c>
      <c r="AG231" s="60">
        <f t="shared" si="131"/>
        <v>705697</v>
      </c>
      <c r="AH231" s="7">
        <v>0</v>
      </c>
      <c r="AI231" s="7">
        <v>0</v>
      </c>
      <c r="AJ231" s="11" t="s">
        <v>1419</v>
      </c>
      <c r="AK231" s="61">
        <v>379394</v>
      </c>
      <c r="AL231" s="8"/>
      <c r="AM231" s="8"/>
    </row>
    <row r="232" spans="1:39" x14ac:dyDescent="0.2">
      <c r="A232" s="1" t="s">
        <v>1412</v>
      </c>
      <c r="B232" s="1"/>
      <c r="C232" s="1">
        <v>9710</v>
      </c>
      <c r="D232" s="3" t="s">
        <v>507</v>
      </c>
      <c r="E232" s="3" t="s">
        <v>508</v>
      </c>
      <c r="F232" s="3" t="s">
        <v>1564</v>
      </c>
      <c r="G232" s="3" t="s">
        <v>1417</v>
      </c>
      <c r="H232" s="3">
        <v>1979</v>
      </c>
      <c r="I232" s="3"/>
      <c r="J232" s="3" t="s">
        <v>1416</v>
      </c>
      <c r="K232" s="4"/>
      <c r="L232" s="56" t="s">
        <v>501</v>
      </c>
      <c r="M232" s="6">
        <v>115</v>
      </c>
      <c r="N232" s="57">
        <v>0.92200000000000004</v>
      </c>
      <c r="O232" s="57">
        <v>0.92600000000000005</v>
      </c>
      <c r="P232" s="57">
        <v>0.89300000000000002</v>
      </c>
      <c r="Q232" s="57">
        <v>0.86099999999999999</v>
      </c>
      <c r="R232" s="7">
        <v>640283</v>
      </c>
      <c r="S232" s="7">
        <v>941843</v>
      </c>
      <c r="T232" s="7">
        <f t="shared" si="121"/>
        <v>190484.1925</v>
      </c>
      <c r="U232" s="7">
        <v>622508</v>
      </c>
      <c r="V232" s="7">
        <f t="shared" si="122"/>
        <v>319335</v>
      </c>
      <c r="W232" s="7">
        <v>4681</v>
      </c>
      <c r="X232" s="58">
        <f t="shared" si="123"/>
        <v>0</v>
      </c>
      <c r="Y232" s="25">
        <f t="shared" si="124"/>
        <v>0</v>
      </c>
      <c r="Z232" s="25"/>
      <c r="AA232" s="7">
        <f t="shared" si="125"/>
        <v>1132327.1924999999</v>
      </c>
      <c r="AB232" s="7">
        <f t="shared" si="126"/>
        <v>190484.1925</v>
      </c>
      <c r="AC232" s="7">
        <f t="shared" si="127"/>
        <v>941843</v>
      </c>
      <c r="AD232" s="59">
        <f t="shared" si="128"/>
        <v>0</v>
      </c>
      <c r="AE232" s="59">
        <f t="shared" si="129"/>
        <v>0</v>
      </c>
      <c r="AF232" s="60">
        <f t="shared" si="130"/>
        <v>0</v>
      </c>
      <c r="AG232" s="60">
        <f t="shared" si="131"/>
        <v>941843</v>
      </c>
      <c r="AH232" s="7">
        <v>0</v>
      </c>
      <c r="AI232" s="7">
        <v>0</v>
      </c>
      <c r="AJ232" s="11" t="s">
        <v>1419</v>
      </c>
      <c r="AK232" s="61">
        <v>590524</v>
      </c>
      <c r="AL232" s="8"/>
      <c r="AM232" s="8"/>
    </row>
    <row r="233" spans="1:39" x14ac:dyDescent="0.2">
      <c r="A233" s="1" t="s">
        <v>1412</v>
      </c>
      <c r="B233" s="1"/>
      <c r="C233" s="1">
        <v>9750</v>
      </c>
      <c r="D233" s="3" t="s">
        <v>509</v>
      </c>
      <c r="E233" s="3" t="s">
        <v>1530</v>
      </c>
      <c r="F233" s="3" t="s">
        <v>1548</v>
      </c>
      <c r="G233" s="3" t="s">
        <v>1412</v>
      </c>
      <c r="H233" s="3">
        <v>1971</v>
      </c>
      <c r="I233" s="3"/>
      <c r="J233" s="3" t="s">
        <v>1416</v>
      </c>
      <c r="K233" s="4" t="s">
        <v>1417</v>
      </c>
      <c r="L233" s="56" t="s">
        <v>1549</v>
      </c>
      <c r="M233" s="6">
        <v>87</v>
      </c>
      <c r="N233" s="57">
        <v>0.80100000000000005</v>
      </c>
      <c r="O233" s="57">
        <v>0.80100000000000005</v>
      </c>
      <c r="P233" s="57">
        <v>0.72699999999999998</v>
      </c>
      <c r="Q233" s="57">
        <v>0.877</v>
      </c>
      <c r="R233" s="7">
        <v>848939</v>
      </c>
      <c r="S233" s="7">
        <v>753557</v>
      </c>
      <c r="T233" s="7">
        <f t="shared" si="121"/>
        <v>252559.35249999998</v>
      </c>
      <c r="U233" s="7">
        <v>479418</v>
      </c>
      <c r="V233" s="7">
        <f t="shared" si="122"/>
        <v>274139</v>
      </c>
      <c r="W233" s="7">
        <v>4365</v>
      </c>
      <c r="X233" s="58">
        <f t="shared" si="123"/>
        <v>0</v>
      </c>
      <c r="Y233" s="25">
        <f t="shared" si="124"/>
        <v>0</v>
      </c>
      <c r="Z233" s="25"/>
      <c r="AA233" s="7">
        <f t="shared" si="125"/>
        <v>1006116.3525</v>
      </c>
      <c r="AB233" s="7">
        <f t="shared" si="126"/>
        <v>252559.35249999998</v>
      </c>
      <c r="AC233" s="7">
        <f t="shared" si="127"/>
        <v>753557</v>
      </c>
      <c r="AD233" s="59">
        <f t="shared" si="128"/>
        <v>0</v>
      </c>
      <c r="AE233" s="59">
        <f t="shared" si="129"/>
        <v>0</v>
      </c>
      <c r="AF233" s="60">
        <f t="shared" si="130"/>
        <v>0</v>
      </c>
      <c r="AG233" s="60">
        <f t="shared" si="131"/>
        <v>753557</v>
      </c>
      <c r="AH233" s="7">
        <v>0</v>
      </c>
      <c r="AI233" s="7">
        <v>0</v>
      </c>
      <c r="AJ233" s="3"/>
      <c r="AK233" s="3"/>
      <c r="AL233" s="8"/>
      <c r="AM233" s="8"/>
    </row>
    <row r="234" spans="1:39" x14ac:dyDescent="0.2">
      <c r="A234" s="1" t="s">
        <v>1412</v>
      </c>
      <c r="B234" s="1"/>
      <c r="C234" s="1">
        <v>1511</v>
      </c>
      <c r="D234" s="3" t="s">
        <v>510</v>
      </c>
      <c r="E234" s="3" t="s">
        <v>511</v>
      </c>
      <c r="F234" s="3" t="s">
        <v>1422</v>
      </c>
      <c r="G234" s="3" t="s">
        <v>1412</v>
      </c>
      <c r="H234" s="3">
        <v>1983</v>
      </c>
      <c r="I234" s="3"/>
      <c r="J234" s="3" t="s">
        <v>1416</v>
      </c>
      <c r="K234" s="4" t="s">
        <v>1412</v>
      </c>
      <c r="L234" s="56" t="s">
        <v>512</v>
      </c>
      <c r="M234" s="6">
        <v>102</v>
      </c>
      <c r="N234" s="57">
        <v>0.88600000000000001</v>
      </c>
      <c r="O234" s="57">
        <v>0.91500000000000004</v>
      </c>
      <c r="P234" s="57">
        <v>0.91900000000000004</v>
      </c>
      <c r="Q234" s="57">
        <v>0.876</v>
      </c>
      <c r="R234" s="7">
        <v>743306</v>
      </c>
      <c r="S234" s="7">
        <v>655749</v>
      </c>
      <c r="T234" s="7">
        <f t="shared" si="121"/>
        <v>221133.535</v>
      </c>
      <c r="U234" s="7">
        <v>389781</v>
      </c>
      <c r="V234" s="7">
        <f t="shared" si="122"/>
        <v>265968</v>
      </c>
      <c r="W234" s="7">
        <v>3741</v>
      </c>
      <c r="X234" s="58">
        <f t="shared" si="123"/>
        <v>0</v>
      </c>
      <c r="Y234" s="25">
        <f t="shared" si="124"/>
        <v>0</v>
      </c>
      <c r="Z234" s="25"/>
      <c r="AA234" s="7">
        <f t="shared" si="125"/>
        <v>876882.53500000003</v>
      </c>
      <c r="AB234" s="7">
        <f t="shared" si="126"/>
        <v>221133.535</v>
      </c>
      <c r="AC234" s="7">
        <f t="shared" si="127"/>
        <v>655749</v>
      </c>
      <c r="AD234" s="59">
        <f t="shared" si="128"/>
        <v>0</v>
      </c>
      <c r="AE234" s="59">
        <f t="shared" si="129"/>
        <v>0</v>
      </c>
      <c r="AF234" s="60">
        <f t="shared" si="130"/>
        <v>655749</v>
      </c>
      <c r="AG234" s="60">
        <f t="shared" si="131"/>
        <v>0</v>
      </c>
      <c r="AH234" s="7">
        <v>1008000</v>
      </c>
      <c r="AI234" s="7">
        <v>895000</v>
      </c>
      <c r="AJ234" s="11" t="s">
        <v>1419</v>
      </c>
      <c r="AK234" s="61">
        <v>456634</v>
      </c>
      <c r="AL234" s="8"/>
      <c r="AM234" s="8"/>
    </row>
    <row r="235" spans="1:39" x14ac:dyDescent="0.2">
      <c r="A235" s="1" t="s">
        <v>1412</v>
      </c>
      <c r="B235" s="1"/>
      <c r="C235" s="1">
        <v>4775</v>
      </c>
      <c r="D235" s="3" t="s">
        <v>513</v>
      </c>
      <c r="E235" s="3"/>
      <c r="F235" s="3"/>
      <c r="G235" s="3" t="s">
        <v>1417</v>
      </c>
      <c r="H235" s="3" t="s">
        <v>1411</v>
      </c>
      <c r="I235" s="3"/>
      <c r="J235" s="3"/>
      <c r="K235" s="4"/>
      <c r="L235" s="56" t="s">
        <v>1411</v>
      </c>
      <c r="M235" s="6" t="s">
        <v>1411</v>
      </c>
      <c r="N235" s="57" t="s">
        <v>1411</v>
      </c>
      <c r="O235" s="57" t="s">
        <v>1411</v>
      </c>
      <c r="P235" s="57"/>
      <c r="Q235" s="57"/>
      <c r="R235" s="7" t="s">
        <v>1411</v>
      </c>
      <c r="S235" s="7" t="s">
        <v>1411</v>
      </c>
      <c r="T235" s="7" t="s">
        <v>1411</v>
      </c>
      <c r="U235" s="7" t="s">
        <v>1411</v>
      </c>
      <c r="V235" s="7" t="s">
        <v>1411</v>
      </c>
      <c r="W235" s="7" t="s">
        <v>1411</v>
      </c>
      <c r="X235" s="58"/>
      <c r="Y235" s="25"/>
      <c r="Z235" s="25"/>
      <c r="AA235" s="7" t="s">
        <v>1411</v>
      </c>
      <c r="AB235" s="7" t="s">
        <v>1411</v>
      </c>
      <c r="AC235" s="7" t="s">
        <v>1411</v>
      </c>
      <c r="AD235" s="59" t="s">
        <v>1411</v>
      </c>
      <c r="AE235" s="59" t="s">
        <v>1411</v>
      </c>
      <c r="AF235" s="60" t="s">
        <v>1411</v>
      </c>
      <c r="AG235" s="60" t="s">
        <v>1411</v>
      </c>
      <c r="AH235" s="7">
        <v>0</v>
      </c>
      <c r="AI235" s="7">
        <v>0</v>
      </c>
      <c r="AJ235" s="11" t="s">
        <v>1580</v>
      </c>
      <c r="AK235" s="61">
        <v>13887</v>
      </c>
      <c r="AL235" s="8"/>
      <c r="AM235" s="8"/>
    </row>
    <row r="236" spans="1:39" x14ac:dyDescent="0.2">
      <c r="A236" s="1" t="s">
        <v>1412</v>
      </c>
      <c r="B236" s="1"/>
      <c r="C236" s="1">
        <v>4316</v>
      </c>
      <c r="D236" s="3" t="s">
        <v>514</v>
      </c>
      <c r="E236" s="3" t="s">
        <v>515</v>
      </c>
      <c r="F236" s="3" t="s">
        <v>1564</v>
      </c>
      <c r="G236" s="3" t="s">
        <v>1417</v>
      </c>
      <c r="H236" s="3">
        <v>1990</v>
      </c>
      <c r="I236" s="3"/>
      <c r="J236" s="3" t="s">
        <v>1512</v>
      </c>
      <c r="K236" s="4"/>
      <c r="L236" s="56" t="s">
        <v>19</v>
      </c>
      <c r="M236" s="6">
        <v>26</v>
      </c>
      <c r="N236" s="57">
        <v>0.97899999999999998</v>
      </c>
      <c r="O236" s="57">
        <v>0.98799999999999999</v>
      </c>
      <c r="P236" s="57">
        <v>1</v>
      </c>
      <c r="Q236" s="57">
        <v>0.96399999999999997</v>
      </c>
      <c r="R236" s="7"/>
      <c r="S236" s="7">
        <v>491723</v>
      </c>
      <c r="T236" s="7">
        <f t="shared" ref="T236:T256" si="132">IF(J236="regional",IF(R236&gt;0,R236*0.2975,S236*0.3484),S236*0.1939)</f>
        <v>95345.089699999997</v>
      </c>
      <c r="U236" s="7">
        <v>356418</v>
      </c>
      <c r="V236" s="7">
        <f t="shared" ref="V236:V256" si="133">S236-U236</f>
        <v>135305</v>
      </c>
      <c r="W236" s="7">
        <v>1626</v>
      </c>
      <c r="X236" s="58">
        <f t="shared" ref="X236:X256" si="134">Y236+Z236</f>
        <v>0</v>
      </c>
      <c r="Y236" s="25">
        <f t="shared" ref="Y236:Y256" si="135">IF(B236="y",T236,0)</f>
        <v>0</v>
      </c>
      <c r="Z236" s="25"/>
      <c r="AA236" s="7">
        <f t="shared" ref="AA236:AA256" si="136">AB236+AC236</f>
        <v>587068.08970000001</v>
      </c>
      <c r="AB236" s="7">
        <f t="shared" ref="AB236:AB256" si="137">IF(B236="y",0,T236)</f>
        <v>95345.089699999997</v>
      </c>
      <c r="AC236" s="7">
        <f t="shared" ref="AC236:AC256" si="138">S236-Z236</f>
        <v>491723</v>
      </c>
      <c r="AD236" s="59">
        <f t="shared" ref="AD236:AD256" si="139">IF(K236="y",Z236,0)</f>
        <v>0</v>
      </c>
      <c r="AE236" s="59">
        <f t="shared" ref="AE236:AE256" si="140">IF($K236="",Z236,0)+IF($K236="n",Z236,0)</f>
        <v>0</v>
      </c>
      <c r="AF236" s="60">
        <f t="shared" ref="AF236:AF256" si="141">IF($K236="y",AC236,0)</f>
        <v>0</v>
      </c>
      <c r="AG236" s="60">
        <f t="shared" ref="AG236:AG256" si="142">IF($K236="",AC236,0)+IF($K236="n",AC236,0)</f>
        <v>491723</v>
      </c>
      <c r="AH236" s="7">
        <v>0</v>
      </c>
      <c r="AI236" s="7">
        <v>0</v>
      </c>
      <c r="AJ236" s="3"/>
      <c r="AK236" s="3"/>
      <c r="AL236" s="8"/>
      <c r="AM236" s="8"/>
    </row>
    <row r="237" spans="1:39" x14ac:dyDescent="0.2">
      <c r="A237" s="1" t="s">
        <v>1412</v>
      </c>
      <c r="B237" s="1"/>
      <c r="C237" s="1">
        <v>9270</v>
      </c>
      <c r="D237" s="64" t="s">
        <v>516</v>
      </c>
      <c r="E237" s="3" t="s">
        <v>365</v>
      </c>
      <c r="F237" s="3" t="s">
        <v>1604</v>
      </c>
      <c r="G237" s="3" t="s">
        <v>1417</v>
      </c>
      <c r="H237" s="3">
        <v>1991</v>
      </c>
      <c r="I237" s="3"/>
      <c r="J237" s="3" t="s">
        <v>1416</v>
      </c>
      <c r="K237" s="4" t="s">
        <v>1412</v>
      </c>
      <c r="L237" s="56" t="s">
        <v>517</v>
      </c>
      <c r="M237" s="6">
        <v>115</v>
      </c>
      <c r="N237" s="57">
        <v>0.83199999999999996</v>
      </c>
      <c r="O237" s="57">
        <v>0.83199999999999996</v>
      </c>
      <c r="P237" s="57">
        <v>0.81299999999999994</v>
      </c>
      <c r="Q237" s="57">
        <v>0.76800000000000002</v>
      </c>
      <c r="R237" s="7">
        <v>922805</v>
      </c>
      <c r="S237" s="7">
        <v>787721</v>
      </c>
      <c r="T237" s="7">
        <f t="shared" si="132"/>
        <v>274534.48749999999</v>
      </c>
      <c r="U237" s="7">
        <v>506639</v>
      </c>
      <c r="V237" s="7">
        <f t="shared" si="133"/>
        <v>281082</v>
      </c>
      <c r="W237" s="7">
        <v>4060</v>
      </c>
      <c r="X237" s="58">
        <f t="shared" si="134"/>
        <v>0</v>
      </c>
      <c r="Y237" s="25">
        <f t="shared" si="135"/>
        <v>0</v>
      </c>
      <c r="Z237" s="25"/>
      <c r="AA237" s="7">
        <f t="shared" si="136"/>
        <v>1062255.4875</v>
      </c>
      <c r="AB237" s="7">
        <f t="shared" si="137"/>
        <v>274534.48749999999</v>
      </c>
      <c r="AC237" s="7">
        <f t="shared" si="138"/>
        <v>787721</v>
      </c>
      <c r="AD237" s="59">
        <f t="shared" si="139"/>
        <v>0</v>
      </c>
      <c r="AE237" s="59">
        <f t="shared" si="140"/>
        <v>0</v>
      </c>
      <c r="AF237" s="60">
        <f t="shared" si="141"/>
        <v>787721</v>
      </c>
      <c r="AG237" s="60">
        <f t="shared" si="142"/>
        <v>0</v>
      </c>
      <c r="AH237" s="7">
        <v>688000</v>
      </c>
      <c r="AI237" s="7">
        <v>314000</v>
      </c>
      <c r="AJ237" s="11" t="s">
        <v>1419</v>
      </c>
      <c r="AK237" s="61">
        <v>690320</v>
      </c>
      <c r="AL237" s="8"/>
      <c r="AM237" s="8"/>
    </row>
    <row r="238" spans="1:39" x14ac:dyDescent="0.2">
      <c r="A238" s="1" t="s">
        <v>1412</v>
      </c>
      <c r="B238" s="1"/>
      <c r="C238" s="1">
        <v>1582</v>
      </c>
      <c r="D238" s="3" t="s">
        <v>518</v>
      </c>
      <c r="E238" s="3" t="s">
        <v>519</v>
      </c>
      <c r="F238" s="3" t="s">
        <v>1564</v>
      </c>
      <c r="G238" s="3" t="s">
        <v>1412</v>
      </c>
      <c r="H238" s="3">
        <v>1970</v>
      </c>
      <c r="I238" s="3"/>
      <c r="J238" s="3" t="s">
        <v>1512</v>
      </c>
      <c r="K238" s="4"/>
      <c r="L238" s="56" t="s">
        <v>19</v>
      </c>
      <c r="M238" s="6">
        <v>4</v>
      </c>
      <c r="N238" s="57">
        <v>0.98599999999999999</v>
      </c>
      <c r="O238" s="57">
        <v>0.98599999999999999</v>
      </c>
      <c r="P238" s="57">
        <v>0.98599999999999999</v>
      </c>
      <c r="Q238" s="57">
        <v>0.96199999999999997</v>
      </c>
      <c r="R238" s="7"/>
      <c r="S238" s="7">
        <v>119648</v>
      </c>
      <c r="T238" s="7">
        <f t="shared" si="132"/>
        <v>23199.747199999998</v>
      </c>
      <c r="U238" s="7">
        <v>109388</v>
      </c>
      <c r="V238" s="7">
        <f t="shared" si="133"/>
        <v>10260</v>
      </c>
      <c r="W238" s="7">
        <v>600</v>
      </c>
      <c r="X238" s="58">
        <f t="shared" si="134"/>
        <v>0</v>
      </c>
      <c r="Y238" s="25">
        <f t="shared" si="135"/>
        <v>0</v>
      </c>
      <c r="Z238" s="25"/>
      <c r="AA238" s="7">
        <f t="shared" si="136"/>
        <v>142847.74719999998</v>
      </c>
      <c r="AB238" s="7">
        <f t="shared" si="137"/>
        <v>23199.747199999998</v>
      </c>
      <c r="AC238" s="7">
        <f t="shared" si="138"/>
        <v>119648</v>
      </c>
      <c r="AD238" s="59">
        <f t="shared" si="139"/>
        <v>0</v>
      </c>
      <c r="AE238" s="59">
        <f t="shared" si="140"/>
        <v>0</v>
      </c>
      <c r="AF238" s="60">
        <f t="shared" si="141"/>
        <v>0</v>
      </c>
      <c r="AG238" s="60">
        <f t="shared" si="142"/>
        <v>119648</v>
      </c>
      <c r="AH238" s="7">
        <v>0</v>
      </c>
      <c r="AI238" s="7">
        <v>0</v>
      </c>
      <c r="AJ238" s="11" t="s">
        <v>1520</v>
      </c>
      <c r="AK238" s="61">
        <v>14447</v>
      </c>
      <c r="AL238" s="8"/>
      <c r="AM238" s="8"/>
    </row>
    <row r="239" spans="1:39" x14ac:dyDescent="0.2">
      <c r="A239" s="1" t="s">
        <v>1412</v>
      </c>
      <c r="B239" s="1"/>
      <c r="C239" s="1">
        <v>4841</v>
      </c>
      <c r="D239" s="63" t="s">
        <v>520</v>
      </c>
      <c r="E239" s="63" t="s">
        <v>521</v>
      </c>
      <c r="F239" s="3" t="s">
        <v>1608</v>
      </c>
      <c r="G239" s="3" t="s">
        <v>1412</v>
      </c>
      <c r="H239" s="3">
        <v>1961</v>
      </c>
      <c r="I239" s="3"/>
      <c r="J239" s="3" t="s">
        <v>1416</v>
      </c>
      <c r="K239" s="4" t="s">
        <v>1417</v>
      </c>
      <c r="L239" s="56" t="s">
        <v>422</v>
      </c>
      <c r="M239" s="6">
        <v>106</v>
      </c>
      <c r="N239" s="57">
        <v>0.80900000000000005</v>
      </c>
      <c r="O239" s="57">
        <v>0.83599999999999997</v>
      </c>
      <c r="P239" s="57">
        <v>0.92500000000000004</v>
      </c>
      <c r="Q239" s="57">
        <v>0.95199999999999996</v>
      </c>
      <c r="R239" s="7">
        <v>771000</v>
      </c>
      <c r="S239" s="7">
        <v>965000</v>
      </c>
      <c r="T239" s="7">
        <f t="shared" si="132"/>
        <v>229372.5</v>
      </c>
      <c r="U239" s="7">
        <v>771000</v>
      </c>
      <c r="V239" s="7">
        <f t="shared" si="133"/>
        <v>194000</v>
      </c>
      <c r="W239" s="7">
        <v>5043</v>
      </c>
      <c r="X239" s="58">
        <f t="shared" si="134"/>
        <v>0</v>
      </c>
      <c r="Y239" s="25">
        <f t="shared" si="135"/>
        <v>0</v>
      </c>
      <c r="Z239" s="25"/>
      <c r="AA239" s="7">
        <f t="shared" si="136"/>
        <v>1194372.5</v>
      </c>
      <c r="AB239" s="7">
        <f t="shared" si="137"/>
        <v>229372.5</v>
      </c>
      <c r="AC239" s="7">
        <f t="shared" si="138"/>
        <v>965000</v>
      </c>
      <c r="AD239" s="59">
        <f t="shared" si="139"/>
        <v>0</v>
      </c>
      <c r="AE239" s="59">
        <f t="shared" si="140"/>
        <v>0</v>
      </c>
      <c r="AF239" s="60">
        <f t="shared" si="141"/>
        <v>0</v>
      </c>
      <c r="AG239" s="60">
        <f t="shared" si="142"/>
        <v>965000</v>
      </c>
      <c r="AH239" s="7">
        <v>0</v>
      </c>
      <c r="AI239" s="7">
        <v>0</v>
      </c>
      <c r="AJ239" s="63"/>
      <c r="AK239" s="63"/>
      <c r="AL239" s="8"/>
      <c r="AM239" s="8"/>
    </row>
    <row r="240" spans="1:39" x14ac:dyDescent="0.2">
      <c r="A240" s="1" t="s">
        <v>1412</v>
      </c>
      <c r="B240" s="1"/>
      <c r="C240" s="1">
        <v>9774</v>
      </c>
      <c r="D240" s="3" t="s">
        <v>522</v>
      </c>
      <c r="E240" s="3" t="s">
        <v>1563</v>
      </c>
      <c r="F240" s="3" t="s">
        <v>1564</v>
      </c>
      <c r="G240" s="3" t="s">
        <v>1417</v>
      </c>
      <c r="H240" s="3">
        <v>1976</v>
      </c>
      <c r="I240" s="3"/>
      <c r="J240" s="3" t="s">
        <v>1512</v>
      </c>
      <c r="K240" s="4"/>
      <c r="L240" s="56" t="s">
        <v>523</v>
      </c>
      <c r="M240" s="6">
        <v>8</v>
      </c>
      <c r="N240" s="57">
        <v>0.81100000000000005</v>
      </c>
      <c r="O240" s="57">
        <v>0.81100000000000005</v>
      </c>
      <c r="P240" s="57">
        <v>0.95299999999999996</v>
      </c>
      <c r="Q240" s="57">
        <v>0.91200000000000003</v>
      </c>
      <c r="R240" s="7"/>
      <c r="S240" s="7">
        <v>50302</v>
      </c>
      <c r="T240" s="7">
        <f t="shared" si="132"/>
        <v>9753.5577999999987</v>
      </c>
      <c r="U240" s="7">
        <v>21500</v>
      </c>
      <c r="V240" s="7">
        <f t="shared" si="133"/>
        <v>28802</v>
      </c>
      <c r="W240" s="7">
        <v>250</v>
      </c>
      <c r="X240" s="58">
        <f t="shared" si="134"/>
        <v>0</v>
      </c>
      <c r="Y240" s="25">
        <f t="shared" si="135"/>
        <v>0</v>
      </c>
      <c r="Z240" s="25"/>
      <c r="AA240" s="7">
        <f t="shared" si="136"/>
        <v>60055.557799999995</v>
      </c>
      <c r="AB240" s="7">
        <f t="shared" si="137"/>
        <v>9753.5577999999987</v>
      </c>
      <c r="AC240" s="7">
        <f t="shared" si="138"/>
        <v>50302</v>
      </c>
      <c r="AD240" s="59">
        <f t="shared" si="139"/>
        <v>0</v>
      </c>
      <c r="AE240" s="59">
        <f t="shared" si="140"/>
        <v>0</v>
      </c>
      <c r="AF240" s="60">
        <f t="shared" si="141"/>
        <v>0</v>
      </c>
      <c r="AG240" s="60">
        <f t="shared" si="142"/>
        <v>50302</v>
      </c>
      <c r="AH240" s="7">
        <v>0</v>
      </c>
      <c r="AI240" s="7">
        <v>0</v>
      </c>
      <c r="AJ240" s="3"/>
      <c r="AK240" s="3"/>
      <c r="AL240" s="8"/>
      <c r="AM240" s="8"/>
    </row>
    <row r="241" spans="1:39" x14ac:dyDescent="0.2">
      <c r="A241" s="1" t="s">
        <v>1412</v>
      </c>
      <c r="B241" s="1"/>
      <c r="C241" s="1">
        <v>9773</v>
      </c>
      <c r="D241" s="64" t="s">
        <v>524</v>
      </c>
      <c r="E241" s="3" t="s">
        <v>1563</v>
      </c>
      <c r="F241" s="3" t="s">
        <v>1564</v>
      </c>
      <c r="G241" s="3" t="s">
        <v>1412</v>
      </c>
      <c r="H241" s="3">
        <v>1974</v>
      </c>
      <c r="I241" s="3"/>
      <c r="J241" s="3" t="s">
        <v>1416</v>
      </c>
      <c r="K241" s="4" t="s">
        <v>1417</v>
      </c>
      <c r="L241" s="56" t="s">
        <v>523</v>
      </c>
      <c r="M241" s="6">
        <v>134</v>
      </c>
      <c r="N241" s="57">
        <v>0.70399999999999996</v>
      </c>
      <c r="O241" s="57">
        <v>0.69299999999999995</v>
      </c>
      <c r="P241" s="57">
        <v>0.56299999999999994</v>
      </c>
      <c r="Q241" s="57">
        <v>0.626</v>
      </c>
      <c r="R241" s="7">
        <v>1288538</v>
      </c>
      <c r="S241" s="7">
        <v>1192700</v>
      </c>
      <c r="T241" s="7">
        <f t="shared" si="132"/>
        <v>383340.05499999999</v>
      </c>
      <c r="U241" s="7">
        <v>931236</v>
      </c>
      <c r="V241" s="7">
        <f t="shared" si="133"/>
        <v>261464</v>
      </c>
      <c r="W241" s="7">
        <v>6964</v>
      </c>
      <c r="X241" s="58">
        <f t="shared" si="134"/>
        <v>0</v>
      </c>
      <c r="Y241" s="25">
        <f t="shared" si="135"/>
        <v>0</v>
      </c>
      <c r="Z241" s="25"/>
      <c r="AA241" s="7">
        <f t="shared" si="136"/>
        <v>1576040.0549999999</v>
      </c>
      <c r="AB241" s="7">
        <f t="shared" si="137"/>
        <v>383340.05499999999</v>
      </c>
      <c r="AC241" s="7">
        <f t="shared" si="138"/>
        <v>1192700</v>
      </c>
      <c r="AD241" s="59">
        <f t="shared" si="139"/>
        <v>0</v>
      </c>
      <c r="AE241" s="59">
        <f t="shared" si="140"/>
        <v>0</v>
      </c>
      <c r="AF241" s="60">
        <f t="shared" si="141"/>
        <v>0</v>
      </c>
      <c r="AG241" s="60">
        <f t="shared" si="142"/>
        <v>1192700</v>
      </c>
      <c r="AH241" s="7">
        <v>0</v>
      </c>
      <c r="AI241" s="7">
        <v>0</v>
      </c>
      <c r="AJ241" s="11" t="s">
        <v>1419</v>
      </c>
      <c r="AK241" s="61">
        <v>748716</v>
      </c>
      <c r="AL241" s="8"/>
      <c r="AM241" s="8"/>
    </row>
    <row r="242" spans="1:39" x14ac:dyDescent="0.2">
      <c r="A242" s="1" t="s">
        <v>10</v>
      </c>
      <c r="B242" s="1" t="s">
        <v>1412</v>
      </c>
      <c r="C242" s="1">
        <v>3917</v>
      </c>
      <c r="D242" s="62" t="s">
        <v>525</v>
      </c>
      <c r="E242" s="3" t="s">
        <v>526</v>
      </c>
      <c r="F242" s="3" t="s">
        <v>137</v>
      </c>
      <c r="G242" s="3" t="s">
        <v>1412</v>
      </c>
      <c r="H242" s="3">
        <v>1991</v>
      </c>
      <c r="I242" s="3"/>
      <c r="J242" s="3" t="s">
        <v>1416</v>
      </c>
      <c r="K242" s="4" t="s">
        <v>1412</v>
      </c>
      <c r="L242" s="56" t="s">
        <v>527</v>
      </c>
      <c r="M242" s="6">
        <v>152</v>
      </c>
      <c r="N242" s="57">
        <v>0.73099999999999998</v>
      </c>
      <c r="O242" s="57">
        <v>0.83299999999999996</v>
      </c>
      <c r="P242" s="57">
        <v>0.80700000000000005</v>
      </c>
      <c r="Q242" s="57">
        <v>0.755</v>
      </c>
      <c r="R242" s="7">
        <v>1283965</v>
      </c>
      <c r="S242" s="7">
        <v>1020409</v>
      </c>
      <c r="T242" s="7">
        <f t="shared" si="132"/>
        <v>381979.58749999997</v>
      </c>
      <c r="U242" s="7">
        <v>716811</v>
      </c>
      <c r="V242" s="7">
        <f t="shared" si="133"/>
        <v>303598</v>
      </c>
      <c r="W242" s="7">
        <v>5338</v>
      </c>
      <c r="X242" s="58">
        <f t="shared" si="134"/>
        <v>872438.58749999991</v>
      </c>
      <c r="Y242" s="25">
        <f t="shared" si="135"/>
        <v>381979.58749999997</v>
      </c>
      <c r="Z242" s="25">
        <v>490459</v>
      </c>
      <c r="AA242" s="7">
        <f t="shared" si="136"/>
        <v>529950</v>
      </c>
      <c r="AB242" s="7">
        <f t="shared" si="137"/>
        <v>0</v>
      </c>
      <c r="AC242" s="7">
        <f t="shared" si="138"/>
        <v>529950</v>
      </c>
      <c r="AD242" s="59">
        <f t="shared" si="139"/>
        <v>490459</v>
      </c>
      <c r="AE242" s="59">
        <f t="shared" si="140"/>
        <v>0</v>
      </c>
      <c r="AF242" s="60">
        <f t="shared" si="141"/>
        <v>529950</v>
      </c>
      <c r="AG242" s="60">
        <f t="shared" si="142"/>
        <v>0</v>
      </c>
      <c r="AH242" s="7">
        <v>393000</v>
      </c>
      <c r="AI242" s="7">
        <v>315000</v>
      </c>
      <c r="AJ242" s="11" t="s">
        <v>1419</v>
      </c>
      <c r="AK242" s="61">
        <v>760235</v>
      </c>
      <c r="AL242" s="8"/>
      <c r="AM242" s="8"/>
    </row>
    <row r="243" spans="1:39" x14ac:dyDescent="0.2">
      <c r="A243" s="1" t="s">
        <v>1412</v>
      </c>
      <c r="B243" s="1"/>
      <c r="C243" s="1">
        <v>3915</v>
      </c>
      <c r="D243" s="3" t="s">
        <v>528</v>
      </c>
      <c r="E243" s="3" t="s">
        <v>526</v>
      </c>
      <c r="F243" s="3" t="s">
        <v>137</v>
      </c>
      <c r="G243" s="3" t="s">
        <v>1412</v>
      </c>
      <c r="H243" s="3">
        <v>1988</v>
      </c>
      <c r="I243" s="3"/>
      <c r="J243" s="3" t="s">
        <v>1512</v>
      </c>
      <c r="K243" s="4"/>
      <c r="L243" s="5" t="s">
        <v>527</v>
      </c>
      <c r="M243" s="6">
        <v>19</v>
      </c>
      <c r="N243" s="57">
        <v>0.95399999999999996</v>
      </c>
      <c r="O243" s="57">
        <v>0.91400000000000003</v>
      </c>
      <c r="P243" s="57">
        <v>0.93700000000000006</v>
      </c>
      <c r="Q243" s="57">
        <v>1</v>
      </c>
      <c r="R243" s="7"/>
      <c r="S243" s="7">
        <v>234250</v>
      </c>
      <c r="T243" s="7">
        <f t="shared" si="132"/>
        <v>45421.074999999997</v>
      </c>
      <c r="U243" s="7">
        <v>172179</v>
      </c>
      <c r="V243" s="7">
        <f t="shared" si="133"/>
        <v>62071</v>
      </c>
      <c r="W243" s="7">
        <v>1150</v>
      </c>
      <c r="X243" s="58">
        <f t="shared" si="134"/>
        <v>0</v>
      </c>
      <c r="Y243" s="25">
        <f t="shared" si="135"/>
        <v>0</v>
      </c>
      <c r="Z243" s="8"/>
      <c r="AA243" s="7">
        <f t="shared" si="136"/>
        <v>279671.07500000001</v>
      </c>
      <c r="AB243" s="7">
        <f t="shared" si="137"/>
        <v>45421.074999999997</v>
      </c>
      <c r="AC243" s="7">
        <f t="shared" si="138"/>
        <v>234250</v>
      </c>
      <c r="AD243" s="59">
        <f t="shared" si="139"/>
        <v>0</v>
      </c>
      <c r="AE243" s="59">
        <f t="shared" si="140"/>
        <v>0</v>
      </c>
      <c r="AF243" s="60">
        <f t="shared" si="141"/>
        <v>0</v>
      </c>
      <c r="AG243" s="60">
        <f t="shared" si="142"/>
        <v>234250</v>
      </c>
      <c r="AH243" s="7">
        <v>0</v>
      </c>
      <c r="AI243" s="7">
        <v>0</v>
      </c>
      <c r="AJ243" s="11" t="s">
        <v>1419</v>
      </c>
      <c r="AK243" s="61">
        <v>49219</v>
      </c>
      <c r="AL243" s="8"/>
      <c r="AM243" s="8"/>
    </row>
    <row r="244" spans="1:39" x14ac:dyDescent="0.2">
      <c r="A244" s="1" t="s">
        <v>1412</v>
      </c>
      <c r="B244" s="1"/>
      <c r="C244" s="1">
        <v>519</v>
      </c>
      <c r="D244" s="3" t="s">
        <v>529</v>
      </c>
      <c r="E244" s="3" t="s">
        <v>530</v>
      </c>
      <c r="F244" s="3" t="s">
        <v>1525</v>
      </c>
      <c r="G244" s="3" t="s">
        <v>1417</v>
      </c>
      <c r="H244" s="3">
        <v>1989</v>
      </c>
      <c r="I244" s="3"/>
      <c r="J244" s="3" t="s">
        <v>1512</v>
      </c>
      <c r="K244" s="4"/>
      <c r="L244" s="56" t="s">
        <v>325</v>
      </c>
      <c r="M244" s="6">
        <v>41</v>
      </c>
      <c r="N244" s="57">
        <v>0.67800000000000005</v>
      </c>
      <c r="O244" s="57">
        <v>0.67100000000000004</v>
      </c>
      <c r="P244" s="57">
        <v>0.72</v>
      </c>
      <c r="Q244" s="57">
        <v>0.99199999999999999</v>
      </c>
      <c r="R244" s="7"/>
      <c r="S244" s="7">
        <v>380831</v>
      </c>
      <c r="T244" s="7">
        <f t="shared" si="132"/>
        <v>73843.130899999989</v>
      </c>
      <c r="U244" s="7">
        <v>263436</v>
      </c>
      <c r="V244" s="7">
        <f t="shared" si="133"/>
        <v>117395</v>
      </c>
      <c r="W244" s="7">
        <v>1875</v>
      </c>
      <c r="X244" s="58">
        <f t="shared" si="134"/>
        <v>0</v>
      </c>
      <c r="Y244" s="25">
        <f t="shared" si="135"/>
        <v>0</v>
      </c>
      <c r="Z244" s="25"/>
      <c r="AA244" s="7">
        <f t="shared" si="136"/>
        <v>454674.13089999999</v>
      </c>
      <c r="AB244" s="7">
        <f t="shared" si="137"/>
        <v>73843.130899999989</v>
      </c>
      <c r="AC244" s="7">
        <f t="shared" si="138"/>
        <v>380831</v>
      </c>
      <c r="AD244" s="59">
        <f t="shared" si="139"/>
        <v>0</v>
      </c>
      <c r="AE244" s="59">
        <f t="shared" si="140"/>
        <v>0</v>
      </c>
      <c r="AF244" s="60">
        <f t="shared" si="141"/>
        <v>0</v>
      </c>
      <c r="AG244" s="60">
        <f t="shared" si="142"/>
        <v>380831</v>
      </c>
      <c r="AH244" s="7">
        <v>0</v>
      </c>
      <c r="AI244" s="7">
        <v>0</v>
      </c>
      <c r="AJ244" s="3"/>
      <c r="AK244" s="3"/>
      <c r="AL244" s="8"/>
      <c r="AM244" s="8"/>
    </row>
    <row r="245" spans="1:39" x14ac:dyDescent="0.2">
      <c r="A245" s="1" t="s">
        <v>1412</v>
      </c>
      <c r="B245" s="1"/>
      <c r="C245" s="1">
        <v>9805</v>
      </c>
      <c r="D245" s="3" t="s">
        <v>531</v>
      </c>
      <c r="E245" s="3" t="s">
        <v>164</v>
      </c>
      <c r="F245" s="3" t="s">
        <v>165</v>
      </c>
      <c r="G245" s="3" t="s">
        <v>1417</v>
      </c>
      <c r="H245" s="3">
        <v>1991</v>
      </c>
      <c r="I245" s="3"/>
      <c r="J245" s="3" t="s">
        <v>1416</v>
      </c>
      <c r="K245" s="4" t="s">
        <v>1417</v>
      </c>
      <c r="L245" s="56" t="s">
        <v>532</v>
      </c>
      <c r="M245" s="6">
        <v>143</v>
      </c>
      <c r="N245" s="57">
        <v>0.94699999999999995</v>
      </c>
      <c r="O245" s="57">
        <v>0.95699999999999996</v>
      </c>
      <c r="P245" s="57">
        <v>0.93899999999999995</v>
      </c>
      <c r="Q245" s="57">
        <v>0.88900000000000001</v>
      </c>
      <c r="R245" s="7">
        <v>1500930</v>
      </c>
      <c r="S245" s="7">
        <v>1338368</v>
      </c>
      <c r="T245" s="7">
        <f t="shared" si="132"/>
        <v>446526.67499999999</v>
      </c>
      <c r="U245" s="7">
        <v>878311</v>
      </c>
      <c r="V245" s="7">
        <f t="shared" si="133"/>
        <v>460057</v>
      </c>
      <c r="W245" s="7">
        <v>6956</v>
      </c>
      <c r="X245" s="58">
        <f t="shared" si="134"/>
        <v>0</v>
      </c>
      <c r="Y245" s="25">
        <f t="shared" si="135"/>
        <v>0</v>
      </c>
      <c r="Z245" s="25"/>
      <c r="AA245" s="7">
        <f t="shared" si="136"/>
        <v>1784894.675</v>
      </c>
      <c r="AB245" s="7">
        <f t="shared" si="137"/>
        <v>446526.67499999999</v>
      </c>
      <c r="AC245" s="7">
        <f t="shared" si="138"/>
        <v>1338368</v>
      </c>
      <c r="AD245" s="59">
        <f t="shared" si="139"/>
        <v>0</v>
      </c>
      <c r="AE245" s="59">
        <f t="shared" si="140"/>
        <v>0</v>
      </c>
      <c r="AF245" s="60">
        <f t="shared" si="141"/>
        <v>0</v>
      </c>
      <c r="AG245" s="60">
        <f t="shared" si="142"/>
        <v>1338368</v>
      </c>
      <c r="AH245" s="7">
        <v>0</v>
      </c>
      <c r="AI245" s="7">
        <v>0</v>
      </c>
      <c r="AJ245" s="11" t="s">
        <v>1419</v>
      </c>
      <c r="AK245" s="61">
        <v>995494</v>
      </c>
      <c r="AL245" s="8"/>
      <c r="AM245" s="8"/>
    </row>
    <row r="246" spans="1:39" x14ac:dyDescent="0.2">
      <c r="A246" s="1" t="s">
        <v>1412</v>
      </c>
      <c r="B246" s="1"/>
      <c r="C246" s="1">
        <v>4676</v>
      </c>
      <c r="D246" s="64" t="s">
        <v>533</v>
      </c>
      <c r="E246" s="3" t="s">
        <v>534</v>
      </c>
      <c r="F246" s="3" t="s">
        <v>1608</v>
      </c>
      <c r="G246" s="3" t="s">
        <v>1417</v>
      </c>
      <c r="H246" s="3">
        <v>1997</v>
      </c>
      <c r="I246" s="3"/>
      <c r="J246" s="3" t="s">
        <v>1416</v>
      </c>
      <c r="K246" s="4" t="s">
        <v>1417</v>
      </c>
      <c r="L246" s="56" t="s">
        <v>160</v>
      </c>
      <c r="M246" s="6">
        <v>152</v>
      </c>
      <c r="N246" s="57">
        <v>0.95699999999999996</v>
      </c>
      <c r="O246" s="57">
        <v>0.94399999999999995</v>
      </c>
      <c r="P246" s="57">
        <v>0.92500000000000004</v>
      </c>
      <c r="Q246" s="57">
        <v>0.95199999999999996</v>
      </c>
      <c r="R246" s="7">
        <v>1200354</v>
      </c>
      <c r="S246" s="7">
        <v>827470</v>
      </c>
      <c r="T246" s="7">
        <f t="shared" si="132"/>
        <v>357105.315</v>
      </c>
      <c r="U246" s="7">
        <v>349393</v>
      </c>
      <c r="V246" s="7">
        <f t="shared" si="133"/>
        <v>478077</v>
      </c>
      <c r="W246" s="7">
        <v>4000</v>
      </c>
      <c r="X246" s="58">
        <f t="shared" si="134"/>
        <v>0</v>
      </c>
      <c r="Y246" s="25">
        <f t="shared" si="135"/>
        <v>0</v>
      </c>
      <c r="Z246" s="25"/>
      <c r="AA246" s="7">
        <f t="shared" si="136"/>
        <v>1184575.3149999999</v>
      </c>
      <c r="AB246" s="7">
        <f t="shared" si="137"/>
        <v>357105.315</v>
      </c>
      <c r="AC246" s="7">
        <f t="shared" si="138"/>
        <v>827470</v>
      </c>
      <c r="AD246" s="59">
        <f t="shared" si="139"/>
        <v>0</v>
      </c>
      <c r="AE246" s="59">
        <f t="shared" si="140"/>
        <v>0</v>
      </c>
      <c r="AF246" s="60">
        <f t="shared" si="141"/>
        <v>0</v>
      </c>
      <c r="AG246" s="60">
        <f t="shared" si="142"/>
        <v>827470</v>
      </c>
      <c r="AH246" s="7">
        <v>0</v>
      </c>
      <c r="AI246" s="7">
        <v>0</v>
      </c>
      <c r="AJ246" s="64"/>
      <c r="AK246" s="64"/>
      <c r="AL246" s="8"/>
      <c r="AM246" s="8"/>
    </row>
    <row r="247" spans="1:39" x14ac:dyDescent="0.2">
      <c r="A247" s="1" t="s">
        <v>1412</v>
      </c>
      <c r="B247" s="1"/>
      <c r="C247" s="1">
        <v>4514</v>
      </c>
      <c r="D247" s="3" t="s">
        <v>535</v>
      </c>
      <c r="E247" s="3" t="s">
        <v>536</v>
      </c>
      <c r="F247" s="3" t="s">
        <v>1525</v>
      </c>
      <c r="G247" s="3" t="s">
        <v>1417</v>
      </c>
      <c r="H247" s="3">
        <v>1989</v>
      </c>
      <c r="I247" s="3"/>
      <c r="J247" s="3" t="s">
        <v>1512</v>
      </c>
      <c r="K247" s="4"/>
      <c r="L247" s="56" t="s">
        <v>537</v>
      </c>
      <c r="M247" s="6">
        <v>10</v>
      </c>
      <c r="N247" s="57">
        <v>0.96599999999999997</v>
      </c>
      <c r="O247" s="57">
        <v>0.96599999999999997</v>
      </c>
      <c r="P247" s="57">
        <v>0.94699999999999995</v>
      </c>
      <c r="Q247" s="57">
        <v>0.96599999999999997</v>
      </c>
      <c r="R247" s="7"/>
      <c r="S247" s="7">
        <v>163154</v>
      </c>
      <c r="T247" s="7">
        <f t="shared" si="132"/>
        <v>31635.560599999997</v>
      </c>
      <c r="U247" s="7">
        <v>139108</v>
      </c>
      <c r="V247" s="7">
        <f t="shared" si="133"/>
        <v>24046</v>
      </c>
      <c r="W247" s="7">
        <v>800</v>
      </c>
      <c r="X247" s="58">
        <f t="shared" si="134"/>
        <v>0</v>
      </c>
      <c r="Y247" s="25">
        <f t="shared" si="135"/>
        <v>0</v>
      </c>
      <c r="Z247" s="25"/>
      <c r="AA247" s="7">
        <f t="shared" si="136"/>
        <v>194789.5606</v>
      </c>
      <c r="AB247" s="7">
        <f t="shared" si="137"/>
        <v>31635.560599999997</v>
      </c>
      <c r="AC247" s="7">
        <f t="shared" si="138"/>
        <v>163154</v>
      </c>
      <c r="AD247" s="59">
        <f t="shared" si="139"/>
        <v>0</v>
      </c>
      <c r="AE247" s="59">
        <f t="shared" si="140"/>
        <v>0</v>
      </c>
      <c r="AF247" s="60">
        <f t="shared" si="141"/>
        <v>0</v>
      </c>
      <c r="AG247" s="60">
        <f t="shared" si="142"/>
        <v>163154</v>
      </c>
      <c r="AH247" s="7">
        <v>0</v>
      </c>
      <c r="AI247" s="7">
        <v>0</v>
      </c>
      <c r="AJ247" s="11" t="s">
        <v>1419</v>
      </c>
      <c r="AK247" s="61">
        <v>7792</v>
      </c>
      <c r="AL247" s="8"/>
      <c r="AM247" s="8"/>
    </row>
    <row r="248" spans="1:39" x14ac:dyDescent="0.2">
      <c r="A248" s="1" t="s">
        <v>1412</v>
      </c>
      <c r="B248" s="1" t="s">
        <v>1412</v>
      </c>
      <c r="C248" s="1">
        <v>4842</v>
      </c>
      <c r="D248" s="65" t="s">
        <v>538</v>
      </c>
      <c r="E248" s="63" t="s">
        <v>539</v>
      </c>
      <c r="F248" s="3"/>
      <c r="G248" s="3" t="s">
        <v>1412</v>
      </c>
      <c r="H248" s="3">
        <v>1974</v>
      </c>
      <c r="I248" s="3"/>
      <c r="J248" s="3" t="s">
        <v>1416</v>
      </c>
      <c r="K248" s="4" t="s">
        <v>1412</v>
      </c>
      <c r="L248" s="56" t="s">
        <v>540</v>
      </c>
      <c r="M248" s="6">
        <v>38</v>
      </c>
      <c r="N248" s="57">
        <v>0.78700000000000003</v>
      </c>
      <c r="O248" s="57">
        <v>0.78900000000000003</v>
      </c>
      <c r="P248" s="57">
        <v>0.92500000000000004</v>
      </c>
      <c r="Q248" s="57">
        <v>0.95199999999999996</v>
      </c>
      <c r="R248" s="7">
        <v>1152038</v>
      </c>
      <c r="S248" s="7">
        <v>1095000</v>
      </c>
      <c r="T248" s="7">
        <f t="shared" si="132"/>
        <v>342731.30499999999</v>
      </c>
      <c r="U248" s="7">
        <v>564100</v>
      </c>
      <c r="V248" s="7">
        <f t="shared" si="133"/>
        <v>530900</v>
      </c>
      <c r="W248" s="7">
        <v>6400</v>
      </c>
      <c r="X248" s="58">
        <f t="shared" si="134"/>
        <v>1005731.3049999999</v>
      </c>
      <c r="Y248" s="25">
        <f t="shared" si="135"/>
        <v>342731.30499999999</v>
      </c>
      <c r="Z248" s="25">
        <v>663000</v>
      </c>
      <c r="AA248" s="7">
        <f t="shared" si="136"/>
        <v>432000</v>
      </c>
      <c r="AB248" s="7">
        <f t="shared" si="137"/>
        <v>0</v>
      </c>
      <c r="AC248" s="7">
        <f t="shared" si="138"/>
        <v>432000</v>
      </c>
      <c r="AD248" s="59">
        <f t="shared" si="139"/>
        <v>663000</v>
      </c>
      <c r="AE248" s="59">
        <f t="shared" si="140"/>
        <v>0</v>
      </c>
      <c r="AF248" s="60">
        <f t="shared" si="141"/>
        <v>432000</v>
      </c>
      <c r="AG248" s="60">
        <f t="shared" si="142"/>
        <v>0</v>
      </c>
      <c r="AH248" s="7">
        <v>1564000</v>
      </c>
      <c r="AI248" s="7">
        <v>976000</v>
      </c>
      <c r="AJ248" s="65"/>
      <c r="AK248" s="65"/>
      <c r="AL248" s="8"/>
      <c r="AM248" s="8"/>
    </row>
    <row r="249" spans="1:39" x14ac:dyDescent="0.2">
      <c r="A249" s="1" t="s">
        <v>1412</v>
      </c>
      <c r="B249" s="1"/>
      <c r="C249" s="1">
        <v>4536</v>
      </c>
      <c r="D249" s="64" t="s">
        <v>541</v>
      </c>
      <c r="E249" s="3" t="s">
        <v>1530</v>
      </c>
      <c r="F249" s="3" t="s">
        <v>1415</v>
      </c>
      <c r="G249" s="3" t="s">
        <v>1412</v>
      </c>
      <c r="H249" s="3">
        <v>1977</v>
      </c>
      <c r="I249" s="3"/>
      <c r="J249" s="3" t="s">
        <v>1416</v>
      </c>
      <c r="K249" s="4" t="s">
        <v>1412</v>
      </c>
      <c r="L249" s="56" t="s">
        <v>542</v>
      </c>
      <c r="M249" s="6">
        <v>111</v>
      </c>
      <c r="N249" s="57">
        <v>0.96099999999999997</v>
      </c>
      <c r="O249" s="57">
        <v>0.96</v>
      </c>
      <c r="P249" s="57">
        <v>0.95799999999999996</v>
      </c>
      <c r="Q249" s="57">
        <v>0.95299999999999996</v>
      </c>
      <c r="R249" s="7">
        <v>1125920</v>
      </c>
      <c r="S249" s="7">
        <v>899168</v>
      </c>
      <c r="T249" s="7">
        <f t="shared" si="132"/>
        <v>334961.2</v>
      </c>
      <c r="U249" s="7">
        <v>554638</v>
      </c>
      <c r="V249" s="7">
        <f t="shared" si="133"/>
        <v>344530</v>
      </c>
      <c r="W249" s="7">
        <v>5100</v>
      </c>
      <c r="X249" s="58">
        <f t="shared" si="134"/>
        <v>0</v>
      </c>
      <c r="Y249" s="25">
        <f t="shared" si="135"/>
        <v>0</v>
      </c>
      <c r="Z249" s="25"/>
      <c r="AA249" s="7">
        <f t="shared" si="136"/>
        <v>1234129.2</v>
      </c>
      <c r="AB249" s="7">
        <f t="shared" si="137"/>
        <v>334961.2</v>
      </c>
      <c r="AC249" s="7">
        <f t="shared" si="138"/>
        <v>899168</v>
      </c>
      <c r="AD249" s="59">
        <f t="shared" si="139"/>
        <v>0</v>
      </c>
      <c r="AE249" s="59">
        <f t="shared" si="140"/>
        <v>0</v>
      </c>
      <c r="AF249" s="60">
        <f t="shared" si="141"/>
        <v>899168</v>
      </c>
      <c r="AG249" s="60">
        <f t="shared" si="142"/>
        <v>0</v>
      </c>
      <c r="AH249" s="7">
        <v>775000</v>
      </c>
      <c r="AI249" s="7">
        <v>724000</v>
      </c>
      <c r="AJ249" s="11" t="s">
        <v>1419</v>
      </c>
      <c r="AK249" s="61">
        <v>309857</v>
      </c>
      <c r="AL249" s="8"/>
      <c r="AM249" s="8"/>
    </row>
    <row r="250" spans="1:39" x14ac:dyDescent="0.2">
      <c r="A250" s="1" t="s">
        <v>1412</v>
      </c>
      <c r="B250" s="1"/>
      <c r="C250" s="1">
        <v>3764</v>
      </c>
      <c r="D250" s="3" t="s">
        <v>543</v>
      </c>
      <c r="E250" s="3" t="s">
        <v>1530</v>
      </c>
      <c r="F250" s="3" t="s">
        <v>1415</v>
      </c>
      <c r="G250" s="3" t="s">
        <v>1412</v>
      </c>
      <c r="H250" s="3">
        <v>1986</v>
      </c>
      <c r="I250" s="3"/>
      <c r="J250" s="3" t="s">
        <v>1512</v>
      </c>
      <c r="K250" s="4"/>
      <c r="L250" s="56" t="s">
        <v>542</v>
      </c>
      <c r="M250" s="6">
        <v>30</v>
      </c>
      <c r="N250" s="57">
        <v>0.96399999999999997</v>
      </c>
      <c r="O250" s="57">
        <v>0.97699999999999998</v>
      </c>
      <c r="P250" s="57">
        <v>0.98799999999999999</v>
      </c>
      <c r="Q250" s="57">
        <v>0.98899999999999999</v>
      </c>
      <c r="R250" s="7"/>
      <c r="S250" s="7">
        <v>359485</v>
      </c>
      <c r="T250" s="7">
        <f t="shared" si="132"/>
        <v>69704.141499999998</v>
      </c>
      <c r="U250" s="7">
        <v>257363</v>
      </c>
      <c r="V250" s="7">
        <f t="shared" si="133"/>
        <v>102122</v>
      </c>
      <c r="W250" s="7">
        <v>1600</v>
      </c>
      <c r="X250" s="58">
        <f t="shared" si="134"/>
        <v>0</v>
      </c>
      <c r="Y250" s="25">
        <f t="shared" si="135"/>
        <v>0</v>
      </c>
      <c r="Z250" s="25"/>
      <c r="AA250" s="7">
        <f t="shared" si="136"/>
        <v>429189.14150000003</v>
      </c>
      <c r="AB250" s="7">
        <f t="shared" si="137"/>
        <v>69704.141499999998</v>
      </c>
      <c r="AC250" s="7">
        <f t="shared" si="138"/>
        <v>359485</v>
      </c>
      <c r="AD250" s="59">
        <f t="shared" si="139"/>
        <v>0</v>
      </c>
      <c r="AE250" s="59">
        <f t="shared" si="140"/>
        <v>0</v>
      </c>
      <c r="AF250" s="60">
        <f t="shared" si="141"/>
        <v>0</v>
      </c>
      <c r="AG250" s="60">
        <f t="shared" si="142"/>
        <v>359485</v>
      </c>
      <c r="AH250" s="7">
        <v>0</v>
      </c>
      <c r="AI250" s="7">
        <v>0</v>
      </c>
      <c r="AJ250" s="3"/>
      <c r="AK250" s="3"/>
      <c r="AL250" s="8"/>
      <c r="AM250" s="8"/>
    </row>
    <row r="251" spans="1:39" x14ac:dyDescent="0.2">
      <c r="A251" s="1" t="s">
        <v>1412</v>
      </c>
      <c r="B251" s="1"/>
      <c r="C251" s="1">
        <v>4530</v>
      </c>
      <c r="D251" s="3" t="s">
        <v>544</v>
      </c>
      <c r="E251" s="3" t="s">
        <v>545</v>
      </c>
      <c r="F251" s="3" t="s">
        <v>137</v>
      </c>
      <c r="G251" s="3" t="s">
        <v>1412</v>
      </c>
      <c r="H251" s="3">
        <v>1969</v>
      </c>
      <c r="I251" s="3"/>
      <c r="J251" s="3" t="s">
        <v>1416</v>
      </c>
      <c r="K251" s="4" t="s">
        <v>1412</v>
      </c>
      <c r="L251" s="5" t="s">
        <v>490</v>
      </c>
      <c r="M251" s="6">
        <v>45</v>
      </c>
      <c r="N251" s="57">
        <v>0.79300000000000004</v>
      </c>
      <c r="O251" s="57">
        <v>0.85299999999999998</v>
      </c>
      <c r="P251" s="57">
        <v>0.85499999999999998</v>
      </c>
      <c r="Q251" s="57">
        <v>0.47899999999999998</v>
      </c>
      <c r="R251" s="7">
        <v>403389</v>
      </c>
      <c r="S251" s="7">
        <v>341783</v>
      </c>
      <c r="T251" s="7">
        <f t="shared" si="132"/>
        <v>120008.22749999999</v>
      </c>
      <c r="U251" s="7">
        <v>192321</v>
      </c>
      <c r="V251" s="7">
        <f t="shared" si="133"/>
        <v>149462</v>
      </c>
      <c r="W251" s="7">
        <v>1875</v>
      </c>
      <c r="X251" s="58">
        <f t="shared" si="134"/>
        <v>0</v>
      </c>
      <c r="Y251" s="25">
        <f t="shared" si="135"/>
        <v>0</v>
      </c>
      <c r="Z251" s="8"/>
      <c r="AA251" s="7">
        <f t="shared" si="136"/>
        <v>461791.22749999998</v>
      </c>
      <c r="AB251" s="7">
        <f t="shared" si="137"/>
        <v>120008.22749999999</v>
      </c>
      <c r="AC251" s="7">
        <f t="shared" si="138"/>
        <v>341783</v>
      </c>
      <c r="AD251" s="59">
        <f t="shared" si="139"/>
        <v>0</v>
      </c>
      <c r="AE251" s="59">
        <f t="shared" si="140"/>
        <v>0</v>
      </c>
      <c r="AF251" s="60">
        <f t="shared" si="141"/>
        <v>341783</v>
      </c>
      <c r="AG251" s="60">
        <f t="shared" si="142"/>
        <v>0</v>
      </c>
      <c r="AH251" s="7">
        <v>440000</v>
      </c>
      <c r="AI251" s="7">
        <v>313000</v>
      </c>
      <c r="AJ251" s="11" t="s">
        <v>1520</v>
      </c>
      <c r="AK251" s="61">
        <v>73490</v>
      </c>
      <c r="AL251" s="8"/>
      <c r="AM251" s="8"/>
    </row>
    <row r="252" spans="1:39" x14ac:dyDescent="0.2">
      <c r="A252" s="1" t="s">
        <v>1412</v>
      </c>
      <c r="B252" s="1"/>
      <c r="C252" s="1">
        <v>4534</v>
      </c>
      <c r="D252" s="3" t="s">
        <v>546</v>
      </c>
      <c r="E252" s="3" t="s">
        <v>309</v>
      </c>
      <c r="F252" s="3" t="s">
        <v>1415</v>
      </c>
      <c r="G252" s="3" t="s">
        <v>1417</v>
      </c>
      <c r="H252" s="3">
        <v>1990</v>
      </c>
      <c r="I252" s="3"/>
      <c r="J252" s="3" t="s">
        <v>1512</v>
      </c>
      <c r="K252" s="4"/>
      <c r="L252" s="56" t="s">
        <v>547</v>
      </c>
      <c r="M252" s="6">
        <v>20</v>
      </c>
      <c r="N252" s="57">
        <v>0.97399999999999998</v>
      </c>
      <c r="O252" s="57">
        <v>0.97399999999999998</v>
      </c>
      <c r="P252" s="57">
        <v>0.95699999999999996</v>
      </c>
      <c r="Q252" s="57">
        <v>0.93799999999999994</v>
      </c>
      <c r="R252" s="7"/>
      <c r="S252" s="7">
        <v>383217</v>
      </c>
      <c r="T252" s="7">
        <f t="shared" si="132"/>
        <v>74305.776299999998</v>
      </c>
      <c r="U252" s="7">
        <v>302558</v>
      </c>
      <c r="V252" s="7">
        <f t="shared" si="133"/>
        <v>80659</v>
      </c>
      <c r="W252" s="7">
        <v>1375</v>
      </c>
      <c r="X252" s="58">
        <f t="shared" si="134"/>
        <v>0</v>
      </c>
      <c r="Y252" s="25">
        <f t="shared" si="135"/>
        <v>0</v>
      </c>
      <c r="Z252" s="25"/>
      <c r="AA252" s="7">
        <f t="shared" si="136"/>
        <v>457522.77630000003</v>
      </c>
      <c r="AB252" s="7">
        <f t="shared" si="137"/>
        <v>74305.776299999998</v>
      </c>
      <c r="AC252" s="7">
        <f t="shared" si="138"/>
        <v>383217</v>
      </c>
      <c r="AD252" s="59">
        <f t="shared" si="139"/>
        <v>0</v>
      </c>
      <c r="AE252" s="59">
        <f t="shared" si="140"/>
        <v>0</v>
      </c>
      <c r="AF252" s="60">
        <f t="shared" si="141"/>
        <v>0</v>
      </c>
      <c r="AG252" s="60">
        <f t="shared" si="142"/>
        <v>383217</v>
      </c>
      <c r="AH252" s="7">
        <v>0</v>
      </c>
      <c r="AI252" s="7">
        <v>0</v>
      </c>
      <c r="AJ252" s="11" t="s">
        <v>1419</v>
      </c>
      <c r="AK252" s="61">
        <v>124144</v>
      </c>
      <c r="AL252" s="8"/>
      <c r="AM252" s="8"/>
    </row>
    <row r="253" spans="1:39" x14ac:dyDescent="0.2">
      <c r="A253" s="1" t="s">
        <v>1412</v>
      </c>
      <c r="B253" s="1" t="s">
        <v>1412</v>
      </c>
      <c r="C253" s="1">
        <v>4523</v>
      </c>
      <c r="D253" s="62" t="s">
        <v>548</v>
      </c>
      <c r="E253" s="3" t="s">
        <v>147</v>
      </c>
      <c r="F253" s="3" t="s">
        <v>1422</v>
      </c>
      <c r="G253" s="3" t="s">
        <v>1412</v>
      </c>
      <c r="H253" s="3">
        <v>1976</v>
      </c>
      <c r="I253" s="3"/>
      <c r="J253" s="3" t="s">
        <v>1416</v>
      </c>
      <c r="K253" s="4" t="s">
        <v>1412</v>
      </c>
      <c r="L253" s="56" t="s">
        <v>549</v>
      </c>
      <c r="M253" s="6">
        <v>145</v>
      </c>
      <c r="N253" s="57">
        <v>0.55700000000000005</v>
      </c>
      <c r="O253" s="57">
        <v>0.55800000000000005</v>
      </c>
      <c r="P253" s="57">
        <v>0.60199999999999998</v>
      </c>
      <c r="Q253" s="57">
        <v>0.70499999999999996</v>
      </c>
      <c r="R253" s="7">
        <v>1383318</v>
      </c>
      <c r="S253" s="7">
        <v>1077164</v>
      </c>
      <c r="T253" s="7">
        <f t="shared" si="132"/>
        <v>411537.10499999998</v>
      </c>
      <c r="U253" s="7">
        <v>691883</v>
      </c>
      <c r="V253" s="7">
        <f t="shared" si="133"/>
        <v>385281</v>
      </c>
      <c r="W253" s="7">
        <v>5214</v>
      </c>
      <c r="X253" s="58">
        <f t="shared" si="134"/>
        <v>471483.10499999998</v>
      </c>
      <c r="Y253" s="25">
        <f t="shared" si="135"/>
        <v>411537.10499999998</v>
      </c>
      <c r="Z253" s="25">
        <v>59946</v>
      </c>
      <c r="AA253" s="7">
        <f t="shared" si="136"/>
        <v>1017218</v>
      </c>
      <c r="AB253" s="7">
        <f t="shared" si="137"/>
        <v>0</v>
      </c>
      <c r="AC253" s="7">
        <f t="shared" si="138"/>
        <v>1017218</v>
      </c>
      <c r="AD253" s="59">
        <f t="shared" si="139"/>
        <v>59946</v>
      </c>
      <c r="AE253" s="59">
        <f t="shared" si="140"/>
        <v>0</v>
      </c>
      <c r="AF253" s="60">
        <f t="shared" si="141"/>
        <v>1017218</v>
      </c>
      <c r="AG253" s="60">
        <f t="shared" si="142"/>
        <v>0</v>
      </c>
      <c r="AH253" s="7">
        <v>473000</v>
      </c>
      <c r="AI253" s="7">
        <v>515000</v>
      </c>
      <c r="AJ253" s="11" t="s">
        <v>1419</v>
      </c>
      <c r="AK253" s="61">
        <v>979201</v>
      </c>
      <c r="AL253" s="8"/>
      <c r="AM253" s="8"/>
    </row>
    <row r="254" spans="1:39" x14ac:dyDescent="0.2">
      <c r="A254" s="1" t="s">
        <v>1412</v>
      </c>
      <c r="B254" s="1"/>
      <c r="C254" s="1">
        <v>4533</v>
      </c>
      <c r="D254" s="3" t="s">
        <v>550</v>
      </c>
      <c r="E254" s="3" t="s">
        <v>551</v>
      </c>
      <c r="F254" s="3" t="s">
        <v>552</v>
      </c>
      <c r="G254" s="3" t="s">
        <v>1412</v>
      </c>
      <c r="H254" s="3">
        <v>1968</v>
      </c>
      <c r="I254" s="3"/>
      <c r="J254" s="3" t="s">
        <v>1512</v>
      </c>
      <c r="K254" s="4"/>
      <c r="L254" s="5" t="s">
        <v>450</v>
      </c>
      <c r="M254" s="6">
        <v>5</v>
      </c>
      <c r="N254" s="57">
        <v>0.92300000000000004</v>
      </c>
      <c r="O254" s="57">
        <v>0.92300000000000004</v>
      </c>
      <c r="P254" s="57">
        <v>0.92300000000000004</v>
      </c>
      <c r="Q254" s="57">
        <v>1</v>
      </c>
      <c r="R254" s="7"/>
      <c r="S254" s="7">
        <v>84899</v>
      </c>
      <c r="T254" s="7">
        <f t="shared" si="132"/>
        <v>16461.916099999999</v>
      </c>
      <c r="U254" s="7">
        <v>60000</v>
      </c>
      <c r="V254" s="7">
        <f t="shared" si="133"/>
        <v>24899</v>
      </c>
      <c r="W254" s="7">
        <v>530</v>
      </c>
      <c r="X254" s="58">
        <f t="shared" si="134"/>
        <v>0</v>
      </c>
      <c r="Y254" s="25">
        <f t="shared" si="135"/>
        <v>0</v>
      </c>
      <c r="Z254" s="8"/>
      <c r="AA254" s="7">
        <f t="shared" si="136"/>
        <v>101360.9161</v>
      </c>
      <c r="AB254" s="7">
        <f t="shared" si="137"/>
        <v>16461.916099999999</v>
      </c>
      <c r="AC254" s="7">
        <f t="shared" si="138"/>
        <v>84899</v>
      </c>
      <c r="AD254" s="59">
        <f t="shared" si="139"/>
        <v>0</v>
      </c>
      <c r="AE254" s="59">
        <f t="shared" si="140"/>
        <v>0</v>
      </c>
      <c r="AF254" s="60">
        <f t="shared" si="141"/>
        <v>0</v>
      </c>
      <c r="AG254" s="60">
        <f t="shared" si="142"/>
        <v>84899</v>
      </c>
      <c r="AH254" s="7">
        <v>0</v>
      </c>
      <c r="AI254" s="7">
        <v>0</v>
      </c>
      <c r="AJ254" s="3"/>
      <c r="AK254" s="3"/>
      <c r="AL254" s="8"/>
      <c r="AM254" s="8"/>
    </row>
    <row r="255" spans="1:39" x14ac:dyDescent="0.2">
      <c r="A255" s="1" t="s">
        <v>1412</v>
      </c>
      <c r="B255" s="1"/>
      <c r="C255" s="1">
        <v>9855</v>
      </c>
      <c r="D255" s="3" t="s">
        <v>553</v>
      </c>
      <c r="E255" s="3" t="s">
        <v>296</v>
      </c>
      <c r="F255" s="3" t="s">
        <v>1548</v>
      </c>
      <c r="G255" s="3" t="s">
        <v>1412</v>
      </c>
      <c r="H255" s="3">
        <v>1969</v>
      </c>
      <c r="I255" s="3"/>
      <c r="J255" s="3" t="s">
        <v>1416</v>
      </c>
      <c r="K255" s="4" t="s">
        <v>1417</v>
      </c>
      <c r="L255" s="5" t="s">
        <v>297</v>
      </c>
      <c r="M255" s="6">
        <v>102</v>
      </c>
      <c r="N255" s="57">
        <v>0.57899999999999996</v>
      </c>
      <c r="O255" s="57">
        <v>0.624</v>
      </c>
      <c r="P255" s="57">
        <v>0.51100000000000001</v>
      </c>
      <c r="Q255" s="57">
        <v>0.53300000000000003</v>
      </c>
      <c r="R255" s="7">
        <v>825921</v>
      </c>
      <c r="S255" s="7">
        <v>793260</v>
      </c>
      <c r="T255" s="7">
        <f t="shared" si="132"/>
        <v>245711.4975</v>
      </c>
      <c r="U255" s="7">
        <v>538792</v>
      </c>
      <c r="V255" s="7">
        <f t="shared" si="133"/>
        <v>254468</v>
      </c>
      <c r="W255" s="7">
        <v>3520</v>
      </c>
      <c r="X255" s="58">
        <f t="shared" si="134"/>
        <v>0</v>
      </c>
      <c r="Y255" s="25">
        <f t="shared" si="135"/>
        <v>0</v>
      </c>
      <c r="Z255" s="8"/>
      <c r="AA255" s="7">
        <f t="shared" si="136"/>
        <v>1038971.4975000001</v>
      </c>
      <c r="AB255" s="7">
        <f t="shared" si="137"/>
        <v>245711.4975</v>
      </c>
      <c r="AC255" s="7">
        <f t="shared" si="138"/>
        <v>793260</v>
      </c>
      <c r="AD255" s="59">
        <f t="shared" si="139"/>
        <v>0</v>
      </c>
      <c r="AE255" s="59">
        <f t="shared" si="140"/>
        <v>0</v>
      </c>
      <c r="AF255" s="60">
        <f t="shared" si="141"/>
        <v>0</v>
      </c>
      <c r="AG255" s="60">
        <f t="shared" si="142"/>
        <v>793260</v>
      </c>
      <c r="AH255" s="7">
        <v>0</v>
      </c>
      <c r="AI255" s="7">
        <v>0</v>
      </c>
      <c r="AJ255" s="3"/>
      <c r="AK255" s="3"/>
      <c r="AL255" s="8"/>
      <c r="AM255" s="8"/>
    </row>
    <row r="256" spans="1:39" ht="13.5" thickBot="1" x14ac:dyDescent="0.25">
      <c r="A256" s="1" t="s">
        <v>1412</v>
      </c>
      <c r="B256" s="1"/>
      <c r="C256" s="1">
        <v>4612</v>
      </c>
      <c r="D256" s="3" t="s">
        <v>554</v>
      </c>
      <c r="E256" s="3" t="s">
        <v>555</v>
      </c>
      <c r="F256" s="3" t="s">
        <v>1415</v>
      </c>
      <c r="G256" s="3" t="s">
        <v>1417</v>
      </c>
      <c r="H256" s="3">
        <v>1990</v>
      </c>
      <c r="I256" s="3"/>
      <c r="J256" s="3" t="s">
        <v>1512</v>
      </c>
      <c r="K256" s="4"/>
      <c r="L256" s="5" t="s">
        <v>1545</v>
      </c>
      <c r="M256" s="6">
        <v>18</v>
      </c>
      <c r="N256" s="57">
        <v>0.997</v>
      </c>
      <c r="O256" s="57">
        <v>0.997</v>
      </c>
      <c r="P256" s="57">
        <v>1</v>
      </c>
      <c r="Q256" s="57">
        <v>0.95199999999999996</v>
      </c>
      <c r="R256" s="7"/>
      <c r="S256" s="7">
        <v>265452</v>
      </c>
      <c r="T256" s="7">
        <f t="shared" si="132"/>
        <v>51471.142799999994</v>
      </c>
      <c r="U256" s="7">
        <v>222664</v>
      </c>
      <c r="V256" s="7">
        <f t="shared" si="133"/>
        <v>42788</v>
      </c>
      <c r="W256" s="7"/>
      <c r="X256" s="58">
        <f t="shared" si="134"/>
        <v>0</v>
      </c>
      <c r="Y256" s="25">
        <f t="shared" si="135"/>
        <v>0</v>
      </c>
      <c r="Z256" s="8"/>
      <c r="AA256" s="7">
        <f t="shared" si="136"/>
        <v>316923.14279999997</v>
      </c>
      <c r="AB256" s="7">
        <f t="shared" si="137"/>
        <v>51471.142799999994</v>
      </c>
      <c r="AC256" s="7">
        <f t="shared" si="138"/>
        <v>265452</v>
      </c>
      <c r="AD256" s="59">
        <f t="shared" si="139"/>
        <v>0</v>
      </c>
      <c r="AE256" s="59">
        <f t="shared" si="140"/>
        <v>0</v>
      </c>
      <c r="AF256" s="60">
        <f t="shared" si="141"/>
        <v>0</v>
      </c>
      <c r="AG256" s="60">
        <f t="shared" si="142"/>
        <v>265452</v>
      </c>
      <c r="AH256" s="7">
        <v>0</v>
      </c>
      <c r="AI256" s="7">
        <v>0</v>
      </c>
      <c r="AJ256" s="3"/>
      <c r="AK256" s="3"/>
      <c r="AL256" s="8"/>
      <c r="AM256" s="8"/>
    </row>
    <row r="257" spans="1:39" x14ac:dyDescent="0.2">
      <c r="A257" s="71">
        <f>COUNTIF(A7:A256,"y")</f>
        <v>221</v>
      </c>
      <c r="B257" s="72">
        <f>COUNTIF(B7:B256,"y")</f>
        <v>55</v>
      </c>
      <c r="C257" s="72" t="s">
        <v>1411</v>
      </c>
      <c r="D257" s="73" t="s">
        <v>1411</v>
      </c>
      <c r="E257" s="73"/>
      <c r="F257" s="73"/>
      <c r="G257" s="73" t="str">
        <f>CONCATENATE(COUNTIF(G7:G256,"n"),"=no")</f>
        <v>80=no</v>
      </c>
      <c r="H257" s="74"/>
      <c r="I257" s="73"/>
      <c r="J257" s="73"/>
      <c r="K257" s="73">
        <f>COUNTIF(K7:K256,"y")</f>
        <v>81</v>
      </c>
      <c r="L257" s="73"/>
      <c r="M257" s="75">
        <f>SUM(M7:M256)</f>
        <v>18661</v>
      </c>
      <c r="N257" s="73" t="s">
        <v>1411</v>
      </c>
      <c r="O257" s="73" t="s">
        <v>1411</v>
      </c>
      <c r="P257" s="73" t="s">
        <v>1411</v>
      </c>
      <c r="Q257" s="73" t="s">
        <v>1411</v>
      </c>
      <c r="R257" s="75">
        <f t="shared" ref="R257:AI257" si="143">SUM(R7:R256)</f>
        <v>148789842</v>
      </c>
      <c r="S257" s="75">
        <f t="shared" si="143"/>
        <v>155105248</v>
      </c>
      <c r="T257" s="76">
        <f t="shared" si="143"/>
        <v>48800532.427999988</v>
      </c>
      <c r="U257" s="76">
        <f t="shared" si="143"/>
        <v>100788574</v>
      </c>
      <c r="V257" s="76">
        <f t="shared" si="143"/>
        <v>54316674</v>
      </c>
      <c r="W257" s="76">
        <f t="shared" si="143"/>
        <v>788466</v>
      </c>
      <c r="X257" s="76">
        <f t="shared" si="143"/>
        <v>40982728.144599997</v>
      </c>
      <c r="Y257" s="76">
        <f t="shared" si="143"/>
        <v>14137070.144600002</v>
      </c>
      <c r="Z257" s="76">
        <f t="shared" si="143"/>
        <v>24630658</v>
      </c>
      <c r="AA257" s="76">
        <f t="shared" si="143"/>
        <v>164254016.28340006</v>
      </c>
      <c r="AB257" s="76">
        <f t="shared" si="143"/>
        <v>33766497.773400001</v>
      </c>
      <c r="AC257" s="76">
        <f t="shared" si="143"/>
        <v>127900065</v>
      </c>
      <c r="AD257" s="76">
        <f t="shared" si="143"/>
        <v>20625371</v>
      </c>
      <c r="AE257" s="76">
        <f t="shared" si="143"/>
        <v>6220287</v>
      </c>
      <c r="AF257" s="76">
        <f t="shared" si="143"/>
        <v>52359418.509999998</v>
      </c>
      <c r="AG257" s="76">
        <f t="shared" si="143"/>
        <v>78128100</v>
      </c>
      <c r="AH257" s="76">
        <f t="shared" si="143"/>
        <v>62351000</v>
      </c>
      <c r="AI257" s="76">
        <f t="shared" si="143"/>
        <v>52371000</v>
      </c>
      <c r="AJ257" s="73"/>
      <c r="AK257" s="76">
        <f>SUM(AK7:AK256)</f>
        <v>67205302.330000013</v>
      </c>
      <c r="AL257" s="77"/>
      <c r="AM257" s="77"/>
    </row>
    <row r="258" spans="1:39" ht="90" thickBot="1" x14ac:dyDescent="0.25">
      <c r="A258" s="78" t="s">
        <v>556</v>
      </c>
      <c r="B258" s="79" t="s">
        <v>556</v>
      </c>
      <c r="C258" s="79" t="s">
        <v>557</v>
      </c>
      <c r="D258" s="80" t="s">
        <v>558</v>
      </c>
      <c r="E258" s="80" t="s">
        <v>559</v>
      </c>
      <c r="F258" s="80" t="s">
        <v>559</v>
      </c>
      <c r="G258" s="80" t="s">
        <v>560</v>
      </c>
      <c r="H258" s="81" t="s">
        <v>557</v>
      </c>
      <c r="I258" s="81" t="s">
        <v>557</v>
      </c>
      <c r="J258" s="80" t="s">
        <v>557</v>
      </c>
      <c r="K258" s="80" t="s">
        <v>561</v>
      </c>
      <c r="L258" s="80" t="s">
        <v>557</v>
      </c>
      <c r="M258" s="82" t="s">
        <v>557</v>
      </c>
      <c r="N258" s="80" t="s">
        <v>557</v>
      </c>
      <c r="O258" s="80" t="s">
        <v>557</v>
      </c>
      <c r="P258" s="80"/>
      <c r="Q258" s="80"/>
      <c r="R258" s="82" t="s">
        <v>557</v>
      </c>
      <c r="S258" s="80" t="s">
        <v>562</v>
      </c>
      <c r="T258" s="80" t="s">
        <v>563</v>
      </c>
      <c r="U258" s="80" t="s">
        <v>562</v>
      </c>
      <c r="V258" s="80" t="s">
        <v>563</v>
      </c>
      <c r="W258" s="80" t="s">
        <v>557</v>
      </c>
      <c r="X258" s="80" t="s">
        <v>564</v>
      </c>
      <c r="Y258" s="80" t="s">
        <v>565</v>
      </c>
      <c r="Z258" s="80" t="s">
        <v>566</v>
      </c>
      <c r="AA258" s="80" t="s">
        <v>564</v>
      </c>
      <c r="AB258" s="80" t="s">
        <v>567</v>
      </c>
      <c r="AC258" s="80" t="s">
        <v>568</v>
      </c>
      <c r="AD258" s="80" t="s">
        <v>563</v>
      </c>
      <c r="AE258" s="80" t="s">
        <v>563</v>
      </c>
      <c r="AF258" s="80" t="s">
        <v>563</v>
      </c>
      <c r="AG258" s="80" t="s">
        <v>563</v>
      </c>
      <c r="AH258" s="80" t="s">
        <v>561</v>
      </c>
      <c r="AI258" s="80" t="s">
        <v>569</v>
      </c>
      <c r="AJ258" s="80" t="s">
        <v>570</v>
      </c>
      <c r="AK258" s="80" t="s">
        <v>570</v>
      </c>
      <c r="AL258" s="83"/>
      <c r="AM258" s="77"/>
    </row>
    <row r="259" spans="1:39" ht="13.5" thickBot="1" x14ac:dyDescent="0.25">
      <c r="A259" s="84" t="s">
        <v>571</v>
      </c>
      <c r="B259" s="84" t="s">
        <v>571</v>
      </c>
      <c r="C259" s="84" t="s">
        <v>572</v>
      </c>
      <c r="D259" s="18" t="s">
        <v>572</v>
      </c>
      <c r="E259" s="85" t="s">
        <v>572</v>
      </c>
      <c r="F259" s="85" t="s">
        <v>572</v>
      </c>
      <c r="G259" s="85" t="s">
        <v>572</v>
      </c>
      <c r="H259" s="85" t="s">
        <v>572</v>
      </c>
      <c r="I259" s="86" t="s">
        <v>572</v>
      </c>
      <c r="J259" s="86" t="s">
        <v>572</v>
      </c>
      <c r="K259" s="85" t="s">
        <v>571</v>
      </c>
      <c r="L259" s="85" t="s">
        <v>572</v>
      </c>
      <c r="M259" s="87" t="s">
        <v>572</v>
      </c>
      <c r="N259" s="85" t="s">
        <v>572</v>
      </c>
      <c r="O259" s="85" t="s">
        <v>572</v>
      </c>
      <c r="P259" s="85"/>
      <c r="Q259" s="85"/>
      <c r="R259" s="87" t="s">
        <v>571</v>
      </c>
      <c r="S259" s="85" t="s">
        <v>572</v>
      </c>
      <c r="T259" s="85" t="s">
        <v>573</v>
      </c>
      <c r="U259" s="85" t="s">
        <v>571</v>
      </c>
      <c r="V259" s="85" t="s">
        <v>571</v>
      </c>
      <c r="W259" s="85" t="s">
        <v>572</v>
      </c>
      <c r="X259" s="85" t="s">
        <v>574</v>
      </c>
      <c r="Y259" s="88" t="s">
        <v>574</v>
      </c>
      <c r="Z259" s="88" t="s">
        <v>574</v>
      </c>
      <c r="AA259" s="85" t="s">
        <v>574</v>
      </c>
      <c r="AB259" s="85" t="s">
        <v>574</v>
      </c>
      <c r="AC259" s="85" t="s">
        <v>574</v>
      </c>
      <c r="AD259" s="85" t="s">
        <v>574</v>
      </c>
      <c r="AE259" s="85" t="s">
        <v>574</v>
      </c>
      <c r="AF259" s="85" t="s">
        <v>574</v>
      </c>
      <c r="AG259" s="85" t="s">
        <v>574</v>
      </c>
      <c r="AH259" s="85" t="s">
        <v>571</v>
      </c>
      <c r="AI259" s="85" t="s">
        <v>571</v>
      </c>
      <c r="AJ259" s="85" t="s">
        <v>572</v>
      </c>
      <c r="AK259" s="85" t="s">
        <v>571</v>
      </c>
      <c r="AL259" s="77"/>
      <c r="AM259" s="77"/>
    </row>
    <row r="260" spans="1:39" x14ac:dyDescent="0.2">
      <c r="A260" s="1"/>
      <c r="B260" s="1"/>
      <c r="C260" s="1"/>
      <c r="D260" s="3"/>
      <c r="E260" s="89" t="s">
        <v>575</v>
      </c>
      <c r="F260" s="90"/>
      <c r="G260" s="74"/>
      <c r="H260" s="91">
        <f>ROUND(AVERAGE(H7:H256),0)</f>
        <v>1981</v>
      </c>
      <c r="I260" s="91">
        <f>ROUND(AVERAGE(I7:I256),0)</f>
        <v>1996</v>
      </c>
      <c r="J260" s="90"/>
      <c r="K260" s="92"/>
      <c r="L260" s="93"/>
      <c r="M260" s="94">
        <f t="shared" ref="M260:W260" si="144">AVERAGE(M7:M256)</f>
        <v>88.861904761904768</v>
      </c>
      <c r="N260" s="95">
        <f t="shared" si="144"/>
        <v>0.86110222222222255</v>
      </c>
      <c r="O260" s="95">
        <f t="shared" si="144"/>
        <v>0.87435111111111075</v>
      </c>
      <c r="P260" s="95">
        <f t="shared" si="144"/>
        <v>0.8668266666666673</v>
      </c>
      <c r="Q260" s="95">
        <f t="shared" si="144"/>
        <v>0.86357777777777789</v>
      </c>
      <c r="R260" s="96">
        <f t="shared" si="144"/>
        <v>972482.62745098036</v>
      </c>
      <c r="S260" s="96">
        <f t="shared" si="144"/>
        <v>677315.49344978167</v>
      </c>
      <c r="T260" s="96">
        <f t="shared" si="144"/>
        <v>212176.22794782603</v>
      </c>
      <c r="U260" s="96">
        <f t="shared" si="144"/>
        <v>442055.14912280702</v>
      </c>
      <c r="V260" s="96">
        <f t="shared" si="144"/>
        <v>236159.45217391304</v>
      </c>
      <c r="W260" s="96">
        <f t="shared" si="144"/>
        <v>3633.483870967742</v>
      </c>
      <c r="X260" s="96">
        <f>AVERAGE(Z7:Z256)</f>
        <v>502666.48979591834</v>
      </c>
      <c r="Y260" s="97"/>
      <c r="Z260" s="97"/>
      <c r="AA260" s="96">
        <f>AVERAGE(AA7:AA256)</f>
        <v>714147.89688434813</v>
      </c>
      <c r="AB260" s="96">
        <f>AVERAGE(AB7:AB256)</f>
        <v>147451.95534235809</v>
      </c>
      <c r="AC260" s="96">
        <f>AVERAGE(AC7:AC256)</f>
        <v>558515.56768558954</v>
      </c>
      <c r="AD260" s="98"/>
      <c r="AE260" s="98"/>
      <c r="AF260" s="98"/>
      <c r="AG260" s="99"/>
      <c r="AH260" s="99"/>
      <c r="AI260" s="98"/>
      <c r="AJ260" s="98"/>
      <c r="AK260" s="100"/>
      <c r="AL260" s="8"/>
      <c r="AM260" s="8"/>
    </row>
    <row r="261" spans="1:39" x14ac:dyDescent="0.2">
      <c r="E261" s="101" t="s">
        <v>576</v>
      </c>
      <c r="F261" s="102"/>
      <c r="G261" s="102"/>
      <c r="H261" s="102"/>
      <c r="I261" s="102"/>
      <c r="J261" s="102"/>
      <c r="K261" s="102"/>
      <c r="L261" s="102"/>
      <c r="M261" s="102">
        <f t="shared" ref="M261:W261" si="145">MIN(M7:M256)</f>
        <v>1</v>
      </c>
      <c r="N261" s="103">
        <f t="shared" si="145"/>
        <v>0</v>
      </c>
      <c r="O261" s="103">
        <f t="shared" si="145"/>
        <v>0</v>
      </c>
      <c r="P261" s="103">
        <f t="shared" si="145"/>
        <v>0</v>
      </c>
      <c r="Q261" s="103">
        <f t="shared" si="145"/>
        <v>0</v>
      </c>
      <c r="R261" s="104">
        <f t="shared" si="145"/>
        <v>60273</v>
      </c>
      <c r="S261" s="104">
        <f t="shared" si="145"/>
        <v>7500</v>
      </c>
      <c r="T261" s="104">
        <f t="shared" si="145"/>
        <v>0</v>
      </c>
      <c r="U261" s="104">
        <f t="shared" si="145"/>
        <v>0</v>
      </c>
      <c r="V261" s="104">
        <f t="shared" si="145"/>
        <v>-29140</v>
      </c>
      <c r="W261" s="104">
        <f t="shared" si="145"/>
        <v>200</v>
      </c>
      <c r="X261" s="104">
        <f>MIN(Z7:Z256)</f>
        <v>59946</v>
      </c>
      <c r="Y261" s="105"/>
      <c r="Z261" s="105"/>
      <c r="AA261" s="104">
        <f>MIN(AA7:AA256)</f>
        <v>-574232</v>
      </c>
      <c r="AB261" s="104">
        <f>MIN(AB7:AB256)</f>
        <v>0</v>
      </c>
      <c r="AC261" s="104">
        <f>MIN(AC7:AC256)</f>
        <v>-574232</v>
      </c>
      <c r="AD261" s="102"/>
      <c r="AE261" s="102"/>
      <c r="AF261" s="102"/>
      <c r="AG261" s="102"/>
      <c r="AH261" s="102"/>
      <c r="AI261" s="102"/>
      <c r="AJ261" s="102"/>
      <c r="AK261" s="106"/>
    </row>
    <row r="262" spans="1:39" x14ac:dyDescent="0.2">
      <c r="E262" s="101" t="s">
        <v>577</v>
      </c>
      <c r="F262" s="102"/>
      <c r="G262" s="102"/>
      <c r="H262" s="102"/>
      <c r="I262" s="102"/>
      <c r="J262" s="102"/>
      <c r="K262" s="102"/>
      <c r="L262" s="102"/>
      <c r="M262" s="102">
        <f t="shared" ref="M262:W262" si="146">MAX(M7:M256)</f>
        <v>333</v>
      </c>
      <c r="N262" s="103">
        <f t="shared" si="146"/>
        <v>1</v>
      </c>
      <c r="O262" s="103">
        <f t="shared" si="146"/>
        <v>1</v>
      </c>
      <c r="P262" s="103">
        <f t="shared" si="146"/>
        <v>1</v>
      </c>
      <c r="Q262" s="103">
        <f t="shared" si="146"/>
        <v>1</v>
      </c>
      <c r="R262" s="104">
        <f t="shared" si="146"/>
        <v>2881095</v>
      </c>
      <c r="S262" s="104">
        <f t="shared" si="146"/>
        <v>2574525</v>
      </c>
      <c r="T262" s="104">
        <f t="shared" si="146"/>
        <v>896964.51</v>
      </c>
      <c r="U262" s="104">
        <f t="shared" si="146"/>
        <v>1440000</v>
      </c>
      <c r="V262" s="104">
        <f t="shared" si="146"/>
        <v>1690489</v>
      </c>
      <c r="W262" s="104">
        <f t="shared" si="146"/>
        <v>12500</v>
      </c>
      <c r="X262" s="104">
        <f>MAX(Z7:Z256)</f>
        <v>1130444</v>
      </c>
      <c r="Y262" s="105"/>
      <c r="Z262" s="105"/>
      <c r="AA262" s="104">
        <f>MAX(AA7:AA256)</f>
        <v>3117125.7625000002</v>
      </c>
      <c r="AB262" s="104">
        <f>MAX(AB7:AB256)</f>
        <v>857125.76249999995</v>
      </c>
      <c r="AC262" s="104">
        <f>MAX(AC7:AC256)</f>
        <v>2260000</v>
      </c>
      <c r="AD262" s="102"/>
      <c r="AE262" s="102"/>
      <c r="AF262" s="102"/>
      <c r="AG262" s="102"/>
      <c r="AH262" s="102"/>
      <c r="AI262" s="102"/>
      <c r="AJ262" s="102"/>
      <c r="AK262" s="106"/>
    </row>
    <row r="263" spans="1:39" ht="13.5" thickBot="1" x14ac:dyDescent="0.25">
      <c r="E263" s="107"/>
      <c r="F263" s="108"/>
      <c r="G263" s="108"/>
      <c r="H263" s="108"/>
      <c r="I263" s="108"/>
      <c r="J263" s="108"/>
      <c r="K263" s="108"/>
      <c r="L263" s="108"/>
      <c r="M263" s="108"/>
      <c r="N263" s="109"/>
      <c r="O263" s="109"/>
      <c r="P263" s="109"/>
      <c r="Q263" s="109"/>
      <c r="R263" s="110"/>
      <c r="S263" s="110"/>
      <c r="T263" s="110"/>
      <c r="U263" s="110"/>
      <c r="V263" s="110"/>
      <c r="W263" s="110"/>
      <c r="X263" s="110"/>
      <c r="Y263" s="111"/>
      <c r="Z263" s="111"/>
      <c r="AA263" s="110"/>
      <c r="AB263" s="110"/>
      <c r="AC263" s="110"/>
      <c r="AD263" s="108"/>
      <c r="AE263" s="108"/>
      <c r="AF263" s="108"/>
      <c r="AG263" s="108"/>
      <c r="AH263" s="108"/>
      <c r="AI263" s="108"/>
      <c r="AJ263" s="108"/>
      <c r="AK263" s="112"/>
    </row>
    <row r="264" spans="1:39" ht="38.25" x14ac:dyDescent="0.2">
      <c r="D264" s="113" t="s">
        <v>1411</v>
      </c>
      <c r="E264" s="113" t="s">
        <v>1411</v>
      </c>
      <c r="F264" s="113" t="s">
        <v>1411</v>
      </c>
      <c r="G264" s="113" t="s">
        <v>1411</v>
      </c>
      <c r="H264" s="113" t="str">
        <f>CONCATENATE("No info for ",COUNTIF(H7:H256,"")," sites")</f>
        <v>No info for 21 sites</v>
      </c>
      <c r="I264" s="113" t="s">
        <v>1411</v>
      </c>
      <c r="J264" s="113" t="s">
        <v>1411</v>
      </c>
      <c r="K264" s="113" t="s">
        <v>1411</v>
      </c>
      <c r="L264" s="113" t="str">
        <f t="shared" ref="L264:W264" si="147">CONCATENATE("No info for ",COUNTIF(L7:L256,"")," sites")</f>
        <v>No info for 23 sites</v>
      </c>
      <c r="M264" s="113" t="str">
        <f t="shared" si="147"/>
        <v>No info for 39 sites</v>
      </c>
      <c r="N264" s="113" t="str">
        <f t="shared" si="147"/>
        <v>No info for 24 sites</v>
      </c>
      <c r="O264" s="113" t="str">
        <f t="shared" si="147"/>
        <v>No info for 24 sites</v>
      </c>
      <c r="P264" s="113" t="str">
        <f t="shared" si="147"/>
        <v>No info for 25 sites</v>
      </c>
      <c r="Q264" s="113" t="str">
        <f t="shared" si="147"/>
        <v>No info for 25 sites</v>
      </c>
      <c r="R264" s="113" t="str">
        <f t="shared" si="147"/>
        <v>No info for 96 sites</v>
      </c>
      <c r="S264" s="113" t="str">
        <f t="shared" si="147"/>
        <v>No info for 20 sites</v>
      </c>
      <c r="T264" s="113" t="str">
        <f t="shared" si="147"/>
        <v>No info for 19 sites</v>
      </c>
      <c r="U264" s="113" t="str">
        <f t="shared" si="147"/>
        <v>No info for 21 sites</v>
      </c>
      <c r="V264" s="113" t="str">
        <f t="shared" si="147"/>
        <v>No info for 19 sites</v>
      </c>
      <c r="W264" s="113" t="str">
        <f t="shared" si="147"/>
        <v>No info for 32 sites</v>
      </c>
      <c r="X264" s="113" t="s">
        <v>1411</v>
      </c>
      <c r="Y264" s="113"/>
      <c r="Z264" s="113"/>
      <c r="AA264" s="113" t="s">
        <v>1411</v>
      </c>
      <c r="AB264" s="113"/>
      <c r="AC264" s="113"/>
    </row>
  </sheetData>
  <mergeCells count="3">
    <mergeCell ref="L2:M2"/>
    <mergeCell ref="N2:Q2"/>
    <mergeCell ref="R2:AM2"/>
  </mergeCells>
  <pageMargins left="0.24" right="0.25" top="0.18" bottom="0.57999999999999996" header="0.5" footer="0.25"/>
  <pageSetup paperSize="5" scale="43" orientation="landscape" horizontalDpi="300" r:id="rId1"/>
  <headerFooter alignWithMargins="0">
    <oddFooter>&amp;L&amp;A&amp;C&amp;D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G258"/>
  <sheetViews>
    <sheetView workbookViewId="0">
      <selection activeCell="H13" sqref="H13"/>
    </sheetView>
  </sheetViews>
  <sheetFormatPr defaultRowHeight="12.75" x14ac:dyDescent="0.2"/>
  <cols>
    <col min="1" max="1" width="5.140625" style="134" customWidth="1"/>
    <col min="2" max="2" width="39" style="134" customWidth="1"/>
    <col min="3" max="3" width="16.85546875" style="134" customWidth="1"/>
    <col min="4" max="6" width="12.42578125" style="134" customWidth="1"/>
    <col min="7" max="7" width="15.28515625" style="134" customWidth="1"/>
    <col min="8" max="8" width="1.85546875" style="135" customWidth="1"/>
    <col min="9" max="9" width="10" style="134" customWidth="1"/>
    <col min="10" max="10" width="12.28515625" style="134" customWidth="1"/>
    <col min="11" max="11" width="11.42578125" style="134" customWidth="1"/>
    <col min="12" max="12" width="13.28515625" style="134" customWidth="1"/>
    <col min="13" max="13" width="1.85546875" style="135" customWidth="1"/>
    <col min="14" max="14" width="11.42578125" style="134" customWidth="1"/>
    <col min="15" max="17" width="13.28515625" style="134" customWidth="1"/>
    <col min="18" max="18" width="1.85546875" style="136" customWidth="1"/>
    <col min="19" max="22" width="13.28515625" style="134" customWidth="1"/>
    <col min="23" max="23" width="1.85546875" style="136" customWidth="1"/>
    <col min="24" max="27" width="13.28515625" style="134" customWidth="1"/>
    <col min="28" max="28" width="1.85546875" style="136" customWidth="1"/>
    <col min="29" max="29" width="15.140625" style="134" customWidth="1"/>
    <col min="30" max="30" width="15" style="134" customWidth="1"/>
    <col min="31" max="31" width="13.28515625" style="134" customWidth="1"/>
    <col min="32" max="32" width="1.85546875" style="136" customWidth="1"/>
    <col min="33" max="33" width="18.42578125" style="134" customWidth="1"/>
    <col min="34" max="34" width="13.28515625" style="134" customWidth="1"/>
    <col min="35" max="16384" width="9.140625" style="134"/>
  </cols>
  <sheetData>
    <row r="1" spans="1:33" s="478" customFormat="1" x14ac:dyDescent="0.2">
      <c r="A1" s="478" t="s">
        <v>635</v>
      </c>
      <c r="B1" s="478" t="s">
        <v>1377</v>
      </c>
      <c r="C1" s="479" t="s">
        <v>636</v>
      </c>
      <c r="D1" s="478" t="s">
        <v>637</v>
      </c>
      <c r="E1" s="478" t="s">
        <v>638</v>
      </c>
      <c r="F1" s="478" t="s">
        <v>639</v>
      </c>
      <c r="G1" s="478" t="s">
        <v>640</v>
      </c>
      <c r="H1" s="480"/>
      <c r="I1" s="478" t="s">
        <v>641</v>
      </c>
      <c r="J1" s="478" t="s">
        <v>642</v>
      </c>
      <c r="K1" s="478" t="s">
        <v>643</v>
      </c>
      <c r="L1" s="478" t="s">
        <v>644</v>
      </c>
      <c r="M1" s="480"/>
      <c r="N1" s="478" t="s">
        <v>645</v>
      </c>
      <c r="O1" s="478" t="s">
        <v>646</v>
      </c>
      <c r="P1" s="478" t="s">
        <v>647</v>
      </c>
      <c r="Q1" s="478" t="s">
        <v>648</v>
      </c>
      <c r="R1" s="481"/>
      <c r="S1" s="478" t="s">
        <v>649</v>
      </c>
      <c r="T1" s="478" t="s">
        <v>650</v>
      </c>
      <c r="U1" s="478" t="s">
        <v>651</v>
      </c>
      <c r="V1" s="478" t="s">
        <v>652</v>
      </c>
      <c r="W1" s="481"/>
      <c r="X1" s="478" t="s">
        <v>653</v>
      </c>
      <c r="Y1" s="478" t="s">
        <v>654</v>
      </c>
      <c r="Z1" s="478" t="s">
        <v>655</v>
      </c>
      <c r="AA1" s="478" t="s">
        <v>656</v>
      </c>
      <c r="AB1" s="481"/>
      <c r="AC1" s="478" t="s">
        <v>657</v>
      </c>
      <c r="AD1" s="478" t="s">
        <v>658</v>
      </c>
      <c r="AE1" s="478" t="s">
        <v>659</v>
      </c>
      <c r="AF1" s="481"/>
      <c r="AG1" s="478" t="s">
        <v>634</v>
      </c>
    </row>
    <row r="2" spans="1:33" x14ac:dyDescent="0.2">
      <c r="A2" s="134">
        <v>110</v>
      </c>
      <c r="B2" s="134" t="s">
        <v>1413</v>
      </c>
      <c r="C2" s="114" t="str">
        <f>'form A info'!G7</f>
        <v>y</v>
      </c>
      <c r="D2" s="138">
        <v>42</v>
      </c>
      <c r="E2" s="138">
        <v>0</v>
      </c>
      <c r="F2" s="138">
        <v>26</v>
      </c>
      <c r="G2" s="138">
        <v>33</v>
      </c>
      <c r="H2" s="139"/>
      <c r="I2" s="138">
        <v>0</v>
      </c>
      <c r="J2" s="138">
        <v>0</v>
      </c>
      <c r="K2" s="138">
        <v>0</v>
      </c>
      <c r="L2" s="138">
        <v>0</v>
      </c>
      <c r="M2" s="139"/>
      <c r="N2" s="138">
        <v>0</v>
      </c>
      <c r="O2" s="138">
        <v>0</v>
      </c>
      <c r="P2" s="138">
        <v>7</v>
      </c>
      <c r="Q2" s="138">
        <v>4</v>
      </c>
      <c r="R2" s="140"/>
      <c r="S2" s="138">
        <v>0</v>
      </c>
      <c r="T2" s="138">
        <v>0</v>
      </c>
      <c r="U2" s="138">
        <v>0</v>
      </c>
      <c r="V2" s="138">
        <v>0</v>
      </c>
      <c r="W2" s="140"/>
      <c r="X2" s="138">
        <v>0</v>
      </c>
      <c r="Y2" s="138">
        <v>0</v>
      </c>
      <c r="Z2" s="138">
        <v>0</v>
      </c>
      <c r="AA2" s="138">
        <v>0</v>
      </c>
      <c r="AB2" s="140"/>
      <c r="AC2" s="138">
        <v>8728</v>
      </c>
      <c r="AD2" s="138">
        <v>0</v>
      </c>
      <c r="AE2" s="138">
        <v>0</v>
      </c>
      <c r="AF2" s="140"/>
      <c r="AG2" s="141">
        <f>'form A info'!$AK7/1000</f>
        <v>438.30900000000003</v>
      </c>
    </row>
    <row r="3" spans="1:33" x14ac:dyDescent="0.2">
      <c r="A3" s="134">
        <v>328</v>
      </c>
      <c r="B3" s="134" t="s">
        <v>1420</v>
      </c>
      <c r="C3" s="114"/>
      <c r="D3" s="138">
        <v>181</v>
      </c>
      <c r="E3" s="138">
        <v>222</v>
      </c>
      <c r="F3" s="138">
        <v>44</v>
      </c>
      <c r="G3" s="138">
        <v>19</v>
      </c>
      <c r="H3" s="139"/>
      <c r="I3" s="138">
        <v>0</v>
      </c>
      <c r="J3" s="138">
        <v>0</v>
      </c>
      <c r="K3" s="138">
        <v>0</v>
      </c>
      <c r="L3" s="138">
        <v>0</v>
      </c>
      <c r="M3" s="139"/>
      <c r="N3" s="138">
        <v>7</v>
      </c>
      <c r="O3" s="138">
        <v>10</v>
      </c>
      <c r="P3" s="138">
        <v>28</v>
      </c>
      <c r="Q3" s="138">
        <v>0</v>
      </c>
      <c r="R3" s="140"/>
      <c r="S3" s="138">
        <v>30</v>
      </c>
      <c r="T3" s="138">
        <v>0</v>
      </c>
      <c r="U3" s="138">
        <v>0</v>
      </c>
      <c r="V3" s="138">
        <v>0</v>
      </c>
      <c r="W3" s="140"/>
      <c r="X3" s="138">
        <v>34</v>
      </c>
      <c r="Y3" s="138">
        <v>0</v>
      </c>
      <c r="Z3" s="138">
        <v>0</v>
      </c>
      <c r="AA3" s="138">
        <v>0</v>
      </c>
      <c r="AB3" s="140"/>
      <c r="AC3" s="138">
        <v>0</v>
      </c>
      <c r="AD3" s="138">
        <v>0</v>
      </c>
      <c r="AE3" s="138">
        <v>0</v>
      </c>
      <c r="AF3" s="140"/>
      <c r="AG3" s="141">
        <f>'form A info'!$AK8/1000</f>
        <v>518.91999999999996</v>
      </c>
    </row>
    <row r="4" spans="1:33" x14ac:dyDescent="0.2">
      <c r="A4" s="134">
        <v>124</v>
      </c>
      <c r="C4" s="114" t="str">
        <f>'form A info'!G9</f>
        <v>y</v>
      </c>
      <c r="D4" s="138">
        <v>144</v>
      </c>
      <c r="E4" s="138">
        <v>239</v>
      </c>
      <c r="F4" s="138">
        <v>59</v>
      </c>
      <c r="G4" s="138">
        <v>8</v>
      </c>
      <c r="H4" s="139"/>
      <c r="I4" s="138">
        <v>0</v>
      </c>
      <c r="J4" s="138">
        <v>0</v>
      </c>
      <c r="K4" s="138">
        <v>0</v>
      </c>
      <c r="L4" s="138">
        <v>0</v>
      </c>
      <c r="M4" s="139"/>
      <c r="N4" s="138">
        <v>11</v>
      </c>
      <c r="O4" s="138">
        <v>15</v>
      </c>
      <c r="P4" s="138">
        <v>21</v>
      </c>
      <c r="Q4" s="138">
        <v>0</v>
      </c>
      <c r="R4" s="140"/>
      <c r="S4" s="138">
        <v>23</v>
      </c>
      <c r="T4" s="138">
        <v>0</v>
      </c>
      <c r="U4" s="138">
        <v>0</v>
      </c>
      <c r="V4" s="138">
        <v>0</v>
      </c>
      <c r="W4" s="140"/>
      <c r="X4" s="138">
        <v>43</v>
      </c>
      <c r="Y4" s="138">
        <v>0</v>
      </c>
      <c r="Z4" s="138">
        <v>0</v>
      </c>
      <c r="AA4" s="138">
        <v>0</v>
      </c>
      <c r="AB4" s="140"/>
      <c r="AC4" s="138">
        <v>0</v>
      </c>
      <c r="AD4" s="138">
        <v>0</v>
      </c>
      <c r="AE4" s="138">
        <v>14564</v>
      </c>
      <c r="AF4" s="140"/>
      <c r="AG4" s="141">
        <f>'form A info'!$AK9/1000</f>
        <v>539.32899999999995</v>
      </c>
    </row>
    <row r="5" spans="1:33" x14ac:dyDescent="0.2">
      <c r="A5" s="134">
        <v>140</v>
      </c>
      <c r="B5" s="137" t="s">
        <v>1514</v>
      </c>
      <c r="C5" s="114" t="str">
        <f>'form A info'!G11</f>
        <v>y</v>
      </c>
      <c r="D5" s="138">
        <v>0</v>
      </c>
      <c r="E5" s="138">
        <v>0</v>
      </c>
      <c r="F5" s="138">
        <v>5</v>
      </c>
      <c r="G5" s="138">
        <v>0</v>
      </c>
      <c r="H5" s="139"/>
      <c r="I5" s="138">
        <v>0</v>
      </c>
      <c r="J5" s="138">
        <v>0</v>
      </c>
      <c r="K5" s="138">
        <v>0</v>
      </c>
      <c r="L5" s="138">
        <v>0</v>
      </c>
      <c r="M5" s="139"/>
      <c r="N5" s="138">
        <v>0</v>
      </c>
      <c r="O5" s="138">
        <v>0</v>
      </c>
      <c r="P5" s="138">
        <v>1</v>
      </c>
      <c r="Q5" s="138">
        <v>0</v>
      </c>
      <c r="R5" s="140"/>
      <c r="S5" s="138">
        <v>0</v>
      </c>
      <c r="T5" s="138">
        <v>0</v>
      </c>
      <c r="U5" s="138">
        <v>0</v>
      </c>
      <c r="V5" s="138">
        <v>0</v>
      </c>
      <c r="W5" s="140"/>
      <c r="X5" s="138">
        <v>0</v>
      </c>
      <c r="Y5" s="138">
        <v>0</v>
      </c>
      <c r="Z5" s="138">
        <v>0</v>
      </c>
      <c r="AA5" s="138">
        <v>0</v>
      </c>
      <c r="AB5" s="140"/>
      <c r="AC5" s="138">
        <v>0</v>
      </c>
      <c r="AD5" s="138">
        <v>0</v>
      </c>
      <c r="AE5" s="138">
        <v>0</v>
      </c>
      <c r="AF5" s="140"/>
      <c r="AG5" s="141">
        <f>'form A info'!$AK11/1000</f>
        <v>0</v>
      </c>
    </row>
    <row r="6" spans="1:33" x14ac:dyDescent="0.2">
      <c r="A6" s="134">
        <v>4820</v>
      </c>
      <c r="B6" s="134" t="s">
        <v>1518</v>
      </c>
      <c r="C6" s="114" t="str">
        <f>'form A info'!G12</f>
        <v>y</v>
      </c>
      <c r="D6" s="138">
        <v>0</v>
      </c>
      <c r="E6" s="138">
        <v>0</v>
      </c>
      <c r="F6" s="138">
        <v>160</v>
      </c>
      <c r="G6" s="138">
        <v>49</v>
      </c>
      <c r="H6" s="139"/>
      <c r="I6" s="138">
        <v>0</v>
      </c>
      <c r="J6" s="138">
        <v>0</v>
      </c>
      <c r="K6" s="138">
        <v>17</v>
      </c>
      <c r="L6" s="138">
        <v>2</v>
      </c>
      <c r="M6" s="139"/>
      <c r="N6" s="138">
        <v>0</v>
      </c>
      <c r="O6" s="138">
        <v>0</v>
      </c>
      <c r="P6" s="138">
        <v>11</v>
      </c>
      <c r="Q6" s="138">
        <v>4</v>
      </c>
      <c r="R6" s="140"/>
      <c r="S6" s="138">
        <v>0</v>
      </c>
      <c r="T6" s="138">
        <v>1</v>
      </c>
      <c r="U6" s="138">
        <v>0</v>
      </c>
      <c r="V6" s="138">
        <v>0</v>
      </c>
      <c r="W6" s="140"/>
      <c r="X6" s="138">
        <v>0</v>
      </c>
      <c r="Y6" s="138">
        <v>0</v>
      </c>
      <c r="Z6" s="138">
        <v>0</v>
      </c>
      <c r="AA6" s="138">
        <v>0</v>
      </c>
      <c r="AB6" s="140"/>
      <c r="AC6" s="138">
        <v>0</v>
      </c>
      <c r="AD6" s="138">
        <v>0</v>
      </c>
      <c r="AE6" s="138">
        <v>0</v>
      </c>
      <c r="AF6" s="140"/>
      <c r="AG6" s="141">
        <f>'form A info'!$AK12/1000</f>
        <v>3.0626500000000001</v>
      </c>
    </row>
    <row r="7" spans="1:33" x14ac:dyDescent="0.2">
      <c r="A7" s="134">
        <v>3116</v>
      </c>
      <c r="B7" s="134" t="s">
        <v>1521</v>
      </c>
      <c r="C7" s="114" t="str">
        <f>'form A info'!G13</f>
        <v>y</v>
      </c>
      <c r="D7" s="138">
        <v>0</v>
      </c>
      <c r="E7" s="138">
        <v>0</v>
      </c>
      <c r="F7" s="138">
        <v>5</v>
      </c>
      <c r="G7" s="138">
        <v>11</v>
      </c>
      <c r="H7" s="139"/>
      <c r="I7" s="138">
        <v>0</v>
      </c>
      <c r="J7" s="138">
        <v>0</v>
      </c>
      <c r="K7" s="138">
        <v>0</v>
      </c>
      <c r="L7" s="138">
        <v>2</v>
      </c>
      <c r="M7" s="139"/>
      <c r="N7" s="138">
        <v>0</v>
      </c>
      <c r="O7" s="138">
        <v>5</v>
      </c>
      <c r="P7" s="138">
        <v>21</v>
      </c>
      <c r="Q7" s="138">
        <v>1</v>
      </c>
      <c r="R7" s="140"/>
      <c r="S7" s="138">
        <v>0</v>
      </c>
      <c r="T7" s="138">
        <v>0</v>
      </c>
      <c r="U7" s="138">
        <v>0</v>
      </c>
      <c r="V7" s="138">
        <v>0</v>
      </c>
      <c r="W7" s="140"/>
      <c r="X7" s="138">
        <v>0</v>
      </c>
      <c r="Y7" s="138">
        <v>0</v>
      </c>
      <c r="Z7" s="138">
        <v>0</v>
      </c>
      <c r="AA7" s="138">
        <v>0</v>
      </c>
      <c r="AB7" s="140"/>
      <c r="AC7" s="138">
        <v>0</v>
      </c>
      <c r="AD7" s="138">
        <v>0</v>
      </c>
      <c r="AE7" s="138">
        <v>0</v>
      </c>
      <c r="AF7" s="140"/>
      <c r="AG7" s="141">
        <f>'form A info'!$AK13/1000</f>
        <v>0</v>
      </c>
    </row>
    <row r="8" spans="1:33" x14ac:dyDescent="0.2">
      <c r="A8" s="134">
        <v>145</v>
      </c>
      <c r="B8" s="134" t="s">
        <v>1527</v>
      </c>
      <c r="C8" s="114" t="str">
        <f>'form A info'!G16</f>
        <v>y</v>
      </c>
      <c r="D8" s="138">
        <v>433</v>
      </c>
      <c r="E8" s="138">
        <v>769</v>
      </c>
      <c r="F8" s="138">
        <v>140</v>
      </c>
      <c r="G8" s="138">
        <v>0</v>
      </c>
      <c r="H8" s="139"/>
      <c r="I8" s="138">
        <v>0</v>
      </c>
      <c r="J8" s="138">
        <v>0</v>
      </c>
      <c r="K8" s="138">
        <v>0</v>
      </c>
      <c r="L8" s="138">
        <v>0</v>
      </c>
      <c r="M8" s="139"/>
      <c r="N8" s="138">
        <v>6</v>
      </c>
      <c r="O8" s="138">
        <v>72</v>
      </c>
      <c r="P8" s="138">
        <v>188</v>
      </c>
      <c r="Q8" s="138">
        <v>0</v>
      </c>
      <c r="R8" s="140"/>
      <c r="S8" s="138">
        <v>28</v>
      </c>
      <c r="T8" s="138">
        <v>0</v>
      </c>
      <c r="U8" s="138">
        <v>0</v>
      </c>
      <c r="V8" s="138">
        <v>0</v>
      </c>
      <c r="W8" s="140"/>
      <c r="X8" s="138">
        <v>53</v>
      </c>
      <c r="Y8" s="138">
        <v>2</v>
      </c>
      <c r="Z8" s="138">
        <v>0</v>
      </c>
      <c r="AA8" s="138">
        <v>0</v>
      </c>
      <c r="AB8" s="140"/>
      <c r="AC8" s="138">
        <v>0</v>
      </c>
      <c r="AD8" s="138">
        <v>0</v>
      </c>
      <c r="AE8" s="138">
        <v>99001</v>
      </c>
      <c r="AF8" s="140"/>
      <c r="AG8" s="141">
        <f>'form A info'!$AK16/1000</f>
        <v>1074.81556</v>
      </c>
    </row>
    <row r="9" spans="1:33" x14ac:dyDescent="0.2">
      <c r="A9" s="134">
        <v>302</v>
      </c>
      <c r="B9" s="134" t="s">
        <v>1529</v>
      </c>
      <c r="C9" s="114" t="str">
        <f>'form A info'!G17</f>
        <v>y</v>
      </c>
      <c r="D9" s="138">
        <v>47</v>
      </c>
      <c r="E9" s="138">
        <v>605</v>
      </c>
      <c r="F9" s="138">
        <v>81</v>
      </c>
      <c r="G9" s="138">
        <v>11</v>
      </c>
      <c r="H9" s="139"/>
      <c r="I9" s="138">
        <v>0</v>
      </c>
      <c r="J9" s="138">
        <v>0</v>
      </c>
      <c r="K9" s="138">
        <v>5</v>
      </c>
      <c r="L9" s="138">
        <v>0</v>
      </c>
      <c r="M9" s="139"/>
      <c r="N9" s="138">
        <v>0</v>
      </c>
      <c r="O9" s="138">
        <v>26</v>
      </c>
      <c r="P9" s="138">
        <v>52</v>
      </c>
      <c r="Q9" s="138">
        <v>2</v>
      </c>
      <c r="R9" s="140"/>
      <c r="S9" s="138">
        <v>0</v>
      </c>
      <c r="T9" s="138">
        <v>0</v>
      </c>
      <c r="U9" s="138">
        <v>0</v>
      </c>
      <c r="V9" s="138">
        <v>0</v>
      </c>
      <c r="W9" s="140"/>
      <c r="X9" s="138">
        <v>0</v>
      </c>
      <c r="Y9" s="138">
        <v>0</v>
      </c>
      <c r="Z9" s="138">
        <v>0</v>
      </c>
      <c r="AA9" s="138">
        <v>0</v>
      </c>
      <c r="AB9" s="140"/>
      <c r="AC9" s="138">
        <v>5552</v>
      </c>
      <c r="AD9" s="138">
        <v>0</v>
      </c>
      <c r="AE9" s="138">
        <v>51913</v>
      </c>
      <c r="AF9" s="140"/>
      <c r="AG9" s="141">
        <f>'form A info'!$AK17/1000</f>
        <v>325.42200000000003</v>
      </c>
    </row>
    <row r="10" spans="1:33" x14ac:dyDescent="0.2">
      <c r="A10" s="134">
        <v>8099</v>
      </c>
      <c r="B10" s="134" t="s">
        <v>1533</v>
      </c>
      <c r="C10" s="114" t="str">
        <f>'form A info'!G18</f>
        <v>y</v>
      </c>
      <c r="D10" s="138">
        <v>0</v>
      </c>
      <c r="E10" s="138">
        <v>0</v>
      </c>
      <c r="F10" s="138">
        <v>2</v>
      </c>
      <c r="G10" s="138">
        <v>2</v>
      </c>
      <c r="H10" s="139"/>
      <c r="I10" s="138">
        <v>0</v>
      </c>
      <c r="J10" s="138">
        <v>0</v>
      </c>
      <c r="K10" s="138">
        <v>54</v>
      </c>
      <c r="L10" s="138">
        <v>1</v>
      </c>
      <c r="M10" s="139"/>
      <c r="N10" s="138">
        <v>0</v>
      </c>
      <c r="O10" s="138">
        <v>0</v>
      </c>
      <c r="P10" s="138">
        <v>5</v>
      </c>
      <c r="Q10" s="138">
        <v>1</v>
      </c>
      <c r="R10" s="140"/>
      <c r="S10" s="138">
        <v>0</v>
      </c>
      <c r="T10" s="138">
        <v>0</v>
      </c>
      <c r="U10" s="138">
        <v>0</v>
      </c>
      <c r="V10" s="138">
        <v>0</v>
      </c>
      <c r="W10" s="140"/>
      <c r="X10" s="138">
        <v>0</v>
      </c>
      <c r="Y10" s="138">
        <v>0</v>
      </c>
      <c r="Z10" s="138">
        <v>0</v>
      </c>
      <c r="AA10" s="138">
        <v>0</v>
      </c>
      <c r="AB10" s="140"/>
      <c r="AC10" s="138">
        <v>0</v>
      </c>
      <c r="AD10" s="138">
        <v>0</v>
      </c>
      <c r="AE10" s="138">
        <v>0</v>
      </c>
      <c r="AF10" s="140"/>
      <c r="AG10" s="141">
        <f>'form A info'!$AK18/1000</f>
        <v>0</v>
      </c>
    </row>
    <row r="11" spans="1:33" x14ac:dyDescent="0.2">
      <c r="A11" s="134">
        <v>8115</v>
      </c>
      <c r="B11" s="134" t="s">
        <v>1537</v>
      </c>
      <c r="C11" s="114" t="str">
        <f>'form A info'!G19</f>
        <v>y</v>
      </c>
      <c r="D11" s="138">
        <v>0</v>
      </c>
      <c r="E11" s="138">
        <v>565</v>
      </c>
      <c r="F11" s="138">
        <v>346</v>
      </c>
      <c r="G11" s="138">
        <v>-20</v>
      </c>
      <c r="H11" s="139"/>
      <c r="I11" s="138">
        <v>0</v>
      </c>
      <c r="J11" s="138">
        <v>0</v>
      </c>
      <c r="K11" s="138">
        <v>83</v>
      </c>
      <c r="L11" s="138">
        <v>15</v>
      </c>
      <c r="M11" s="139"/>
      <c r="N11" s="138">
        <v>0</v>
      </c>
      <c r="O11" s="138">
        <v>0</v>
      </c>
      <c r="P11" s="138">
        <v>66</v>
      </c>
      <c r="Q11" s="138">
        <v>7</v>
      </c>
      <c r="R11" s="140"/>
      <c r="S11" s="138">
        <v>5</v>
      </c>
      <c r="T11" s="138">
        <v>0</v>
      </c>
      <c r="U11" s="138">
        <v>0</v>
      </c>
      <c r="V11" s="138">
        <v>0</v>
      </c>
      <c r="W11" s="140"/>
      <c r="X11" s="138">
        <v>0</v>
      </c>
      <c r="Y11" s="138">
        <v>0</v>
      </c>
      <c r="Z11" s="138">
        <v>0</v>
      </c>
      <c r="AA11" s="138">
        <v>0</v>
      </c>
      <c r="AB11" s="140"/>
      <c r="AC11" s="138">
        <v>0</v>
      </c>
      <c r="AD11" s="138">
        <v>0</v>
      </c>
      <c r="AE11" s="138">
        <v>0</v>
      </c>
      <c r="AF11" s="140"/>
      <c r="AG11" s="141">
        <f>'form A info'!$AK19/1000</f>
        <v>393.18914000000001</v>
      </c>
    </row>
    <row r="12" spans="1:33" x14ac:dyDescent="0.2">
      <c r="A12" s="134">
        <v>313</v>
      </c>
      <c r="B12" s="134" t="s">
        <v>1543</v>
      </c>
      <c r="C12" s="114" t="str">
        <f>'form A info'!G21</f>
        <v>y</v>
      </c>
      <c r="D12" s="138">
        <v>0</v>
      </c>
      <c r="E12" s="138">
        <v>0</v>
      </c>
      <c r="F12" s="138">
        <v>23</v>
      </c>
      <c r="G12" s="138">
        <v>5</v>
      </c>
      <c r="H12" s="139"/>
      <c r="I12" s="138">
        <v>0</v>
      </c>
      <c r="J12" s="138">
        <v>0</v>
      </c>
      <c r="K12" s="138">
        <v>0</v>
      </c>
      <c r="L12" s="138">
        <v>4</v>
      </c>
      <c r="M12" s="139"/>
      <c r="N12" s="138">
        <v>0</v>
      </c>
      <c r="O12" s="138">
        <v>0</v>
      </c>
      <c r="P12" s="138">
        <v>3</v>
      </c>
      <c r="Q12" s="138">
        <v>1</v>
      </c>
      <c r="R12" s="140"/>
      <c r="S12" s="138">
        <v>0</v>
      </c>
      <c r="T12" s="138">
        <v>0</v>
      </c>
      <c r="U12" s="138">
        <v>0</v>
      </c>
      <c r="V12" s="138">
        <v>0</v>
      </c>
      <c r="W12" s="140"/>
      <c r="X12" s="138">
        <v>0</v>
      </c>
      <c r="Y12" s="138">
        <v>0</v>
      </c>
      <c r="Z12" s="138">
        <v>0</v>
      </c>
      <c r="AA12" s="138">
        <v>0</v>
      </c>
      <c r="AB12" s="140"/>
      <c r="AC12" s="138">
        <v>0</v>
      </c>
      <c r="AD12" s="138">
        <v>0</v>
      </c>
      <c r="AE12" s="138">
        <v>0</v>
      </c>
      <c r="AF12" s="140"/>
      <c r="AG12" s="141">
        <f>'form A info'!$AK21/1000</f>
        <v>0</v>
      </c>
    </row>
    <row r="13" spans="1:33" x14ac:dyDescent="0.2">
      <c r="A13" s="134">
        <v>8680</v>
      </c>
      <c r="B13" s="134" t="s">
        <v>1546</v>
      </c>
      <c r="C13" s="114" t="str">
        <f>'form A info'!G22</f>
        <v>y</v>
      </c>
      <c r="D13" s="138">
        <v>0</v>
      </c>
      <c r="E13" s="138">
        <v>0</v>
      </c>
      <c r="F13" s="138">
        <v>42</v>
      </c>
      <c r="G13" s="138">
        <v>21</v>
      </c>
      <c r="H13" s="139"/>
      <c r="I13" s="138">
        <v>0</v>
      </c>
      <c r="J13" s="138">
        <v>0</v>
      </c>
      <c r="K13" s="138">
        <v>2</v>
      </c>
      <c r="L13" s="138">
        <v>5</v>
      </c>
      <c r="M13" s="139"/>
      <c r="N13" s="138">
        <v>0</v>
      </c>
      <c r="O13" s="138">
        <v>3</v>
      </c>
      <c r="P13" s="138">
        <v>8</v>
      </c>
      <c r="Q13" s="138">
        <v>0</v>
      </c>
      <c r="R13" s="140"/>
      <c r="S13" s="138">
        <v>0</v>
      </c>
      <c r="T13" s="138">
        <v>0</v>
      </c>
      <c r="U13" s="138">
        <v>0</v>
      </c>
      <c r="V13" s="138">
        <v>0</v>
      </c>
      <c r="W13" s="140"/>
      <c r="X13" s="138">
        <v>0</v>
      </c>
      <c r="Y13" s="138">
        <v>0</v>
      </c>
      <c r="Z13" s="138">
        <v>0</v>
      </c>
      <c r="AA13" s="138">
        <v>0</v>
      </c>
      <c r="AB13" s="140"/>
      <c r="AC13" s="138">
        <v>0</v>
      </c>
      <c r="AD13" s="138">
        <v>0</v>
      </c>
      <c r="AE13" s="138">
        <v>0</v>
      </c>
      <c r="AF13" s="140"/>
      <c r="AG13" s="141">
        <f>'form A info'!$AK22/1000</f>
        <v>0</v>
      </c>
    </row>
    <row r="14" spans="1:33" x14ac:dyDescent="0.2">
      <c r="A14" s="134">
        <v>8142</v>
      </c>
      <c r="B14" s="134" t="s">
        <v>1550</v>
      </c>
      <c r="C14" s="114" t="str">
        <f>'form A info'!G23</f>
        <v>y</v>
      </c>
      <c r="D14" s="138">
        <v>0</v>
      </c>
      <c r="E14" s="138">
        <v>0</v>
      </c>
      <c r="F14" s="138">
        <v>164</v>
      </c>
      <c r="G14" s="138">
        <v>-1</v>
      </c>
      <c r="H14" s="139"/>
      <c r="I14" s="138">
        <v>0</v>
      </c>
      <c r="J14" s="138">
        <v>0</v>
      </c>
      <c r="K14" s="138">
        <v>0</v>
      </c>
      <c r="L14" s="138">
        <v>0</v>
      </c>
      <c r="M14" s="139"/>
      <c r="N14" s="138">
        <v>0</v>
      </c>
      <c r="O14" s="138">
        <v>0</v>
      </c>
      <c r="P14" s="138">
        <v>20</v>
      </c>
      <c r="Q14" s="138">
        <v>0</v>
      </c>
      <c r="R14" s="140"/>
      <c r="S14" s="138">
        <v>0</v>
      </c>
      <c r="T14" s="138">
        <v>0</v>
      </c>
      <c r="U14" s="138">
        <v>0</v>
      </c>
      <c r="V14" s="138">
        <v>0</v>
      </c>
      <c r="W14" s="140"/>
      <c r="X14" s="138">
        <v>0</v>
      </c>
      <c r="Y14" s="138">
        <v>0</v>
      </c>
      <c r="Z14" s="138">
        <v>0</v>
      </c>
      <c r="AA14" s="138">
        <v>0</v>
      </c>
      <c r="AB14" s="140"/>
      <c r="AC14" s="138">
        <v>3949</v>
      </c>
      <c r="AD14" s="138">
        <v>0</v>
      </c>
      <c r="AE14" s="138">
        <v>0</v>
      </c>
      <c r="AF14" s="140"/>
      <c r="AG14" s="141">
        <f>'form A info'!$AK23/1000</f>
        <v>910.51099999999997</v>
      </c>
    </row>
    <row r="15" spans="1:33" x14ac:dyDescent="0.2">
      <c r="A15" s="134">
        <v>4821</v>
      </c>
      <c r="B15" s="134" t="s">
        <v>1553</v>
      </c>
      <c r="C15" s="114" t="str">
        <f>'form A info'!G24</f>
        <v>y</v>
      </c>
      <c r="D15" s="138">
        <v>17</v>
      </c>
      <c r="E15" s="138">
        <v>1531</v>
      </c>
      <c r="F15" s="138">
        <v>291</v>
      </c>
      <c r="G15" s="138">
        <v>0</v>
      </c>
      <c r="H15" s="139"/>
      <c r="I15" s="138">
        <v>0</v>
      </c>
      <c r="J15" s="138">
        <v>0</v>
      </c>
      <c r="K15" s="138">
        <v>0</v>
      </c>
      <c r="L15" s="138">
        <v>0</v>
      </c>
      <c r="M15" s="139"/>
      <c r="N15" s="138">
        <v>0</v>
      </c>
      <c r="O15" s="138">
        <v>32</v>
      </c>
      <c r="P15" s="138">
        <v>37</v>
      </c>
      <c r="Q15" s="138">
        <v>0</v>
      </c>
      <c r="R15" s="140"/>
      <c r="S15" s="138">
        <v>1</v>
      </c>
      <c r="T15" s="138">
        <v>1</v>
      </c>
      <c r="U15" s="138">
        <v>0</v>
      </c>
      <c r="V15" s="138">
        <v>0</v>
      </c>
      <c r="W15" s="140"/>
      <c r="X15" s="138">
        <v>24</v>
      </c>
      <c r="Y15" s="138">
        <v>0</v>
      </c>
      <c r="Z15" s="138">
        <v>0</v>
      </c>
      <c r="AA15" s="138">
        <v>0</v>
      </c>
      <c r="AB15" s="140"/>
      <c r="AC15" s="138">
        <v>0</v>
      </c>
      <c r="AD15" s="138">
        <v>0</v>
      </c>
      <c r="AE15" s="138">
        <v>0</v>
      </c>
      <c r="AF15" s="140"/>
      <c r="AG15" s="141">
        <f>'form A info'!$AK24/1000</f>
        <v>0</v>
      </c>
    </row>
    <row r="16" spans="1:33" x14ac:dyDescent="0.2">
      <c r="A16" s="134">
        <v>323</v>
      </c>
      <c r="B16" s="134" t="s">
        <v>1557</v>
      </c>
      <c r="C16" s="114" t="str">
        <f>'form A info'!G25</f>
        <v>y</v>
      </c>
      <c r="D16" s="138">
        <v>0</v>
      </c>
      <c r="E16" s="138">
        <v>0</v>
      </c>
      <c r="F16" s="138">
        <v>21</v>
      </c>
      <c r="G16" s="138">
        <v>7</v>
      </c>
      <c r="H16" s="139"/>
      <c r="I16" s="138">
        <v>0</v>
      </c>
      <c r="J16" s="138">
        <v>0</v>
      </c>
      <c r="K16" s="138">
        <v>0</v>
      </c>
      <c r="L16" s="138">
        <v>0</v>
      </c>
      <c r="M16" s="139"/>
      <c r="N16" s="138">
        <v>0</v>
      </c>
      <c r="O16" s="138">
        <v>3</v>
      </c>
      <c r="P16" s="138">
        <v>6</v>
      </c>
      <c r="Q16" s="138">
        <v>0</v>
      </c>
      <c r="R16" s="140"/>
      <c r="S16" s="138">
        <v>0</v>
      </c>
      <c r="T16" s="138">
        <v>0</v>
      </c>
      <c r="U16" s="138">
        <v>0</v>
      </c>
      <c r="V16" s="138">
        <v>0</v>
      </c>
      <c r="W16" s="140"/>
      <c r="X16" s="138">
        <v>0</v>
      </c>
      <c r="Y16" s="138">
        <v>0</v>
      </c>
      <c r="Z16" s="138">
        <v>0</v>
      </c>
      <c r="AA16" s="138">
        <v>0</v>
      </c>
      <c r="AB16" s="140"/>
      <c r="AC16" s="138">
        <v>0</v>
      </c>
      <c r="AD16" s="138">
        <v>0</v>
      </c>
      <c r="AE16" s="138">
        <v>0</v>
      </c>
      <c r="AF16" s="140"/>
      <c r="AG16" s="141">
        <f>'form A info'!$AK25/1000</f>
        <v>0</v>
      </c>
    </row>
    <row r="17" spans="1:33" x14ac:dyDescent="0.2">
      <c r="A17" s="134">
        <v>324</v>
      </c>
      <c r="B17" s="134" t="s">
        <v>1562</v>
      </c>
      <c r="C17" s="114" t="str">
        <f>'form A info'!G26</f>
        <v>y</v>
      </c>
      <c r="D17" s="138">
        <v>0</v>
      </c>
      <c r="E17" s="138">
        <v>0</v>
      </c>
      <c r="F17" s="138">
        <v>8</v>
      </c>
      <c r="G17" s="138">
        <v>0</v>
      </c>
      <c r="H17" s="139"/>
      <c r="I17" s="138">
        <v>0</v>
      </c>
      <c r="J17" s="138">
        <v>0</v>
      </c>
      <c r="K17" s="138">
        <v>0</v>
      </c>
      <c r="L17" s="138">
        <v>0</v>
      </c>
      <c r="M17" s="139"/>
      <c r="N17" s="138">
        <v>0</v>
      </c>
      <c r="O17" s="138">
        <v>0</v>
      </c>
      <c r="P17" s="138">
        <v>0</v>
      </c>
      <c r="Q17" s="138">
        <v>0</v>
      </c>
      <c r="R17" s="140"/>
      <c r="S17" s="138">
        <v>0</v>
      </c>
      <c r="T17" s="138">
        <v>0</v>
      </c>
      <c r="U17" s="138">
        <v>0</v>
      </c>
      <c r="V17" s="138">
        <v>0</v>
      </c>
      <c r="W17" s="140"/>
      <c r="X17" s="138">
        <v>0</v>
      </c>
      <c r="Y17" s="138">
        <v>0</v>
      </c>
      <c r="Z17" s="138">
        <v>0</v>
      </c>
      <c r="AA17" s="138">
        <v>0</v>
      </c>
      <c r="AB17" s="140"/>
      <c r="AC17" s="138">
        <v>0</v>
      </c>
      <c r="AD17" s="138">
        <v>0</v>
      </c>
      <c r="AE17" s="138">
        <v>0</v>
      </c>
      <c r="AF17" s="140"/>
      <c r="AG17" s="141">
        <f>'form A info'!$AK26/1000</f>
        <v>0</v>
      </c>
    </row>
    <row r="18" spans="1:33" x14ac:dyDescent="0.2">
      <c r="A18" s="134">
        <v>344</v>
      </c>
      <c r="B18" s="134" t="s">
        <v>1566</v>
      </c>
      <c r="C18" s="114" t="str">
        <f>'form A info'!G27</f>
        <v>y</v>
      </c>
      <c r="D18" s="138">
        <v>0</v>
      </c>
      <c r="E18" s="138">
        <v>452</v>
      </c>
      <c r="F18" s="138">
        <v>120</v>
      </c>
      <c r="G18" s="138">
        <v>0</v>
      </c>
      <c r="H18" s="139"/>
      <c r="I18" s="138">
        <v>0</v>
      </c>
      <c r="J18" s="138">
        <v>0</v>
      </c>
      <c r="K18" s="138">
        <v>0</v>
      </c>
      <c r="L18" s="138">
        <v>0</v>
      </c>
      <c r="M18" s="139"/>
      <c r="N18" s="138">
        <v>0</v>
      </c>
      <c r="O18" s="138">
        <v>7</v>
      </c>
      <c r="P18" s="138">
        <v>18</v>
      </c>
      <c r="Q18" s="138">
        <v>0</v>
      </c>
      <c r="R18" s="140"/>
      <c r="S18" s="138">
        <v>0</v>
      </c>
      <c r="T18" s="138">
        <v>0</v>
      </c>
      <c r="U18" s="138">
        <v>0</v>
      </c>
      <c r="V18" s="138">
        <v>0</v>
      </c>
      <c r="W18" s="140"/>
      <c r="X18" s="138">
        <v>0</v>
      </c>
      <c r="Y18" s="138">
        <v>0</v>
      </c>
      <c r="Z18" s="138">
        <v>0</v>
      </c>
      <c r="AA18" s="138">
        <v>0</v>
      </c>
      <c r="AB18" s="140"/>
      <c r="AC18" s="138">
        <v>9478</v>
      </c>
      <c r="AD18" s="138">
        <v>0</v>
      </c>
      <c r="AE18" s="138">
        <v>0</v>
      </c>
      <c r="AF18" s="140"/>
      <c r="AG18" s="141">
        <f>'form A info'!$AK27/1000</f>
        <v>467.15174999999999</v>
      </c>
    </row>
    <row r="19" spans="1:33" x14ac:dyDescent="0.2">
      <c r="A19" s="134">
        <v>8178</v>
      </c>
      <c r="B19" s="134" t="s">
        <v>1569</v>
      </c>
      <c r="C19" s="114" t="str">
        <f>'form A info'!G28</f>
        <v>y</v>
      </c>
      <c r="D19" s="138">
        <v>0</v>
      </c>
      <c r="E19" s="138">
        <v>0</v>
      </c>
      <c r="F19" s="138">
        <v>63</v>
      </c>
      <c r="G19" s="138">
        <v>10</v>
      </c>
      <c r="H19" s="139"/>
      <c r="I19" s="138">
        <v>0</v>
      </c>
      <c r="J19" s="138">
        <v>0</v>
      </c>
      <c r="K19" s="138">
        <v>11</v>
      </c>
      <c r="L19" s="138">
        <v>4</v>
      </c>
      <c r="M19" s="139"/>
      <c r="N19" s="138">
        <v>0</v>
      </c>
      <c r="O19" s="138">
        <v>0</v>
      </c>
      <c r="P19" s="138">
        <v>18</v>
      </c>
      <c r="Q19" s="138">
        <v>3</v>
      </c>
      <c r="R19" s="140"/>
      <c r="S19" s="138">
        <v>0</v>
      </c>
      <c r="T19" s="138">
        <v>0</v>
      </c>
      <c r="U19" s="138">
        <v>0</v>
      </c>
      <c r="V19" s="138">
        <v>0</v>
      </c>
      <c r="W19" s="140"/>
      <c r="X19" s="138">
        <v>0</v>
      </c>
      <c r="Y19" s="138">
        <v>0</v>
      </c>
      <c r="Z19" s="138">
        <v>0</v>
      </c>
      <c r="AA19" s="138">
        <v>0</v>
      </c>
      <c r="AB19" s="140"/>
      <c r="AC19" s="138">
        <v>0</v>
      </c>
      <c r="AD19" s="138">
        <v>0</v>
      </c>
      <c r="AE19" s="138">
        <v>0</v>
      </c>
      <c r="AF19" s="140"/>
      <c r="AG19" s="141">
        <f>'form A info'!$AK28/1000</f>
        <v>290.23595</v>
      </c>
    </row>
    <row r="20" spans="1:33" x14ac:dyDescent="0.2">
      <c r="A20" s="134">
        <v>339</v>
      </c>
      <c r="B20" s="134" t="s">
        <v>1571</v>
      </c>
      <c r="C20" s="114" t="str">
        <f>'form A info'!G29</f>
        <v>y</v>
      </c>
      <c r="D20" s="138">
        <v>0</v>
      </c>
      <c r="E20" s="138">
        <v>0</v>
      </c>
      <c r="F20" s="138">
        <v>30</v>
      </c>
      <c r="G20" s="138">
        <v>26</v>
      </c>
      <c r="H20" s="139"/>
      <c r="I20" s="138">
        <v>0</v>
      </c>
      <c r="J20" s="138">
        <v>0</v>
      </c>
      <c r="K20" s="138">
        <v>0</v>
      </c>
      <c r="L20" s="138">
        <v>2</v>
      </c>
      <c r="M20" s="139"/>
      <c r="N20" s="138">
        <v>0</v>
      </c>
      <c r="O20" s="138">
        <v>18</v>
      </c>
      <c r="P20" s="138">
        <v>11</v>
      </c>
      <c r="Q20" s="138">
        <v>0</v>
      </c>
      <c r="R20" s="140"/>
      <c r="S20" s="138">
        <v>0</v>
      </c>
      <c r="T20" s="138">
        <v>0</v>
      </c>
      <c r="U20" s="138">
        <v>0</v>
      </c>
      <c r="V20" s="138">
        <v>0</v>
      </c>
      <c r="W20" s="140"/>
      <c r="X20" s="138">
        <v>0</v>
      </c>
      <c r="Y20" s="138">
        <v>0</v>
      </c>
      <c r="Z20" s="138">
        <v>0</v>
      </c>
      <c r="AA20" s="138">
        <v>0</v>
      </c>
      <c r="AB20" s="140"/>
      <c r="AC20" s="138">
        <v>0</v>
      </c>
      <c r="AD20" s="138">
        <v>0</v>
      </c>
      <c r="AE20" s="138">
        <v>0</v>
      </c>
      <c r="AF20" s="140"/>
      <c r="AG20" s="141">
        <f>'form A info'!$AK29/1000</f>
        <v>0</v>
      </c>
    </row>
    <row r="21" spans="1:33" x14ac:dyDescent="0.2">
      <c r="A21" s="134">
        <v>4822</v>
      </c>
      <c r="B21" s="134" t="s">
        <v>1575</v>
      </c>
      <c r="C21" s="114" t="str">
        <f>'form A info'!G31</f>
        <v>y</v>
      </c>
      <c r="D21" s="138">
        <v>0</v>
      </c>
      <c r="E21" s="138">
        <v>0</v>
      </c>
      <c r="F21" s="138">
        <v>431</v>
      </c>
      <c r="G21" s="138">
        <v>1</v>
      </c>
      <c r="H21" s="139"/>
      <c r="I21" s="138">
        <v>0</v>
      </c>
      <c r="J21" s="138">
        <v>0</v>
      </c>
      <c r="K21" s="138">
        <v>27</v>
      </c>
      <c r="L21" s="138">
        <v>0</v>
      </c>
      <c r="M21" s="139"/>
      <c r="N21" s="138">
        <v>0</v>
      </c>
      <c r="O21" s="138">
        <v>0</v>
      </c>
      <c r="P21" s="138">
        <v>27</v>
      </c>
      <c r="Q21" s="138">
        <v>0</v>
      </c>
      <c r="R21" s="140"/>
      <c r="S21" s="138">
        <v>0</v>
      </c>
      <c r="T21" s="138">
        <v>0</v>
      </c>
      <c r="U21" s="138">
        <v>0</v>
      </c>
      <c r="V21" s="138">
        <v>0</v>
      </c>
      <c r="W21" s="140"/>
      <c r="X21" s="138">
        <v>0</v>
      </c>
      <c r="Y21" s="138">
        <v>0</v>
      </c>
      <c r="Z21" s="138">
        <v>0</v>
      </c>
      <c r="AA21" s="138">
        <v>0</v>
      </c>
      <c r="AB21" s="140"/>
      <c r="AC21" s="138">
        <v>0</v>
      </c>
      <c r="AD21" s="138">
        <v>0</v>
      </c>
      <c r="AE21" s="138">
        <v>0</v>
      </c>
      <c r="AF21" s="140"/>
      <c r="AG21" s="141">
        <f>'form A info'!$AK31/1000</f>
        <v>188.30865</v>
      </c>
    </row>
    <row r="22" spans="1:33" x14ac:dyDescent="0.2">
      <c r="A22" s="134">
        <v>8700</v>
      </c>
      <c r="B22" s="134" t="s">
        <v>1581</v>
      </c>
      <c r="C22" s="114" t="str">
        <f>'form A info'!G32</f>
        <v>y</v>
      </c>
      <c r="D22" s="138">
        <v>19</v>
      </c>
      <c r="E22" s="138">
        <v>519</v>
      </c>
      <c r="F22" s="138">
        <v>49</v>
      </c>
      <c r="G22" s="138">
        <v>30</v>
      </c>
      <c r="H22" s="139"/>
      <c r="I22" s="138">
        <v>0</v>
      </c>
      <c r="J22" s="138">
        <v>0</v>
      </c>
      <c r="K22" s="138">
        <v>4</v>
      </c>
      <c r="L22" s="138">
        <v>3</v>
      </c>
      <c r="M22" s="139"/>
      <c r="N22" s="138">
        <v>0</v>
      </c>
      <c r="O22" s="138">
        <v>0</v>
      </c>
      <c r="P22" s="138">
        <v>4</v>
      </c>
      <c r="Q22" s="138">
        <v>1</v>
      </c>
      <c r="R22" s="140"/>
      <c r="S22" s="138">
        <v>0</v>
      </c>
      <c r="T22" s="138">
        <v>0</v>
      </c>
      <c r="U22" s="138">
        <v>0</v>
      </c>
      <c r="V22" s="138">
        <v>0</v>
      </c>
      <c r="W22" s="140"/>
      <c r="X22" s="138">
        <v>0</v>
      </c>
      <c r="Y22" s="138">
        <v>0</v>
      </c>
      <c r="Z22" s="138">
        <v>0</v>
      </c>
      <c r="AA22" s="138">
        <v>0</v>
      </c>
      <c r="AB22" s="140"/>
      <c r="AC22" s="138">
        <v>0</v>
      </c>
      <c r="AD22" s="138">
        <v>0</v>
      </c>
      <c r="AE22" s="138">
        <v>0</v>
      </c>
      <c r="AF22" s="140"/>
      <c r="AG22" s="141">
        <f>'form A info'!$AK32/1000</f>
        <v>536.15099999999995</v>
      </c>
    </row>
    <row r="23" spans="1:33" x14ac:dyDescent="0.2">
      <c r="A23" s="134">
        <v>512</v>
      </c>
      <c r="B23" s="134" t="s">
        <v>1582</v>
      </c>
      <c r="C23" s="114" t="str">
        <f>'form A info'!G33</f>
        <v>y</v>
      </c>
      <c r="D23" s="138">
        <v>0</v>
      </c>
      <c r="E23" s="138">
        <v>0</v>
      </c>
      <c r="F23" s="138">
        <v>7</v>
      </c>
      <c r="G23" s="138">
        <v>0</v>
      </c>
      <c r="H23" s="139"/>
      <c r="I23" s="138">
        <v>0</v>
      </c>
      <c r="J23" s="138">
        <v>0</v>
      </c>
      <c r="K23" s="138">
        <v>0</v>
      </c>
      <c r="L23" s="138">
        <v>0</v>
      </c>
      <c r="M23" s="139"/>
      <c r="N23" s="138">
        <v>0</v>
      </c>
      <c r="O23" s="138">
        <v>0</v>
      </c>
      <c r="P23" s="138">
        <v>0</v>
      </c>
      <c r="Q23" s="138">
        <v>0</v>
      </c>
      <c r="R23" s="140"/>
      <c r="S23" s="138">
        <v>73</v>
      </c>
      <c r="T23" s="138">
        <v>0</v>
      </c>
      <c r="U23" s="138">
        <v>0</v>
      </c>
      <c r="V23" s="138">
        <v>0</v>
      </c>
      <c r="W23" s="140"/>
      <c r="X23" s="138">
        <v>0</v>
      </c>
      <c r="Y23" s="138">
        <v>0</v>
      </c>
      <c r="Z23" s="138">
        <v>0</v>
      </c>
      <c r="AA23" s="138">
        <v>0</v>
      </c>
      <c r="AB23" s="140"/>
      <c r="AC23" s="138">
        <v>0</v>
      </c>
      <c r="AD23" s="138">
        <v>0</v>
      </c>
      <c r="AE23" s="138">
        <v>0</v>
      </c>
      <c r="AF23" s="140"/>
      <c r="AG23" s="141">
        <f>'form A info'!$AK33/1000</f>
        <v>11.792999999999999</v>
      </c>
    </row>
    <row r="24" spans="1:33" x14ac:dyDescent="0.2">
      <c r="A24" s="134">
        <v>513</v>
      </c>
      <c r="B24" s="134" t="s">
        <v>1596</v>
      </c>
      <c r="C24" s="114" t="str">
        <f>'form A info'!G35</f>
        <v>y</v>
      </c>
      <c r="D24" s="138">
        <v>41</v>
      </c>
      <c r="E24" s="138">
        <v>0</v>
      </c>
      <c r="F24" s="138">
        <v>109</v>
      </c>
      <c r="G24" s="138">
        <v>13</v>
      </c>
      <c r="H24" s="139"/>
      <c r="I24" s="138">
        <v>0</v>
      </c>
      <c r="J24" s="138">
        <v>5</v>
      </c>
      <c r="K24" s="138">
        <v>0</v>
      </c>
      <c r="L24" s="138">
        <v>0</v>
      </c>
      <c r="M24" s="139"/>
      <c r="N24" s="138">
        <v>0</v>
      </c>
      <c r="O24" s="138">
        <v>10</v>
      </c>
      <c r="P24" s="138">
        <v>6</v>
      </c>
      <c r="Q24" s="138">
        <v>0</v>
      </c>
      <c r="R24" s="140"/>
      <c r="S24" s="138">
        <v>0</v>
      </c>
      <c r="T24" s="138">
        <v>0</v>
      </c>
      <c r="U24" s="138">
        <v>0</v>
      </c>
      <c r="V24" s="138">
        <v>0</v>
      </c>
      <c r="W24" s="140"/>
      <c r="X24" s="138">
        <v>0</v>
      </c>
      <c r="Y24" s="138">
        <v>0</v>
      </c>
      <c r="Z24" s="138">
        <v>0</v>
      </c>
      <c r="AA24" s="138">
        <v>0</v>
      </c>
      <c r="AB24" s="140"/>
      <c r="AC24" s="138">
        <v>0</v>
      </c>
      <c r="AD24" s="138">
        <v>0</v>
      </c>
      <c r="AE24" s="138">
        <v>0</v>
      </c>
      <c r="AF24" s="140"/>
      <c r="AG24" s="141">
        <f>'form A info'!$AK35/1000</f>
        <v>0</v>
      </c>
    </row>
    <row r="25" spans="1:33" x14ac:dyDescent="0.2">
      <c r="A25" s="134">
        <v>516</v>
      </c>
      <c r="B25" s="134" t="s">
        <v>1599</v>
      </c>
      <c r="C25" s="114" t="str">
        <f>'form A info'!G36</f>
        <v>y</v>
      </c>
      <c r="D25" s="138">
        <v>0</v>
      </c>
      <c r="E25" s="138">
        <v>0</v>
      </c>
      <c r="F25" s="138">
        <v>1</v>
      </c>
      <c r="G25" s="138">
        <v>0</v>
      </c>
      <c r="H25" s="139"/>
      <c r="I25" s="138">
        <v>0</v>
      </c>
      <c r="J25" s="138">
        <v>0</v>
      </c>
      <c r="K25" s="138">
        <v>0</v>
      </c>
      <c r="L25" s="138">
        <v>0</v>
      </c>
      <c r="M25" s="139"/>
      <c r="N25" s="138">
        <v>0</v>
      </c>
      <c r="O25" s="138">
        <v>0</v>
      </c>
      <c r="P25" s="138">
        <v>0</v>
      </c>
      <c r="Q25" s="138">
        <v>0</v>
      </c>
      <c r="R25" s="140"/>
      <c r="S25" s="138">
        <v>0</v>
      </c>
      <c r="T25" s="138">
        <v>0</v>
      </c>
      <c r="U25" s="138">
        <v>0</v>
      </c>
      <c r="V25" s="138">
        <v>0</v>
      </c>
      <c r="W25" s="140"/>
      <c r="X25" s="138">
        <v>0</v>
      </c>
      <c r="Y25" s="138">
        <v>0</v>
      </c>
      <c r="Z25" s="138">
        <v>0</v>
      </c>
      <c r="AA25" s="138">
        <v>0</v>
      </c>
      <c r="AB25" s="140"/>
      <c r="AC25" s="138">
        <v>0</v>
      </c>
      <c r="AD25" s="138">
        <v>0</v>
      </c>
      <c r="AE25" s="138">
        <v>0</v>
      </c>
      <c r="AF25" s="140"/>
      <c r="AG25" s="141">
        <f>'form A info'!$AK36/1000</f>
        <v>0</v>
      </c>
    </row>
    <row r="26" spans="1:33" x14ac:dyDescent="0.2">
      <c r="A26" s="134">
        <v>4661</v>
      </c>
      <c r="B26" s="134" t="s">
        <v>1602</v>
      </c>
      <c r="C26" s="114" t="str">
        <f>'form A info'!G37</f>
        <v>y</v>
      </c>
      <c r="D26" s="138">
        <v>0</v>
      </c>
      <c r="E26" s="138">
        <v>321</v>
      </c>
      <c r="F26" s="138">
        <v>113</v>
      </c>
      <c r="G26" s="138">
        <v>0</v>
      </c>
      <c r="H26" s="139"/>
      <c r="I26" s="138">
        <v>0</v>
      </c>
      <c r="J26" s="138">
        <v>0</v>
      </c>
      <c r="K26" s="138">
        <v>0</v>
      </c>
      <c r="L26" s="138">
        <v>0</v>
      </c>
      <c r="M26" s="139"/>
      <c r="N26" s="138">
        <v>0</v>
      </c>
      <c r="O26" s="138">
        <v>34</v>
      </c>
      <c r="P26" s="138">
        <v>0</v>
      </c>
      <c r="Q26" s="138">
        <v>0</v>
      </c>
      <c r="R26" s="140"/>
      <c r="S26" s="138">
        <v>0</v>
      </c>
      <c r="T26" s="138">
        <v>0</v>
      </c>
      <c r="U26" s="138">
        <v>0</v>
      </c>
      <c r="V26" s="138">
        <v>0</v>
      </c>
      <c r="W26" s="140"/>
      <c r="X26" s="138">
        <v>15</v>
      </c>
      <c r="Y26" s="138">
        <v>0</v>
      </c>
      <c r="Z26" s="138">
        <v>0</v>
      </c>
      <c r="AA26" s="138">
        <v>0</v>
      </c>
      <c r="AB26" s="140"/>
      <c r="AC26" s="138">
        <v>0</v>
      </c>
      <c r="AD26" s="138">
        <v>0</v>
      </c>
      <c r="AE26" s="138">
        <v>0</v>
      </c>
      <c r="AF26" s="140"/>
      <c r="AG26" s="141">
        <f>'form A info'!$AK37/1000</f>
        <v>233.286</v>
      </c>
    </row>
    <row r="27" spans="1:33" x14ac:dyDescent="0.2">
      <c r="A27" s="134">
        <v>8250</v>
      </c>
      <c r="B27" s="134" t="s">
        <v>1606</v>
      </c>
      <c r="C27" s="114" t="str">
        <f>'form A info'!G38</f>
        <v>y</v>
      </c>
      <c r="D27" s="138">
        <v>0</v>
      </c>
      <c r="E27" s="138">
        <v>0</v>
      </c>
      <c r="F27" s="138">
        <v>166</v>
      </c>
      <c r="G27" s="138">
        <v>28</v>
      </c>
      <c r="H27" s="139"/>
      <c r="I27" s="138">
        <v>0</v>
      </c>
      <c r="J27" s="138">
        <v>0</v>
      </c>
      <c r="K27" s="138">
        <v>23</v>
      </c>
      <c r="L27" s="138">
        <v>9</v>
      </c>
      <c r="M27" s="139"/>
      <c r="N27" s="138">
        <v>0</v>
      </c>
      <c r="O27" s="138">
        <v>0</v>
      </c>
      <c r="P27" s="138">
        <v>15</v>
      </c>
      <c r="Q27" s="138">
        <v>3</v>
      </c>
      <c r="R27" s="140"/>
      <c r="S27" s="138">
        <v>0</v>
      </c>
      <c r="T27" s="138">
        <v>0</v>
      </c>
      <c r="U27" s="138">
        <v>0</v>
      </c>
      <c r="V27" s="138">
        <v>0</v>
      </c>
      <c r="W27" s="140"/>
      <c r="X27" s="138">
        <v>0</v>
      </c>
      <c r="Y27" s="138">
        <v>0</v>
      </c>
      <c r="Z27" s="138">
        <v>0</v>
      </c>
      <c r="AA27" s="138">
        <v>0</v>
      </c>
      <c r="AB27" s="140"/>
      <c r="AC27" s="138">
        <v>0</v>
      </c>
      <c r="AD27" s="138">
        <v>0</v>
      </c>
      <c r="AE27" s="138">
        <v>0</v>
      </c>
      <c r="AF27" s="140"/>
      <c r="AG27" s="141">
        <f>'form A info'!$AK38/1000</f>
        <v>0</v>
      </c>
    </row>
    <row r="28" spans="1:33" x14ac:dyDescent="0.2">
      <c r="A28" s="134">
        <v>8253</v>
      </c>
      <c r="B28" s="134" t="s">
        <v>1</v>
      </c>
      <c r="C28" s="114" t="str">
        <f>'form A info'!G39</f>
        <v>y</v>
      </c>
      <c r="D28" s="138">
        <v>0</v>
      </c>
      <c r="E28" s="138">
        <v>559</v>
      </c>
      <c r="F28" s="138">
        <v>213</v>
      </c>
      <c r="G28" s="138">
        <v>-30</v>
      </c>
      <c r="H28" s="139"/>
      <c r="I28" s="138">
        <v>0</v>
      </c>
      <c r="J28" s="138">
        <v>0</v>
      </c>
      <c r="K28" s="138">
        <v>24</v>
      </c>
      <c r="L28" s="138">
        <v>0</v>
      </c>
      <c r="M28" s="139"/>
      <c r="N28" s="138">
        <v>0</v>
      </c>
      <c r="O28" s="138">
        <v>19</v>
      </c>
      <c r="P28" s="138">
        <v>20</v>
      </c>
      <c r="Q28" s="138">
        <v>0</v>
      </c>
      <c r="R28" s="140"/>
      <c r="S28" s="138">
        <v>0</v>
      </c>
      <c r="T28" s="138">
        <v>0</v>
      </c>
      <c r="U28" s="138">
        <v>0</v>
      </c>
      <c r="V28" s="138">
        <v>0</v>
      </c>
      <c r="W28" s="140"/>
      <c r="X28" s="138">
        <v>0</v>
      </c>
      <c r="Y28" s="138">
        <v>0</v>
      </c>
      <c r="Z28" s="138">
        <v>0</v>
      </c>
      <c r="AA28" s="138">
        <v>0</v>
      </c>
      <c r="AB28" s="140"/>
      <c r="AC28" s="138">
        <v>0</v>
      </c>
      <c r="AD28" s="138">
        <v>0</v>
      </c>
      <c r="AE28" s="138">
        <v>0</v>
      </c>
      <c r="AF28" s="140"/>
      <c r="AG28" s="141">
        <f>'form A info'!$AK39/1000</f>
        <v>467.51</v>
      </c>
    </row>
    <row r="29" spans="1:33" x14ac:dyDescent="0.2">
      <c r="A29" s="134">
        <v>8266</v>
      </c>
      <c r="B29" s="134" t="s">
        <v>4</v>
      </c>
      <c r="C29" s="114" t="str">
        <f>'form A info'!G40</f>
        <v>y</v>
      </c>
      <c r="D29" s="138">
        <v>0</v>
      </c>
      <c r="E29" s="138">
        <v>0</v>
      </c>
      <c r="F29" s="138">
        <v>21</v>
      </c>
      <c r="G29" s="138">
        <v>0</v>
      </c>
      <c r="H29" s="139"/>
      <c r="I29" s="138">
        <v>0</v>
      </c>
      <c r="J29" s="138">
        <v>0</v>
      </c>
      <c r="K29" s="138">
        <v>0</v>
      </c>
      <c r="L29" s="138">
        <v>0</v>
      </c>
      <c r="M29" s="139"/>
      <c r="N29" s="138">
        <v>0</v>
      </c>
      <c r="O29" s="138">
        <v>0</v>
      </c>
      <c r="P29" s="138">
        <v>-4</v>
      </c>
      <c r="Q29" s="138">
        <v>0</v>
      </c>
      <c r="R29" s="140"/>
      <c r="S29" s="138">
        <v>0</v>
      </c>
      <c r="T29" s="138">
        <v>0</v>
      </c>
      <c r="U29" s="138">
        <v>0</v>
      </c>
      <c r="V29" s="138">
        <v>0</v>
      </c>
      <c r="W29" s="140"/>
      <c r="X29" s="138">
        <v>0</v>
      </c>
      <c r="Y29" s="138">
        <v>0</v>
      </c>
      <c r="Z29" s="138">
        <v>0</v>
      </c>
      <c r="AA29" s="138">
        <v>0</v>
      </c>
      <c r="AB29" s="140"/>
      <c r="AC29" s="138">
        <v>0</v>
      </c>
      <c r="AD29" s="138">
        <v>0</v>
      </c>
      <c r="AE29" s="138">
        <v>0</v>
      </c>
      <c r="AF29" s="140"/>
      <c r="AG29" s="141">
        <f>'form A info'!$AK40/1000</f>
        <v>67.174999999999997</v>
      </c>
    </row>
    <row r="30" spans="1:33" x14ac:dyDescent="0.2">
      <c r="A30" s="134">
        <v>511</v>
      </c>
      <c r="B30" s="134" t="s">
        <v>7</v>
      </c>
      <c r="C30" s="114" t="str">
        <f>'form A info'!G42</f>
        <v>y</v>
      </c>
      <c r="D30" s="138">
        <v>472</v>
      </c>
      <c r="E30" s="138">
        <v>990</v>
      </c>
      <c r="F30" s="138">
        <v>176</v>
      </c>
      <c r="G30" s="138">
        <v>0</v>
      </c>
      <c r="H30" s="139"/>
      <c r="I30" s="138">
        <v>0</v>
      </c>
      <c r="J30" s="138">
        <v>0</v>
      </c>
      <c r="K30" s="138">
        <v>0</v>
      </c>
      <c r="L30" s="138">
        <v>0</v>
      </c>
      <c r="M30" s="139"/>
      <c r="N30" s="138">
        <v>13</v>
      </c>
      <c r="O30" s="138">
        <v>37</v>
      </c>
      <c r="P30" s="138">
        <v>27</v>
      </c>
      <c r="Q30" s="138">
        <v>0</v>
      </c>
      <c r="R30" s="140"/>
      <c r="S30" s="138">
        <v>73</v>
      </c>
      <c r="T30" s="138">
        <v>0</v>
      </c>
      <c r="U30" s="138">
        <v>0</v>
      </c>
      <c r="V30" s="138">
        <v>0</v>
      </c>
      <c r="W30" s="140"/>
      <c r="X30" s="138">
        <v>35</v>
      </c>
      <c r="Y30" s="138">
        <v>3</v>
      </c>
      <c r="Z30" s="138">
        <v>0</v>
      </c>
      <c r="AA30" s="138">
        <v>0</v>
      </c>
      <c r="AB30" s="140"/>
      <c r="AC30" s="138">
        <v>13964</v>
      </c>
      <c r="AD30" s="138">
        <v>72134</v>
      </c>
      <c r="AE30" s="138">
        <v>16000</v>
      </c>
      <c r="AF30" s="140"/>
      <c r="AG30" s="141">
        <f>'form A info'!$AK42/1000</f>
        <v>813.93899999999996</v>
      </c>
    </row>
    <row r="31" spans="1:33" x14ac:dyDescent="0.2">
      <c r="A31" s="134">
        <v>514</v>
      </c>
      <c r="B31" s="134" t="s">
        <v>15</v>
      </c>
      <c r="C31" s="114" t="str">
        <f>'form A info'!G46</f>
        <v>y</v>
      </c>
      <c r="D31" s="138">
        <v>0</v>
      </c>
      <c r="E31" s="138">
        <v>0</v>
      </c>
      <c r="F31" s="138">
        <v>30</v>
      </c>
      <c r="G31" s="138">
        <v>31</v>
      </c>
      <c r="H31" s="139"/>
      <c r="I31" s="138">
        <v>0</v>
      </c>
      <c r="J31" s="138">
        <v>0</v>
      </c>
      <c r="K31" s="138">
        <v>0</v>
      </c>
      <c r="L31" s="138">
        <v>5</v>
      </c>
      <c r="M31" s="139"/>
      <c r="N31" s="138">
        <v>0</v>
      </c>
      <c r="O31" s="138">
        <v>2</v>
      </c>
      <c r="P31" s="138">
        <v>0</v>
      </c>
      <c r="Q31" s="138">
        <v>0</v>
      </c>
      <c r="R31" s="140"/>
      <c r="S31" s="138">
        <v>0</v>
      </c>
      <c r="T31" s="138">
        <v>0</v>
      </c>
      <c r="U31" s="138">
        <v>0</v>
      </c>
      <c r="V31" s="138">
        <v>0</v>
      </c>
      <c r="W31" s="140"/>
      <c r="X31" s="138">
        <v>0</v>
      </c>
      <c r="Y31" s="138">
        <v>0</v>
      </c>
      <c r="Z31" s="138">
        <v>0</v>
      </c>
      <c r="AA31" s="138">
        <v>0</v>
      </c>
      <c r="AB31" s="140"/>
      <c r="AC31" s="138">
        <v>0</v>
      </c>
      <c r="AD31" s="138">
        <v>0</v>
      </c>
      <c r="AE31" s="138">
        <v>0</v>
      </c>
      <c r="AF31" s="140"/>
      <c r="AG31" s="141">
        <f>'form A info'!$AK46/1000</f>
        <v>0</v>
      </c>
    </row>
    <row r="32" spans="1:33" x14ac:dyDescent="0.2">
      <c r="A32" s="134">
        <v>540</v>
      </c>
      <c r="B32" s="134" t="s">
        <v>17</v>
      </c>
      <c r="C32" s="114" t="str">
        <f>'form A info'!G47</f>
        <v>y</v>
      </c>
      <c r="D32" s="138">
        <v>29</v>
      </c>
      <c r="E32" s="138">
        <v>282</v>
      </c>
      <c r="F32" s="138">
        <v>63</v>
      </c>
      <c r="G32" s="138">
        <v>13</v>
      </c>
      <c r="H32" s="139"/>
      <c r="I32" s="138">
        <v>0</v>
      </c>
      <c r="J32" s="138">
        <v>0</v>
      </c>
      <c r="K32" s="138">
        <v>4</v>
      </c>
      <c r="L32" s="138">
        <v>5</v>
      </c>
      <c r="M32" s="139"/>
      <c r="N32" s="138">
        <v>0</v>
      </c>
      <c r="O32" s="138">
        <v>13</v>
      </c>
      <c r="P32" s="138">
        <v>13</v>
      </c>
      <c r="Q32" s="138">
        <v>2</v>
      </c>
      <c r="R32" s="140"/>
      <c r="S32" s="138">
        <v>-2</v>
      </c>
      <c r="T32" s="138">
        <v>0</v>
      </c>
      <c r="U32" s="138">
        <v>0</v>
      </c>
      <c r="V32" s="138">
        <v>0</v>
      </c>
      <c r="W32" s="140"/>
      <c r="X32" s="138">
        <v>0</v>
      </c>
      <c r="Y32" s="138">
        <v>1</v>
      </c>
      <c r="Z32" s="138">
        <v>0</v>
      </c>
      <c r="AA32" s="138">
        <v>0</v>
      </c>
      <c r="AB32" s="140"/>
      <c r="AC32" s="138">
        <v>0</v>
      </c>
      <c r="AD32" s="138">
        <v>0</v>
      </c>
      <c r="AE32" s="138">
        <v>17260</v>
      </c>
      <c r="AF32" s="140"/>
      <c r="AG32" s="141">
        <f>'form A info'!$AK47/1000</f>
        <v>0</v>
      </c>
    </row>
    <row r="33" spans="1:33" x14ac:dyDescent="0.2">
      <c r="A33" s="134">
        <v>8262</v>
      </c>
      <c r="B33" s="134" t="s">
        <v>20</v>
      </c>
      <c r="C33" s="114" t="str">
        <f>'form A info'!G48</f>
        <v>y</v>
      </c>
      <c r="D33" s="138">
        <v>0</v>
      </c>
      <c r="E33" s="138">
        <v>0</v>
      </c>
      <c r="F33" s="138">
        <v>84</v>
      </c>
      <c r="G33" s="138">
        <v>-3</v>
      </c>
      <c r="H33" s="139"/>
      <c r="I33" s="138">
        <v>0</v>
      </c>
      <c r="J33" s="138">
        <v>0</v>
      </c>
      <c r="K33" s="138">
        <v>7</v>
      </c>
      <c r="L33" s="138">
        <v>0</v>
      </c>
      <c r="M33" s="139"/>
      <c r="N33" s="138">
        <v>0</v>
      </c>
      <c r="O33" s="138">
        <v>0</v>
      </c>
      <c r="P33" s="138">
        <v>29</v>
      </c>
      <c r="Q33" s="138">
        <v>0</v>
      </c>
      <c r="R33" s="140"/>
      <c r="S33" s="138">
        <v>0</v>
      </c>
      <c r="T33" s="138">
        <v>0</v>
      </c>
      <c r="U33" s="138">
        <v>0</v>
      </c>
      <c r="V33" s="138">
        <v>0</v>
      </c>
      <c r="W33" s="140"/>
      <c r="X33" s="138">
        <v>0</v>
      </c>
      <c r="Y33" s="138">
        <v>0</v>
      </c>
      <c r="Z33" s="138">
        <v>0</v>
      </c>
      <c r="AA33" s="138">
        <v>0</v>
      </c>
      <c r="AB33" s="140"/>
      <c r="AC33" s="138">
        <v>0</v>
      </c>
      <c r="AD33" s="138">
        <v>0</v>
      </c>
      <c r="AE33" s="138">
        <v>0</v>
      </c>
      <c r="AF33" s="140"/>
      <c r="AG33" s="141">
        <f>'form A info'!$AK48/1000</f>
        <v>539.11199999999997</v>
      </c>
    </row>
    <row r="34" spans="1:33" x14ac:dyDescent="0.2">
      <c r="A34" s="134">
        <v>552</v>
      </c>
      <c r="B34" s="134" t="s">
        <v>26</v>
      </c>
      <c r="C34" s="114" t="str">
        <f>'form A info'!G50</f>
        <v>y</v>
      </c>
      <c r="D34" s="138">
        <v>0</v>
      </c>
      <c r="E34" s="138">
        <v>0</v>
      </c>
      <c r="F34" s="138">
        <v>186</v>
      </c>
      <c r="G34" s="138">
        <v>2</v>
      </c>
      <c r="H34" s="139"/>
      <c r="I34" s="138">
        <v>0</v>
      </c>
      <c r="J34" s="138">
        <v>0</v>
      </c>
      <c r="K34" s="138">
        <v>0</v>
      </c>
      <c r="L34" s="138">
        <v>0</v>
      </c>
      <c r="M34" s="139"/>
      <c r="N34" s="138">
        <v>0</v>
      </c>
      <c r="O34" s="138">
        <v>0</v>
      </c>
      <c r="P34" s="138">
        <v>8</v>
      </c>
      <c r="Q34" s="138">
        <v>0</v>
      </c>
      <c r="R34" s="140"/>
      <c r="S34" s="138">
        <v>0</v>
      </c>
      <c r="T34" s="138">
        <v>0</v>
      </c>
      <c r="U34" s="138">
        <v>0</v>
      </c>
      <c r="V34" s="138">
        <v>0</v>
      </c>
      <c r="W34" s="140"/>
      <c r="X34" s="138">
        <v>0</v>
      </c>
      <c r="Y34" s="138">
        <v>0</v>
      </c>
      <c r="Z34" s="138">
        <v>0</v>
      </c>
      <c r="AA34" s="138">
        <v>0</v>
      </c>
      <c r="AB34" s="140"/>
      <c r="AC34" s="138">
        <v>0</v>
      </c>
      <c r="AD34" s="138">
        <v>0</v>
      </c>
      <c r="AE34" s="138">
        <v>0</v>
      </c>
      <c r="AF34" s="140"/>
      <c r="AG34" s="141">
        <f>'form A info'!$AK50/1000</f>
        <v>645.06600000000003</v>
      </c>
    </row>
    <row r="35" spans="1:33" x14ac:dyDescent="0.2">
      <c r="A35" s="134">
        <v>549</v>
      </c>
      <c r="B35" s="134" t="s">
        <v>29</v>
      </c>
      <c r="C35" s="114" t="str">
        <f>'form A info'!G51</f>
        <v>y</v>
      </c>
      <c r="D35" s="138">
        <v>273</v>
      </c>
      <c r="E35" s="138">
        <v>475</v>
      </c>
      <c r="F35" s="138">
        <v>119</v>
      </c>
      <c r="G35" s="138">
        <v>0</v>
      </c>
      <c r="H35" s="139"/>
      <c r="I35" s="138">
        <v>0</v>
      </c>
      <c r="J35" s="138">
        <v>0</v>
      </c>
      <c r="K35" s="138">
        <v>0</v>
      </c>
      <c r="L35" s="138">
        <v>0</v>
      </c>
      <c r="M35" s="139"/>
      <c r="N35" s="138">
        <v>8</v>
      </c>
      <c r="O35" s="138">
        <v>23</v>
      </c>
      <c r="P35" s="138">
        <v>46</v>
      </c>
      <c r="Q35" s="138">
        <v>0</v>
      </c>
      <c r="R35" s="140"/>
      <c r="S35" s="138">
        <v>19</v>
      </c>
      <c r="T35" s="138">
        <v>0</v>
      </c>
      <c r="U35" s="138">
        <v>0</v>
      </c>
      <c r="V35" s="138">
        <v>0</v>
      </c>
      <c r="W35" s="140"/>
      <c r="X35" s="138">
        <v>40</v>
      </c>
      <c r="Y35" s="138">
        <v>1</v>
      </c>
      <c r="Z35" s="138">
        <v>0</v>
      </c>
      <c r="AA35" s="138">
        <v>0</v>
      </c>
      <c r="AB35" s="140"/>
      <c r="AC35" s="138">
        <v>0</v>
      </c>
      <c r="AD35" s="138">
        <v>0</v>
      </c>
      <c r="AE35" s="138">
        <v>0</v>
      </c>
      <c r="AF35" s="140"/>
      <c r="AG35" s="141">
        <f>'form A info'!$AK51/1000</f>
        <v>858.27200000000005</v>
      </c>
    </row>
    <row r="36" spans="1:33" x14ac:dyDescent="0.2">
      <c r="A36" s="134">
        <v>2315</v>
      </c>
      <c r="B36" s="134" t="s">
        <v>34</v>
      </c>
      <c r="C36" s="114" t="str">
        <f>'form A info'!G53</f>
        <v>y</v>
      </c>
      <c r="D36" s="138">
        <v>0</v>
      </c>
      <c r="E36" s="138">
        <v>0</v>
      </c>
      <c r="F36" s="138">
        <v>20</v>
      </c>
      <c r="G36" s="138">
        <v>9</v>
      </c>
      <c r="H36" s="139"/>
      <c r="I36" s="138">
        <v>0</v>
      </c>
      <c r="J36" s="138">
        <v>0</v>
      </c>
      <c r="K36" s="138">
        <v>0</v>
      </c>
      <c r="L36" s="138">
        <v>4</v>
      </c>
      <c r="M36" s="139"/>
      <c r="N36" s="138">
        <v>0</v>
      </c>
      <c r="O36" s="138">
        <v>28</v>
      </c>
      <c r="P36" s="138">
        <v>2</v>
      </c>
      <c r="Q36" s="138">
        <v>0</v>
      </c>
      <c r="R36" s="140"/>
      <c r="S36" s="138">
        <v>0</v>
      </c>
      <c r="T36" s="138">
        <v>0</v>
      </c>
      <c r="U36" s="138">
        <v>0</v>
      </c>
      <c r="V36" s="138">
        <v>0</v>
      </c>
      <c r="W36" s="140"/>
      <c r="X36" s="138">
        <v>0</v>
      </c>
      <c r="Y36" s="138">
        <v>0</v>
      </c>
      <c r="Z36" s="138">
        <v>0</v>
      </c>
      <c r="AA36" s="138">
        <v>0</v>
      </c>
      <c r="AB36" s="140"/>
      <c r="AC36" s="138">
        <v>0</v>
      </c>
      <c r="AD36" s="138">
        <v>0</v>
      </c>
      <c r="AE36" s="138">
        <v>0</v>
      </c>
      <c r="AF36" s="140"/>
      <c r="AG36" s="141">
        <f>'form A info'!$AK53/1000</f>
        <v>0</v>
      </c>
    </row>
    <row r="37" spans="1:33" x14ac:dyDescent="0.2">
      <c r="A37" s="134">
        <v>582</v>
      </c>
      <c r="B37" s="134" t="s">
        <v>37</v>
      </c>
      <c r="C37" s="114" t="str">
        <f>'form A info'!G54</f>
        <v>y</v>
      </c>
      <c r="D37" s="138">
        <v>168</v>
      </c>
      <c r="E37" s="138">
        <v>367</v>
      </c>
      <c r="F37" s="138">
        <v>103</v>
      </c>
      <c r="G37" s="138">
        <v>0</v>
      </c>
      <c r="H37" s="139"/>
      <c r="I37" s="138">
        <v>9</v>
      </c>
      <c r="J37" s="138">
        <v>15</v>
      </c>
      <c r="K37" s="138">
        <v>0</v>
      </c>
      <c r="L37" s="138">
        <v>0</v>
      </c>
      <c r="M37" s="139"/>
      <c r="N37" s="138">
        <v>14</v>
      </c>
      <c r="O37" s="138">
        <v>5</v>
      </c>
      <c r="P37" s="138">
        <v>20</v>
      </c>
      <c r="Q37" s="138">
        <v>0</v>
      </c>
      <c r="R37" s="140"/>
      <c r="S37" s="138">
        <v>92</v>
      </c>
      <c r="T37" s="138">
        <v>0</v>
      </c>
      <c r="U37" s="138">
        <v>0</v>
      </c>
      <c r="V37" s="138">
        <v>0</v>
      </c>
      <c r="W37" s="140"/>
      <c r="X37" s="138">
        <v>94</v>
      </c>
      <c r="Y37" s="138">
        <v>0</v>
      </c>
      <c r="Z37" s="138">
        <v>0</v>
      </c>
      <c r="AA37" s="138">
        <v>0</v>
      </c>
      <c r="AB37" s="140"/>
      <c r="AC37" s="138">
        <v>10274</v>
      </c>
      <c r="AD37" s="138">
        <v>0</v>
      </c>
      <c r="AE37" s="138">
        <v>0</v>
      </c>
      <c r="AF37" s="140"/>
      <c r="AG37" s="141">
        <f>'form A info'!$AK54/1000</f>
        <v>0</v>
      </c>
    </row>
    <row r="38" spans="1:33" x14ac:dyDescent="0.2">
      <c r="A38" s="134">
        <v>8287</v>
      </c>
      <c r="B38" s="134" t="s">
        <v>43</v>
      </c>
      <c r="C38" s="114" t="str">
        <f>'form A info'!G56</f>
        <v>y</v>
      </c>
      <c r="D38" s="138">
        <v>147</v>
      </c>
      <c r="E38" s="138">
        <v>0</v>
      </c>
      <c r="F38" s="138">
        <v>35</v>
      </c>
      <c r="G38" s="138">
        <v>4</v>
      </c>
      <c r="H38" s="139"/>
      <c r="I38" s="138">
        <v>0</v>
      </c>
      <c r="J38" s="138">
        <v>0</v>
      </c>
      <c r="K38" s="138">
        <v>0</v>
      </c>
      <c r="L38" s="138">
        <v>0</v>
      </c>
      <c r="M38" s="139"/>
      <c r="N38" s="138">
        <v>0</v>
      </c>
      <c r="O38" s="138">
        <v>0</v>
      </c>
      <c r="P38" s="138">
        <v>57</v>
      </c>
      <c r="Q38" s="138">
        <v>0</v>
      </c>
      <c r="R38" s="140"/>
      <c r="S38" s="138">
        <v>11</v>
      </c>
      <c r="T38" s="138">
        <v>1</v>
      </c>
      <c r="U38" s="138">
        <v>0</v>
      </c>
      <c r="V38" s="138">
        <v>0</v>
      </c>
      <c r="W38" s="140"/>
      <c r="X38" s="138">
        <v>3</v>
      </c>
      <c r="Y38" s="138">
        <v>0</v>
      </c>
      <c r="Z38" s="138">
        <v>0</v>
      </c>
      <c r="AA38" s="138">
        <v>0</v>
      </c>
      <c r="AB38" s="140"/>
      <c r="AC38" s="138">
        <v>0</v>
      </c>
      <c r="AD38" s="138">
        <v>37550</v>
      </c>
      <c r="AE38" s="138">
        <v>0</v>
      </c>
      <c r="AF38" s="140"/>
      <c r="AG38" s="141">
        <f>'form A info'!$AK56/1000</f>
        <v>360.10500000000002</v>
      </c>
    </row>
    <row r="39" spans="1:33" x14ac:dyDescent="0.2">
      <c r="A39" s="134">
        <v>8158</v>
      </c>
      <c r="B39" s="134" t="s">
        <v>48</v>
      </c>
      <c r="C39" s="114" t="str">
        <f>'form A info'!G58</f>
        <v>y</v>
      </c>
      <c r="D39" s="138">
        <v>0</v>
      </c>
      <c r="E39" s="138">
        <v>0</v>
      </c>
      <c r="F39" s="138">
        <v>166</v>
      </c>
      <c r="G39" s="138">
        <v>6</v>
      </c>
      <c r="H39" s="139"/>
      <c r="I39" s="138">
        <v>0</v>
      </c>
      <c r="J39" s="138">
        <v>0</v>
      </c>
      <c r="K39" s="138">
        <v>2</v>
      </c>
      <c r="L39" s="138">
        <v>0</v>
      </c>
      <c r="M39" s="139"/>
      <c r="N39" s="138">
        <v>0</v>
      </c>
      <c r="O39" s="138">
        <v>0</v>
      </c>
      <c r="P39" s="138">
        <v>14</v>
      </c>
      <c r="Q39" s="138">
        <v>3</v>
      </c>
      <c r="R39" s="140"/>
      <c r="S39" s="138">
        <v>0</v>
      </c>
      <c r="T39" s="138">
        <v>0</v>
      </c>
      <c r="U39" s="138">
        <v>0</v>
      </c>
      <c r="V39" s="138">
        <v>0</v>
      </c>
      <c r="W39" s="140"/>
      <c r="X39" s="138">
        <v>0</v>
      </c>
      <c r="Y39" s="138">
        <v>0</v>
      </c>
      <c r="Z39" s="138">
        <v>0</v>
      </c>
      <c r="AA39" s="138">
        <v>0</v>
      </c>
      <c r="AB39" s="140"/>
      <c r="AC39" s="138">
        <v>0</v>
      </c>
      <c r="AD39" s="138">
        <v>0</v>
      </c>
      <c r="AE39" s="138">
        <v>0</v>
      </c>
      <c r="AF39" s="140"/>
      <c r="AG39" s="141">
        <f>'form A info'!$AK58/1000</f>
        <v>521.50800000000004</v>
      </c>
    </row>
    <row r="40" spans="1:33" x14ac:dyDescent="0.2">
      <c r="A40" s="134">
        <v>8185</v>
      </c>
      <c r="B40" s="134" t="s">
        <v>50</v>
      </c>
      <c r="C40" s="114" t="str">
        <f>'form A info'!G59</f>
        <v>y</v>
      </c>
      <c r="D40" s="138">
        <v>0</v>
      </c>
      <c r="E40" s="138">
        <v>0</v>
      </c>
      <c r="F40" s="138">
        <v>295</v>
      </c>
      <c r="G40" s="138">
        <v>3</v>
      </c>
      <c r="H40" s="139"/>
      <c r="I40" s="138">
        <v>0</v>
      </c>
      <c r="J40" s="138">
        <v>0</v>
      </c>
      <c r="K40" s="138">
        <v>18</v>
      </c>
      <c r="L40" s="138">
        <v>0</v>
      </c>
      <c r="M40" s="139"/>
      <c r="N40" s="138">
        <v>0</v>
      </c>
      <c r="O40" s="138">
        <v>0</v>
      </c>
      <c r="P40" s="138">
        <v>51</v>
      </c>
      <c r="Q40" s="138">
        <v>0</v>
      </c>
      <c r="R40" s="140"/>
      <c r="S40" s="138">
        <v>0</v>
      </c>
      <c r="T40" s="138">
        <v>0</v>
      </c>
      <c r="U40" s="138">
        <v>0</v>
      </c>
      <c r="V40" s="138">
        <v>0</v>
      </c>
      <c r="W40" s="140"/>
      <c r="X40" s="138">
        <v>0</v>
      </c>
      <c r="Y40" s="138">
        <v>0</v>
      </c>
      <c r="Z40" s="138">
        <v>0</v>
      </c>
      <c r="AA40" s="138">
        <v>0</v>
      </c>
      <c r="AB40" s="140"/>
      <c r="AC40" s="138">
        <v>0</v>
      </c>
      <c r="AD40" s="138">
        <v>0</v>
      </c>
      <c r="AE40" s="138">
        <v>0</v>
      </c>
      <c r="AF40" s="140"/>
      <c r="AG40" s="141">
        <f>'form A info'!$AK59/1000</f>
        <v>0</v>
      </c>
    </row>
    <row r="41" spans="1:33" x14ac:dyDescent="0.2">
      <c r="A41" s="134">
        <v>914</v>
      </c>
      <c r="B41" s="134" t="s">
        <v>53</v>
      </c>
      <c r="C41" s="114" t="str">
        <f>'form A info'!G60</f>
        <v>y</v>
      </c>
      <c r="D41" s="138">
        <v>120</v>
      </c>
      <c r="E41" s="138">
        <v>0</v>
      </c>
      <c r="F41" s="138">
        <v>47</v>
      </c>
      <c r="G41" s="138">
        <v>26</v>
      </c>
      <c r="H41" s="139"/>
      <c r="I41" s="138">
        <v>32</v>
      </c>
      <c r="J41" s="138">
        <v>4</v>
      </c>
      <c r="K41" s="138">
        <v>0</v>
      </c>
      <c r="L41" s="138">
        <v>0</v>
      </c>
      <c r="M41" s="139"/>
      <c r="N41" s="138">
        <v>6</v>
      </c>
      <c r="O41" s="138">
        <v>0</v>
      </c>
      <c r="P41" s="138">
        <v>9</v>
      </c>
      <c r="Q41" s="138">
        <v>3</v>
      </c>
      <c r="R41" s="140"/>
      <c r="S41" s="138">
        <v>35</v>
      </c>
      <c r="T41" s="138">
        <v>0</v>
      </c>
      <c r="U41" s="138">
        <v>0</v>
      </c>
      <c r="V41" s="138">
        <v>0</v>
      </c>
      <c r="W41" s="140"/>
      <c r="X41" s="138">
        <v>105</v>
      </c>
      <c r="Y41" s="138">
        <v>0</v>
      </c>
      <c r="Z41" s="138">
        <v>0</v>
      </c>
      <c r="AA41" s="138">
        <v>0</v>
      </c>
      <c r="AB41" s="140"/>
      <c r="AC41" s="138">
        <v>0</v>
      </c>
      <c r="AD41" s="138">
        <v>0</v>
      </c>
      <c r="AE41" s="138">
        <v>0</v>
      </c>
      <c r="AF41" s="140"/>
      <c r="AG41" s="141">
        <f>'form A info'!$AK60/1000</f>
        <v>0</v>
      </c>
    </row>
    <row r="42" spans="1:33" x14ac:dyDescent="0.2">
      <c r="A42" s="134">
        <v>3937</v>
      </c>
      <c r="B42" s="134" t="s">
        <v>55</v>
      </c>
      <c r="C42" s="114" t="str">
        <f>'form A info'!G61</f>
        <v>y</v>
      </c>
      <c r="D42" s="138">
        <v>121</v>
      </c>
      <c r="E42" s="138">
        <v>181</v>
      </c>
      <c r="F42" s="138">
        <v>81</v>
      </c>
      <c r="G42" s="138">
        <v>6</v>
      </c>
      <c r="H42" s="139"/>
      <c r="I42" s="138">
        <v>202</v>
      </c>
      <c r="J42" s="138">
        <v>7</v>
      </c>
      <c r="K42" s="138">
        <v>0</v>
      </c>
      <c r="L42" s="138">
        <v>0</v>
      </c>
      <c r="M42" s="139"/>
      <c r="N42" s="138">
        <v>18</v>
      </c>
      <c r="O42" s="138">
        <v>27</v>
      </c>
      <c r="P42" s="138">
        <v>118</v>
      </c>
      <c r="Q42" s="138">
        <v>0</v>
      </c>
      <c r="R42" s="140"/>
      <c r="S42" s="138">
        <v>54</v>
      </c>
      <c r="T42" s="138">
        <v>0</v>
      </c>
      <c r="U42" s="138">
        <v>0</v>
      </c>
      <c r="V42" s="138">
        <v>0</v>
      </c>
      <c r="W42" s="140"/>
      <c r="X42" s="138">
        <v>114</v>
      </c>
      <c r="Y42" s="138">
        <v>0</v>
      </c>
      <c r="Z42" s="138">
        <v>0</v>
      </c>
      <c r="AA42" s="138">
        <v>0</v>
      </c>
      <c r="AB42" s="140"/>
      <c r="AC42" s="138">
        <v>0</v>
      </c>
      <c r="AD42" s="138">
        <v>0</v>
      </c>
      <c r="AE42" s="138">
        <v>0</v>
      </c>
      <c r="AF42" s="140"/>
      <c r="AG42" s="141">
        <f>'form A info'!$AK61/1000</f>
        <v>94.779939999999996</v>
      </c>
    </row>
    <row r="43" spans="1:33" x14ac:dyDescent="0.2">
      <c r="A43" s="134">
        <v>918</v>
      </c>
      <c r="B43" s="134" t="s">
        <v>62</v>
      </c>
      <c r="C43" s="114" t="str">
        <f>'form A info'!G63</f>
        <v>y</v>
      </c>
      <c r="D43" s="138">
        <v>0</v>
      </c>
      <c r="E43" s="138">
        <v>0</v>
      </c>
      <c r="F43" s="138">
        <v>6</v>
      </c>
      <c r="G43" s="138">
        <v>0</v>
      </c>
      <c r="H43" s="139"/>
      <c r="I43" s="138">
        <v>0</v>
      </c>
      <c r="J43" s="138">
        <v>0</v>
      </c>
      <c r="K43" s="138">
        <v>0</v>
      </c>
      <c r="L43" s="138">
        <v>0</v>
      </c>
      <c r="M43" s="139"/>
      <c r="N43" s="138">
        <v>0</v>
      </c>
      <c r="O43" s="138">
        <v>11</v>
      </c>
      <c r="P43" s="138">
        <v>2</v>
      </c>
      <c r="Q43" s="138">
        <v>0</v>
      </c>
      <c r="R43" s="140"/>
      <c r="S43" s="138">
        <v>0</v>
      </c>
      <c r="T43" s="138">
        <v>0</v>
      </c>
      <c r="U43" s="138">
        <v>0</v>
      </c>
      <c r="V43" s="138">
        <v>0</v>
      </c>
      <c r="W43" s="140"/>
      <c r="X43" s="138">
        <v>0</v>
      </c>
      <c r="Y43" s="138">
        <v>0</v>
      </c>
      <c r="Z43" s="138">
        <v>0</v>
      </c>
      <c r="AA43" s="138">
        <v>0</v>
      </c>
      <c r="AB43" s="140"/>
      <c r="AC43" s="138">
        <v>0</v>
      </c>
      <c r="AD43" s="138">
        <v>0</v>
      </c>
      <c r="AE43" s="138">
        <v>0</v>
      </c>
      <c r="AF43" s="140"/>
      <c r="AG43" s="141">
        <f>'form A info'!$AK63/1000</f>
        <v>0</v>
      </c>
    </row>
    <row r="44" spans="1:33" x14ac:dyDescent="0.2">
      <c r="A44" s="134">
        <v>4662</v>
      </c>
      <c r="B44" s="134" t="s">
        <v>64</v>
      </c>
      <c r="C44" s="114" t="str">
        <f>'form A info'!G64</f>
        <v>y</v>
      </c>
      <c r="D44" s="138">
        <v>0</v>
      </c>
      <c r="E44" s="138">
        <v>0</v>
      </c>
      <c r="F44" s="138">
        <v>155</v>
      </c>
      <c r="G44" s="138">
        <v>1</v>
      </c>
      <c r="H44" s="139"/>
      <c r="I44" s="138">
        <v>0</v>
      </c>
      <c r="J44" s="138">
        <v>0</v>
      </c>
      <c r="K44" s="138">
        <v>0</v>
      </c>
      <c r="L44" s="138">
        <v>0</v>
      </c>
      <c r="M44" s="139"/>
      <c r="N44" s="138">
        <v>0</v>
      </c>
      <c r="O44" s="138">
        <v>0</v>
      </c>
      <c r="P44" s="138">
        <v>26</v>
      </c>
      <c r="Q44" s="138">
        <v>0</v>
      </c>
      <c r="R44" s="140"/>
      <c r="S44" s="138">
        <v>0</v>
      </c>
      <c r="T44" s="138">
        <v>0</v>
      </c>
      <c r="U44" s="138">
        <v>0</v>
      </c>
      <c r="V44" s="138">
        <v>0</v>
      </c>
      <c r="W44" s="140"/>
      <c r="X44" s="138">
        <v>0</v>
      </c>
      <c r="Y44" s="138">
        <v>0</v>
      </c>
      <c r="Z44" s="138">
        <v>0</v>
      </c>
      <c r="AA44" s="138">
        <v>0</v>
      </c>
      <c r="AB44" s="140"/>
      <c r="AC44" s="138">
        <v>36252</v>
      </c>
      <c r="AD44" s="138">
        <v>0</v>
      </c>
      <c r="AE44" s="138">
        <v>0</v>
      </c>
      <c r="AF44" s="140"/>
      <c r="AG44" s="141">
        <f>'form A info'!$AK64/1000</f>
        <v>390.279</v>
      </c>
    </row>
    <row r="45" spans="1:33" x14ac:dyDescent="0.2">
      <c r="A45" s="134">
        <v>9981</v>
      </c>
      <c r="B45" s="134" t="s">
        <v>75</v>
      </c>
      <c r="C45" s="114" t="str">
        <f>'form A info'!G70</f>
        <v>y</v>
      </c>
      <c r="D45" s="138">
        <v>0</v>
      </c>
      <c r="E45" s="138">
        <v>0</v>
      </c>
      <c r="F45" s="138">
        <v>0</v>
      </c>
      <c r="G45" s="138">
        <v>0</v>
      </c>
      <c r="H45" s="139"/>
      <c r="I45" s="138">
        <v>0</v>
      </c>
      <c r="J45" s="138">
        <v>0</v>
      </c>
      <c r="K45" s="138">
        <v>0</v>
      </c>
      <c r="L45" s="138">
        <v>0</v>
      </c>
      <c r="M45" s="139"/>
      <c r="N45" s="138">
        <v>0</v>
      </c>
      <c r="O45" s="138">
        <v>0</v>
      </c>
      <c r="P45" s="138">
        <v>0</v>
      </c>
      <c r="Q45" s="138">
        <v>0</v>
      </c>
      <c r="R45" s="140"/>
      <c r="S45" s="138">
        <v>0</v>
      </c>
      <c r="T45" s="138">
        <v>0</v>
      </c>
      <c r="U45" s="138">
        <v>0</v>
      </c>
      <c r="V45" s="138">
        <v>0</v>
      </c>
      <c r="W45" s="140"/>
      <c r="X45" s="138">
        <v>0</v>
      </c>
      <c r="Y45" s="138">
        <v>0</v>
      </c>
      <c r="Z45" s="138">
        <v>0</v>
      </c>
      <c r="AA45" s="138">
        <v>0</v>
      </c>
      <c r="AB45" s="140"/>
      <c r="AC45" s="138">
        <v>0</v>
      </c>
      <c r="AD45" s="138">
        <v>0</v>
      </c>
      <c r="AE45" s="138">
        <v>0</v>
      </c>
      <c r="AF45" s="140"/>
      <c r="AG45" s="141">
        <f>'form A info'!$AK70/1000</f>
        <v>0</v>
      </c>
    </row>
    <row r="46" spans="1:33" x14ac:dyDescent="0.2">
      <c r="A46" s="134">
        <v>1118</v>
      </c>
      <c r="B46" s="134" t="s">
        <v>79</v>
      </c>
      <c r="C46" s="114" t="str">
        <f>'form A info'!G72</f>
        <v>y</v>
      </c>
      <c r="D46" s="138">
        <v>26</v>
      </c>
      <c r="E46" s="138">
        <v>0</v>
      </c>
      <c r="F46" s="138">
        <v>23</v>
      </c>
      <c r="G46" s="138">
        <v>5</v>
      </c>
      <c r="H46" s="139"/>
      <c r="I46" s="138">
        <v>0</v>
      </c>
      <c r="J46" s="138">
        <v>0</v>
      </c>
      <c r="K46" s="138">
        <v>11</v>
      </c>
      <c r="L46" s="138">
        <v>1</v>
      </c>
      <c r="M46" s="139"/>
      <c r="N46" s="138">
        <v>0</v>
      </c>
      <c r="O46" s="138">
        <v>7</v>
      </c>
      <c r="P46" s="138">
        <v>0</v>
      </c>
      <c r="Q46" s="138">
        <v>1</v>
      </c>
      <c r="R46" s="140"/>
      <c r="S46" s="138">
        <v>0</v>
      </c>
      <c r="T46" s="138">
        <v>0</v>
      </c>
      <c r="U46" s="138">
        <v>0</v>
      </c>
      <c r="V46" s="138">
        <v>0</v>
      </c>
      <c r="W46" s="140"/>
      <c r="X46" s="138">
        <v>0</v>
      </c>
      <c r="Y46" s="138">
        <v>0</v>
      </c>
      <c r="Z46" s="138">
        <v>0</v>
      </c>
      <c r="AA46" s="138">
        <v>0</v>
      </c>
      <c r="AB46" s="140"/>
      <c r="AC46" s="138">
        <v>0</v>
      </c>
      <c r="AD46" s="138">
        <v>0</v>
      </c>
      <c r="AE46" s="138">
        <v>0</v>
      </c>
      <c r="AF46" s="140"/>
      <c r="AG46" s="141">
        <f>'form A info'!$AK72/1000</f>
        <v>72.155760000000001</v>
      </c>
    </row>
    <row r="47" spans="1:33" x14ac:dyDescent="0.2">
      <c r="A47" s="134">
        <v>3555</v>
      </c>
      <c r="B47" s="134" t="s">
        <v>82</v>
      </c>
      <c r="C47" s="114" t="str">
        <f>'form A info'!G73</f>
        <v>y</v>
      </c>
      <c r="D47" s="138">
        <v>0</v>
      </c>
      <c r="E47" s="138">
        <v>0</v>
      </c>
      <c r="F47" s="138">
        <v>20</v>
      </c>
      <c r="G47" s="138">
        <v>0</v>
      </c>
      <c r="H47" s="139"/>
      <c r="I47" s="138">
        <v>0</v>
      </c>
      <c r="J47" s="138">
        <v>0</v>
      </c>
      <c r="K47" s="138">
        <v>0</v>
      </c>
      <c r="L47" s="138">
        <v>1</v>
      </c>
      <c r="M47" s="139"/>
      <c r="N47" s="138">
        <v>0</v>
      </c>
      <c r="O47" s="138">
        <v>0</v>
      </c>
      <c r="P47" s="138">
        <v>0</v>
      </c>
      <c r="Q47" s="138">
        <v>4</v>
      </c>
      <c r="R47" s="140"/>
      <c r="S47" s="138">
        <v>0</v>
      </c>
      <c r="T47" s="138">
        <v>0</v>
      </c>
      <c r="U47" s="138">
        <v>0</v>
      </c>
      <c r="V47" s="138">
        <v>0</v>
      </c>
      <c r="W47" s="140"/>
      <c r="X47" s="138">
        <v>0</v>
      </c>
      <c r="Y47" s="138">
        <v>0</v>
      </c>
      <c r="Z47" s="138">
        <v>0</v>
      </c>
      <c r="AA47" s="138">
        <v>0</v>
      </c>
      <c r="AB47" s="140"/>
      <c r="AC47" s="138">
        <v>0</v>
      </c>
      <c r="AD47" s="138">
        <v>0</v>
      </c>
      <c r="AE47" s="138">
        <v>0</v>
      </c>
      <c r="AF47" s="140"/>
      <c r="AG47" s="141">
        <f>'form A info'!$AK73/1000</f>
        <v>0</v>
      </c>
    </row>
    <row r="48" spans="1:33" x14ac:dyDescent="0.2">
      <c r="A48" s="134">
        <v>1125</v>
      </c>
      <c r="B48" s="134" t="s">
        <v>84</v>
      </c>
      <c r="C48" s="114" t="str">
        <f>'form A info'!G74</f>
        <v>y</v>
      </c>
      <c r="D48" s="138">
        <v>17</v>
      </c>
      <c r="E48" s="138">
        <v>392</v>
      </c>
      <c r="F48" s="138">
        <v>37</v>
      </c>
      <c r="G48" s="138">
        <v>0</v>
      </c>
      <c r="H48" s="139"/>
      <c r="I48" s="138">
        <v>0</v>
      </c>
      <c r="J48" s="138">
        <v>0</v>
      </c>
      <c r="K48" s="138">
        <v>0</v>
      </c>
      <c r="L48" s="138">
        <v>0</v>
      </c>
      <c r="M48" s="139"/>
      <c r="N48" s="138">
        <v>0</v>
      </c>
      <c r="O48" s="138">
        <v>0</v>
      </c>
      <c r="P48" s="138">
        <v>5</v>
      </c>
      <c r="Q48" s="138">
        <v>2</v>
      </c>
      <c r="R48" s="140"/>
      <c r="S48" s="138">
        <v>0</v>
      </c>
      <c r="T48" s="138">
        <v>0</v>
      </c>
      <c r="U48" s="138">
        <v>0</v>
      </c>
      <c r="V48" s="138">
        <v>0</v>
      </c>
      <c r="W48" s="140"/>
      <c r="X48" s="138">
        <v>0</v>
      </c>
      <c r="Y48" s="138">
        <v>0</v>
      </c>
      <c r="Z48" s="138">
        <v>0</v>
      </c>
      <c r="AA48" s="138">
        <v>0</v>
      </c>
      <c r="AB48" s="140"/>
      <c r="AC48" s="138">
        <v>0</v>
      </c>
      <c r="AD48" s="138">
        <v>0</v>
      </c>
      <c r="AE48" s="138">
        <v>0</v>
      </c>
      <c r="AF48" s="140"/>
      <c r="AG48" s="141">
        <f>'form A info'!$AK74/1000</f>
        <v>378.34300000000002</v>
      </c>
    </row>
    <row r="49" spans="1:33" x14ac:dyDescent="0.2">
      <c r="A49" s="134">
        <v>941</v>
      </c>
      <c r="B49" s="134" t="s">
        <v>92</v>
      </c>
      <c r="C49" s="114" t="str">
        <f>'form A info'!G76</f>
        <v>y</v>
      </c>
      <c r="D49" s="138">
        <v>0</v>
      </c>
      <c r="E49" s="138">
        <v>0</v>
      </c>
      <c r="F49" s="138">
        <v>16</v>
      </c>
      <c r="G49" s="138">
        <v>34</v>
      </c>
      <c r="H49" s="139"/>
      <c r="I49" s="138">
        <v>0</v>
      </c>
      <c r="J49" s="138">
        <v>0</v>
      </c>
      <c r="K49" s="138">
        <v>0</v>
      </c>
      <c r="L49" s="138">
        <v>0</v>
      </c>
      <c r="M49" s="139"/>
      <c r="N49" s="138">
        <v>0</v>
      </c>
      <c r="O49" s="138">
        <v>0</v>
      </c>
      <c r="P49" s="138">
        <v>2</v>
      </c>
      <c r="Q49" s="138">
        <v>1</v>
      </c>
      <c r="R49" s="140"/>
      <c r="S49" s="138">
        <v>0</v>
      </c>
      <c r="T49" s="138">
        <v>0</v>
      </c>
      <c r="U49" s="138">
        <v>0</v>
      </c>
      <c r="V49" s="138">
        <v>0</v>
      </c>
      <c r="W49" s="140"/>
      <c r="X49" s="138">
        <v>0</v>
      </c>
      <c r="Y49" s="138">
        <v>0</v>
      </c>
      <c r="Z49" s="138">
        <v>0</v>
      </c>
      <c r="AA49" s="138">
        <v>0</v>
      </c>
      <c r="AB49" s="140"/>
      <c r="AC49" s="138">
        <v>0</v>
      </c>
      <c r="AD49" s="138">
        <v>0</v>
      </c>
      <c r="AE49" s="138">
        <v>0</v>
      </c>
      <c r="AF49" s="140"/>
      <c r="AG49" s="141">
        <f>'form A info'!$AK76/1000</f>
        <v>0</v>
      </c>
    </row>
    <row r="50" spans="1:33" x14ac:dyDescent="0.2">
      <c r="A50" s="134">
        <v>1504</v>
      </c>
      <c r="B50" s="134" t="s">
        <v>94</v>
      </c>
      <c r="C50" s="114" t="str">
        <f>'form A info'!G77</f>
        <v>y</v>
      </c>
      <c r="D50" s="138">
        <v>0</v>
      </c>
      <c r="E50" s="138">
        <v>0</v>
      </c>
      <c r="F50" s="138">
        <v>16</v>
      </c>
      <c r="G50" s="138">
        <v>6</v>
      </c>
      <c r="H50" s="139"/>
      <c r="I50" s="138">
        <v>0</v>
      </c>
      <c r="J50" s="138">
        <v>0</v>
      </c>
      <c r="K50" s="138">
        <v>6</v>
      </c>
      <c r="L50" s="138">
        <v>1</v>
      </c>
      <c r="M50" s="139"/>
      <c r="N50" s="138">
        <v>0</v>
      </c>
      <c r="O50" s="138">
        <v>0</v>
      </c>
      <c r="P50" s="138">
        <v>1</v>
      </c>
      <c r="Q50" s="138">
        <v>1</v>
      </c>
      <c r="R50" s="140"/>
      <c r="S50" s="138">
        <v>0</v>
      </c>
      <c r="T50" s="138">
        <v>0</v>
      </c>
      <c r="U50" s="138">
        <v>0</v>
      </c>
      <c r="V50" s="138">
        <v>0</v>
      </c>
      <c r="W50" s="140"/>
      <c r="X50" s="138">
        <v>0</v>
      </c>
      <c r="Y50" s="138">
        <v>0</v>
      </c>
      <c r="Z50" s="138">
        <v>0</v>
      </c>
      <c r="AA50" s="138">
        <v>0</v>
      </c>
      <c r="AB50" s="140"/>
      <c r="AC50" s="138">
        <v>0</v>
      </c>
      <c r="AD50" s="138">
        <v>0</v>
      </c>
      <c r="AE50" s="138">
        <v>0</v>
      </c>
      <c r="AF50" s="140"/>
      <c r="AG50" s="141">
        <f>'form A info'!$AK77/1000</f>
        <v>0</v>
      </c>
    </row>
    <row r="51" spans="1:33" x14ac:dyDescent="0.2">
      <c r="A51" s="134">
        <v>8638</v>
      </c>
      <c r="B51" s="134" t="s">
        <v>100</v>
      </c>
      <c r="C51" s="114" t="str">
        <f>'form A info'!G79</f>
        <v>y</v>
      </c>
      <c r="D51" s="138">
        <v>0</v>
      </c>
      <c r="E51" s="138">
        <v>0</v>
      </c>
      <c r="F51" s="138">
        <v>97</v>
      </c>
      <c r="G51" s="138">
        <v>18</v>
      </c>
      <c r="H51" s="139"/>
      <c r="I51" s="138">
        <v>0</v>
      </c>
      <c r="J51" s="138">
        <v>0</v>
      </c>
      <c r="K51" s="138">
        <v>8</v>
      </c>
      <c r="L51" s="138">
        <v>2</v>
      </c>
      <c r="M51" s="139"/>
      <c r="N51" s="138">
        <v>0</v>
      </c>
      <c r="O51" s="138">
        <v>0</v>
      </c>
      <c r="P51" s="138">
        <v>13</v>
      </c>
      <c r="Q51" s="138">
        <v>2</v>
      </c>
      <c r="R51" s="140"/>
      <c r="S51" s="138">
        <v>0</v>
      </c>
      <c r="T51" s="138">
        <v>0</v>
      </c>
      <c r="U51" s="138">
        <v>0</v>
      </c>
      <c r="V51" s="138">
        <v>0</v>
      </c>
      <c r="W51" s="140"/>
      <c r="X51" s="138">
        <v>0</v>
      </c>
      <c r="Y51" s="138">
        <v>0</v>
      </c>
      <c r="Z51" s="138">
        <v>0</v>
      </c>
      <c r="AA51" s="138">
        <v>0</v>
      </c>
      <c r="AB51" s="140"/>
      <c r="AC51" s="138">
        <v>0</v>
      </c>
      <c r="AD51" s="138">
        <v>0</v>
      </c>
      <c r="AE51" s="138">
        <v>9130</v>
      </c>
      <c r="AF51" s="140"/>
      <c r="AG51" s="141">
        <f>'form A info'!$AK79/1000</f>
        <v>495.74099999999999</v>
      </c>
    </row>
    <row r="52" spans="1:33" x14ac:dyDescent="0.2">
      <c r="A52" s="134">
        <v>1313</v>
      </c>
      <c r="B52" s="134" t="s">
        <v>103</v>
      </c>
      <c r="C52" s="114" t="str">
        <f>'form A info'!G80</f>
        <v>y</v>
      </c>
      <c r="D52" s="138">
        <v>200</v>
      </c>
      <c r="E52" s="138">
        <v>454</v>
      </c>
      <c r="F52" s="138">
        <v>116</v>
      </c>
      <c r="G52" s="138">
        <v>1</v>
      </c>
      <c r="H52" s="139"/>
      <c r="I52" s="138">
        <v>0</v>
      </c>
      <c r="J52" s="138">
        <v>0</v>
      </c>
      <c r="K52" s="138">
        <v>0</v>
      </c>
      <c r="L52" s="138">
        <v>0</v>
      </c>
      <c r="M52" s="139"/>
      <c r="N52" s="138">
        <v>3</v>
      </c>
      <c r="O52" s="138">
        <v>6</v>
      </c>
      <c r="P52" s="138">
        <v>6</v>
      </c>
      <c r="Q52" s="138">
        <v>0</v>
      </c>
      <c r="R52" s="140"/>
      <c r="S52" s="138">
        <v>13</v>
      </c>
      <c r="T52" s="138">
        <v>0</v>
      </c>
      <c r="U52" s="138">
        <v>0</v>
      </c>
      <c r="V52" s="138">
        <v>0</v>
      </c>
      <c r="W52" s="140"/>
      <c r="X52" s="138">
        <v>41</v>
      </c>
      <c r="Y52" s="138">
        <v>0</v>
      </c>
      <c r="Z52" s="138">
        <v>0</v>
      </c>
      <c r="AA52" s="138">
        <v>0</v>
      </c>
      <c r="AB52" s="140"/>
      <c r="AC52" s="138">
        <v>0</v>
      </c>
      <c r="AD52" s="138">
        <v>0</v>
      </c>
      <c r="AE52" s="138">
        <v>57720</v>
      </c>
      <c r="AF52" s="140"/>
      <c r="AG52" s="141">
        <f>'form A info'!$AK80/1000</f>
        <v>685.28499999999997</v>
      </c>
    </row>
    <row r="53" spans="1:33" x14ac:dyDescent="0.2">
      <c r="A53" s="134">
        <v>8675</v>
      </c>
      <c r="B53" s="134" t="s">
        <v>107</v>
      </c>
      <c r="C53" s="114" t="str">
        <f>'form A info'!G83</f>
        <v>y</v>
      </c>
      <c r="D53" s="138">
        <v>0</v>
      </c>
      <c r="E53" s="138">
        <v>0</v>
      </c>
      <c r="F53" s="138">
        <v>343</v>
      </c>
      <c r="G53" s="138">
        <v>25</v>
      </c>
      <c r="H53" s="139"/>
      <c r="I53" s="138">
        <v>0</v>
      </c>
      <c r="J53" s="138">
        <v>0</v>
      </c>
      <c r="K53" s="138">
        <v>33</v>
      </c>
      <c r="L53" s="138">
        <v>1</v>
      </c>
      <c r="M53" s="139"/>
      <c r="N53" s="138">
        <v>0</v>
      </c>
      <c r="O53" s="138">
        <v>3</v>
      </c>
      <c r="P53" s="138">
        <v>19</v>
      </c>
      <c r="Q53" s="138">
        <v>2</v>
      </c>
      <c r="R53" s="140"/>
      <c r="S53" s="138">
        <v>0</v>
      </c>
      <c r="T53" s="138">
        <v>0</v>
      </c>
      <c r="U53" s="138">
        <v>0</v>
      </c>
      <c r="V53" s="138">
        <v>0</v>
      </c>
      <c r="W53" s="140"/>
      <c r="X53" s="138">
        <v>0</v>
      </c>
      <c r="Y53" s="138">
        <v>0</v>
      </c>
      <c r="Z53" s="138">
        <v>0</v>
      </c>
      <c r="AA53" s="138">
        <v>0</v>
      </c>
      <c r="AB53" s="140"/>
      <c r="AC53" s="138">
        <v>0</v>
      </c>
      <c r="AD53" s="138">
        <v>0</v>
      </c>
      <c r="AE53" s="138">
        <v>0</v>
      </c>
      <c r="AF53" s="140"/>
      <c r="AG53" s="141">
        <f>'form A info'!$AK83/1000</f>
        <v>882.88400000000001</v>
      </c>
    </row>
    <row r="54" spans="1:33" x14ac:dyDescent="0.2">
      <c r="A54" s="134">
        <v>8678</v>
      </c>
      <c r="B54" s="134" t="s">
        <v>110</v>
      </c>
      <c r="C54" s="114" t="str">
        <f>'form A info'!G84</f>
        <v>y</v>
      </c>
      <c r="D54" s="138">
        <v>0</v>
      </c>
      <c r="E54" s="138">
        <v>0</v>
      </c>
      <c r="F54" s="138">
        <v>13</v>
      </c>
      <c r="G54" s="138">
        <v>0</v>
      </c>
      <c r="H54" s="139"/>
      <c r="I54" s="138">
        <v>0</v>
      </c>
      <c r="J54" s="138">
        <v>0</v>
      </c>
      <c r="K54" s="138">
        <v>0</v>
      </c>
      <c r="L54" s="138">
        <v>0</v>
      </c>
      <c r="M54" s="139"/>
      <c r="N54" s="138">
        <v>0</v>
      </c>
      <c r="O54" s="138">
        <v>0</v>
      </c>
      <c r="P54" s="138">
        <v>0</v>
      </c>
      <c r="Q54" s="138">
        <v>1</v>
      </c>
      <c r="R54" s="140"/>
      <c r="S54" s="138">
        <v>0</v>
      </c>
      <c r="T54" s="138">
        <v>0</v>
      </c>
      <c r="U54" s="138">
        <v>0</v>
      </c>
      <c r="V54" s="138">
        <v>0</v>
      </c>
      <c r="W54" s="140"/>
      <c r="X54" s="138">
        <v>0</v>
      </c>
      <c r="Y54" s="138">
        <v>0</v>
      </c>
      <c r="Z54" s="138">
        <v>0</v>
      </c>
      <c r="AA54" s="138">
        <v>0</v>
      </c>
      <c r="AB54" s="140"/>
      <c r="AC54" s="138">
        <v>0</v>
      </c>
      <c r="AD54" s="138">
        <v>0</v>
      </c>
      <c r="AE54" s="138">
        <v>9880</v>
      </c>
      <c r="AF54" s="140"/>
      <c r="AG54" s="141">
        <f>'form A info'!$AK84/1000</f>
        <v>24.257999999999999</v>
      </c>
    </row>
    <row r="55" spans="1:33" x14ac:dyDescent="0.2">
      <c r="A55" s="134">
        <v>1325</v>
      </c>
      <c r="B55" s="134" t="s">
        <v>113</v>
      </c>
      <c r="C55" s="114" t="str">
        <f>'form A info'!G87</f>
        <v>y</v>
      </c>
      <c r="D55" s="138">
        <v>72</v>
      </c>
      <c r="E55" s="138">
        <v>598</v>
      </c>
      <c r="F55" s="138">
        <v>101</v>
      </c>
      <c r="G55" s="138">
        <v>3</v>
      </c>
      <c r="H55" s="139"/>
      <c r="I55" s="138">
        <v>0</v>
      </c>
      <c r="J55" s="138">
        <v>0</v>
      </c>
      <c r="K55" s="138">
        <v>5</v>
      </c>
      <c r="L55" s="138">
        <v>1</v>
      </c>
      <c r="M55" s="139"/>
      <c r="N55" s="138">
        <v>0</v>
      </c>
      <c r="O55" s="138">
        <v>30</v>
      </c>
      <c r="P55" s="138">
        <v>24</v>
      </c>
      <c r="Q55" s="138">
        <v>1</v>
      </c>
      <c r="R55" s="140"/>
      <c r="S55" s="138">
        <v>0</v>
      </c>
      <c r="T55" s="138">
        <v>0</v>
      </c>
      <c r="U55" s="138">
        <v>0</v>
      </c>
      <c r="V55" s="138">
        <v>0</v>
      </c>
      <c r="W55" s="140"/>
      <c r="X55" s="138">
        <v>0</v>
      </c>
      <c r="Y55" s="138">
        <v>2</v>
      </c>
      <c r="Z55" s="138">
        <v>0</v>
      </c>
      <c r="AA55" s="138">
        <v>0</v>
      </c>
      <c r="AB55" s="140"/>
      <c r="AC55" s="138">
        <v>17163</v>
      </c>
      <c r="AD55" s="138">
        <v>0</v>
      </c>
      <c r="AE55" s="138">
        <v>23122</v>
      </c>
      <c r="AF55" s="140"/>
      <c r="AG55" s="141">
        <f>'form A info'!$AK87/1000</f>
        <v>913.22500000000002</v>
      </c>
    </row>
    <row r="56" spans="1:33" x14ac:dyDescent="0.2">
      <c r="A56" s="134">
        <v>1329</v>
      </c>
      <c r="B56" s="134" t="s">
        <v>115</v>
      </c>
      <c r="C56" s="114" t="str">
        <f>'form A info'!G88</f>
        <v>y</v>
      </c>
      <c r="D56" s="138">
        <v>0</v>
      </c>
      <c r="E56" s="138">
        <v>0</v>
      </c>
      <c r="F56" s="138">
        <v>0</v>
      </c>
      <c r="G56" s="138">
        <v>0</v>
      </c>
      <c r="H56" s="139"/>
      <c r="I56" s="138">
        <v>0</v>
      </c>
      <c r="J56" s="138">
        <v>0</v>
      </c>
      <c r="K56" s="138">
        <v>0</v>
      </c>
      <c r="L56" s="138">
        <v>0</v>
      </c>
      <c r="M56" s="139"/>
      <c r="N56" s="138">
        <v>0</v>
      </c>
      <c r="O56" s="138">
        <v>3</v>
      </c>
      <c r="P56" s="138">
        <v>0</v>
      </c>
      <c r="Q56" s="138">
        <v>0</v>
      </c>
      <c r="R56" s="140"/>
      <c r="S56" s="138">
        <v>0</v>
      </c>
      <c r="T56" s="138">
        <v>0</v>
      </c>
      <c r="U56" s="138">
        <v>0</v>
      </c>
      <c r="V56" s="138">
        <v>0</v>
      </c>
      <c r="W56" s="140"/>
      <c r="X56" s="138">
        <v>0</v>
      </c>
      <c r="Y56" s="138">
        <v>0</v>
      </c>
      <c r="Z56" s="138">
        <v>0</v>
      </c>
      <c r="AA56" s="138">
        <v>0</v>
      </c>
      <c r="AB56" s="140"/>
      <c r="AC56" s="138">
        <v>0</v>
      </c>
      <c r="AD56" s="138">
        <v>0</v>
      </c>
      <c r="AE56" s="138">
        <v>0</v>
      </c>
      <c r="AF56" s="140"/>
      <c r="AG56" s="141">
        <f>'form A info'!$AK88/1000</f>
        <v>0</v>
      </c>
    </row>
    <row r="57" spans="1:33" x14ac:dyDescent="0.2">
      <c r="A57" s="134">
        <v>1331</v>
      </c>
      <c r="B57" s="134" t="s">
        <v>116</v>
      </c>
      <c r="C57" s="114" t="str">
        <f>'form A info'!G89</f>
        <v>y</v>
      </c>
      <c r="D57" s="138">
        <v>0</v>
      </c>
      <c r="E57" s="138">
        <v>0</v>
      </c>
      <c r="F57" s="138">
        <v>12</v>
      </c>
      <c r="G57" s="138">
        <v>2</v>
      </c>
      <c r="H57" s="139"/>
      <c r="I57" s="138">
        <v>0</v>
      </c>
      <c r="J57" s="138">
        <v>0</v>
      </c>
      <c r="K57" s="138">
        <v>0</v>
      </c>
      <c r="L57" s="138">
        <v>2</v>
      </c>
      <c r="M57" s="139"/>
      <c r="N57" s="138">
        <v>0</v>
      </c>
      <c r="O57" s="138">
        <v>0</v>
      </c>
      <c r="P57" s="138">
        <v>4</v>
      </c>
      <c r="Q57" s="138">
        <v>1</v>
      </c>
      <c r="R57" s="140"/>
      <c r="S57" s="138">
        <v>0</v>
      </c>
      <c r="T57" s="138">
        <v>0</v>
      </c>
      <c r="U57" s="138">
        <v>0</v>
      </c>
      <c r="V57" s="138">
        <v>0</v>
      </c>
      <c r="W57" s="140"/>
      <c r="X57" s="138">
        <v>0</v>
      </c>
      <c r="Y57" s="138">
        <v>0</v>
      </c>
      <c r="Z57" s="138">
        <v>0</v>
      </c>
      <c r="AA57" s="138">
        <v>0</v>
      </c>
      <c r="AB57" s="140"/>
      <c r="AC57" s="138">
        <v>0</v>
      </c>
      <c r="AD57" s="138">
        <v>0</v>
      </c>
      <c r="AE57" s="138">
        <v>0</v>
      </c>
      <c r="AF57" s="140"/>
      <c r="AG57" s="141">
        <f>'form A info'!$AK89/1000</f>
        <v>0</v>
      </c>
    </row>
    <row r="58" spans="1:33" x14ac:dyDescent="0.2">
      <c r="A58" s="134">
        <v>8682</v>
      </c>
      <c r="B58" s="134" t="s">
        <v>118</v>
      </c>
      <c r="C58" s="114" t="str">
        <f>'form A info'!G90</f>
        <v>y</v>
      </c>
      <c r="D58" s="138">
        <v>0</v>
      </c>
      <c r="E58" s="138">
        <v>0</v>
      </c>
      <c r="F58" s="138">
        <v>5</v>
      </c>
      <c r="G58" s="138">
        <v>0</v>
      </c>
      <c r="H58" s="139"/>
      <c r="I58" s="138">
        <v>0</v>
      </c>
      <c r="J58" s="138">
        <v>0</v>
      </c>
      <c r="K58" s="138">
        <v>0</v>
      </c>
      <c r="L58" s="138">
        <v>0</v>
      </c>
      <c r="M58" s="139"/>
      <c r="N58" s="138">
        <v>0</v>
      </c>
      <c r="O58" s="138">
        <v>0</v>
      </c>
      <c r="P58" s="138">
        <v>0</v>
      </c>
      <c r="Q58" s="138">
        <v>0</v>
      </c>
      <c r="R58" s="140"/>
      <c r="S58" s="138">
        <v>0</v>
      </c>
      <c r="T58" s="138">
        <v>0</v>
      </c>
      <c r="U58" s="138">
        <v>0</v>
      </c>
      <c r="V58" s="138">
        <v>0</v>
      </c>
      <c r="W58" s="140"/>
      <c r="X58" s="138">
        <v>0</v>
      </c>
      <c r="Y58" s="138">
        <v>0</v>
      </c>
      <c r="Z58" s="138">
        <v>0</v>
      </c>
      <c r="AA58" s="138">
        <v>0</v>
      </c>
      <c r="AB58" s="140"/>
      <c r="AC58" s="138">
        <v>0</v>
      </c>
      <c r="AD58" s="138">
        <v>0</v>
      </c>
      <c r="AE58" s="138">
        <v>0</v>
      </c>
      <c r="AF58" s="140"/>
      <c r="AG58" s="141">
        <f>'form A info'!$AK90/1000</f>
        <v>27.119</v>
      </c>
    </row>
    <row r="59" spans="1:33" x14ac:dyDescent="0.2">
      <c r="A59" s="134">
        <v>8688</v>
      </c>
      <c r="B59" s="134" t="s">
        <v>121</v>
      </c>
      <c r="C59" s="114" t="str">
        <f>'form A info'!G91</f>
        <v>y</v>
      </c>
      <c r="D59" s="138">
        <v>0</v>
      </c>
      <c r="E59" s="138">
        <v>0</v>
      </c>
      <c r="F59" s="138">
        <v>131</v>
      </c>
      <c r="G59" s="138">
        <v>3</v>
      </c>
      <c r="H59" s="139"/>
      <c r="I59" s="138">
        <v>0</v>
      </c>
      <c r="J59" s="138">
        <v>0</v>
      </c>
      <c r="K59" s="138">
        <v>0</v>
      </c>
      <c r="L59" s="138">
        <v>0</v>
      </c>
      <c r="M59" s="139"/>
      <c r="N59" s="138">
        <v>0</v>
      </c>
      <c r="O59" s="138">
        <v>0</v>
      </c>
      <c r="P59" s="138">
        <v>57</v>
      </c>
      <c r="Q59" s="138">
        <v>1</v>
      </c>
      <c r="R59" s="140"/>
      <c r="S59" s="138">
        <v>0</v>
      </c>
      <c r="T59" s="138">
        <v>0</v>
      </c>
      <c r="U59" s="138">
        <v>0</v>
      </c>
      <c r="V59" s="138">
        <v>0</v>
      </c>
      <c r="W59" s="140"/>
      <c r="X59" s="138">
        <v>0</v>
      </c>
      <c r="Y59" s="138">
        <v>0</v>
      </c>
      <c r="Z59" s="138">
        <v>0</v>
      </c>
      <c r="AA59" s="138">
        <v>0</v>
      </c>
      <c r="AB59" s="140"/>
      <c r="AC59" s="138">
        <v>0</v>
      </c>
      <c r="AD59" s="138">
        <v>20592</v>
      </c>
      <c r="AE59" s="138">
        <v>0</v>
      </c>
      <c r="AF59" s="140"/>
      <c r="AG59" s="141">
        <f>'form A info'!$AK91/1000</f>
        <v>245.50200000000001</v>
      </c>
    </row>
    <row r="60" spans="1:33" x14ac:dyDescent="0.2">
      <c r="A60" s="134">
        <v>4825</v>
      </c>
      <c r="B60" s="134" t="s">
        <v>127</v>
      </c>
      <c r="C60" s="114" t="str">
        <f>'form A info'!G93</f>
        <v>y</v>
      </c>
      <c r="D60" s="138">
        <v>248</v>
      </c>
      <c r="E60" s="138">
        <v>477</v>
      </c>
      <c r="F60" s="138">
        <v>151</v>
      </c>
      <c r="G60" s="138">
        <v>0</v>
      </c>
      <c r="H60" s="139"/>
      <c r="I60" s="138">
        <v>0</v>
      </c>
      <c r="J60" s="138">
        <v>0</v>
      </c>
      <c r="K60" s="138">
        <v>0</v>
      </c>
      <c r="L60" s="138">
        <v>0</v>
      </c>
      <c r="M60" s="139"/>
      <c r="N60" s="138">
        <v>14</v>
      </c>
      <c r="O60" s="138">
        <v>37</v>
      </c>
      <c r="P60" s="138">
        <v>28</v>
      </c>
      <c r="Q60" s="138">
        <v>0</v>
      </c>
      <c r="R60" s="140"/>
      <c r="S60" s="138">
        <v>4</v>
      </c>
      <c r="T60" s="138">
        <v>1</v>
      </c>
      <c r="U60" s="138">
        <v>0</v>
      </c>
      <c r="V60" s="138">
        <v>0</v>
      </c>
      <c r="W60" s="140"/>
      <c r="X60" s="138">
        <v>31</v>
      </c>
      <c r="Y60" s="138">
        <v>0</v>
      </c>
      <c r="Z60" s="138">
        <v>0</v>
      </c>
      <c r="AA60" s="138">
        <v>0</v>
      </c>
      <c r="AB60" s="140"/>
      <c r="AC60" s="138">
        <v>0</v>
      </c>
      <c r="AD60" s="138">
        <v>0</v>
      </c>
      <c r="AE60" s="138">
        <v>142638</v>
      </c>
      <c r="AF60" s="140"/>
      <c r="AG60" s="141">
        <f>'form A info'!$AK93/1000</f>
        <v>0</v>
      </c>
    </row>
    <row r="61" spans="1:33" x14ac:dyDescent="0.2">
      <c r="A61" s="134">
        <v>1518</v>
      </c>
      <c r="B61" s="134" t="s">
        <v>130</v>
      </c>
      <c r="C61" s="114" t="str">
        <f>'form A info'!G94</f>
        <v>y</v>
      </c>
      <c r="D61" s="138">
        <v>66</v>
      </c>
      <c r="E61" s="138">
        <v>378</v>
      </c>
      <c r="F61" s="138">
        <v>32</v>
      </c>
      <c r="G61" s="138">
        <v>1</v>
      </c>
      <c r="H61" s="139"/>
      <c r="I61" s="138">
        <v>0</v>
      </c>
      <c r="J61" s="138">
        <v>0</v>
      </c>
      <c r="K61" s="138">
        <v>0</v>
      </c>
      <c r="L61" s="138">
        <v>0</v>
      </c>
      <c r="M61" s="139"/>
      <c r="N61" s="138">
        <v>0</v>
      </c>
      <c r="O61" s="138">
        <v>11</v>
      </c>
      <c r="P61" s="138">
        <v>19</v>
      </c>
      <c r="Q61" s="138">
        <v>0</v>
      </c>
      <c r="R61" s="140"/>
      <c r="S61" s="138">
        <v>0</v>
      </c>
      <c r="T61" s="138">
        <v>0</v>
      </c>
      <c r="U61" s="138">
        <v>0</v>
      </c>
      <c r="V61" s="138">
        <v>0</v>
      </c>
      <c r="W61" s="140"/>
      <c r="X61" s="138">
        <v>0</v>
      </c>
      <c r="Y61" s="138">
        <v>2</v>
      </c>
      <c r="Z61" s="138">
        <v>0</v>
      </c>
      <c r="AA61" s="138">
        <v>0</v>
      </c>
      <c r="AB61" s="140"/>
      <c r="AC61" s="138">
        <v>12674</v>
      </c>
      <c r="AD61" s="138">
        <v>0</v>
      </c>
      <c r="AE61" s="138">
        <v>30600</v>
      </c>
      <c r="AF61" s="140"/>
      <c r="AG61" s="141">
        <f>'form A info'!$AK94/1000</f>
        <v>0</v>
      </c>
    </row>
    <row r="62" spans="1:33" x14ac:dyDescent="0.2">
      <c r="A62" s="134">
        <v>8735</v>
      </c>
      <c r="B62" s="134" t="s">
        <v>133</v>
      </c>
      <c r="C62" s="114" t="str">
        <f>'form A info'!G95</f>
        <v>y</v>
      </c>
      <c r="D62" s="138">
        <v>0</v>
      </c>
      <c r="E62" s="138">
        <v>0</v>
      </c>
      <c r="F62" s="138">
        <v>33</v>
      </c>
      <c r="G62" s="138">
        <v>1</v>
      </c>
      <c r="H62" s="139"/>
      <c r="I62" s="138">
        <v>0</v>
      </c>
      <c r="J62" s="138">
        <v>0</v>
      </c>
      <c r="K62" s="138">
        <v>0</v>
      </c>
      <c r="L62" s="138">
        <v>0</v>
      </c>
      <c r="M62" s="139"/>
      <c r="N62" s="138">
        <v>0</v>
      </c>
      <c r="O62" s="138">
        <v>-11</v>
      </c>
      <c r="P62" s="138">
        <v>151</v>
      </c>
      <c r="Q62" s="138">
        <v>0</v>
      </c>
      <c r="R62" s="140"/>
      <c r="S62" s="138">
        <v>0</v>
      </c>
      <c r="T62" s="138">
        <v>0</v>
      </c>
      <c r="U62" s="138">
        <v>0</v>
      </c>
      <c r="V62" s="138">
        <v>0</v>
      </c>
      <c r="W62" s="140"/>
      <c r="X62" s="138">
        <v>0</v>
      </c>
      <c r="Y62" s="138">
        <v>0</v>
      </c>
      <c r="Z62" s="138">
        <v>0</v>
      </c>
      <c r="AA62" s="138">
        <v>0</v>
      </c>
      <c r="AB62" s="140"/>
      <c r="AC62" s="138">
        <v>0</v>
      </c>
      <c r="AD62" s="138">
        <v>0</v>
      </c>
      <c r="AE62" s="138">
        <v>0</v>
      </c>
      <c r="AF62" s="140"/>
      <c r="AG62" s="141">
        <f>'form A info'!$AK95/1000</f>
        <v>0</v>
      </c>
    </row>
    <row r="63" spans="1:33" x14ac:dyDescent="0.2">
      <c r="A63" s="134">
        <v>1552</v>
      </c>
      <c r="B63" s="134" t="s">
        <v>135</v>
      </c>
      <c r="C63" s="114" t="str">
        <f>'form A info'!G97</f>
        <v>y</v>
      </c>
      <c r="D63" s="138">
        <v>56</v>
      </c>
      <c r="E63" s="138">
        <v>221</v>
      </c>
      <c r="F63" s="138">
        <v>43</v>
      </c>
      <c r="G63" s="138">
        <v>0</v>
      </c>
      <c r="H63" s="139"/>
      <c r="I63" s="138">
        <v>0</v>
      </c>
      <c r="J63" s="138">
        <v>0</v>
      </c>
      <c r="K63" s="138">
        <v>0</v>
      </c>
      <c r="L63" s="138">
        <v>0</v>
      </c>
      <c r="M63" s="139"/>
      <c r="N63" s="138">
        <v>0</v>
      </c>
      <c r="O63" s="138">
        <v>7</v>
      </c>
      <c r="P63" s="138">
        <v>7</v>
      </c>
      <c r="Q63" s="138">
        <v>0</v>
      </c>
      <c r="R63" s="140"/>
      <c r="S63" s="138">
        <v>0</v>
      </c>
      <c r="T63" s="138">
        <v>0</v>
      </c>
      <c r="U63" s="138">
        <v>0</v>
      </c>
      <c r="V63" s="138">
        <v>0</v>
      </c>
      <c r="W63" s="140"/>
      <c r="X63" s="138">
        <v>0</v>
      </c>
      <c r="Y63" s="138">
        <v>0</v>
      </c>
      <c r="Z63" s="138">
        <v>0</v>
      </c>
      <c r="AA63" s="138">
        <v>0</v>
      </c>
      <c r="AB63" s="140"/>
      <c r="AC63" s="138">
        <v>3846</v>
      </c>
      <c r="AD63" s="138">
        <v>0</v>
      </c>
      <c r="AE63" s="138">
        <v>0</v>
      </c>
      <c r="AF63" s="140"/>
      <c r="AG63" s="141">
        <f>'form A info'!$AK97/1000</f>
        <v>0</v>
      </c>
    </row>
    <row r="64" spans="1:33" x14ac:dyDescent="0.2">
      <c r="A64" s="134">
        <v>1704</v>
      </c>
      <c r="B64" s="134" t="s">
        <v>139</v>
      </c>
      <c r="C64" s="114" t="str">
        <f>'form A info'!G98</f>
        <v>y</v>
      </c>
      <c r="D64" s="138">
        <v>218</v>
      </c>
      <c r="E64" s="138">
        <v>461</v>
      </c>
      <c r="F64" s="138">
        <v>148</v>
      </c>
      <c r="G64" s="138">
        <v>24</v>
      </c>
      <c r="H64" s="139"/>
      <c r="I64" s="138">
        <v>0</v>
      </c>
      <c r="J64" s="138">
        <v>0</v>
      </c>
      <c r="K64" s="138">
        <v>0</v>
      </c>
      <c r="L64" s="138">
        <v>0</v>
      </c>
      <c r="M64" s="139"/>
      <c r="N64" s="138">
        <v>16</v>
      </c>
      <c r="O64" s="138">
        <v>74</v>
      </c>
      <c r="P64" s="138">
        <v>2</v>
      </c>
      <c r="Q64" s="138">
        <v>0</v>
      </c>
      <c r="R64" s="140"/>
      <c r="S64" s="138">
        <v>12</v>
      </c>
      <c r="T64" s="138">
        <v>0</v>
      </c>
      <c r="U64" s="138">
        <v>0</v>
      </c>
      <c r="V64" s="138">
        <v>0</v>
      </c>
      <c r="W64" s="140"/>
      <c r="X64" s="138">
        <v>154</v>
      </c>
      <c r="Y64" s="138">
        <v>0</v>
      </c>
      <c r="Z64" s="138">
        <v>0</v>
      </c>
      <c r="AA64" s="138">
        <v>0</v>
      </c>
      <c r="AB64" s="140"/>
      <c r="AC64" s="138">
        <v>0</v>
      </c>
      <c r="AD64" s="138">
        <v>0</v>
      </c>
      <c r="AE64" s="138">
        <v>0</v>
      </c>
      <c r="AF64" s="140"/>
      <c r="AG64" s="141">
        <f>'form A info'!$AK98/1000</f>
        <v>917.21</v>
      </c>
    </row>
    <row r="65" spans="1:33" x14ac:dyDescent="0.2">
      <c r="A65" s="134">
        <v>1711</v>
      </c>
      <c r="B65" s="134" t="s">
        <v>146</v>
      </c>
      <c r="C65" s="114" t="str">
        <f>'form A info'!G101</f>
        <v>y</v>
      </c>
      <c r="D65" s="138">
        <v>223</v>
      </c>
      <c r="E65" s="138">
        <v>558</v>
      </c>
      <c r="F65" s="138">
        <v>63</v>
      </c>
      <c r="G65" s="138">
        <v>0</v>
      </c>
      <c r="H65" s="139"/>
      <c r="I65" s="138">
        <v>0</v>
      </c>
      <c r="J65" s="138">
        <v>0</v>
      </c>
      <c r="K65" s="138">
        <v>0</v>
      </c>
      <c r="L65" s="138">
        <v>0</v>
      </c>
      <c r="M65" s="139"/>
      <c r="N65" s="138">
        <v>9</v>
      </c>
      <c r="O65" s="138">
        <v>42</v>
      </c>
      <c r="P65" s="138">
        <v>27</v>
      </c>
      <c r="Q65" s="138">
        <v>0</v>
      </c>
      <c r="R65" s="140"/>
      <c r="S65" s="138">
        <v>4</v>
      </c>
      <c r="T65" s="138">
        <v>0</v>
      </c>
      <c r="U65" s="138">
        <v>0</v>
      </c>
      <c r="V65" s="138">
        <v>0</v>
      </c>
      <c r="W65" s="140"/>
      <c r="X65" s="138">
        <v>62</v>
      </c>
      <c r="Y65" s="138">
        <v>2</v>
      </c>
      <c r="Z65" s="138">
        <v>0</v>
      </c>
      <c r="AA65" s="138">
        <v>0</v>
      </c>
      <c r="AB65" s="140"/>
      <c r="AC65" s="138">
        <v>10399</v>
      </c>
      <c r="AD65" s="138">
        <v>0</v>
      </c>
      <c r="AE65" s="138">
        <v>50502</v>
      </c>
      <c r="AF65" s="140"/>
      <c r="AG65" s="141">
        <f>'form A info'!$AK101/1000</f>
        <v>979.99699999999996</v>
      </c>
    </row>
    <row r="66" spans="1:33" x14ac:dyDescent="0.2">
      <c r="A66" s="134">
        <v>1712</v>
      </c>
      <c r="B66" s="134" t="s">
        <v>154</v>
      </c>
      <c r="C66" s="114" t="str">
        <f>'form A info'!G102</f>
        <v>y</v>
      </c>
      <c r="D66" s="138">
        <v>0</v>
      </c>
      <c r="E66" s="138">
        <v>0</v>
      </c>
      <c r="F66" s="138">
        <v>2</v>
      </c>
      <c r="G66" s="138">
        <v>0</v>
      </c>
      <c r="H66" s="139"/>
      <c r="I66" s="138">
        <v>0</v>
      </c>
      <c r="J66" s="138">
        <v>0</v>
      </c>
      <c r="K66" s="138">
        <v>0</v>
      </c>
      <c r="L66" s="138">
        <v>0</v>
      </c>
      <c r="M66" s="139"/>
      <c r="N66" s="138">
        <v>0</v>
      </c>
      <c r="O66" s="138">
        <v>0</v>
      </c>
      <c r="P66" s="138">
        <v>0</v>
      </c>
      <c r="Q66" s="138">
        <v>0</v>
      </c>
      <c r="R66" s="140"/>
      <c r="S66" s="138">
        <v>0</v>
      </c>
      <c r="T66" s="138">
        <v>0</v>
      </c>
      <c r="U66" s="138">
        <v>0</v>
      </c>
      <c r="V66" s="138">
        <v>0</v>
      </c>
      <c r="W66" s="140"/>
      <c r="X66" s="138">
        <v>0</v>
      </c>
      <c r="Y66" s="138">
        <v>0</v>
      </c>
      <c r="Z66" s="138">
        <v>0</v>
      </c>
      <c r="AA66" s="138">
        <v>0</v>
      </c>
      <c r="AB66" s="140"/>
      <c r="AC66" s="138">
        <v>0</v>
      </c>
      <c r="AD66" s="138">
        <v>0</v>
      </c>
      <c r="AE66" s="138">
        <v>0</v>
      </c>
      <c r="AF66" s="140"/>
      <c r="AG66" s="141">
        <f>'form A info'!$AK102/1000</f>
        <v>12.512</v>
      </c>
    </row>
    <row r="67" spans="1:33" x14ac:dyDescent="0.2">
      <c r="A67" s="134">
        <v>1731</v>
      </c>
      <c r="B67" s="134" t="s">
        <v>155</v>
      </c>
      <c r="C67" s="114" t="str">
        <f>'form A info'!G103</f>
        <v>y</v>
      </c>
      <c r="D67" s="138">
        <v>111</v>
      </c>
      <c r="E67" s="138">
        <v>678</v>
      </c>
      <c r="F67" s="138">
        <v>105</v>
      </c>
      <c r="G67" s="138">
        <v>0</v>
      </c>
      <c r="H67" s="139"/>
      <c r="I67" s="138">
        <v>0</v>
      </c>
      <c r="J67" s="138">
        <v>0</v>
      </c>
      <c r="K67" s="138">
        <v>7</v>
      </c>
      <c r="L67" s="138">
        <v>0</v>
      </c>
      <c r="M67" s="139"/>
      <c r="N67" s="138">
        <v>0</v>
      </c>
      <c r="O67" s="138">
        <v>21</v>
      </c>
      <c r="P67" s="138">
        <v>82</v>
      </c>
      <c r="Q67" s="138">
        <v>0</v>
      </c>
      <c r="R67" s="140"/>
      <c r="S67" s="138">
        <v>0</v>
      </c>
      <c r="T67" s="138">
        <v>0</v>
      </c>
      <c r="U67" s="138">
        <v>0</v>
      </c>
      <c r="V67" s="138">
        <v>0</v>
      </c>
      <c r="W67" s="140"/>
      <c r="X67" s="138">
        <v>0</v>
      </c>
      <c r="Y67" s="138">
        <v>4</v>
      </c>
      <c r="Z67" s="138">
        <v>0</v>
      </c>
      <c r="AA67" s="138">
        <v>0</v>
      </c>
      <c r="AB67" s="140"/>
      <c r="AC67" s="138">
        <v>17842</v>
      </c>
      <c r="AD67" s="138">
        <v>0</v>
      </c>
      <c r="AE67" s="138">
        <v>2280</v>
      </c>
      <c r="AF67" s="140"/>
      <c r="AG67" s="141">
        <f>'form A info'!$AK103/1000</f>
        <v>403.98399999999998</v>
      </c>
    </row>
    <row r="68" spans="1:33" x14ac:dyDescent="0.2">
      <c r="A68" s="134">
        <v>3811</v>
      </c>
      <c r="B68" s="134" t="s">
        <v>158</v>
      </c>
      <c r="C68" s="114" t="str">
        <f>'form A info'!G104</f>
        <v>y</v>
      </c>
      <c r="D68" s="138">
        <v>454</v>
      </c>
      <c r="E68" s="138">
        <v>825</v>
      </c>
      <c r="F68" s="138">
        <v>107</v>
      </c>
      <c r="G68" s="138">
        <v>10</v>
      </c>
      <c r="H68" s="139"/>
      <c r="I68" s="138">
        <v>1</v>
      </c>
      <c r="J68" s="138">
        <v>40</v>
      </c>
      <c r="K68" s="138">
        <v>0</v>
      </c>
      <c r="L68" s="138">
        <v>0</v>
      </c>
      <c r="M68" s="139"/>
      <c r="N68" s="138">
        <v>35</v>
      </c>
      <c r="O68" s="138">
        <v>35</v>
      </c>
      <c r="P68" s="138">
        <v>-13</v>
      </c>
      <c r="Q68" s="138">
        <v>0</v>
      </c>
      <c r="R68" s="140"/>
      <c r="S68" s="138">
        <v>23</v>
      </c>
      <c r="T68" s="138">
        <v>0</v>
      </c>
      <c r="U68" s="138">
        <v>0</v>
      </c>
      <c r="V68" s="138">
        <v>0</v>
      </c>
      <c r="W68" s="140"/>
      <c r="X68" s="138">
        <v>47</v>
      </c>
      <c r="Y68" s="138">
        <v>0</v>
      </c>
      <c r="Z68" s="138">
        <v>0</v>
      </c>
      <c r="AA68" s="138">
        <v>0</v>
      </c>
      <c r="AB68" s="140"/>
      <c r="AC68" s="138">
        <v>6305</v>
      </c>
      <c r="AD68" s="138">
        <v>0</v>
      </c>
      <c r="AE68" s="138">
        <v>0</v>
      </c>
      <c r="AF68" s="140"/>
      <c r="AG68" s="141">
        <f>'form A info'!$AK104/1000</f>
        <v>317.577</v>
      </c>
    </row>
    <row r="69" spans="1:33" x14ac:dyDescent="0.2">
      <c r="A69" s="134">
        <v>2114</v>
      </c>
      <c r="B69" s="134" t="s">
        <v>162</v>
      </c>
      <c r="C69" s="114" t="str">
        <f>'form A info'!G107</f>
        <v>y</v>
      </c>
      <c r="D69" s="138">
        <v>0</v>
      </c>
      <c r="E69" s="138">
        <v>0</v>
      </c>
      <c r="F69" s="138">
        <v>3</v>
      </c>
      <c r="G69" s="138">
        <v>2</v>
      </c>
      <c r="H69" s="139"/>
      <c r="I69" s="138">
        <v>0</v>
      </c>
      <c r="J69" s="138">
        <v>0</v>
      </c>
      <c r="K69" s="138">
        <v>0</v>
      </c>
      <c r="L69" s="138">
        <v>0</v>
      </c>
      <c r="M69" s="139"/>
      <c r="N69" s="138">
        <v>0</v>
      </c>
      <c r="O69" s="138">
        <v>0</v>
      </c>
      <c r="P69" s="138">
        <v>0</v>
      </c>
      <c r="Q69" s="138">
        <v>0</v>
      </c>
      <c r="R69" s="140"/>
      <c r="S69" s="138">
        <v>0</v>
      </c>
      <c r="T69" s="138">
        <v>0</v>
      </c>
      <c r="U69" s="138">
        <v>0</v>
      </c>
      <c r="V69" s="138">
        <v>0</v>
      </c>
      <c r="W69" s="140"/>
      <c r="X69" s="138">
        <v>0</v>
      </c>
      <c r="Y69" s="138">
        <v>0</v>
      </c>
      <c r="Z69" s="138">
        <v>0</v>
      </c>
      <c r="AA69" s="138">
        <v>0</v>
      </c>
      <c r="AB69" s="140"/>
      <c r="AC69" s="138">
        <v>0</v>
      </c>
      <c r="AD69" s="138">
        <v>0</v>
      </c>
      <c r="AE69" s="138">
        <v>0</v>
      </c>
      <c r="AF69" s="140"/>
      <c r="AG69" s="141">
        <f>'form A info'!$AK107/1000</f>
        <v>0</v>
      </c>
    </row>
    <row r="70" spans="1:33" x14ac:dyDescent="0.2">
      <c r="A70" s="134">
        <v>906</v>
      </c>
      <c r="B70" s="134" t="s">
        <v>163</v>
      </c>
      <c r="C70" s="114" t="str">
        <f>'form A info'!G108</f>
        <v>y</v>
      </c>
      <c r="D70" s="138">
        <v>442</v>
      </c>
      <c r="E70" s="138">
        <v>561</v>
      </c>
      <c r="F70" s="138">
        <v>116</v>
      </c>
      <c r="G70" s="138">
        <v>0</v>
      </c>
      <c r="H70" s="139"/>
      <c r="I70" s="138">
        <v>0</v>
      </c>
      <c r="J70" s="138">
        <v>17</v>
      </c>
      <c r="K70" s="138">
        <v>0</v>
      </c>
      <c r="L70" s="138">
        <v>0</v>
      </c>
      <c r="M70" s="139"/>
      <c r="N70" s="138">
        <v>17</v>
      </c>
      <c r="O70" s="138">
        <v>59</v>
      </c>
      <c r="P70" s="138">
        <v>53</v>
      </c>
      <c r="Q70" s="138">
        <v>0</v>
      </c>
      <c r="R70" s="140"/>
      <c r="S70" s="138">
        <v>30</v>
      </c>
      <c r="T70" s="138">
        <v>0</v>
      </c>
      <c r="U70" s="138">
        <v>0</v>
      </c>
      <c r="V70" s="138">
        <v>0</v>
      </c>
      <c r="W70" s="140"/>
      <c r="X70" s="138">
        <v>64</v>
      </c>
      <c r="Y70" s="138">
        <v>0</v>
      </c>
      <c r="Z70" s="138">
        <v>0</v>
      </c>
      <c r="AA70" s="138">
        <v>0</v>
      </c>
      <c r="AB70" s="140"/>
      <c r="AC70" s="138">
        <v>0</v>
      </c>
      <c r="AD70" s="138">
        <v>0</v>
      </c>
      <c r="AE70" s="138">
        <v>293400</v>
      </c>
      <c r="AF70" s="140"/>
      <c r="AG70" s="141">
        <f>'form A info'!$AK108/1000</f>
        <v>738.94899999999996</v>
      </c>
    </row>
    <row r="71" spans="1:33" x14ac:dyDescent="0.2">
      <c r="A71" s="134">
        <v>907</v>
      </c>
      <c r="B71" s="137" t="s">
        <v>167</v>
      </c>
      <c r="C71" s="114" t="str">
        <f>'form A info'!G109</f>
        <v>y</v>
      </c>
      <c r="D71" s="138">
        <v>0</v>
      </c>
      <c r="E71" s="138">
        <v>0</v>
      </c>
      <c r="F71" s="138">
        <v>3</v>
      </c>
      <c r="G71" s="138">
        <v>10</v>
      </c>
      <c r="H71" s="139"/>
      <c r="I71" s="138">
        <v>0</v>
      </c>
      <c r="J71" s="138">
        <v>0</v>
      </c>
      <c r="K71" s="138">
        <v>0</v>
      </c>
      <c r="L71" s="138">
        <v>0</v>
      </c>
      <c r="M71" s="139"/>
      <c r="N71" s="138">
        <v>0</v>
      </c>
      <c r="O71" s="138">
        <v>0</v>
      </c>
      <c r="P71" s="138">
        <v>0</v>
      </c>
      <c r="Q71" s="138">
        <v>1</v>
      </c>
      <c r="R71" s="140"/>
      <c r="S71" s="138">
        <v>0</v>
      </c>
      <c r="T71" s="138">
        <v>0</v>
      </c>
      <c r="U71" s="138">
        <v>0</v>
      </c>
      <c r="V71" s="138">
        <v>0</v>
      </c>
      <c r="W71" s="140"/>
      <c r="X71" s="138">
        <v>0</v>
      </c>
      <c r="Y71" s="138">
        <v>0</v>
      </c>
      <c r="Z71" s="138">
        <v>0</v>
      </c>
      <c r="AA71" s="138">
        <v>0</v>
      </c>
      <c r="AB71" s="140"/>
      <c r="AC71" s="138">
        <v>0</v>
      </c>
      <c r="AD71" s="138">
        <v>0</v>
      </c>
      <c r="AE71" s="138">
        <v>0</v>
      </c>
      <c r="AF71" s="140"/>
      <c r="AG71" s="141">
        <f>'form A info'!$AK109/1000</f>
        <v>5.4</v>
      </c>
    </row>
    <row r="72" spans="1:33" x14ac:dyDescent="0.2">
      <c r="A72" s="134">
        <v>2546</v>
      </c>
      <c r="B72" s="134" t="s">
        <v>168</v>
      </c>
      <c r="C72" s="114" t="str">
        <f>'form A info'!G110</f>
        <v>y</v>
      </c>
      <c r="D72" s="138">
        <v>99</v>
      </c>
      <c r="E72" s="138">
        <v>1300</v>
      </c>
      <c r="F72" s="138">
        <v>106</v>
      </c>
      <c r="G72" s="138">
        <v>18</v>
      </c>
      <c r="H72" s="139"/>
      <c r="I72" s="138">
        <v>0</v>
      </c>
      <c r="J72" s="138">
        <v>0</v>
      </c>
      <c r="K72" s="138">
        <v>0</v>
      </c>
      <c r="L72" s="138">
        <v>0</v>
      </c>
      <c r="M72" s="139"/>
      <c r="N72" s="138">
        <v>0</v>
      </c>
      <c r="O72" s="138">
        <v>19</v>
      </c>
      <c r="P72" s="138">
        <v>24</v>
      </c>
      <c r="Q72" s="138">
        <v>0</v>
      </c>
      <c r="R72" s="140"/>
      <c r="S72" s="138">
        <v>0</v>
      </c>
      <c r="T72" s="138">
        <v>0</v>
      </c>
      <c r="U72" s="138">
        <v>0</v>
      </c>
      <c r="V72" s="138">
        <v>0</v>
      </c>
      <c r="W72" s="140"/>
      <c r="X72" s="138">
        <v>0</v>
      </c>
      <c r="Y72" s="138">
        <v>0</v>
      </c>
      <c r="Z72" s="138">
        <v>0</v>
      </c>
      <c r="AA72" s="138">
        <v>0</v>
      </c>
      <c r="AB72" s="140"/>
      <c r="AC72" s="138">
        <v>0</v>
      </c>
      <c r="AD72" s="138">
        <v>0</v>
      </c>
      <c r="AE72" s="138">
        <v>100633</v>
      </c>
      <c r="AF72" s="140"/>
      <c r="AG72" s="141">
        <f>'form A info'!$AK110/1000</f>
        <v>796.49099999999999</v>
      </c>
    </row>
    <row r="73" spans="1:33" x14ac:dyDescent="0.2">
      <c r="A73" s="134">
        <v>9060</v>
      </c>
      <c r="B73" s="134" t="s">
        <v>171</v>
      </c>
      <c r="C73" s="114" t="str">
        <f>'form A info'!G111</f>
        <v>y</v>
      </c>
      <c r="D73" s="138">
        <v>6</v>
      </c>
      <c r="E73" s="138">
        <v>165</v>
      </c>
      <c r="F73" s="138">
        <v>54</v>
      </c>
      <c r="G73" s="138">
        <v>98</v>
      </c>
      <c r="H73" s="139"/>
      <c r="I73" s="138">
        <v>0</v>
      </c>
      <c r="J73" s="138">
        <v>0</v>
      </c>
      <c r="K73" s="138">
        <v>19</v>
      </c>
      <c r="L73" s="138">
        <v>1</v>
      </c>
      <c r="M73" s="139"/>
      <c r="N73" s="138">
        <v>0</v>
      </c>
      <c r="O73" s="138">
        <v>0</v>
      </c>
      <c r="P73" s="138">
        <v>9</v>
      </c>
      <c r="Q73" s="138">
        <v>4</v>
      </c>
      <c r="R73" s="140"/>
      <c r="S73" s="138">
        <v>0</v>
      </c>
      <c r="T73" s="138">
        <v>0</v>
      </c>
      <c r="U73" s="138">
        <v>0</v>
      </c>
      <c r="V73" s="138">
        <v>0</v>
      </c>
      <c r="W73" s="140"/>
      <c r="X73" s="138">
        <v>0</v>
      </c>
      <c r="Y73" s="138">
        <v>0</v>
      </c>
      <c r="Z73" s="138">
        <v>0</v>
      </c>
      <c r="AA73" s="138">
        <v>0</v>
      </c>
      <c r="AB73" s="140"/>
      <c r="AC73" s="138">
        <v>0</v>
      </c>
      <c r="AD73" s="138">
        <v>0</v>
      </c>
      <c r="AE73" s="138">
        <v>0</v>
      </c>
      <c r="AF73" s="140"/>
      <c r="AG73" s="141">
        <f>'form A info'!$AK111/1000</f>
        <v>842.98599999999999</v>
      </c>
    </row>
    <row r="74" spans="1:33" x14ac:dyDescent="0.2">
      <c r="A74" s="134">
        <v>4665</v>
      </c>
      <c r="B74" s="134" t="s">
        <v>172</v>
      </c>
      <c r="C74" s="114" t="str">
        <f>'form A info'!G112</f>
        <v>y</v>
      </c>
      <c r="D74" s="138">
        <v>0</v>
      </c>
      <c r="E74" s="138">
        <v>746</v>
      </c>
      <c r="F74" s="138">
        <v>193</v>
      </c>
      <c r="G74" s="138">
        <v>1</v>
      </c>
      <c r="H74" s="139"/>
      <c r="I74" s="138">
        <v>0</v>
      </c>
      <c r="J74" s="138">
        <v>0</v>
      </c>
      <c r="K74" s="138">
        <v>0</v>
      </c>
      <c r="L74" s="138">
        <v>0</v>
      </c>
      <c r="M74" s="139"/>
      <c r="N74" s="138">
        <v>0</v>
      </c>
      <c r="O74" s="138">
        <v>0</v>
      </c>
      <c r="P74" s="138">
        <v>94</v>
      </c>
      <c r="Q74" s="138">
        <v>0</v>
      </c>
      <c r="R74" s="140"/>
      <c r="S74" s="138">
        <v>0</v>
      </c>
      <c r="T74" s="138">
        <v>0</v>
      </c>
      <c r="U74" s="138">
        <v>0</v>
      </c>
      <c r="V74" s="138">
        <v>0</v>
      </c>
      <c r="W74" s="140"/>
      <c r="X74" s="138">
        <v>0</v>
      </c>
      <c r="Y74" s="138">
        <v>0</v>
      </c>
      <c r="Z74" s="138">
        <v>0</v>
      </c>
      <c r="AA74" s="138">
        <v>0</v>
      </c>
      <c r="AB74" s="140"/>
      <c r="AC74" s="138">
        <v>0</v>
      </c>
      <c r="AD74" s="138">
        <v>0</v>
      </c>
      <c r="AE74" s="138">
        <v>0</v>
      </c>
      <c r="AF74" s="140"/>
      <c r="AG74" s="141">
        <f>'form A info'!$AK112/1000</f>
        <v>169.27500000000001</v>
      </c>
    </row>
    <row r="75" spans="1:33" x14ac:dyDescent="0.2">
      <c r="A75" s="134">
        <v>4512</v>
      </c>
      <c r="B75" s="134" t="s">
        <v>174</v>
      </c>
      <c r="C75" s="114" t="str">
        <f>'form A info'!G113</f>
        <v>y</v>
      </c>
      <c r="D75" s="138">
        <v>0</v>
      </c>
      <c r="E75" s="138">
        <v>0</v>
      </c>
      <c r="F75" s="138">
        <v>12</v>
      </c>
      <c r="G75" s="138">
        <v>0</v>
      </c>
      <c r="H75" s="139"/>
      <c r="I75" s="138">
        <v>0</v>
      </c>
      <c r="J75" s="138">
        <v>0</v>
      </c>
      <c r="K75" s="138">
        <v>0</v>
      </c>
      <c r="L75" s="138">
        <v>0</v>
      </c>
      <c r="M75" s="139"/>
      <c r="N75" s="138">
        <v>0</v>
      </c>
      <c r="O75" s="138">
        <v>3</v>
      </c>
      <c r="P75" s="138">
        <v>0</v>
      </c>
      <c r="Q75" s="138">
        <v>0</v>
      </c>
      <c r="R75" s="140"/>
      <c r="S75" s="138">
        <v>0</v>
      </c>
      <c r="T75" s="138">
        <v>0</v>
      </c>
      <c r="U75" s="138">
        <v>0</v>
      </c>
      <c r="V75" s="138">
        <v>0</v>
      </c>
      <c r="W75" s="140"/>
      <c r="X75" s="138">
        <v>0</v>
      </c>
      <c r="Y75" s="138">
        <v>0</v>
      </c>
      <c r="Z75" s="138">
        <v>0</v>
      </c>
      <c r="AA75" s="138">
        <v>0</v>
      </c>
      <c r="AB75" s="140"/>
      <c r="AC75" s="138">
        <v>0</v>
      </c>
      <c r="AD75" s="138">
        <v>0</v>
      </c>
      <c r="AE75" s="138">
        <v>0</v>
      </c>
      <c r="AF75" s="140"/>
      <c r="AG75" s="141">
        <f>'form A info'!$AK113/1000</f>
        <v>0</v>
      </c>
    </row>
    <row r="76" spans="1:33" x14ac:dyDescent="0.2">
      <c r="A76" s="134">
        <v>2952</v>
      </c>
      <c r="B76" s="134" t="s">
        <v>176</v>
      </c>
      <c r="C76" s="114" t="str">
        <f>'form A info'!G114</f>
        <v>y</v>
      </c>
      <c r="D76" s="138">
        <v>0</v>
      </c>
      <c r="E76" s="138">
        <v>0</v>
      </c>
      <c r="F76" s="138">
        <v>24</v>
      </c>
      <c r="G76" s="138">
        <v>13</v>
      </c>
      <c r="H76" s="139"/>
      <c r="I76" s="138">
        <v>0</v>
      </c>
      <c r="J76" s="138">
        <v>0</v>
      </c>
      <c r="K76" s="138">
        <v>0</v>
      </c>
      <c r="L76" s="138">
        <v>1</v>
      </c>
      <c r="M76" s="139"/>
      <c r="N76" s="138">
        <v>0</v>
      </c>
      <c r="O76" s="138">
        <v>0</v>
      </c>
      <c r="P76" s="138">
        <v>0</v>
      </c>
      <c r="Q76" s="138">
        <v>1</v>
      </c>
      <c r="R76" s="140"/>
      <c r="S76" s="138">
        <v>0</v>
      </c>
      <c r="T76" s="138">
        <v>0</v>
      </c>
      <c r="U76" s="138">
        <v>0</v>
      </c>
      <c r="V76" s="138">
        <v>0</v>
      </c>
      <c r="W76" s="140"/>
      <c r="X76" s="138">
        <v>0</v>
      </c>
      <c r="Y76" s="138">
        <v>0</v>
      </c>
      <c r="Z76" s="138">
        <v>0</v>
      </c>
      <c r="AA76" s="138">
        <v>0</v>
      </c>
      <c r="AB76" s="140"/>
      <c r="AC76" s="138">
        <v>0</v>
      </c>
      <c r="AD76" s="138">
        <v>0</v>
      </c>
      <c r="AE76" s="138">
        <v>0</v>
      </c>
      <c r="AF76" s="140"/>
      <c r="AG76" s="141">
        <f>'form A info'!$AK114/1000</f>
        <v>0</v>
      </c>
    </row>
    <row r="77" spans="1:33" x14ac:dyDescent="0.2">
      <c r="A77" s="134">
        <v>2325</v>
      </c>
      <c r="B77" s="134" t="s">
        <v>183</v>
      </c>
      <c r="C77" s="114" t="str">
        <f>'form A info'!G117</f>
        <v>y</v>
      </c>
      <c r="D77" s="138">
        <v>0</v>
      </c>
      <c r="E77" s="138">
        <v>0</v>
      </c>
      <c r="F77" s="138">
        <v>8</v>
      </c>
      <c r="G77" s="138">
        <v>4</v>
      </c>
      <c r="H77" s="139"/>
      <c r="I77" s="138">
        <v>0</v>
      </c>
      <c r="J77" s="138">
        <v>0</v>
      </c>
      <c r="K77" s="138">
        <v>0</v>
      </c>
      <c r="L77" s="138">
        <v>0</v>
      </c>
      <c r="M77" s="139"/>
      <c r="N77" s="138">
        <v>0</v>
      </c>
      <c r="O77" s="138">
        <v>0</v>
      </c>
      <c r="P77" s="138">
        <v>13</v>
      </c>
      <c r="Q77" s="138">
        <v>3</v>
      </c>
      <c r="R77" s="140"/>
      <c r="S77" s="138">
        <v>0</v>
      </c>
      <c r="T77" s="138">
        <v>0</v>
      </c>
      <c r="U77" s="138">
        <v>0</v>
      </c>
      <c r="V77" s="138">
        <v>0</v>
      </c>
      <c r="W77" s="140"/>
      <c r="X77" s="138">
        <v>0</v>
      </c>
      <c r="Y77" s="138">
        <v>0</v>
      </c>
      <c r="Z77" s="138">
        <v>0</v>
      </c>
      <c r="AA77" s="138">
        <v>0</v>
      </c>
      <c r="AB77" s="140"/>
      <c r="AC77" s="138">
        <v>0</v>
      </c>
      <c r="AD77" s="138">
        <v>0</v>
      </c>
      <c r="AE77" s="138">
        <v>0</v>
      </c>
      <c r="AF77" s="140"/>
      <c r="AG77" s="141">
        <f>'form A info'!$AK117/1000</f>
        <v>44.876959999999997</v>
      </c>
    </row>
    <row r="78" spans="1:33" x14ac:dyDescent="0.2">
      <c r="A78" s="134">
        <v>4827</v>
      </c>
      <c r="B78" s="134" t="s">
        <v>660</v>
      </c>
      <c r="C78" s="114" t="str">
        <f>'form A info'!G118</f>
        <v>y</v>
      </c>
      <c r="D78" s="138">
        <v>272</v>
      </c>
      <c r="E78" s="138">
        <v>43</v>
      </c>
      <c r="F78" s="138">
        <v>471</v>
      </c>
      <c r="G78" s="138">
        <v>16</v>
      </c>
      <c r="H78" s="139"/>
      <c r="I78" s="138">
        <v>0</v>
      </c>
      <c r="J78" s="138">
        <v>0</v>
      </c>
      <c r="K78" s="138">
        <v>2</v>
      </c>
      <c r="L78" s="138">
        <v>0</v>
      </c>
      <c r="M78" s="139"/>
      <c r="N78" s="138">
        <v>50</v>
      </c>
      <c r="O78" s="138">
        <v>320</v>
      </c>
      <c r="P78" s="138">
        <v>111</v>
      </c>
      <c r="Q78" s="138">
        <v>0</v>
      </c>
      <c r="R78" s="140"/>
      <c r="S78" s="138">
        <v>46</v>
      </c>
      <c r="T78" s="138">
        <v>2</v>
      </c>
      <c r="U78" s="138">
        <v>0</v>
      </c>
      <c r="V78" s="138">
        <v>0</v>
      </c>
      <c r="W78" s="140"/>
      <c r="X78" s="138">
        <v>46</v>
      </c>
      <c r="Y78" s="138">
        <v>0</v>
      </c>
      <c r="Z78" s="138">
        <v>0</v>
      </c>
      <c r="AA78" s="138">
        <v>0</v>
      </c>
      <c r="AB78" s="140"/>
      <c r="AC78" s="138">
        <v>0</v>
      </c>
      <c r="AD78" s="138">
        <v>0</v>
      </c>
      <c r="AE78" s="138">
        <v>0</v>
      </c>
      <c r="AF78" s="140"/>
      <c r="AG78" s="141">
        <f>'form A info'!$AK118/1000</f>
        <v>60.655000000000001</v>
      </c>
    </row>
    <row r="79" spans="1:33" x14ac:dyDescent="0.2">
      <c r="A79" s="134">
        <v>9080</v>
      </c>
      <c r="B79" s="134" t="s">
        <v>186</v>
      </c>
      <c r="C79" s="114" t="str">
        <f>'form A info'!G119</f>
        <v>y</v>
      </c>
      <c r="D79" s="138">
        <v>0</v>
      </c>
      <c r="E79" s="138">
        <v>0</v>
      </c>
      <c r="F79" s="138">
        <v>6</v>
      </c>
      <c r="G79" s="138">
        <v>1</v>
      </c>
      <c r="H79" s="139"/>
      <c r="I79" s="138">
        <v>0</v>
      </c>
      <c r="J79" s="138">
        <v>0</v>
      </c>
      <c r="K79" s="138">
        <v>0</v>
      </c>
      <c r="L79" s="138">
        <v>0</v>
      </c>
      <c r="M79" s="139"/>
      <c r="N79" s="138">
        <v>0</v>
      </c>
      <c r="O79" s="138">
        <v>0</v>
      </c>
      <c r="P79" s="138">
        <v>3</v>
      </c>
      <c r="Q79" s="138">
        <v>-19</v>
      </c>
      <c r="R79" s="140"/>
      <c r="S79" s="138">
        <v>0</v>
      </c>
      <c r="T79" s="138">
        <v>0</v>
      </c>
      <c r="U79" s="138">
        <v>0</v>
      </c>
      <c r="V79" s="138">
        <v>0</v>
      </c>
      <c r="W79" s="140"/>
      <c r="X79" s="138">
        <v>0</v>
      </c>
      <c r="Y79" s="138">
        <v>0</v>
      </c>
      <c r="Z79" s="138">
        <v>0</v>
      </c>
      <c r="AA79" s="138">
        <v>0</v>
      </c>
      <c r="AB79" s="140"/>
      <c r="AC79" s="138">
        <v>0</v>
      </c>
      <c r="AD79" s="138">
        <v>0</v>
      </c>
      <c r="AE79" s="138">
        <v>0</v>
      </c>
      <c r="AF79" s="140"/>
      <c r="AG79" s="141">
        <f>'form A info'!$AK119/1000</f>
        <v>0</v>
      </c>
    </row>
    <row r="80" spans="1:33" x14ac:dyDescent="0.2">
      <c r="A80" s="134">
        <v>9075</v>
      </c>
      <c r="B80" s="134" t="s">
        <v>189</v>
      </c>
      <c r="C80" s="114" t="str">
        <f>'form A info'!G120</f>
        <v>y</v>
      </c>
      <c r="D80" s="138">
        <v>0</v>
      </c>
      <c r="E80" s="138">
        <v>0</v>
      </c>
      <c r="F80" s="138">
        <v>50</v>
      </c>
      <c r="G80" s="138">
        <v>19</v>
      </c>
      <c r="H80" s="139"/>
      <c r="I80" s="138">
        <v>0</v>
      </c>
      <c r="J80" s="138">
        <v>0</v>
      </c>
      <c r="K80" s="138">
        <v>10</v>
      </c>
      <c r="L80" s="138">
        <v>1</v>
      </c>
      <c r="M80" s="139"/>
      <c r="N80" s="138">
        <v>0</v>
      </c>
      <c r="O80" s="138">
        <v>0</v>
      </c>
      <c r="P80" s="138">
        <v>56</v>
      </c>
      <c r="Q80" s="138">
        <v>32</v>
      </c>
      <c r="R80" s="140"/>
      <c r="S80" s="138">
        <v>0</v>
      </c>
      <c r="T80" s="138">
        <v>0</v>
      </c>
      <c r="U80" s="138">
        <v>0</v>
      </c>
      <c r="V80" s="138">
        <v>0</v>
      </c>
      <c r="W80" s="140"/>
      <c r="X80" s="138">
        <v>0</v>
      </c>
      <c r="Y80" s="138">
        <v>0</v>
      </c>
      <c r="Z80" s="138">
        <v>0</v>
      </c>
      <c r="AA80" s="138">
        <v>0</v>
      </c>
      <c r="AB80" s="140"/>
      <c r="AC80" s="138">
        <v>0</v>
      </c>
      <c r="AD80" s="138">
        <v>0</v>
      </c>
      <c r="AE80" s="138">
        <v>46742</v>
      </c>
      <c r="AF80" s="140"/>
      <c r="AG80" s="141">
        <f>'form A info'!$AK120/1000</f>
        <v>0</v>
      </c>
    </row>
    <row r="81" spans="1:33" x14ac:dyDescent="0.2">
      <c r="A81" s="134">
        <v>2912</v>
      </c>
      <c r="B81" s="134" t="s">
        <v>190</v>
      </c>
      <c r="C81" s="114" t="str">
        <f>'form A info'!G121</f>
        <v>y</v>
      </c>
      <c r="D81" s="138">
        <v>0</v>
      </c>
      <c r="E81" s="138">
        <v>0</v>
      </c>
      <c r="F81" s="138">
        <v>12</v>
      </c>
      <c r="G81" s="138">
        <v>1</v>
      </c>
      <c r="H81" s="139"/>
      <c r="I81" s="138">
        <v>0</v>
      </c>
      <c r="J81" s="138">
        <v>0</v>
      </c>
      <c r="K81" s="138">
        <v>0</v>
      </c>
      <c r="L81" s="138">
        <v>0</v>
      </c>
      <c r="M81" s="139"/>
      <c r="N81" s="138">
        <v>0</v>
      </c>
      <c r="O81" s="138">
        <v>0</v>
      </c>
      <c r="P81" s="138">
        <v>1</v>
      </c>
      <c r="Q81" s="138">
        <v>0</v>
      </c>
      <c r="R81" s="140"/>
      <c r="S81" s="138">
        <v>0</v>
      </c>
      <c r="T81" s="138">
        <v>0</v>
      </c>
      <c r="U81" s="138">
        <v>0</v>
      </c>
      <c r="V81" s="138">
        <v>0</v>
      </c>
      <c r="W81" s="140"/>
      <c r="X81" s="138">
        <v>0</v>
      </c>
      <c r="Y81" s="138">
        <v>0</v>
      </c>
      <c r="Z81" s="138">
        <v>0</v>
      </c>
      <c r="AA81" s="138">
        <v>0</v>
      </c>
      <c r="AB81" s="140"/>
      <c r="AC81" s="138">
        <v>0</v>
      </c>
      <c r="AD81" s="138">
        <v>0</v>
      </c>
      <c r="AE81" s="138">
        <v>0</v>
      </c>
      <c r="AF81" s="140"/>
      <c r="AG81" s="141">
        <f>'form A info'!$AK121/1000</f>
        <v>66.385000000000005</v>
      </c>
    </row>
    <row r="82" spans="1:33" x14ac:dyDescent="0.2">
      <c r="A82" s="134">
        <v>2340</v>
      </c>
      <c r="B82" s="134" t="s">
        <v>193</v>
      </c>
      <c r="C82" s="114" t="str">
        <f>'form A info'!G122</f>
        <v>y</v>
      </c>
      <c r="D82" s="138">
        <v>277</v>
      </c>
      <c r="E82" s="138">
        <v>0</v>
      </c>
      <c r="F82" s="138">
        <v>99</v>
      </c>
      <c r="G82" s="138">
        <v>8</v>
      </c>
      <c r="H82" s="139"/>
      <c r="I82" s="138">
        <v>44</v>
      </c>
      <c r="J82" s="138">
        <v>5</v>
      </c>
      <c r="K82" s="138">
        <v>0</v>
      </c>
      <c r="L82" s="138">
        <v>0</v>
      </c>
      <c r="M82" s="139"/>
      <c r="N82" s="138">
        <v>10</v>
      </c>
      <c r="O82" s="138">
        <v>6</v>
      </c>
      <c r="P82" s="138">
        <v>35</v>
      </c>
      <c r="Q82" s="138">
        <v>0</v>
      </c>
      <c r="R82" s="140"/>
      <c r="S82" s="138">
        <v>45</v>
      </c>
      <c r="T82" s="138">
        <v>0</v>
      </c>
      <c r="U82" s="138">
        <v>0</v>
      </c>
      <c r="V82" s="138">
        <v>0</v>
      </c>
      <c r="W82" s="140"/>
      <c r="X82" s="138">
        <v>92</v>
      </c>
      <c r="Y82" s="138">
        <v>0</v>
      </c>
      <c r="Z82" s="138">
        <v>0</v>
      </c>
      <c r="AA82" s="138">
        <v>0</v>
      </c>
      <c r="AB82" s="140"/>
      <c r="AC82" s="138">
        <v>0</v>
      </c>
      <c r="AD82" s="138">
        <v>0</v>
      </c>
      <c r="AE82" s="138">
        <v>24041</v>
      </c>
      <c r="AF82" s="140"/>
      <c r="AG82" s="141">
        <f>'form A info'!$AK122/1000</f>
        <v>826.851</v>
      </c>
    </row>
    <row r="83" spans="1:33" x14ac:dyDescent="0.2">
      <c r="A83" s="134">
        <v>4828</v>
      </c>
      <c r="B83" s="134" t="s">
        <v>661</v>
      </c>
      <c r="C83" s="114" t="str">
        <f>'form A info'!G124</f>
        <v>y</v>
      </c>
      <c r="D83" s="138">
        <v>329</v>
      </c>
      <c r="E83" s="138">
        <v>779</v>
      </c>
      <c r="F83" s="138">
        <v>394</v>
      </c>
      <c r="G83" s="138">
        <v>0</v>
      </c>
      <c r="H83" s="139"/>
      <c r="I83" s="138">
        <v>0</v>
      </c>
      <c r="J83" s="138">
        <v>0</v>
      </c>
      <c r="K83" s="138">
        <v>0</v>
      </c>
      <c r="L83" s="138">
        <v>0</v>
      </c>
      <c r="M83" s="139"/>
      <c r="N83" s="138">
        <v>25</v>
      </c>
      <c r="O83" s="138">
        <v>67</v>
      </c>
      <c r="P83" s="138">
        <v>1</v>
      </c>
      <c r="Q83" s="138">
        <v>0</v>
      </c>
      <c r="R83" s="140"/>
      <c r="S83" s="138">
        <v>36</v>
      </c>
      <c r="T83" s="138">
        <v>3</v>
      </c>
      <c r="U83" s="138">
        <v>0</v>
      </c>
      <c r="V83" s="138">
        <v>0</v>
      </c>
      <c r="W83" s="140"/>
      <c r="X83" s="138">
        <v>110</v>
      </c>
      <c r="Y83" s="138">
        <v>0</v>
      </c>
      <c r="Z83" s="138">
        <v>0</v>
      </c>
      <c r="AA83" s="138">
        <v>0</v>
      </c>
      <c r="AB83" s="140"/>
      <c r="AC83" s="138">
        <v>0</v>
      </c>
      <c r="AD83" s="138">
        <v>0</v>
      </c>
      <c r="AE83" s="138">
        <v>0</v>
      </c>
      <c r="AF83" s="140"/>
      <c r="AG83" s="141">
        <f>'form A info'!$AK124/1000</f>
        <v>315.01799999999997</v>
      </c>
    </row>
    <row r="84" spans="1:33" x14ac:dyDescent="0.2">
      <c r="A84" s="134">
        <v>2356</v>
      </c>
      <c r="B84" s="134" t="s">
        <v>200</v>
      </c>
      <c r="C84" s="114" t="str">
        <f>'form A info'!G125</f>
        <v>y</v>
      </c>
      <c r="D84" s="138">
        <v>66</v>
      </c>
      <c r="E84" s="138">
        <v>290</v>
      </c>
      <c r="F84" s="138">
        <v>78</v>
      </c>
      <c r="G84" s="138">
        <v>0</v>
      </c>
      <c r="H84" s="139"/>
      <c r="I84" s="138">
        <v>0</v>
      </c>
      <c r="J84" s="138">
        <v>0</v>
      </c>
      <c r="K84" s="138">
        <v>0</v>
      </c>
      <c r="L84" s="138">
        <v>0</v>
      </c>
      <c r="M84" s="139"/>
      <c r="N84" s="138">
        <v>0</v>
      </c>
      <c r="O84" s="138">
        <v>22</v>
      </c>
      <c r="P84" s="138">
        <v>9</v>
      </c>
      <c r="Q84" s="138">
        <v>0</v>
      </c>
      <c r="R84" s="140"/>
      <c r="S84" s="138">
        <v>0</v>
      </c>
      <c r="T84" s="138">
        <v>0</v>
      </c>
      <c r="U84" s="138">
        <v>0</v>
      </c>
      <c r="V84" s="138">
        <v>0</v>
      </c>
      <c r="W84" s="140"/>
      <c r="X84" s="138">
        <v>0</v>
      </c>
      <c r="Y84" s="138">
        <v>0</v>
      </c>
      <c r="Z84" s="138">
        <v>0</v>
      </c>
      <c r="AA84" s="138">
        <v>0</v>
      </c>
      <c r="AB84" s="140"/>
      <c r="AC84" s="138">
        <v>0</v>
      </c>
      <c r="AD84" s="138">
        <v>0</v>
      </c>
      <c r="AE84" s="138">
        <v>3358</v>
      </c>
      <c r="AF84" s="140"/>
      <c r="AG84" s="141">
        <f>'form A info'!$AK125/1000</f>
        <v>451.29500000000002</v>
      </c>
    </row>
    <row r="85" spans="1:33" x14ac:dyDescent="0.2">
      <c r="A85" s="134">
        <v>2518</v>
      </c>
      <c r="B85" s="134" t="s">
        <v>206</v>
      </c>
      <c r="C85" s="114" t="str">
        <f>'form A info'!G127</f>
        <v>y</v>
      </c>
      <c r="D85" s="138">
        <v>84</v>
      </c>
      <c r="E85" s="138">
        <v>382</v>
      </c>
      <c r="F85" s="138">
        <v>80</v>
      </c>
      <c r="G85" s="138">
        <v>39</v>
      </c>
      <c r="H85" s="139"/>
      <c r="I85" s="138">
        <v>0</v>
      </c>
      <c r="J85" s="138">
        <v>0</v>
      </c>
      <c r="K85" s="138">
        <v>0</v>
      </c>
      <c r="L85" s="138">
        <v>4</v>
      </c>
      <c r="M85" s="139"/>
      <c r="N85" s="138">
        <v>0</v>
      </c>
      <c r="O85" s="138">
        <v>9</v>
      </c>
      <c r="P85" s="138">
        <v>15</v>
      </c>
      <c r="Q85" s="138">
        <v>1</v>
      </c>
      <c r="R85" s="140"/>
      <c r="S85" s="138">
        <v>0</v>
      </c>
      <c r="T85" s="138">
        <v>0</v>
      </c>
      <c r="U85" s="138">
        <v>0</v>
      </c>
      <c r="V85" s="138">
        <v>0</v>
      </c>
      <c r="W85" s="140"/>
      <c r="X85" s="138">
        <v>0</v>
      </c>
      <c r="Y85" s="138">
        <v>0</v>
      </c>
      <c r="Z85" s="138">
        <v>0</v>
      </c>
      <c r="AA85" s="138">
        <v>0</v>
      </c>
      <c r="AB85" s="140"/>
      <c r="AC85" s="138">
        <v>9032</v>
      </c>
      <c r="AD85" s="138">
        <v>0</v>
      </c>
      <c r="AE85" s="138">
        <v>0</v>
      </c>
      <c r="AF85" s="140"/>
      <c r="AG85" s="141">
        <f>'form A info'!$AK127/1000</f>
        <v>0</v>
      </c>
    </row>
    <row r="86" spans="1:33" x14ac:dyDescent="0.2">
      <c r="A86" s="134">
        <v>9605</v>
      </c>
      <c r="B86" s="134" t="s">
        <v>207</v>
      </c>
      <c r="C86" s="114" t="str">
        <f>'form A info'!G128</f>
        <v>y</v>
      </c>
      <c r="D86" s="138">
        <v>0</v>
      </c>
      <c r="E86" s="138">
        <v>123</v>
      </c>
      <c r="F86" s="138">
        <v>7</v>
      </c>
      <c r="G86" s="138">
        <v>0</v>
      </c>
      <c r="H86" s="139"/>
      <c r="I86" s="138">
        <v>0</v>
      </c>
      <c r="J86" s="138">
        <v>0</v>
      </c>
      <c r="K86" s="138">
        <v>0</v>
      </c>
      <c r="L86" s="138">
        <v>0</v>
      </c>
      <c r="M86" s="139"/>
      <c r="N86" s="138">
        <v>0</v>
      </c>
      <c r="O86" s="138">
        <v>0</v>
      </c>
      <c r="P86" s="138">
        <v>12</v>
      </c>
      <c r="Q86" s="138">
        <v>0</v>
      </c>
      <c r="R86" s="140"/>
      <c r="S86" s="138">
        <v>0</v>
      </c>
      <c r="T86" s="138">
        <v>0</v>
      </c>
      <c r="U86" s="138">
        <v>0</v>
      </c>
      <c r="V86" s="138">
        <v>0</v>
      </c>
      <c r="W86" s="140"/>
      <c r="X86" s="138">
        <v>0</v>
      </c>
      <c r="Y86" s="138">
        <v>0</v>
      </c>
      <c r="Z86" s="138">
        <v>0</v>
      </c>
      <c r="AA86" s="138">
        <v>0</v>
      </c>
      <c r="AB86" s="140"/>
      <c r="AC86" s="138">
        <v>0</v>
      </c>
      <c r="AD86" s="138">
        <v>0</v>
      </c>
      <c r="AE86" s="138">
        <v>0</v>
      </c>
      <c r="AF86" s="140"/>
      <c r="AG86" s="141">
        <f>'form A info'!$AK128/1000</f>
        <v>33.206000000000003</v>
      </c>
    </row>
    <row r="87" spans="1:33" x14ac:dyDescent="0.2">
      <c r="A87" s="134">
        <v>2530</v>
      </c>
      <c r="B87" s="134" t="s">
        <v>214</v>
      </c>
      <c r="C87" s="114" t="str">
        <f>'form A info'!G131</f>
        <v>y</v>
      </c>
      <c r="D87" s="138">
        <v>0</v>
      </c>
      <c r="E87" s="138">
        <v>0</v>
      </c>
      <c r="F87" s="138">
        <v>4</v>
      </c>
      <c r="G87" s="138">
        <v>3</v>
      </c>
      <c r="H87" s="139"/>
      <c r="I87" s="138">
        <v>0</v>
      </c>
      <c r="J87" s="138">
        <v>0</v>
      </c>
      <c r="K87" s="138">
        <v>0</v>
      </c>
      <c r="L87" s="138">
        <v>1</v>
      </c>
      <c r="M87" s="139"/>
      <c r="N87" s="138">
        <v>0</v>
      </c>
      <c r="O87" s="138">
        <v>0</v>
      </c>
      <c r="P87" s="138">
        <v>0</v>
      </c>
      <c r="Q87" s="138">
        <v>1</v>
      </c>
      <c r="R87" s="140"/>
      <c r="S87" s="138">
        <v>0</v>
      </c>
      <c r="T87" s="138">
        <v>0</v>
      </c>
      <c r="U87" s="138">
        <v>0</v>
      </c>
      <c r="V87" s="138">
        <v>0</v>
      </c>
      <c r="W87" s="140"/>
      <c r="X87" s="138">
        <v>0</v>
      </c>
      <c r="Y87" s="138">
        <v>0</v>
      </c>
      <c r="Z87" s="138">
        <v>0</v>
      </c>
      <c r="AA87" s="138">
        <v>0</v>
      </c>
      <c r="AB87" s="140"/>
      <c r="AC87" s="138">
        <v>0</v>
      </c>
      <c r="AD87" s="138">
        <v>0</v>
      </c>
      <c r="AE87" s="138">
        <v>0</v>
      </c>
      <c r="AF87" s="140"/>
      <c r="AG87" s="141">
        <f>'form A info'!$AK131/1000</f>
        <v>0</v>
      </c>
    </row>
    <row r="88" spans="1:33" x14ac:dyDescent="0.2">
      <c r="A88" s="134">
        <v>1506</v>
      </c>
      <c r="B88" s="134" t="s">
        <v>215</v>
      </c>
      <c r="C88" s="114" t="str">
        <f>'form A info'!G132</f>
        <v>y</v>
      </c>
      <c r="D88" s="138">
        <v>20</v>
      </c>
      <c r="E88" s="138">
        <v>0</v>
      </c>
      <c r="F88" s="138">
        <v>13</v>
      </c>
      <c r="G88" s="138">
        <v>5</v>
      </c>
      <c r="H88" s="139"/>
      <c r="I88" s="138">
        <v>0</v>
      </c>
      <c r="J88" s="138">
        <v>0</v>
      </c>
      <c r="K88" s="138">
        <v>1</v>
      </c>
      <c r="L88" s="138">
        <v>2</v>
      </c>
      <c r="M88" s="139"/>
      <c r="N88" s="138">
        <v>0</v>
      </c>
      <c r="O88" s="138">
        <v>0</v>
      </c>
      <c r="P88" s="138">
        <v>2</v>
      </c>
      <c r="Q88" s="138">
        <v>0</v>
      </c>
      <c r="R88" s="140"/>
      <c r="S88" s="138">
        <v>0</v>
      </c>
      <c r="T88" s="138">
        <v>0</v>
      </c>
      <c r="U88" s="138">
        <v>0</v>
      </c>
      <c r="V88" s="138">
        <v>0</v>
      </c>
      <c r="W88" s="140"/>
      <c r="X88" s="138">
        <v>0</v>
      </c>
      <c r="Y88" s="138">
        <v>0</v>
      </c>
      <c r="Z88" s="138">
        <v>0</v>
      </c>
      <c r="AA88" s="138">
        <v>0</v>
      </c>
      <c r="AB88" s="140"/>
      <c r="AC88" s="138">
        <v>0</v>
      </c>
      <c r="AD88" s="138">
        <v>0</v>
      </c>
      <c r="AE88" s="138">
        <v>0</v>
      </c>
      <c r="AF88" s="140"/>
      <c r="AG88" s="141">
        <f>'form A info'!$AK132/1000</f>
        <v>73.852999999999994</v>
      </c>
    </row>
    <row r="89" spans="1:33" x14ac:dyDescent="0.2">
      <c r="A89" s="134">
        <v>2531</v>
      </c>
      <c r="B89" s="134" t="s">
        <v>217</v>
      </c>
      <c r="C89" s="114" t="str">
        <f>'form A info'!G133</f>
        <v>y</v>
      </c>
      <c r="D89" s="138">
        <v>0</v>
      </c>
      <c r="E89" s="138">
        <v>0</v>
      </c>
      <c r="F89" s="138">
        <v>4</v>
      </c>
      <c r="G89" s="138">
        <v>0</v>
      </c>
      <c r="H89" s="139"/>
      <c r="I89" s="138">
        <v>0</v>
      </c>
      <c r="J89" s="138">
        <v>0</v>
      </c>
      <c r="K89" s="138">
        <v>0</v>
      </c>
      <c r="L89" s="138">
        <v>0</v>
      </c>
      <c r="M89" s="139"/>
      <c r="N89" s="138">
        <v>0</v>
      </c>
      <c r="O89" s="138">
        <v>0</v>
      </c>
      <c r="P89" s="138">
        <v>0</v>
      </c>
      <c r="Q89" s="138">
        <v>0</v>
      </c>
      <c r="R89" s="140"/>
      <c r="S89" s="138">
        <v>0</v>
      </c>
      <c r="T89" s="138">
        <v>0</v>
      </c>
      <c r="U89" s="138">
        <v>0</v>
      </c>
      <c r="V89" s="138">
        <v>0</v>
      </c>
      <c r="W89" s="140"/>
      <c r="X89" s="138">
        <v>0</v>
      </c>
      <c r="Y89" s="138">
        <v>0</v>
      </c>
      <c r="Z89" s="138">
        <v>0</v>
      </c>
      <c r="AA89" s="138">
        <v>0</v>
      </c>
      <c r="AB89" s="140"/>
      <c r="AC89" s="138">
        <v>0</v>
      </c>
      <c r="AD89" s="138">
        <v>0</v>
      </c>
      <c r="AE89" s="138">
        <v>0</v>
      </c>
      <c r="AF89" s="140"/>
      <c r="AG89" s="141">
        <f>'form A info'!$AK133/1000</f>
        <v>17.869959999999999</v>
      </c>
    </row>
    <row r="90" spans="1:33" x14ac:dyDescent="0.2">
      <c r="A90" s="134">
        <v>2544</v>
      </c>
      <c r="B90" s="134" t="s">
        <v>218</v>
      </c>
      <c r="C90" s="114" t="str">
        <f>'form A info'!G134</f>
        <v>y</v>
      </c>
      <c r="D90" s="138">
        <v>0</v>
      </c>
      <c r="E90" s="138">
        <v>0</v>
      </c>
      <c r="F90" s="138">
        <v>0</v>
      </c>
      <c r="G90" s="138">
        <v>0</v>
      </c>
      <c r="H90" s="139"/>
      <c r="I90" s="138">
        <v>0</v>
      </c>
      <c r="J90" s="138">
        <v>0</v>
      </c>
      <c r="K90" s="138">
        <v>0</v>
      </c>
      <c r="L90" s="138">
        <v>0</v>
      </c>
      <c r="M90" s="139"/>
      <c r="N90" s="138">
        <v>0</v>
      </c>
      <c r="O90" s="138">
        <v>0</v>
      </c>
      <c r="P90" s="138">
        <v>0</v>
      </c>
      <c r="Q90" s="138">
        <v>0</v>
      </c>
      <c r="R90" s="140"/>
      <c r="S90" s="138">
        <v>0</v>
      </c>
      <c r="T90" s="138">
        <v>0</v>
      </c>
      <c r="U90" s="138">
        <v>0</v>
      </c>
      <c r="V90" s="138">
        <v>0</v>
      </c>
      <c r="W90" s="140"/>
      <c r="X90" s="138">
        <v>0</v>
      </c>
      <c r="Y90" s="138">
        <v>0</v>
      </c>
      <c r="Z90" s="138">
        <v>0</v>
      </c>
      <c r="AA90" s="138">
        <v>0</v>
      </c>
      <c r="AB90" s="140"/>
      <c r="AC90" s="138">
        <v>0</v>
      </c>
      <c r="AD90" s="138">
        <v>0</v>
      </c>
      <c r="AE90" s="138">
        <v>0</v>
      </c>
      <c r="AF90" s="140"/>
      <c r="AG90" s="141">
        <f>'form A info'!$AK134/1000</f>
        <v>0</v>
      </c>
    </row>
    <row r="91" spans="1:33" x14ac:dyDescent="0.2">
      <c r="A91" s="134">
        <v>1583</v>
      </c>
      <c r="B91" s="134" t="s">
        <v>234</v>
      </c>
      <c r="C91" s="114" t="str">
        <f>'form A info'!G135</f>
        <v>y</v>
      </c>
      <c r="D91" s="138">
        <v>0</v>
      </c>
      <c r="E91" s="138">
        <v>0</v>
      </c>
      <c r="F91" s="138">
        <v>7</v>
      </c>
      <c r="G91" s="138">
        <v>5</v>
      </c>
      <c r="H91" s="139"/>
      <c r="I91" s="138">
        <v>0</v>
      </c>
      <c r="J91" s="138">
        <v>0</v>
      </c>
      <c r="K91" s="138">
        <v>0</v>
      </c>
      <c r="L91" s="138">
        <v>2</v>
      </c>
      <c r="M91" s="139"/>
      <c r="N91" s="138">
        <v>0</v>
      </c>
      <c r="O91" s="138">
        <v>0</v>
      </c>
      <c r="P91" s="138">
        <v>0</v>
      </c>
      <c r="Q91" s="138">
        <v>0</v>
      </c>
      <c r="R91" s="140"/>
      <c r="S91" s="138">
        <v>0</v>
      </c>
      <c r="T91" s="138">
        <v>0</v>
      </c>
      <c r="U91" s="138">
        <v>0</v>
      </c>
      <c r="V91" s="138">
        <v>0</v>
      </c>
      <c r="W91" s="140"/>
      <c r="X91" s="138">
        <v>0</v>
      </c>
      <c r="Y91" s="138">
        <v>0</v>
      </c>
      <c r="Z91" s="138">
        <v>0</v>
      </c>
      <c r="AA91" s="138">
        <v>0</v>
      </c>
      <c r="AB91" s="140"/>
      <c r="AC91" s="138">
        <v>0</v>
      </c>
      <c r="AD91" s="138">
        <v>0</v>
      </c>
      <c r="AE91" s="138">
        <v>0</v>
      </c>
      <c r="AF91" s="140"/>
      <c r="AG91" s="141">
        <f>'form A info'!$AK135/1000</f>
        <v>0</v>
      </c>
    </row>
    <row r="92" spans="1:33" x14ac:dyDescent="0.2">
      <c r="A92" s="134">
        <v>2614</v>
      </c>
      <c r="B92" s="134" t="s">
        <v>235</v>
      </c>
      <c r="C92" s="114" t="str">
        <f>'form A info'!G136</f>
        <v>y</v>
      </c>
      <c r="D92" s="138">
        <v>0</v>
      </c>
      <c r="E92" s="138">
        <v>0</v>
      </c>
      <c r="F92" s="138">
        <v>12</v>
      </c>
      <c r="G92" s="138">
        <v>4</v>
      </c>
      <c r="H92" s="139"/>
      <c r="I92" s="138">
        <v>0</v>
      </c>
      <c r="J92" s="138">
        <v>0</v>
      </c>
      <c r="K92" s="138">
        <v>0</v>
      </c>
      <c r="L92" s="138">
        <v>0</v>
      </c>
      <c r="M92" s="139"/>
      <c r="N92" s="138">
        <v>0</v>
      </c>
      <c r="O92" s="138">
        <v>2</v>
      </c>
      <c r="P92" s="138">
        <v>3</v>
      </c>
      <c r="Q92" s="138">
        <v>0</v>
      </c>
      <c r="R92" s="140"/>
      <c r="S92" s="138">
        <v>0</v>
      </c>
      <c r="T92" s="138">
        <v>0</v>
      </c>
      <c r="U92" s="138">
        <v>0</v>
      </c>
      <c r="V92" s="138">
        <v>0</v>
      </c>
      <c r="W92" s="140"/>
      <c r="X92" s="138">
        <v>0</v>
      </c>
      <c r="Y92" s="138">
        <v>0</v>
      </c>
      <c r="Z92" s="138">
        <v>0</v>
      </c>
      <c r="AA92" s="138">
        <v>0</v>
      </c>
      <c r="AB92" s="140"/>
      <c r="AC92" s="138">
        <v>0</v>
      </c>
      <c r="AD92" s="138">
        <v>0</v>
      </c>
      <c r="AE92" s="138">
        <v>0</v>
      </c>
      <c r="AF92" s="140"/>
      <c r="AG92" s="141">
        <f>'form A info'!$AK136/1000</f>
        <v>0</v>
      </c>
    </row>
    <row r="93" spans="1:33" x14ac:dyDescent="0.2">
      <c r="A93" s="134">
        <v>2547</v>
      </c>
      <c r="B93" s="134" t="s">
        <v>237</v>
      </c>
      <c r="C93" s="114" t="str">
        <f>'form A info'!G137</f>
        <v>y</v>
      </c>
      <c r="D93" s="138">
        <v>199</v>
      </c>
      <c r="E93" s="138">
        <v>0</v>
      </c>
      <c r="F93" s="138">
        <v>72</v>
      </c>
      <c r="G93" s="138">
        <v>7</v>
      </c>
      <c r="H93" s="139"/>
      <c r="I93" s="138">
        <v>0</v>
      </c>
      <c r="J93" s="138">
        <v>0</v>
      </c>
      <c r="K93" s="138">
        <v>0</v>
      </c>
      <c r="L93" s="138">
        <v>0</v>
      </c>
      <c r="M93" s="139"/>
      <c r="N93" s="138">
        <v>14</v>
      </c>
      <c r="O93" s="138">
        <v>7</v>
      </c>
      <c r="P93" s="138">
        <v>21</v>
      </c>
      <c r="Q93" s="138">
        <v>1</v>
      </c>
      <c r="R93" s="140"/>
      <c r="S93" s="138">
        <v>21</v>
      </c>
      <c r="T93" s="138">
        <v>0</v>
      </c>
      <c r="U93" s="138">
        <v>0</v>
      </c>
      <c r="V93" s="138">
        <v>0</v>
      </c>
      <c r="W93" s="140"/>
      <c r="X93" s="138">
        <v>59</v>
      </c>
      <c r="Y93" s="138">
        <v>0</v>
      </c>
      <c r="Z93" s="138">
        <v>0</v>
      </c>
      <c r="AA93" s="138">
        <v>0</v>
      </c>
      <c r="AB93" s="140"/>
      <c r="AC93" s="138">
        <v>0</v>
      </c>
      <c r="AD93" s="138">
        <v>0</v>
      </c>
      <c r="AE93" s="138">
        <v>250209</v>
      </c>
      <c r="AF93" s="140"/>
      <c r="AG93" s="141">
        <f>'form A info'!$AK137/1000</f>
        <v>470.03800000000001</v>
      </c>
    </row>
    <row r="94" spans="1:33" x14ac:dyDescent="0.2">
      <c r="A94" s="134">
        <v>9133</v>
      </c>
      <c r="B94" s="134" t="s">
        <v>241</v>
      </c>
      <c r="C94" s="114" t="str">
        <f>'form A info'!G138</f>
        <v>y</v>
      </c>
      <c r="D94" s="138">
        <v>0</v>
      </c>
      <c r="E94" s="138">
        <v>0</v>
      </c>
      <c r="F94" s="138">
        <v>103</v>
      </c>
      <c r="G94" s="138">
        <v>9</v>
      </c>
      <c r="H94" s="139"/>
      <c r="I94" s="138">
        <v>0</v>
      </c>
      <c r="J94" s="138">
        <v>0</v>
      </c>
      <c r="K94" s="138">
        <v>2</v>
      </c>
      <c r="L94" s="138">
        <v>0</v>
      </c>
      <c r="M94" s="139"/>
      <c r="N94" s="138">
        <v>0</v>
      </c>
      <c r="O94" s="138">
        <v>0</v>
      </c>
      <c r="P94" s="138">
        <v>11</v>
      </c>
      <c r="Q94" s="138">
        <v>1</v>
      </c>
      <c r="R94" s="140"/>
      <c r="S94" s="138">
        <v>0</v>
      </c>
      <c r="T94" s="138">
        <v>0</v>
      </c>
      <c r="U94" s="138">
        <v>0</v>
      </c>
      <c r="V94" s="138">
        <v>0</v>
      </c>
      <c r="W94" s="140"/>
      <c r="X94" s="138">
        <v>0</v>
      </c>
      <c r="Y94" s="138">
        <v>0</v>
      </c>
      <c r="Z94" s="138">
        <v>0</v>
      </c>
      <c r="AA94" s="138">
        <v>0</v>
      </c>
      <c r="AB94" s="140"/>
      <c r="AC94" s="138">
        <v>31780</v>
      </c>
      <c r="AD94" s="138">
        <v>0</v>
      </c>
      <c r="AE94" s="138">
        <v>9128</v>
      </c>
      <c r="AF94" s="140"/>
      <c r="AG94" s="141">
        <f>'form A info'!$AK138/1000</f>
        <v>729.99699999999996</v>
      </c>
    </row>
    <row r="95" spans="1:33" x14ac:dyDescent="0.2">
      <c r="A95" s="134">
        <v>1509</v>
      </c>
      <c r="B95" s="134" t="s">
        <v>243</v>
      </c>
      <c r="C95" s="114" t="str">
        <f>'form A info'!G139</f>
        <v>y</v>
      </c>
      <c r="D95" s="138">
        <v>14</v>
      </c>
      <c r="E95" s="138">
        <v>0</v>
      </c>
      <c r="F95" s="138">
        <v>19</v>
      </c>
      <c r="G95" s="138">
        <v>3</v>
      </c>
      <c r="H95" s="139"/>
      <c r="I95" s="138">
        <v>0</v>
      </c>
      <c r="J95" s="138">
        <v>0</v>
      </c>
      <c r="K95" s="138">
        <v>1</v>
      </c>
      <c r="L95" s="138">
        <v>1</v>
      </c>
      <c r="M95" s="139"/>
      <c r="N95" s="138">
        <v>0</v>
      </c>
      <c r="O95" s="138">
        <v>0</v>
      </c>
      <c r="P95" s="138">
        <v>1</v>
      </c>
      <c r="Q95" s="138">
        <v>0</v>
      </c>
      <c r="R95" s="140"/>
      <c r="S95" s="138">
        <v>0</v>
      </c>
      <c r="T95" s="138">
        <v>0</v>
      </c>
      <c r="U95" s="138">
        <v>0</v>
      </c>
      <c r="V95" s="138">
        <v>0</v>
      </c>
      <c r="W95" s="140"/>
      <c r="X95" s="138">
        <v>0</v>
      </c>
      <c r="Y95" s="138">
        <v>0</v>
      </c>
      <c r="Z95" s="138">
        <v>0</v>
      </c>
      <c r="AA95" s="138">
        <v>0</v>
      </c>
      <c r="AB95" s="140"/>
      <c r="AC95" s="138">
        <v>0</v>
      </c>
      <c r="AD95" s="138">
        <v>0</v>
      </c>
      <c r="AE95" s="138">
        <v>0</v>
      </c>
      <c r="AF95" s="140"/>
      <c r="AG95" s="141">
        <f>'form A info'!$AK139/1000</f>
        <v>65.723939999999999</v>
      </c>
    </row>
    <row r="96" spans="1:33" x14ac:dyDescent="0.2">
      <c r="A96" s="134">
        <v>3724</v>
      </c>
      <c r="B96" s="134" t="s">
        <v>245</v>
      </c>
      <c r="C96" s="114" t="str">
        <f>'form A info'!G140</f>
        <v>y</v>
      </c>
      <c r="D96" s="138">
        <v>0</v>
      </c>
      <c r="E96" s="138">
        <v>0</v>
      </c>
      <c r="F96" s="138">
        <v>1</v>
      </c>
      <c r="G96" s="138">
        <v>0</v>
      </c>
      <c r="H96" s="139"/>
      <c r="I96" s="138">
        <v>0</v>
      </c>
      <c r="J96" s="138">
        <v>0</v>
      </c>
      <c r="K96" s="138">
        <v>0</v>
      </c>
      <c r="L96" s="138">
        <v>4</v>
      </c>
      <c r="M96" s="139"/>
      <c r="N96" s="138">
        <v>0</v>
      </c>
      <c r="O96" s="138">
        <v>0</v>
      </c>
      <c r="P96" s="138">
        <v>0</v>
      </c>
      <c r="Q96" s="138">
        <v>0</v>
      </c>
      <c r="R96" s="140"/>
      <c r="S96" s="138">
        <v>0</v>
      </c>
      <c r="T96" s="138">
        <v>0</v>
      </c>
      <c r="U96" s="138">
        <v>0</v>
      </c>
      <c r="V96" s="138">
        <v>0</v>
      </c>
      <c r="W96" s="140"/>
      <c r="X96" s="138">
        <v>0</v>
      </c>
      <c r="Y96" s="138">
        <v>0</v>
      </c>
      <c r="Z96" s="138">
        <v>0</v>
      </c>
      <c r="AA96" s="138">
        <v>0</v>
      </c>
      <c r="AB96" s="140"/>
      <c r="AC96" s="138">
        <v>0</v>
      </c>
      <c r="AD96" s="138">
        <v>0</v>
      </c>
      <c r="AE96" s="138">
        <v>0</v>
      </c>
      <c r="AF96" s="140"/>
      <c r="AG96" s="141">
        <f>'form A info'!$AK140/1000</f>
        <v>3.75142</v>
      </c>
    </row>
    <row r="97" spans="1:33" x14ac:dyDescent="0.2">
      <c r="A97" s="134">
        <v>4666</v>
      </c>
      <c r="B97" s="134" t="s">
        <v>246</v>
      </c>
      <c r="C97" s="114" t="str">
        <f>'form A info'!G141</f>
        <v>y</v>
      </c>
      <c r="D97" s="138">
        <v>967</v>
      </c>
      <c r="E97" s="138">
        <v>0</v>
      </c>
      <c r="F97" s="138">
        <v>553</v>
      </c>
      <c r="G97" s="138">
        <v>0</v>
      </c>
      <c r="H97" s="139"/>
      <c r="I97" s="138">
        <v>0</v>
      </c>
      <c r="J97" s="138">
        <v>0</v>
      </c>
      <c r="K97" s="138">
        <v>0</v>
      </c>
      <c r="L97" s="138">
        <v>0</v>
      </c>
      <c r="M97" s="139"/>
      <c r="N97" s="138">
        <v>0</v>
      </c>
      <c r="O97" s="138">
        <v>165</v>
      </c>
      <c r="P97" s="138">
        <v>93</v>
      </c>
      <c r="Q97" s="138">
        <v>0</v>
      </c>
      <c r="R97" s="140"/>
      <c r="S97" s="138">
        <v>11</v>
      </c>
      <c r="T97" s="138">
        <v>0</v>
      </c>
      <c r="U97" s="138">
        <v>0</v>
      </c>
      <c r="V97" s="138">
        <v>0</v>
      </c>
      <c r="W97" s="140"/>
      <c r="X97" s="138">
        <v>42</v>
      </c>
      <c r="Y97" s="138">
        <v>0</v>
      </c>
      <c r="Z97" s="138">
        <v>0</v>
      </c>
      <c r="AA97" s="138">
        <v>0</v>
      </c>
      <c r="AB97" s="140"/>
      <c r="AC97" s="138">
        <v>0</v>
      </c>
      <c r="AD97" s="138">
        <v>0</v>
      </c>
      <c r="AE97" s="138">
        <v>0</v>
      </c>
      <c r="AF97" s="140"/>
      <c r="AG97" s="141">
        <f>'form A info'!$AK141/1000</f>
        <v>0</v>
      </c>
    </row>
    <row r="98" spans="1:33" x14ac:dyDescent="0.2">
      <c r="A98" s="134">
        <v>2580</v>
      </c>
      <c r="B98" s="134" t="s">
        <v>251</v>
      </c>
      <c r="C98" s="114" t="str">
        <f>'form A info'!G144</f>
        <v>y</v>
      </c>
      <c r="D98" s="138">
        <v>35</v>
      </c>
      <c r="E98" s="138">
        <v>484</v>
      </c>
      <c r="F98" s="138">
        <v>85</v>
      </c>
      <c r="G98" s="138">
        <v>40</v>
      </c>
      <c r="H98" s="139"/>
      <c r="I98" s="138">
        <v>0</v>
      </c>
      <c r="J98" s="138">
        <v>0</v>
      </c>
      <c r="K98" s="138">
        <v>0</v>
      </c>
      <c r="L98" s="138">
        <v>0</v>
      </c>
      <c r="M98" s="139"/>
      <c r="N98" s="138">
        <v>0</v>
      </c>
      <c r="O98" s="138">
        <v>17</v>
      </c>
      <c r="P98" s="138">
        <v>30</v>
      </c>
      <c r="Q98" s="138">
        <v>0</v>
      </c>
      <c r="R98" s="140"/>
      <c r="S98" s="138">
        <v>22</v>
      </c>
      <c r="T98" s="138">
        <v>0</v>
      </c>
      <c r="U98" s="138">
        <v>0</v>
      </c>
      <c r="V98" s="138">
        <v>0</v>
      </c>
      <c r="W98" s="140"/>
      <c r="X98" s="138">
        <v>0</v>
      </c>
      <c r="Y98" s="138">
        <v>0</v>
      </c>
      <c r="Z98" s="138">
        <v>0</v>
      </c>
      <c r="AA98" s="138">
        <v>0</v>
      </c>
      <c r="AB98" s="140"/>
      <c r="AC98" s="138">
        <v>8534</v>
      </c>
      <c r="AD98" s="138">
        <v>0</v>
      </c>
      <c r="AE98" s="138">
        <v>10755</v>
      </c>
      <c r="AF98" s="140"/>
      <c r="AG98" s="141">
        <f>'form A info'!$AK144/1000</f>
        <v>373.577</v>
      </c>
    </row>
    <row r="99" spans="1:33" x14ac:dyDescent="0.2">
      <c r="A99" s="134">
        <v>732</v>
      </c>
      <c r="B99" s="134" t="s">
        <v>254</v>
      </c>
      <c r="C99" s="114" t="str">
        <f>'form A info'!G146</f>
        <v>y</v>
      </c>
      <c r="D99" s="138">
        <v>26</v>
      </c>
      <c r="E99" s="138">
        <v>876</v>
      </c>
      <c r="F99" s="138">
        <v>92</v>
      </c>
      <c r="G99" s="138">
        <v>19</v>
      </c>
      <c r="H99" s="139"/>
      <c r="I99" s="138">
        <v>0</v>
      </c>
      <c r="J99" s="138">
        <v>9</v>
      </c>
      <c r="K99" s="138">
        <v>9</v>
      </c>
      <c r="L99" s="138">
        <v>3</v>
      </c>
      <c r="M99" s="139"/>
      <c r="N99" s="138">
        <v>0</v>
      </c>
      <c r="O99" s="138">
        <v>50</v>
      </c>
      <c r="P99" s="138">
        <v>9</v>
      </c>
      <c r="Q99" s="138">
        <v>0</v>
      </c>
      <c r="R99" s="140"/>
      <c r="S99" s="138">
        <v>0</v>
      </c>
      <c r="T99" s="138">
        <v>0</v>
      </c>
      <c r="U99" s="138">
        <v>0</v>
      </c>
      <c r="V99" s="138">
        <v>0</v>
      </c>
      <c r="W99" s="140"/>
      <c r="X99" s="138">
        <v>0</v>
      </c>
      <c r="Y99" s="138">
        <v>0</v>
      </c>
      <c r="Z99" s="138">
        <v>0</v>
      </c>
      <c r="AA99" s="138">
        <v>0</v>
      </c>
      <c r="AB99" s="140"/>
      <c r="AC99" s="138">
        <v>0</v>
      </c>
      <c r="AD99" s="138">
        <v>0</v>
      </c>
      <c r="AE99" s="138">
        <v>0</v>
      </c>
      <c r="AF99" s="140"/>
      <c r="AG99" s="141">
        <f>'form A info'!$AK146/1000</f>
        <v>209.18923999999998</v>
      </c>
    </row>
    <row r="100" spans="1:33" x14ac:dyDescent="0.2">
      <c r="A100" s="134">
        <v>9180</v>
      </c>
      <c r="B100" s="134" t="s">
        <v>259</v>
      </c>
      <c r="C100" s="114" t="str">
        <f>'form A info'!G147</f>
        <v>y</v>
      </c>
      <c r="D100" s="138">
        <v>0</v>
      </c>
      <c r="E100" s="138">
        <v>0</v>
      </c>
      <c r="F100" s="138">
        <v>174</v>
      </c>
      <c r="G100" s="138">
        <v>15</v>
      </c>
      <c r="H100" s="139"/>
      <c r="I100" s="138">
        <v>0</v>
      </c>
      <c r="J100" s="138">
        <v>0</v>
      </c>
      <c r="K100" s="138">
        <v>0</v>
      </c>
      <c r="L100" s="138">
        <v>0</v>
      </c>
      <c r="M100" s="139"/>
      <c r="N100" s="138">
        <v>0</v>
      </c>
      <c r="O100" s="138">
        <v>0</v>
      </c>
      <c r="P100" s="138">
        <v>79</v>
      </c>
      <c r="Q100" s="138">
        <v>-6</v>
      </c>
      <c r="R100" s="140"/>
      <c r="S100" s="138">
        <v>0</v>
      </c>
      <c r="T100" s="138">
        <v>0</v>
      </c>
      <c r="U100" s="138">
        <v>0</v>
      </c>
      <c r="V100" s="138">
        <v>0</v>
      </c>
      <c r="W100" s="140"/>
      <c r="X100" s="138">
        <v>0</v>
      </c>
      <c r="Y100" s="138">
        <v>0</v>
      </c>
      <c r="Z100" s="138">
        <v>0</v>
      </c>
      <c r="AA100" s="138">
        <v>0</v>
      </c>
      <c r="AB100" s="140"/>
      <c r="AC100" s="138">
        <v>0</v>
      </c>
      <c r="AD100" s="138">
        <v>0</v>
      </c>
      <c r="AE100" s="138">
        <v>5000</v>
      </c>
      <c r="AF100" s="140"/>
      <c r="AG100" s="141">
        <f>'form A info'!$AK147/1000</f>
        <v>530.49699999999996</v>
      </c>
    </row>
    <row r="101" spans="1:33" x14ac:dyDescent="0.2">
      <c r="A101" s="134">
        <v>520</v>
      </c>
      <c r="B101" s="134" t="s">
        <v>262</v>
      </c>
      <c r="C101" s="114" t="str">
        <f>'form A info'!G148</f>
        <v>y</v>
      </c>
      <c r="D101" s="138">
        <v>0</v>
      </c>
      <c r="E101" s="138">
        <v>0</v>
      </c>
      <c r="F101" s="138">
        <v>0</v>
      </c>
      <c r="G101" s="138">
        <v>0</v>
      </c>
      <c r="H101" s="139"/>
      <c r="I101" s="138">
        <v>0</v>
      </c>
      <c r="J101" s="138">
        <v>0</v>
      </c>
      <c r="K101" s="138">
        <v>0</v>
      </c>
      <c r="L101" s="138">
        <v>0</v>
      </c>
      <c r="M101" s="139"/>
      <c r="N101" s="138">
        <v>0</v>
      </c>
      <c r="O101" s="138">
        <v>0</v>
      </c>
      <c r="P101" s="138">
        <v>0</v>
      </c>
      <c r="Q101" s="138">
        <v>0</v>
      </c>
      <c r="R101" s="140"/>
      <c r="S101" s="138">
        <v>0</v>
      </c>
      <c r="T101" s="138">
        <v>0</v>
      </c>
      <c r="U101" s="138">
        <v>0</v>
      </c>
      <c r="V101" s="138">
        <v>0</v>
      </c>
      <c r="W101" s="140"/>
      <c r="X101" s="138">
        <v>0</v>
      </c>
      <c r="Y101" s="138">
        <v>0</v>
      </c>
      <c r="Z101" s="138">
        <v>0</v>
      </c>
      <c r="AA101" s="138">
        <v>0</v>
      </c>
      <c r="AB101" s="140"/>
      <c r="AC101" s="138">
        <v>0</v>
      </c>
      <c r="AD101" s="138">
        <v>0</v>
      </c>
      <c r="AE101" s="138">
        <v>0</v>
      </c>
      <c r="AF101" s="140"/>
      <c r="AG101" s="141">
        <f>'form A info'!$AK148/1000</f>
        <v>97.268000000000001</v>
      </c>
    </row>
    <row r="102" spans="1:33" x14ac:dyDescent="0.2">
      <c r="A102" s="134">
        <v>2568</v>
      </c>
      <c r="B102" s="134" t="s">
        <v>262</v>
      </c>
      <c r="C102" s="114" t="str">
        <f>'form A info'!G149</f>
        <v>y</v>
      </c>
      <c r="D102" s="138">
        <v>10</v>
      </c>
      <c r="E102" s="138">
        <v>0</v>
      </c>
      <c r="F102" s="138">
        <v>33</v>
      </c>
      <c r="G102" s="138">
        <v>6</v>
      </c>
      <c r="H102" s="139"/>
      <c r="I102" s="138">
        <v>0</v>
      </c>
      <c r="J102" s="138">
        <v>0</v>
      </c>
      <c r="K102" s="138">
        <v>13</v>
      </c>
      <c r="L102" s="138">
        <v>1</v>
      </c>
      <c r="M102" s="139"/>
      <c r="N102" s="138">
        <v>0</v>
      </c>
      <c r="O102" s="138">
        <v>2</v>
      </c>
      <c r="P102" s="138">
        <v>3</v>
      </c>
      <c r="Q102" s="138">
        <v>1</v>
      </c>
      <c r="R102" s="140"/>
      <c r="S102" s="138">
        <v>0</v>
      </c>
      <c r="T102" s="138">
        <v>0</v>
      </c>
      <c r="U102" s="138">
        <v>0</v>
      </c>
      <c r="V102" s="138">
        <v>0</v>
      </c>
      <c r="W102" s="140"/>
      <c r="X102" s="138">
        <v>0</v>
      </c>
      <c r="Y102" s="138">
        <v>0</v>
      </c>
      <c r="Z102" s="138">
        <v>0</v>
      </c>
      <c r="AA102" s="138">
        <v>0</v>
      </c>
      <c r="AB102" s="140"/>
      <c r="AC102" s="138">
        <v>0</v>
      </c>
      <c r="AD102" s="138">
        <v>0</v>
      </c>
      <c r="AE102" s="138">
        <v>175226</v>
      </c>
      <c r="AF102" s="140"/>
      <c r="AG102" s="141">
        <f>'form A info'!$AK149/1000</f>
        <v>0</v>
      </c>
    </row>
    <row r="103" spans="1:33" x14ac:dyDescent="0.2">
      <c r="A103" s="134">
        <v>1584</v>
      </c>
      <c r="B103" s="134" t="s">
        <v>264</v>
      </c>
      <c r="C103" s="114" t="str">
        <f>'form A info'!G150</f>
        <v>y</v>
      </c>
      <c r="D103" s="138">
        <v>43</v>
      </c>
      <c r="E103" s="138">
        <v>0</v>
      </c>
      <c r="F103" s="138">
        <v>61</v>
      </c>
      <c r="G103" s="138">
        <v>17</v>
      </c>
      <c r="H103" s="139"/>
      <c r="I103" s="138">
        <v>0</v>
      </c>
      <c r="J103" s="138">
        <v>0</v>
      </c>
      <c r="K103" s="138">
        <v>8</v>
      </c>
      <c r="L103" s="138">
        <v>1</v>
      </c>
      <c r="M103" s="139"/>
      <c r="N103" s="138">
        <v>0</v>
      </c>
      <c r="O103" s="138">
        <v>0</v>
      </c>
      <c r="P103" s="138">
        <v>12</v>
      </c>
      <c r="Q103" s="138">
        <v>2</v>
      </c>
      <c r="R103" s="140"/>
      <c r="S103" s="138">
        <v>0</v>
      </c>
      <c r="T103" s="138">
        <v>0</v>
      </c>
      <c r="U103" s="138">
        <v>0</v>
      </c>
      <c r="V103" s="138">
        <v>0</v>
      </c>
      <c r="W103" s="140"/>
      <c r="X103" s="138">
        <v>0</v>
      </c>
      <c r="Y103" s="138">
        <v>0</v>
      </c>
      <c r="Z103" s="138">
        <v>0</v>
      </c>
      <c r="AA103" s="138">
        <v>0</v>
      </c>
      <c r="AB103" s="140"/>
      <c r="AC103" s="138">
        <v>0</v>
      </c>
      <c r="AD103" s="138">
        <v>0</v>
      </c>
      <c r="AE103" s="138">
        <v>90213</v>
      </c>
      <c r="AF103" s="140"/>
      <c r="AG103" s="141">
        <f>'form A info'!$AK150/1000</f>
        <v>509.72</v>
      </c>
    </row>
    <row r="104" spans="1:33" x14ac:dyDescent="0.2">
      <c r="A104" s="134">
        <v>2654</v>
      </c>
      <c r="B104" s="134" t="s">
        <v>266</v>
      </c>
      <c r="C104" s="114" t="str">
        <f>'form A info'!G151</f>
        <v>y</v>
      </c>
      <c r="D104" s="138">
        <v>0</v>
      </c>
      <c r="E104" s="138">
        <v>0</v>
      </c>
      <c r="F104" s="138">
        <v>11</v>
      </c>
      <c r="G104" s="138">
        <v>4</v>
      </c>
      <c r="H104" s="139"/>
      <c r="I104" s="138">
        <v>0</v>
      </c>
      <c r="J104" s="138">
        <v>0</v>
      </c>
      <c r="K104" s="138">
        <v>0</v>
      </c>
      <c r="L104" s="138">
        <v>1</v>
      </c>
      <c r="M104" s="139"/>
      <c r="N104" s="138">
        <v>0</v>
      </c>
      <c r="O104" s="138">
        <v>0</v>
      </c>
      <c r="P104" s="138">
        <v>3</v>
      </c>
      <c r="Q104" s="138">
        <v>5</v>
      </c>
      <c r="R104" s="140"/>
      <c r="S104" s="138">
        <v>0</v>
      </c>
      <c r="T104" s="138">
        <v>0</v>
      </c>
      <c r="U104" s="138">
        <v>0</v>
      </c>
      <c r="V104" s="138">
        <v>0</v>
      </c>
      <c r="W104" s="140"/>
      <c r="X104" s="138">
        <v>0</v>
      </c>
      <c r="Y104" s="138">
        <v>0</v>
      </c>
      <c r="Z104" s="138">
        <v>0</v>
      </c>
      <c r="AA104" s="138">
        <v>0</v>
      </c>
      <c r="AB104" s="140"/>
      <c r="AC104" s="138">
        <v>0</v>
      </c>
      <c r="AD104" s="138">
        <v>0</v>
      </c>
      <c r="AE104" s="138">
        <v>0</v>
      </c>
      <c r="AF104" s="140"/>
      <c r="AG104" s="141">
        <f>'form A info'!$AK151/1000</f>
        <v>78.709999999999994</v>
      </c>
    </row>
    <row r="105" spans="1:33" x14ac:dyDescent="0.2">
      <c r="A105" s="134">
        <v>4830</v>
      </c>
      <c r="B105" s="134" t="s">
        <v>662</v>
      </c>
      <c r="C105" s="114" t="str">
        <f>'form A info'!G152</f>
        <v>y</v>
      </c>
      <c r="D105" s="138">
        <v>662</v>
      </c>
      <c r="E105" s="138">
        <v>593</v>
      </c>
      <c r="F105" s="138">
        <v>314</v>
      </c>
      <c r="G105" s="138">
        <v>6</v>
      </c>
      <c r="H105" s="139"/>
      <c r="I105" s="138">
        <v>0</v>
      </c>
      <c r="J105" s="138">
        <v>0</v>
      </c>
      <c r="K105" s="138">
        <v>64</v>
      </c>
      <c r="L105" s="138">
        <v>1</v>
      </c>
      <c r="M105" s="139"/>
      <c r="N105" s="138">
        <v>13</v>
      </c>
      <c r="O105" s="138">
        <v>32</v>
      </c>
      <c r="P105" s="138">
        <v>25</v>
      </c>
      <c r="Q105" s="138">
        <v>1</v>
      </c>
      <c r="R105" s="140"/>
      <c r="S105" s="138">
        <v>25</v>
      </c>
      <c r="T105" s="138">
        <v>3</v>
      </c>
      <c r="U105" s="138">
        <v>0</v>
      </c>
      <c r="V105" s="138">
        <v>0</v>
      </c>
      <c r="W105" s="140"/>
      <c r="X105" s="138">
        <v>175</v>
      </c>
      <c r="Y105" s="138">
        <v>0</v>
      </c>
      <c r="Z105" s="138">
        <v>0</v>
      </c>
      <c r="AA105" s="138">
        <v>0</v>
      </c>
      <c r="AB105" s="140"/>
      <c r="AC105" s="138">
        <v>0</v>
      </c>
      <c r="AD105" s="138">
        <v>0</v>
      </c>
      <c r="AE105" s="138">
        <v>0</v>
      </c>
      <c r="AF105" s="140"/>
      <c r="AG105" s="141">
        <f>'form A info'!$AK152/1000</f>
        <v>79.438999999999993</v>
      </c>
    </row>
    <row r="106" spans="1:33" x14ac:dyDescent="0.2">
      <c r="A106" s="134">
        <v>1585</v>
      </c>
      <c r="B106" s="134" t="s">
        <v>270</v>
      </c>
      <c r="C106" s="114" t="str">
        <f>'form A info'!G153</f>
        <v>y</v>
      </c>
      <c r="D106" s="138">
        <v>0</v>
      </c>
      <c r="E106" s="138">
        <v>0</v>
      </c>
      <c r="F106" s="138">
        <v>8</v>
      </c>
      <c r="G106" s="138">
        <v>5</v>
      </c>
      <c r="H106" s="139"/>
      <c r="I106" s="138">
        <v>0</v>
      </c>
      <c r="J106" s="138">
        <v>0</v>
      </c>
      <c r="K106" s="138">
        <v>0</v>
      </c>
      <c r="L106" s="138">
        <v>0</v>
      </c>
      <c r="M106" s="139"/>
      <c r="N106" s="138">
        <v>0</v>
      </c>
      <c r="O106" s="138">
        <v>0</v>
      </c>
      <c r="P106" s="138">
        <v>0</v>
      </c>
      <c r="Q106" s="138">
        <v>0</v>
      </c>
      <c r="R106" s="140"/>
      <c r="S106" s="138">
        <v>0</v>
      </c>
      <c r="T106" s="138">
        <v>0</v>
      </c>
      <c r="U106" s="138">
        <v>0</v>
      </c>
      <c r="V106" s="138">
        <v>0</v>
      </c>
      <c r="W106" s="140"/>
      <c r="X106" s="138">
        <v>0</v>
      </c>
      <c r="Y106" s="138">
        <v>0</v>
      </c>
      <c r="Z106" s="138">
        <v>0</v>
      </c>
      <c r="AA106" s="138">
        <v>0</v>
      </c>
      <c r="AB106" s="140"/>
      <c r="AC106" s="138">
        <v>0</v>
      </c>
      <c r="AD106" s="138">
        <v>0</v>
      </c>
      <c r="AE106" s="138">
        <v>0</v>
      </c>
      <c r="AF106" s="140"/>
      <c r="AG106" s="141">
        <f>'form A info'!$AK153/1000</f>
        <v>0</v>
      </c>
    </row>
    <row r="107" spans="1:33" x14ac:dyDescent="0.2">
      <c r="A107" s="134">
        <v>9397</v>
      </c>
      <c r="B107" s="134" t="s">
        <v>272</v>
      </c>
      <c r="C107" s="114" t="str">
        <f>'form A info'!G154</f>
        <v>y</v>
      </c>
      <c r="D107" s="138">
        <v>199</v>
      </c>
      <c r="E107" s="138">
        <v>0</v>
      </c>
      <c r="F107" s="138">
        <v>116</v>
      </c>
      <c r="G107" s="138">
        <v>-49</v>
      </c>
      <c r="H107" s="139"/>
      <c r="I107" s="138">
        <v>0</v>
      </c>
      <c r="J107" s="138">
        <v>0</v>
      </c>
      <c r="K107" s="138">
        <v>0</v>
      </c>
      <c r="L107" s="138">
        <v>0</v>
      </c>
      <c r="M107" s="139"/>
      <c r="N107" s="138">
        <v>0</v>
      </c>
      <c r="O107" s="138">
        <v>0</v>
      </c>
      <c r="P107" s="138">
        <v>67</v>
      </c>
      <c r="Q107" s="138">
        <v>0</v>
      </c>
      <c r="R107" s="140"/>
      <c r="S107" s="138">
        <v>12</v>
      </c>
      <c r="T107" s="138">
        <v>0</v>
      </c>
      <c r="U107" s="138">
        <v>0</v>
      </c>
      <c r="V107" s="138">
        <v>0</v>
      </c>
      <c r="W107" s="140"/>
      <c r="X107" s="138">
        <v>27</v>
      </c>
      <c r="Y107" s="138">
        <v>0</v>
      </c>
      <c r="Z107" s="138">
        <v>0</v>
      </c>
      <c r="AA107" s="138">
        <v>0</v>
      </c>
      <c r="AB107" s="140"/>
      <c r="AC107" s="138">
        <v>16458</v>
      </c>
      <c r="AD107" s="138">
        <v>0</v>
      </c>
      <c r="AE107" s="138">
        <v>0</v>
      </c>
      <c r="AF107" s="140"/>
      <c r="AG107" s="141">
        <f>'form A info'!$AK154/1000</f>
        <v>759.24400000000003</v>
      </c>
    </row>
    <row r="108" spans="1:33" x14ac:dyDescent="0.2">
      <c r="A108" s="134">
        <v>1540</v>
      </c>
      <c r="B108" s="134" t="s">
        <v>280</v>
      </c>
      <c r="C108" s="114" t="str">
        <f>'form A info'!G156</f>
        <v>y</v>
      </c>
      <c r="D108" s="138">
        <v>116</v>
      </c>
      <c r="E108" s="138">
        <v>6</v>
      </c>
      <c r="F108" s="138">
        <v>113</v>
      </c>
      <c r="G108" s="138">
        <v>53</v>
      </c>
      <c r="H108" s="139"/>
      <c r="I108" s="138">
        <v>0</v>
      </c>
      <c r="J108" s="138">
        <v>0</v>
      </c>
      <c r="K108" s="138">
        <v>1</v>
      </c>
      <c r="L108" s="138">
        <v>0</v>
      </c>
      <c r="M108" s="139"/>
      <c r="N108" s="138">
        <v>0</v>
      </c>
      <c r="O108" s="138">
        <v>4</v>
      </c>
      <c r="P108" s="138">
        <v>64</v>
      </c>
      <c r="Q108" s="138">
        <v>1</v>
      </c>
      <c r="R108" s="140"/>
      <c r="S108" s="138">
        <v>0</v>
      </c>
      <c r="T108" s="138">
        <v>0</v>
      </c>
      <c r="U108" s="138">
        <v>0</v>
      </c>
      <c r="V108" s="138">
        <v>0</v>
      </c>
      <c r="W108" s="140"/>
      <c r="X108" s="138">
        <v>0</v>
      </c>
      <c r="Y108" s="138">
        <v>0</v>
      </c>
      <c r="Z108" s="138">
        <v>0</v>
      </c>
      <c r="AA108" s="138">
        <v>0</v>
      </c>
      <c r="AB108" s="140"/>
      <c r="AC108" s="138">
        <v>0</v>
      </c>
      <c r="AD108" s="138">
        <v>0</v>
      </c>
      <c r="AE108" s="138">
        <v>0</v>
      </c>
      <c r="AF108" s="140"/>
      <c r="AG108" s="141">
        <f>'form A info'!$AK156/1000</f>
        <v>371.33800000000002</v>
      </c>
    </row>
    <row r="109" spans="1:33" x14ac:dyDescent="0.2">
      <c r="A109" s="134">
        <v>1926</v>
      </c>
      <c r="B109" s="134" t="s">
        <v>291</v>
      </c>
      <c r="C109" s="114" t="str">
        <f>'form A info'!G158</f>
        <v>y</v>
      </c>
      <c r="D109" s="138">
        <v>0</v>
      </c>
      <c r="E109" s="138">
        <v>0</v>
      </c>
      <c r="F109" s="138">
        <v>1</v>
      </c>
      <c r="G109" s="138">
        <v>-12</v>
      </c>
      <c r="H109" s="139"/>
      <c r="I109" s="138">
        <v>0</v>
      </c>
      <c r="J109" s="138">
        <v>0</v>
      </c>
      <c r="K109" s="138">
        <v>0</v>
      </c>
      <c r="L109" s="138">
        <v>0</v>
      </c>
      <c r="M109" s="139"/>
      <c r="N109" s="138">
        <v>0</v>
      </c>
      <c r="O109" s="138">
        <v>0</v>
      </c>
      <c r="P109" s="138">
        <v>0</v>
      </c>
      <c r="Q109" s="138">
        <v>1</v>
      </c>
      <c r="R109" s="140"/>
      <c r="S109" s="138">
        <v>0</v>
      </c>
      <c r="T109" s="138">
        <v>0</v>
      </c>
      <c r="U109" s="138">
        <v>0</v>
      </c>
      <c r="V109" s="138">
        <v>0</v>
      </c>
      <c r="W109" s="140"/>
      <c r="X109" s="138">
        <v>0</v>
      </c>
      <c r="Y109" s="138">
        <v>0</v>
      </c>
      <c r="Z109" s="138">
        <v>0</v>
      </c>
      <c r="AA109" s="138">
        <v>0</v>
      </c>
      <c r="AB109" s="140"/>
      <c r="AC109" s="138">
        <v>0</v>
      </c>
      <c r="AD109" s="138">
        <v>0</v>
      </c>
      <c r="AE109" s="138">
        <v>0</v>
      </c>
      <c r="AF109" s="140"/>
      <c r="AG109" s="141">
        <f>'form A info'!$AK158/1000</f>
        <v>0</v>
      </c>
    </row>
    <row r="110" spans="1:33" x14ac:dyDescent="0.2">
      <c r="A110" s="134">
        <v>3527</v>
      </c>
      <c r="B110" s="134" t="s">
        <v>293</v>
      </c>
      <c r="C110" s="114" t="str">
        <f>'form A info'!G159</f>
        <v>y</v>
      </c>
      <c r="D110" s="138">
        <v>0</v>
      </c>
      <c r="E110" s="138">
        <v>0</v>
      </c>
      <c r="F110" s="138">
        <v>7</v>
      </c>
      <c r="G110" s="138">
        <v>19</v>
      </c>
      <c r="H110" s="139"/>
      <c r="I110" s="138">
        <v>0</v>
      </c>
      <c r="J110" s="138">
        <v>0</v>
      </c>
      <c r="K110" s="138">
        <v>0</v>
      </c>
      <c r="L110" s="138">
        <v>1</v>
      </c>
      <c r="M110" s="139"/>
      <c r="N110" s="138">
        <v>0</v>
      </c>
      <c r="O110" s="138">
        <v>0</v>
      </c>
      <c r="P110" s="138">
        <v>0</v>
      </c>
      <c r="Q110" s="138">
        <v>0</v>
      </c>
      <c r="R110" s="140"/>
      <c r="S110" s="138">
        <v>0</v>
      </c>
      <c r="T110" s="138">
        <v>0</v>
      </c>
      <c r="U110" s="138">
        <v>0</v>
      </c>
      <c r="V110" s="138">
        <v>0</v>
      </c>
      <c r="W110" s="140"/>
      <c r="X110" s="138">
        <v>0</v>
      </c>
      <c r="Y110" s="138">
        <v>0</v>
      </c>
      <c r="Z110" s="138">
        <v>0</v>
      </c>
      <c r="AA110" s="138">
        <v>0</v>
      </c>
      <c r="AB110" s="140"/>
      <c r="AC110" s="138">
        <v>0</v>
      </c>
      <c r="AD110" s="138">
        <v>0</v>
      </c>
      <c r="AE110" s="138">
        <v>0</v>
      </c>
      <c r="AF110" s="140"/>
      <c r="AG110" s="141">
        <f>'form A info'!$AK159/1000</f>
        <v>0</v>
      </c>
    </row>
    <row r="111" spans="1:33" x14ac:dyDescent="0.2">
      <c r="A111" s="134">
        <v>2717</v>
      </c>
      <c r="B111" s="134" t="s">
        <v>295</v>
      </c>
      <c r="C111" s="114" t="str">
        <f>'form A info'!G160</f>
        <v>y</v>
      </c>
      <c r="D111" s="138">
        <v>54</v>
      </c>
      <c r="E111" s="138">
        <v>683</v>
      </c>
      <c r="F111" s="138">
        <v>114</v>
      </c>
      <c r="G111" s="138">
        <v>0</v>
      </c>
      <c r="H111" s="139"/>
      <c r="I111" s="138">
        <v>0</v>
      </c>
      <c r="J111" s="138">
        <v>0</v>
      </c>
      <c r="K111" s="138">
        <v>0</v>
      </c>
      <c r="L111" s="138">
        <v>0</v>
      </c>
      <c r="M111" s="139"/>
      <c r="N111" s="138">
        <v>0</v>
      </c>
      <c r="O111" s="138">
        <v>13</v>
      </c>
      <c r="P111" s="138">
        <v>33</v>
      </c>
      <c r="Q111" s="138">
        <v>0</v>
      </c>
      <c r="R111" s="140"/>
      <c r="S111" s="138">
        <v>0</v>
      </c>
      <c r="T111" s="138">
        <v>0</v>
      </c>
      <c r="U111" s="138">
        <v>0</v>
      </c>
      <c r="V111" s="138">
        <v>0</v>
      </c>
      <c r="W111" s="140"/>
      <c r="X111" s="138">
        <v>0</v>
      </c>
      <c r="Y111" s="138">
        <v>0</v>
      </c>
      <c r="Z111" s="138">
        <v>0</v>
      </c>
      <c r="AA111" s="138">
        <v>0</v>
      </c>
      <c r="AB111" s="140"/>
      <c r="AC111" s="138">
        <v>0</v>
      </c>
      <c r="AD111" s="138">
        <v>0</v>
      </c>
      <c r="AE111" s="138">
        <v>18095</v>
      </c>
      <c r="AF111" s="140"/>
      <c r="AG111" s="141">
        <f>'form A info'!$AK160/1000</f>
        <v>556.43299999999999</v>
      </c>
    </row>
    <row r="112" spans="1:33" x14ac:dyDescent="0.2">
      <c r="A112" s="134">
        <v>9245</v>
      </c>
      <c r="B112" s="134" t="s">
        <v>298</v>
      </c>
      <c r="C112" s="114" t="str">
        <f>'form A info'!G161</f>
        <v>y</v>
      </c>
      <c r="D112" s="138">
        <v>0</v>
      </c>
      <c r="E112" s="138">
        <v>0</v>
      </c>
      <c r="F112" s="138">
        <v>145</v>
      </c>
      <c r="G112" s="138">
        <v>2</v>
      </c>
      <c r="H112" s="139"/>
      <c r="I112" s="138">
        <v>0</v>
      </c>
      <c r="J112" s="138">
        <v>0</v>
      </c>
      <c r="K112" s="138">
        <v>14</v>
      </c>
      <c r="L112" s="138">
        <v>0</v>
      </c>
      <c r="M112" s="139"/>
      <c r="N112" s="138">
        <v>0</v>
      </c>
      <c r="O112" s="138">
        <v>0</v>
      </c>
      <c r="P112" s="138">
        <v>9</v>
      </c>
      <c r="Q112" s="138">
        <v>0</v>
      </c>
      <c r="R112" s="140"/>
      <c r="S112" s="138">
        <v>0</v>
      </c>
      <c r="T112" s="138">
        <v>0</v>
      </c>
      <c r="U112" s="138">
        <v>0</v>
      </c>
      <c r="V112" s="138">
        <v>0</v>
      </c>
      <c r="W112" s="140"/>
      <c r="X112" s="138">
        <v>0</v>
      </c>
      <c r="Y112" s="138">
        <v>0</v>
      </c>
      <c r="Z112" s="138">
        <v>0</v>
      </c>
      <c r="AA112" s="138">
        <v>0</v>
      </c>
      <c r="AB112" s="140"/>
      <c r="AC112" s="138">
        <v>0</v>
      </c>
      <c r="AD112" s="138">
        <v>0</v>
      </c>
      <c r="AE112" s="138">
        <v>0</v>
      </c>
      <c r="AF112" s="140"/>
      <c r="AG112" s="141">
        <f>'form A info'!$AK161/1000</f>
        <v>0</v>
      </c>
    </row>
    <row r="113" spans="1:33" x14ac:dyDescent="0.2">
      <c r="A113" s="134">
        <v>9250</v>
      </c>
      <c r="B113" s="134" t="s">
        <v>300</v>
      </c>
      <c r="C113" s="114" t="str">
        <f>'form A info'!G162</f>
        <v>y</v>
      </c>
      <c r="D113" s="138">
        <v>0</v>
      </c>
      <c r="E113" s="138">
        <v>0</v>
      </c>
      <c r="F113" s="138">
        <v>111</v>
      </c>
      <c r="G113" s="138">
        <v>2</v>
      </c>
      <c r="H113" s="139"/>
      <c r="I113" s="138">
        <v>0</v>
      </c>
      <c r="J113" s="138">
        <v>0</v>
      </c>
      <c r="K113" s="138">
        <v>67</v>
      </c>
      <c r="L113" s="138">
        <v>1</v>
      </c>
      <c r="M113" s="139"/>
      <c r="N113" s="138">
        <v>0</v>
      </c>
      <c r="O113" s="138">
        <v>0</v>
      </c>
      <c r="P113" s="138">
        <v>107</v>
      </c>
      <c r="Q113" s="138">
        <v>176</v>
      </c>
      <c r="R113" s="140"/>
      <c r="S113" s="138">
        <v>0</v>
      </c>
      <c r="T113" s="138">
        <v>0</v>
      </c>
      <c r="U113" s="138">
        <v>0</v>
      </c>
      <c r="V113" s="138">
        <v>0</v>
      </c>
      <c r="W113" s="140"/>
      <c r="X113" s="138">
        <v>67</v>
      </c>
      <c r="Y113" s="138">
        <v>0</v>
      </c>
      <c r="Z113" s="138">
        <v>0</v>
      </c>
      <c r="AA113" s="138">
        <v>0</v>
      </c>
      <c r="AB113" s="140"/>
      <c r="AC113" s="138">
        <v>82314</v>
      </c>
      <c r="AD113" s="138">
        <v>0</v>
      </c>
      <c r="AE113" s="138">
        <v>45586</v>
      </c>
      <c r="AF113" s="140"/>
      <c r="AG113" s="141">
        <f>'form A info'!$AK162/1000</f>
        <v>822.69299999999998</v>
      </c>
    </row>
    <row r="114" spans="1:33" x14ac:dyDescent="0.2">
      <c r="A114" s="134">
        <v>4831</v>
      </c>
      <c r="B114" s="134" t="s">
        <v>303</v>
      </c>
      <c r="C114" s="114" t="str">
        <f>'form A info'!G163</f>
        <v>y</v>
      </c>
      <c r="D114" s="138">
        <v>259</v>
      </c>
      <c r="E114" s="138">
        <v>0</v>
      </c>
      <c r="F114" s="138">
        <v>204</v>
      </c>
      <c r="G114" s="138">
        <v>8</v>
      </c>
      <c r="H114" s="139"/>
      <c r="I114" s="138">
        <v>0</v>
      </c>
      <c r="J114" s="138">
        <v>0</v>
      </c>
      <c r="K114" s="138">
        <v>0</v>
      </c>
      <c r="L114" s="138">
        <v>0</v>
      </c>
      <c r="M114" s="139"/>
      <c r="N114" s="138">
        <v>2</v>
      </c>
      <c r="O114" s="138">
        <v>26</v>
      </c>
      <c r="P114" s="138">
        <v>5</v>
      </c>
      <c r="Q114" s="138">
        <v>0</v>
      </c>
      <c r="R114" s="140"/>
      <c r="S114" s="138">
        <v>6</v>
      </c>
      <c r="T114" s="138">
        <v>0</v>
      </c>
      <c r="U114" s="138">
        <v>0</v>
      </c>
      <c r="V114" s="138">
        <v>0</v>
      </c>
      <c r="W114" s="140"/>
      <c r="X114" s="138">
        <v>10</v>
      </c>
      <c r="Y114" s="138">
        <v>0</v>
      </c>
      <c r="Z114" s="138">
        <v>0</v>
      </c>
      <c r="AA114" s="138">
        <v>0</v>
      </c>
      <c r="AB114" s="140"/>
      <c r="AC114" s="138">
        <v>0</v>
      </c>
      <c r="AD114" s="138">
        <v>0</v>
      </c>
      <c r="AE114" s="138">
        <v>0</v>
      </c>
      <c r="AF114" s="140"/>
      <c r="AG114" s="141">
        <f>'form A info'!$AK163/1000</f>
        <v>28.05</v>
      </c>
    </row>
    <row r="115" spans="1:33" x14ac:dyDescent="0.2">
      <c r="A115" s="134">
        <v>544</v>
      </c>
      <c r="B115" s="134" t="s">
        <v>304</v>
      </c>
      <c r="C115" s="114" t="str">
        <f>'form A info'!G164</f>
        <v>y</v>
      </c>
      <c r="D115" s="138">
        <v>0</v>
      </c>
      <c r="E115" s="138">
        <v>0</v>
      </c>
      <c r="F115" s="138">
        <v>30</v>
      </c>
      <c r="G115" s="138">
        <v>6</v>
      </c>
      <c r="H115" s="139"/>
      <c r="I115" s="138">
        <v>0</v>
      </c>
      <c r="J115" s="138">
        <v>0</v>
      </c>
      <c r="K115" s="138">
        <v>0</v>
      </c>
      <c r="L115" s="138">
        <v>0</v>
      </c>
      <c r="M115" s="139"/>
      <c r="N115" s="138">
        <v>0</v>
      </c>
      <c r="O115" s="138">
        <v>8</v>
      </c>
      <c r="P115" s="138">
        <v>14</v>
      </c>
      <c r="Q115" s="138">
        <v>0</v>
      </c>
      <c r="R115" s="140"/>
      <c r="S115" s="138">
        <v>0</v>
      </c>
      <c r="T115" s="138">
        <v>0</v>
      </c>
      <c r="U115" s="138">
        <v>0</v>
      </c>
      <c r="V115" s="138">
        <v>0</v>
      </c>
      <c r="W115" s="140"/>
      <c r="X115" s="138">
        <v>0</v>
      </c>
      <c r="Y115" s="138">
        <v>0</v>
      </c>
      <c r="Z115" s="138">
        <v>0</v>
      </c>
      <c r="AA115" s="138">
        <v>0</v>
      </c>
      <c r="AB115" s="140"/>
      <c r="AC115" s="138">
        <v>0</v>
      </c>
      <c r="AD115" s="138">
        <v>0</v>
      </c>
      <c r="AE115" s="138">
        <v>0</v>
      </c>
      <c r="AF115" s="140"/>
      <c r="AG115" s="141">
        <f>'form A info'!$AK164/1000</f>
        <v>0</v>
      </c>
    </row>
    <row r="116" spans="1:33" x14ac:dyDescent="0.2">
      <c r="A116" s="134">
        <v>2525</v>
      </c>
      <c r="B116" s="134" t="s">
        <v>306</v>
      </c>
      <c r="C116" s="114" t="str">
        <f>'form A info'!G165</f>
        <v>y</v>
      </c>
      <c r="D116" s="138">
        <v>0</v>
      </c>
      <c r="E116" s="138">
        <v>0</v>
      </c>
      <c r="F116" s="138">
        <v>18</v>
      </c>
      <c r="G116" s="138">
        <v>6</v>
      </c>
      <c r="H116" s="139"/>
      <c r="I116" s="138">
        <v>0</v>
      </c>
      <c r="J116" s="138">
        <v>0</v>
      </c>
      <c r="K116" s="138">
        <v>0</v>
      </c>
      <c r="L116" s="138">
        <v>0</v>
      </c>
      <c r="M116" s="139"/>
      <c r="N116" s="138">
        <v>0</v>
      </c>
      <c r="O116" s="138">
        <v>1</v>
      </c>
      <c r="P116" s="138">
        <v>0</v>
      </c>
      <c r="Q116" s="138">
        <v>0</v>
      </c>
      <c r="R116" s="140"/>
      <c r="S116" s="138">
        <v>0</v>
      </c>
      <c r="T116" s="138">
        <v>0</v>
      </c>
      <c r="U116" s="138">
        <v>0</v>
      </c>
      <c r="V116" s="138">
        <v>0</v>
      </c>
      <c r="W116" s="140"/>
      <c r="X116" s="138">
        <v>0</v>
      </c>
      <c r="Y116" s="138">
        <v>0</v>
      </c>
      <c r="Z116" s="138">
        <v>0</v>
      </c>
      <c r="AA116" s="138">
        <v>0</v>
      </c>
      <c r="AB116" s="140"/>
      <c r="AC116" s="138">
        <v>0</v>
      </c>
      <c r="AD116" s="138">
        <v>0</v>
      </c>
      <c r="AE116" s="138">
        <v>0</v>
      </c>
      <c r="AF116" s="140"/>
      <c r="AG116" s="141">
        <f>'form A info'!$AK165/1000</f>
        <v>0</v>
      </c>
    </row>
    <row r="117" spans="1:33" x14ac:dyDescent="0.2">
      <c r="A117" s="134">
        <v>2743</v>
      </c>
      <c r="B117" s="134" t="s">
        <v>308</v>
      </c>
      <c r="C117" s="114" t="str">
        <f>'form A info'!G166</f>
        <v>y</v>
      </c>
      <c r="D117" s="138">
        <v>189</v>
      </c>
      <c r="E117" s="138">
        <v>281</v>
      </c>
      <c r="F117" s="138">
        <v>27</v>
      </c>
      <c r="G117" s="138">
        <v>0</v>
      </c>
      <c r="H117" s="139"/>
      <c r="I117" s="138">
        <v>34</v>
      </c>
      <c r="J117" s="138">
        <v>0</v>
      </c>
      <c r="K117" s="138">
        <v>1</v>
      </c>
      <c r="L117" s="138">
        <v>0</v>
      </c>
      <c r="M117" s="139"/>
      <c r="N117" s="138">
        <v>16</v>
      </c>
      <c r="O117" s="138">
        <v>17</v>
      </c>
      <c r="P117" s="138">
        <v>19</v>
      </c>
      <c r="Q117" s="138">
        <v>0</v>
      </c>
      <c r="R117" s="140"/>
      <c r="S117" s="138">
        <v>28</v>
      </c>
      <c r="T117" s="138">
        <v>0</v>
      </c>
      <c r="U117" s="138">
        <v>0</v>
      </c>
      <c r="V117" s="138">
        <v>0</v>
      </c>
      <c r="W117" s="140"/>
      <c r="X117" s="138">
        <v>95</v>
      </c>
      <c r="Y117" s="138">
        <v>0</v>
      </c>
      <c r="Z117" s="138">
        <v>0</v>
      </c>
      <c r="AA117" s="138">
        <v>0</v>
      </c>
      <c r="AB117" s="140"/>
      <c r="AC117" s="138">
        <v>0</v>
      </c>
      <c r="AD117" s="138">
        <v>0</v>
      </c>
      <c r="AE117" s="138">
        <v>324699</v>
      </c>
      <c r="AF117" s="140"/>
      <c r="AG117" s="141">
        <f>'form A info'!$AK166/1000</f>
        <v>861.46799999999996</v>
      </c>
    </row>
    <row r="118" spans="1:33" x14ac:dyDescent="0.2">
      <c r="A118" s="134">
        <v>4668</v>
      </c>
      <c r="B118" s="134" t="s">
        <v>311</v>
      </c>
      <c r="C118" s="114" t="str">
        <f>'form A info'!G167</f>
        <v>y</v>
      </c>
      <c r="D118" s="138">
        <v>0</v>
      </c>
      <c r="E118" s="138">
        <v>0</v>
      </c>
      <c r="F118" s="138">
        <v>189</v>
      </c>
      <c r="G118" s="138">
        <v>1</v>
      </c>
      <c r="H118" s="139"/>
      <c r="I118" s="138">
        <v>0</v>
      </c>
      <c r="J118" s="138">
        <v>0</v>
      </c>
      <c r="K118" s="138">
        <v>15</v>
      </c>
      <c r="L118" s="138">
        <v>0</v>
      </c>
      <c r="M118" s="139"/>
      <c r="N118" s="138">
        <v>0</v>
      </c>
      <c r="O118" s="138">
        <v>0</v>
      </c>
      <c r="P118" s="138">
        <v>35</v>
      </c>
      <c r="Q118" s="138">
        <v>0</v>
      </c>
      <c r="R118" s="140"/>
      <c r="S118" s="138">
        <v>0</v>
      </c>
      <c r="T118" s="138">
        <v>0</v>
      </c>
      <c r="U118" s="138">
        <v>0</v>
      </c>
      <c r="V118" s="138">
        <v>0</v>
      </c>
      <c r="W118" s="140"/>
      <c r="X118" s="138">
        <v>0</v>
      </c>
      <c r="Y118" s="138">
        <v>0</v>
      </c>
      <c r="Z118" s="138">
        <v>0</v>
      </c>
      <c r="AA118" s="138">
        <v>0</v>
      </c>
      <c r="AB118" s="140"/>
      <c r="AC118" s="138">
        <v>0</v>
      </c>
      <c r="AD118" s="138">
        <v>0</v>
      </c>
      <c r="AE118" s="138">
        <v>9761</v>
      </c>
      <c r="AF118" s="140"/>
      <c r="AG118" s="141">
        <f>'form A info'!$AK167/1000</f>
        <v>747.37300000000005</v>
      </c>
    </row>
    <row r="119" spans="1:33" x14ac:dyDescent="0.2">
      <c r="A119" s="134">
        <v>4832</v>
      </c>
      <c r="B119" s="134" t="s">
        <v>315</v>
      </c>
      <c r="C119" s="114" t="str">
        <f>'form A info'!G169</f>
        <v>y</v>
      </c>
      <c r="D119" s="138">
        <v>0</v>
      </c>
      <c r="E119" s="138">
        <v>0</v>
      </c>
      <c r="F119" s="138">
        <v>242</v>
      </c>
      <c r="G119" s="138">
        <v>5</v>
      </c>
      <c r="H119" s="139"/>
      <c r="I119" s="138">
        <v>0</v>
      </c>
      <c r="J119" s="138">
        <v>0</v>
      </c>
      <c r="K119" s="138">
        <v>0</v>
      </c>
      <c r="L119" s="138">
        <v>0</v>
      </c>
      <c r="M119" s="139"/>
      <c r="N119" s="138">
        <v>0</v>
      </c>
      <c r="O119" s="138">
        <v>0</v>
      </c>
      <c r="P119" s="138">
        <v>40</v>
      </c>
      <c r="Q119" s="138">
        <v>1</v>
      </c>
      <c r="R119" s="140"/>
      <c r="S119" s="138">
        <v>0</v>
      </c>
      <c r="T119" s="138">
        <v>1</v>
      </c>
      <c r="U119" s="138">
        <v>0</v>
      </c>
      <c r="V119" s="138">
        <v>0</v>
      </c>
      <c r="W119" s="140"/>
      <c r="X119" s="138">
        <v>4</v>
      </c>
      <c r="Y119" s="138">
        <v>0</v>
      </c>
      <c r="Z119" s="138">
        <v>0</v>
      </c>
      <c r="AA119" s="138">
        <v>0</v>
      </c>
      <c r="AB119" s="140"/>
      <c r="AC119" s="138">
        <v>0</v>
      </c>
      <c r="AD119" s="138">
        <v>0</v>
      </c>
      <c r="AE119" s="138">
        <v>0</v>
      </c>
      <c r="AF119" s="140"/>
      <c r="AG119" s="141">
        <f>'form A info'!$AK169/1000</f>
        <v>26.382999999999999</v>
      </c>
    </row>
    <row r="120" spans="1:33" x14ac:dyDescent="0.2">
      <c r="A120" s="134">
        <v>2924</v>
      </c>
      <c r="B120" s="134" t="s">
        <v>319</v>
      </c>
      <c r="C120" s="114" t="str">
        <f>'form A info'!G171</f>
        <v>y</v>
      </c>
      <c r="D120" s="138">
        <v>0</v>
      </c>
      <c r="E120" s="138">
        <v>0</v>
      </c>
      <c r="F120" s="138">
        <v>173</v>
      </c>
      <c r="G120" s="138">
        <v>17</v>
      </c>
      <c r="H120" s="139"/>
      <c r="I120" s="138">
        <v>0</v>
      </c>
      <c r="J120" s="138">
        <v>0</v>
      </c>
      <c r="K120" s="138">
        <v>0</v>
      </c>
      <c r="L120" s="138">
        <v>0</v>
      </c>
      <c r="M120" s="139"/>
      <c r="N120" s="138">
        <v>0</v>
      </c>
      <c r="O120" s="138">
        <v>37</v>
      </c>
      <c r="P120" s="138">
        <v>32</v>
      </c>
      <c r="Q120" s="138">
        <v>0</v>
      </c>
      <c r="R120" s="140"/>
      <c r="S120" s="138">
        <v>0</v>
      </c>
      <c r="T120" s="138">
        <v>0</v>
      </c>
      <c r="U120" s="138">
        <v>0</v>
      </c>
      <c r="V120" s="138">
        <v>0</v>
      </c>
      <c r="W120" s="140"/>
      <c r="X120" s="138">
        <v>0</v>
      </c>
      <c r="Y120" s="138">
        <v>0</v>
      </c>
      <c r="Z120" s="138">
        <v>0</v>
      </c>
      <c r="AA120" s="138">
        <v>0</v>
      </c>
      <c r="AB120" s="140"/>
      <c r="AC120" s="138">
        <v>99165</v>
      </c>
      <c r="AD120" s="138">
        <v>0</v>
      </c>
      <c r="AE120" s="138">
        <v>0</v>
      </c>
      <c r="AF120" s="140"/>
      <c r="AG120" s="141">
        <f>'form A info'!$AK171/1000</f>
        <v>694.8</v>
      </c>
    </row>
    <row r="121" spans="1:33" x14ac:dyDescent="0.2">
      <c r="A121" s="134">
        <v>4670</v>
      </c>
      <c r="B121" s="134" t="s">
        <v>321</v>
      </c>
      <c r="C121" s="114" t="str">
        <f>'form A info'!G172</f>
        <v>y</v>
      </c>
      <c r="D121" s="138">
        <v>1520</v>
      </c>
      <c r="E121" s="138">
        <v>0</v>
      </c>
      <c r="F121" s="138">
        <v>64</v>
      </c>
      <c r="G121" s="138">
        <v>-46</v>
      </c>
      <c r="H121" s="139"/>
      <c r="I121" s="138">
        <v>0</v>
      </c>
      <c r="J121" s="138">
        <v>0</v>
      </c>
      <c r="K121" s="138">
        <v>0</v>
      </c>
      <c r="L121" s="138">
        <v>0</v>
      </c>
      <c r="M121" s="139"/>
      <c r="N121" s="138">
        <v>29</v>
      </c>
      <c r="O121" s="138">
        <v>0</v>
      </c>
      <c r="P121" s="138">
        <v>1</v>
      </c>
      <c r="Q121" s="138">
        <v>0</v>
      </c>
      <c r="R121" s="140"/>
      <c r="S121" s="138">
        <v>0</v>
      </c>
      <c r="T121" s="138">
        <v>0</v>
      </c>
      <c r="U121" s="138">
        <v>0</v>
      </c>
      <c r="V121" s="138">
        <v>0</v>
      </c>
      <c r="W121" s="140"/>
      <c r="X121" s="138">
        <v>415</v>
      </c>
      <c r="Y121" s="138">
        <v>0</v>
      </c>
      <c r="Z121" s="138">
        <v>0</v>
      </c>
      <c r="AA121" s="138">
        <v>0</v>
      </c>
      <c r="AB121" s="140"/>
      <c r="AC121" s="138">
        <v>0</v>
      </c>
      <c r="AD121" s="138">
        <v>0</v>
      </c>
      <c r="AE121" s="138">
        <v>0</v>
      </c>
      <c r="AF121" s="140"/>
      <c r="AG121" s="141">
        <f>'form A info'!$AK172/1000</f>
        <v>0</v>
      </c>
    </row>
    <row r="122" spans="1:33" x14ac:dyDescent="0.2">
      <c r="A122" s="134">
        <v>4508</v>
      </c>
      <c r="B122" s="134" t="s">
        <v>322</v>
      </c>
      <c r="C122" s="114" t="str">
        <f>'form A info'!G173</f>
        <v>y</v>
      </c>
      <c r="D122" s="138">
        <v>0</v>
      </c>
      <c r="E122" s="138">
        <v>0</v>
      </c>
      <c r="F122" s="138">
        <v>163</v>
      </c>
      <c r="G122" s="138">
        <v>0</v>
      </c>
      <c r="H122" s="139"/>
      <c r="I122" s="138">
        <v>0</v>
      </c>
      <c r="J122" s="138">
        <v>0</v>
      </c>
      <c r="K122" s="138">
        <v>0</v>
      </c>
      <c r="L122" s="138">
        <v>0</v>
      </c>
      <c r="M122" s="139"/>
      <c r="N122" s="138">
        <v>0</v>
      </c>
      <c r="O122" s="138">
        <v>0</v>
      </c>
      <c r="P122" s="138">
        <v>60</v>
      </c>
      <c r="Q122" s="138">
        <v>0</v>
      </c>
      <c r="R122" s="140"/>
      <c r="S122" s="138">
        <v>0</v>
      </c>
      <c r="T122" s="138">
        <v>0</v>
      </c>
      <c r="U122" s="138">
        <v>0</v>
      </c>
      <c r="V122" s="138">
        <v>0</v>
      </c>
      <c r="W122" s="140"/>
      <c r="X122" s="138">
        <v>0</v>
      </c>
      <c r="Y122" s="138">
        <v>0</v>
      </c>
      <c r="Z122" s="138">
        <v>0</v>
      </c>
      <c r="AA122" s="138">
        <v>0</v>
      </c>
      <c r="AB122" s="140"/>
      <c r="AC122" s="138">
        <v>14498</v>
      </c>
      <c r="AD122" s="138">
        <v>0</v>
      </c>
      <c r="AE122" s="138">
        <v>7000</v>
      </c>
      <c r="AF122" s="140"/>
      <c r="AG122" s="141">
        <f>'form A info'!$AK173/1000</f>
        <v>0</v>
      </c>
    </row>
    <row r="123" spans="1:33" x14ac:dyDescent="0.2">
      <c r="A123" s="134">
        <v>1536</v>
      </c>
      <c r="B123" s="134" t="s">
        <v>326</v>
      </c>
      <c r="C123" s="114" t="str">
        <f>'form A info'!G175</f>
        <v>y</v>
      </c>
      <c r="D123" s="138">
        <v>0</v>
      </c>
      <c r="E123" s="138">
        <v>0</v>
      </c>
      <c r="F123" s="138">
        <v>5</v>
      </c>
      <c r="G123" s="138">
        <v>0</v>
      </c>
      <c r="H123" s="139"/>
      <c r="I123" s="138">
        <v>0</v>
      </c>
      <c r="J123" s="138">
        <v>0</v>
      </c>
      <c r="K123" s="138">
        <v>0</v>
      </c>
      <c r="L123" s="138">
        <v>0</v>
      </c>
      <c r="M123" s="139"/>
      <c r="N123" s="138">
        <v>0</v>
      </c>
      <c r="O123" s="138">
        <v>0</v>
      </c>
      <c r="P123" s="138">
        <v>0</v>
      </c>
      <c r="Q123" s="138">
        <v>0</v>
      </c>
      <c r="R123" s="140"/>
      <c r="S123" s="138">
        <v>0</v>
      </c>
      <c r="T123" s="138">
        <v>0</v>
      </c>
      <c r="U123" s="138">
        <v>0</v>
      </c>
      <c r="V123" s="138">
        <v>0</v>
      </c>
      <c r="W123" s="140"/>
      <c r="X123" s="138">
        <v>0</v>
      </c>
      <c r="Y123" s="138">
        <v>0</v>
      </c>
      <c r="Z123" s="138">
        <v>0</v>
      </c>
      <c r="AA123" s="138">
        <v>0</v>
      </c>
      <c r="AB123" s="140"/>
      <c r="AC123" s="138">
        <v>0</v>
      </c>
      <c r="AD123" s="138">
        <v>0</v>
      </c>
      <c r="AE123" s="138">
        <v>0</v>
      </c>
      <c r="AF123" s="140"/>
      <c r="AG123" s="141">
        <f>'form A info'!$AK175/1000</f>
        <v>0</v>
      </c>
    </row>
    <row r="124" spans="1:33" x14ac:dyDescent="0.2">
      <c r="A124" s="134">
        <v>4834</v>
      </c>
      <c r="B124" s="134" t="s">
        <v>663</v>
      </c>
      <c r="C124" s="114" t="str">
        <f>'form A info'!G176</f>
        <v>y</v>
      </c>
      <c r="D124" s="138">
        <v>327</v>
      </c>
      <c r="E124" s="138">
        <v>540</v>
      </c>
      <c r="F124" s="138">
        <v>215</v>
      </c>
      <c r="G124" s="138">
        <v>0</v>
      </c>
      <c r="H124" s="139"/>
      <c r="I124" s="138">
        <v>0</v>
      </c>
      <c r="J124" s="138">
        <v>0</v>
      </c>
      <c r="K124" s="138">
        <v>0</v>
      </c>
      <c r="L124" s="138">
        <v>0</v>
      </c>
      <c r="M124" s="139"/>
      <c r="N124" s="138">
        <v>32</v>
      </c>
      <c r="O124" s="138">
        <v>85</v>
      </c>
      <c r="P124" s="138">
        <v>92</v>
      </c>
      <c r="Q124" s="138">
        <v>0</v>
      </c>
      <c r="R124" s="140"/>
      <c r="S124" s="138">
        <v>9</v>
      </c>
      <c r="T124" s="138">
        <v>1</v>
      </c>
      <c r="U124" s="138">
        <v>0</v>
      </c>
      <c r="V124" s="138">
        <v>0</v>
      </c>
      <c r="W124" s="140"/>
      <c r="X124" s="138">
        <v>60</v>
      </c>
      <c r="Y124" s="138">
        <v>0</v>
      </c>
      <c r="Z124" s="138">
        <v>0</v>
      </c>
      <c r="AA124" s="138">
        <v>0</v>
      </c>
      <c r="AB124" s="140"/>
      <c r="AC124" s="138">
        <v>0</v>
      </c>
      <c r="AD124" s="138">
        <v>0</v>
      </c>
      <c r="AE124" s="138">
        <v>0</v>
      </c>
      <c r="AF124" s="140"/>
      <c r="AG124" s="141">
        <f>'form A info'!$AK176/1000</f>
        <v>1.512</v>
      </c>
    </row>
    <row r="125" spans="1:33" x14ac:dyDescent="0.2">
      <c r="A125" s="134">
        <v>2318</v>
      </c>
      <c r="B125" s="134" t="s">
        <v>337</v>
      </c>
      <c r="C125" s="114" t="str">
        <f>'form A info'!G179</f>
        <v>y</v>
      </c>
      <c r="D125" s="138">
        <v>51</v>
      </c>
      <c r="E125" s="138">
        <v>61</v>
      </c>
      <c r="F125" s="138">
        <v>24</v>
      </c>
      <c r="G125" s="138">
        <v>-1</v>
      </c>
      <c r="H125" s="139"/>
      <c r="I125" s="138">
        <v>0</v>
      </c>
      <c r="J125" s="138">
        <v>0</v>
      </c>
      <c r="K125" s="138">
        <v>2</v>
      </c>
      <c r="L125" s="138">
        <v>0</v>
      </c>
      <c r="M125" s="139"/>
      <c r="N125" s="138">
        <v>0</v>
      </c>
      <c r="O125" s="138">
        <v>1</v>
      </c>
      <c r="P125" s="138">
        <v>4</v>
      </c>
      <c r="Q125" s="138">
        <v>0</v>
      </c>
      <c r="R125" s="140"/>
      <c r="S125" s="138">
        <v>0</v>
      </c>
      <c r="T125" s="138">
        <v>0</v>
      </c>
      <c r="U125" s="138">
        <v>0</v>
      </c>
      <c r="V125" s="138">
        <v>0</v>
      </c>
      <c r="W125" s="140"/>
      <c r="X125" s="138">
        <v>0</v>
      </c>
      <c r="Y125" s="138">
        <v>0</v>
      </c>
      <c r="Z125" s="138">
        <v>0</v>
      </c>
      <c r="AA125" s="138">
        <v>0</v>
      </c>
      <c r="AB125" s="140"/>
      <c r="AC125" s="138">
        <v>9776</v>
      </c>
      <c r="AD125" s="138">
        <v>0</v>
      </c>
      <c r="AE125" s="138">
        <v>14515</v>
      </c>
      <c r="AF125" s="140"/>
      <c r="AG125" s="141">
        <f>'form A info'!$AK179/1000</f>
        <v>352.42500000000001</v>
      </c>
    </row>
    <row r="126" spans="1:33" x14ac:dyDescent="0.2">
      <c r="A126" s="134">
        <v>9419</v>
      </c>
      <c r="B126" s="134" t="s">
        <v>339</v>
      </c>
      <c r="C126" s="114" t="str">
        <f>'form A info'!G180</f>
        <v>y</v>
      </c>
      <c r="D126" s="138">
        <v>0</v>
      </c>
      <c r="E126" s="138">
        <v>0</v>
      </c>
      <c r="F126" s="138">
        <v>62</v>
      </c>
      <c r="G126" s="138">
        <v>26</v>
      </c>
      <c r="H126" s="139"/>
      <c r="I126" s="138">
        <v>0</v>
      </c>
      <c r="J126" s="138">
        <v>0</v>
      </c>
      <c r="K126" s="138">
        <v>6</v>
      </c>
      <c r="L126" s="138">
        <v>2</v>
      </c>
      <c r="M126" s="139"/>
      <c r="N126" s="138">
        <v>0</v>
      </c>
      <c r="O126" s="138">
        <v>0</v>
      </c>
      <c r="P126" s="138">
        <v>7</v>
      </c>
      <c r="Q126" s="138">
        <v>3</v>
      </c>
      <c r="R126" s="140"/>
      <c r="S126" s="138">
        <v>0</v>
      </c>
      <c r="T126" s="138">
        <v>0</v>
      </c>
      <c r="U126" s="138">
        <v>0</v>
      </c>
      <c r="V126" s="138">
        <v>0</v>
      </c>
      <c r="W126" s="140"/>
      <c r="X126" s="138">
        <v>0</v>
      </c>
      <c r="Y126" s="138">
        <v>0</v>
      </c>
      <c r="Z126" s="138">
        <v>0</v>
      </c>
      <c r="AA126" s="138">
        <v>0</v>
      </c>
      <c r="AB126" s="140"/>
      <c r="AC126" s="138">
        <v>88626</v>
      </c>
      <c r="AD126" s="138">
        <v>0</v>
      </c>
      <c r="AE126" s="138">
        <v>0</v>
      </c>
      <c r="AF126" s="140"/>
      <c r="AG126" s="141">
        <f>'form A info'!$AK180/1000</f>
        <v>430.56400000000002</v>
      </c>
    </row>
    <row r="127" spans="1:33" x14ac:dyDescent="0.2">
      <c r="A127" s="134">
        <v>9421</v>
      </c>
      <c r="B127" s="134" t="s">
        <v>341</v>
      </c>
      <c r="C127" s="114" t="str">
        <f>'form A info'!G181</f>
        <v>y</v>
      </c>
      <c r="D127" s="138">
        <v>0</v>
      </c>
      <c r="E127" s="138">
        <v>0</v>
      </c>
      <c r="F127" s="138">
        <v>382</v>
      </c>
      <c r="G127" s="138">
        <v>10</v>
      </c>
      <c r="H127" s="139"/>
      <c r="I127" s="138">
        <v>0</v>
      </c>
      <c r="J127" s="138">
        <v>0</v>
      </c>
      <c r="K127" s="138">
        <v>16</v>
      </c>
      <c r="L127" s="138">
        <v>14</v>
      </c>
      <c r="M127" s="139"/>
      <c r="N127" s="138">
        <v>0</v>
      </c>
      <c r="O127" s="138">
        <v>0</v>
      </c>
      <c r="P127" s="138">
        <v>116</v>
      </c>
      <c r="Q127" s="138">
        <v>0</v>
      </c>
      <c r="R127" s="140"/>
      <c r="S127" s="138">
        <v>0</v>
      </c>
      <c r="T127" s="138">
        <v>0</v>
      </c>
      <c r="U127" s="138">
        <v>0</v>
      </c>
      <c r="V127" s="138">
        <v>0</v>
      </c>
      <c r="W127" s="140"/>
      <c r="X127" s="138">
        <v>0</v>
      </c>
      <c r="Y127" s="138">
        <v>0</v>
      </c>
      <c r="Z127" s="138">
        <v>0</v>
      </c>
      <c r="AA127" s="138">
        <v>0</v>
      </c>
      <c r="AB127" s="140"/>
      <c r="AC127" s="138">
        <v>0</v>
      </c>
      <c r="AD127" s="138">
        <v>0</v>
      </c>
      <c r="AE127" s="138">
        <v>0</v>
      </c>
      <c r="AF127" s="140"/>
      <c r="AG127" s="141">
        <f>'form A info'!$AK181/1000</f>
        <v>972.71699999999998</v>
      </c>
    </row>
    <row r="128" spans="1:33" x14ac:dyDescent="0.2">
      <c r="A128" s="134">
        <v>3518</v>
      </c>
      <c r="B128" s="134" t="s">
        <v>343</v>
      </c>
      <c r="C128" s="114" t="str">
        <f>'form A info'!G182</f>
        <v>y</v>
      </c>
      <c r="D128" s="138">
        <v>0</v>
      </c>
      <c r="E128" s="138">
        <v>0</v>
      </c>
      <c r="F128" s="138">
        <v>10</v>
      </c>
      <c r="G128" s="138">
        <v>0</v>
      </c>
      <c r="H128" s="139"/>
      <c r="I128" s="138">
        <v>0</v>
      </c>
      <c r="J128" s="138">
        <v>0</v>
      </c>
      <c r="K128" s="138">
        <v>0</v>
      </c>
      <c r="L128" s="138">
        <v>0</v>
      </c>
      <c r="M128" s="139"/>
      <c r="N128" s="138">
        <v>0</v>
      </c>
      <c r="O128" s="138">
        <v>0</v>
      </c>
      <c r="P128" s="138">
        <v>0</v>
      </c>
      <c r="Q128" s="138">
        <v>0</v>
      </c>
      <c r="R128" s="140"/>
      <c r="S128" s="138">
        <v>0</v>
      </c>
      <c r="T128" s="138">
        <v>0</v>
      </c>
      <c r="U128" s="138">
        <v>0</v>
      </c>
      <c r="V128" s="138">
        <v>0</v>
      </c>
      <c r="W128" s="140"/>
      <c r="X128" s="138">
        <v>0</v>
      </c>
      <c r="Y128" s="138">
        <v>0</v>
      </c>
      <c r="Z128" s="138">
        <v>0</v>
      </c>
      <c r="AA128" s="138">
        <v>0</v>
      </c>
      <c r="AB128" s="140"/>
      <c r="AC128" s="138">
        <v>0</v>
      </c>
      <c r="AD128" s="138">
        <v>0</v>
      </c>
      <c r="AE128" s="138">
        <v>0</v>
      </c>
      <c r="AF128" s="140"/>
      <c r="AG128" s="141">
        <f>'form A info'!$AK182/1000</f>
        <v>75.403999999999996</v>
      </c>
    </row>
    <row r="129" spans="1:33" x14ac:dyDescent="0.2">
      <c r="A129" s="134">
        <v>9555</v>
      </c>
      <c r="B129" s="134" t="s">
        <v>345</v>
      </c>
      <c r="C129" s="114" t="str">
        <f>'form A info'!G183</f>
        <v>y</v>
      </c>
      <c r="D129" s="138">
        <v>0</v>
      </c>
      <c r="E129" s="138">
        <v>0</v>
      </c>
      <c r="F129" s="138">
        <v>168</v>
      </c>
      <c r="G129" s="138">
        <v>10</v>
      </c>
      <c r="H129" s="139"/>
      <c r="I129" s="138">
        <v>0</v>
      </c>
      <c r="J129" s="138">
        <v>0</v>
      </c>
      <c r="K129" s="138">
        <v>6</v>
      </c>
      <c r="L129" s="138">
        <v>0</v>
      </c>
      <c r="M129" s="139"/>
      <c r="N129" s="138">
        <v>0</v>
      </c>
      <c r="O129" s="138">
        <v>0</v>
      </c>
      <c r="P129" s="138">
        <v>20</v>
      </c>
      <c r="Q129" s="138">
        <v>0</v>
      </c>
      <c r="R129" s="140"/>
      <c r="S129" s="138">
        <v>0</v>
      </c>
      <c r="T129" s="138">
        <v>0</v>
      </c>
      <c r="U129" s="138">
        <v>0</v>
      </c>
      <c r="V129" s="138">
        <v>0</v>
      </c>
      <c r="W129" s="140"/>
      <c r="X129" s="138">
        <v>0</v>
      </c>
      <c r="Y129" s="138">
        <v>0</v>
      </c>
      <c r="Z129" s="138">
        <v>0</v>
      </c>
      <c r="AA129" s="138">
        <v>0</v>
      </c>
      <c r="AB129" s="140"/>
      <c r="AC129" s="138">
        <v>13500</v>
      </c>
      <c r="AD129" s="138">
        <v>0</v>
      </c>
      <c r="AE129" s="138">
        <v>0</v>
      </c>
      <c r="AF129" s="140"/>
      <c r="AG129" s="141">
        <f>'form A info'!$AK183/1000</f>
        <v>459.31200000000001</v>
      </c>
    </row>
    <row r="130" spans="1:33" x14ac:dyDescent="0.2">
      <c r="A130" s="134">
        <v>9448</v>
      </c>
      <c r="B130" s="134" t="s">
        <v>364</v>
      </c>
      <c r="C130" s="114" t="str">
        <f>'form A info'!G184</f>
        <v>y</v>
      </c>
      <c r="D130" s="138">
        <v>0</v>
      </c>
      <c r="E130" s="138">
        <v>0</v>
      </c>
      <c r="F130" s="138">
        <v>28</v>
      </c>
      <c r="G130" s="138">
        <v>9</v>
      </c>
      <c r="H130" s="139"/>
      <c r="I130" s="138">
        <v>0</v>
      </c>
      <c r="J130" s="138">
        <v>0</v>
      </c>
      <c r="K130" s="138">
        <v>2</v>
      </c>
      <c r="L130" s="138">
        <v>2</v>
      </c>
      <c r="M130" s="139"/>
      <c r="N130" s="138">
        <v>0</v>
      </c>
      <c r="O130" s="138">
        <v>0</v>
      </c>
      <c r="P130" s="138">
        <v>5</v>
      </c>
      <c r="Q130" s="138">
        <v>1</v>
      </c>
      <c r="R130" s="140"/>
      <c r="S130" s="138">
        <v>0</v>
      </c>
      <c r="T130" s="138">
        <v>0</v>
      </c>
      <c r="U130" s="138">
        <v>0</v>
      </c>
      <c r="V130" s="138">
        <v>0</v>
      </c>
      <c r="W130" s="140"/>
      <c r="X130" s="138">
        <v>0</v>
      </c>
      <c r="Y130" s="138">
        <v>0</v>
      </c>
      <c r="Z130" s="138">
        <v>0</v>
      </c>
      <c r="AA130" s="138">
        <v>0</v>
      </c>
      <c r="AB130" s="140"/>
      <c r="AC130" s="138">
        <v>0</v>
      </c>
      <c r="AD130" s="138">
        <v>0</v>
      </c>
      <c r="AE130" s="138">
        <v>25926</v>
      </c>
      <c r="AF130" s="140"/>
      <c r="AG130" s="141">
        <f>'form A info'!$AK184/1000</f>
        <v>237.59800000000001</v>
      </c>
    </row>
    <row r="131" spans="1:33" x14ac:dyDescent="0.2">
      <c r="A131" s="134">
        <v>9445</v>
      </c>
      <c r="B131" s="134" t="s">
        <v>367</v>
      </c>
      <c r="C131" s="114" t="str">
        <f>'form A info'!G185</f>
        <v>y</v>
      </c>
      <c r="D131" s="138">
        <v>0</v>
      </c>
      <c r="E131" s="138">
        <v>1</v>
      </c>
      <c r="F131" s="138">
        <v>92</v>
      </c>
      <c r="G131" s="138">
        <v>37</v>
      </c>
      <c r="H131" s="139"/>
      <c r="I131" s="138">
        <v>0</v>
      </c>
      <c r="J131" s="138">
        <v>0</v>
      </c>
      <c r="K131" s="138">
        <v>14</v>
      </c>
      <c r="L131" s="138">
        <v>12</v>
      </c>
      <c r="M131" s="139"/>
      <c r="N131" s="138">
        <v>0</v>
      </c>
      <c r="O131" s="138">
        <v>0</v>
      </c>
      <c r="P131" s="138">
        <v>102</v>
      </c>
      <c r="Q131" s="138">
        <v>0</v>
      </c>
      <c r="R131" s="140"/>
      <c r="S131" s="138">
        <v>0</v>
      </c>
      <c r="T131" s="138">
        <v>0</v>
      </c>
      <c r="U131" s="138">
        <v>0</v>
      </c>
      <c r="V131" s="138">
        <v>0</v>
      </c>
      <c r="W131" s="140"/>
      <c r="X131" s="138">
        <v>0</v>
      </c>
      <c r="Y131" s="138">
        <v>0</v>
      </c>
      <c r="Z131" s="138">
        <v>0</v>
      </c>
      <c r="AA131" s="138">
        <v>0</v>
      </c>
      <c r="AB131" s="140"/>
      <c r="AC131" s="138">
        <v>0</v>
      </c>
      <c r="AD131" s="138">
        <v>0</v>
      </c>
      <c r="AE131" s="138">
        <v>0</v>
      </c>
      <c r="AF131" s="140"/>
      <c r="AG131" s="141">
        <f>'form A info'!$AK185/1000</f>
        <v>303.22000000000003</v>
      </c>
    </row>
    <row r="132" spans="1:33" x14ac:dyDescent="0.2">
      <c r="A132" s="134">
        <v>4671</v>
      </c>
      <c r="B132" s="134" t="s">
        <v>373</v>
      </c>
      <c r="C132" s="114" t="str">
        <f>'form A info'!G188</f>
        <v>y</v>
      </c>
      <c r="D132" s="138">
        <v>277</v>
      </c>
      <c r="E132" s="138">
        <v>0</v>
      </c>
      <c r="F132" s="138">
        <v>296</v>
      </c>
      <c r="G132" s="138">
        <v>4</v>
      </c>
      <c r="H132" s="139"/>
      <c r="I132" s="138">
        <v>127</v>
      </c>
      <c r="J132" s="138">
        <v>0</v>
      </c>
      <c r="K132" s="138">
        <v>5</v>
      </c>
      <c r="L132" s="138">
        <v>0</v>
      </c>
      <c r="M132" s="139"/>
      <c r="N132" s="138">
        <v>18</v>
      </c>
      <c r="O132" s="138">
        <v>0</v>
      </c>
      <c r="P132" s="138">
        <v>7</v>
      </c>
      <c r="Q132" s="138">
        <v>-1</v>
      </c>
      <c r="R132" s="140"/>
      <c r="S132" s="138">
        <v>105</v>
      </c>
      <c r="T132" s="138">
        <v>0</v>
      </c>
      <c r="U132" s="138">
        <v>0</v>
      </c>
      <c r="V132" s="138">
        <v>0</v>
      </c>
      <c r="W132" s="140"/>
      <c r="X132" s="138">
        <v>248</v>
      </c>
      <c r="Y132" s="138">
        <v>0</v>
      </c>
      <c r="Z132" s="138">
        <v>0</v>
      </c>
      <c r="AA132" s="138">
        <v>0</v>
      </c>
      <c r="AB132" s="140"/>
      <c r="AC132" s="138">
        <v>0</v>
      </c>
      <c r="AD132" s="138">
        <v>0</v>
      </c>
      <c r="AE132" s="138">
        <v>0</v>
      </c>
      <c r="AF132" s="140"/>
      <c r="AG132" s="141">
        <f>'form A info'!$AK188/1000</f>
        <v>0</v>
      </c>
    </row>
    <row r="133" spans="1:33" x14ac:dyDescent="0.2">
      <c r="A133" s="134">
        <v>4835</v>
      </c>
      <c r="B133" s="134" t="s">
        <v>664</v>
      </c>
      <c r="C133" s="114" t="str">
        <f>'form A info'!G190</f>
        <v>y</v>
      </c>
      <c r="D133" s="138">
        <v>657</v>
      </c>
      <c r="E133" s="138">
        <v>1072</v>
      </c>
      <c r="F133" s="138">
        <v>576</v>
      </c>
      <c r="G133" s="138">
        <v>0</v>
      </c>
      <c r="H133" s="139"/>
      <c r="I133" s="138">
        <v>0</v>
      </c>
      <c r="J133" s="138">
        <v>0</v>
      </c>
      <c r="K133" s="138">
        <v>0</v>
      </c>
      <c r="L133" s="138">
        <v>0</v>
      </c>
      <c r="M133" s="139"/>
      <c r="N133" s="138">
        <v>20</v>
      </c>
      <c r="O133" s="138">
        <v>119</v>
      </c>
      <c r="P133" s="138">
        <v>0</v>
      </c>
      <c r="Q133" s="138">
        <v>0</v>
      </c>
      <c r="R133" s="140"/>
      <c r="S133" s="138">
        <v>72</v>
      </c>
      <c r="T133" s="138">
        <v>4</v>
      </c>
      <c r="U133" s="138">
        <v>0</v>
      </c>
      <c r="V133" s="138">
        <v>0</v>
      </c>
      <c r="W133" s="140"/>
      <c r="X133" s="138">
        <v>108</v>
      </c>
      <c r="Y133" s="138">
        <v>0</v>
      </c>
      <c r="Z133" s="138">
        <v>0</v>
      </c>
      <c r="AA133" s="138">
        <v>0</v>
      </c>
      <c r="AB133" s="140"/>
      <c r="AC133" s="138">
        <v>0</v>
      </c>
      <c r="AD133" s="138">
        <v>0</v>
      </c>
      <c r="AE133" s="138">
        <v>0</v>
      </c>
      <c r="AF133" s="140"/>
      <c r="AG133" s="141">
        <f>'form A info'!$AK190/1000</f>
        <v>143.49299999999999</v>
      </c>
    </row>
    <row r="134" spans="1:33" x14ac:dyDescent="0.2">
      <c r="A134" s="134">
        <v>4836</v>
      </c>
      <c r="B134" s="134" t="s">
        <v>665</v>
      </c>
      <c r="C134" s="114" t="str">
        <f>'form A info'!G192</f>
        <v>y</v>
      </c>
      <c r="D134" s="138">
        <v>120</v>
      </c>
      <c r="E134" s="138">
        <v>0</v>
      </c>
      <c r="F134" s="138">
        <v>1379</v>
      </c>
      <c r="G134" s="138">
        <v>19</v>
      </c>
      <c r="H134" s="139"/>
      <c r="I134" s="138">
        <v>0</v>
      </c>
      <c r="J134" s="138">
        <v>0</v>
      </c>
      <c r="K134" s="138">
        <v>-2</v>
      </c>
      <c r="L134" s="138">
        <v>0</v>
      </c>
      <c r="M134" s="139"/>
      <c r="N134" s="138">
        <v>0</v>
      </c>
      <c r="O134" s="138">
        <v>0</v>
      </c>
      <c r="P134" s="138">
        <v>35</v>
      </c>
      <c r="Q134" s="138">
        <v>4</v>
      </c>
      <c r="R134" s="140"/>
      <c r="S134" s="138">
        <v>0</v>
      </c>
      <c r="T134" s="138">
        <v>0</v>
      </c>
      <c r="U134" s="138">
        <v>0</v>
      </c>
      <c r="V134" s="138">
        <v>0</v>
      </c>
      <c r="W134" s="140"/>
      <c r="X134" s="138">
        <v>0</v>
      </c>
      <c r="Y134" s="138">
        <v>0</v>
      </c>
      <c r="Z134" s="138">
        <v>0</v>
      </c>
      <c r="AA134" s="138">
        <v>0</v>
      </c>
      <c r="AB134" s="140"/>
      <c r="AC134" s="138">
        <v>0</v>
      </c>
      <c r="AD134" s="138">
        <v>0</v>
      </c>
      <c r="AE134" s="138">
        <v>0</v>
      </c>
      <c r="AF134" s="140"/>
      <c r="AG134" s="141">
        <f>'form A info'!$AK192/1000</f>
        <v>0</v>
      </c>
    </row>
    <row r="135" spans="1:33" x14ac:dyDescent="0.2">
      <c r="A135" s="134">
        <v>3107</v>
      </c>
      <c r="B135" s="134" t="s">
        <v>423</v>
      </c>
      <c r="C135" s="114" t="str">
        <f>'form A info'!G193</f>
        <v>y</v>
      </c>
      <c r="D135" s="138">
        <v>493</v>
      </c>
      <c r="E135" s="138">
        <v>632</v>
      </c>
      <c r="F135" s="138">
        <v>193</v>
      </c>
      <c r="G135" s="138">
        <v>1</v>
      </c>
      <c r="H135" s="139"/>
      <c r="I135" s="138">
        <v>0</v>
      </c>
      <c r="J135" s="138">
        <v>29</v>
      </c>
      <c r="K135" s="138">
        <v>0</v>
      </c>
      <c r="L135" s="138">
        <v>0</v>
      </c>
      <c r="M135" s="139"/>
      <c r="N135" s="138">
        <v>15</v>
      </c>
      <c r="O135" s="138">
        <v>31</v>
      </c>
      <c r="P135" s="138">
        <v>47</v>
      </c>
      <c r="Q135" s="138">
        <v>0</v>
      </c>
      <c r="R135" s="140"/>
      <c r="S135" s="138">
        <v>57</v>
      </c>
      <c r="T135" s="138">
        <v>0</v>
      </c>
      <c r="U135" s="138">
        <v>0</v>
      </c>
      <c r="V135" s="138">
        <v>0</v>
      </c>
      <c r="W135" s="140"/>
      <c r="X135" s="138">
        <v>90</v>
      </c>
      <c r="Y135" s="138">
        <v>0</v>
      </c>
      <c r="Z135" s="138">
        <v>0</v>
      </c>
      <c r="AA135" s="138">
        <v>0</v>
      </c>
      <c r="AB135" s="140"/>
      <c r="AC135" s="138">
        <v>182949</v>
      </c>
      <c r="AD135" s="138">
        <v>0</v>
      </c>
      <c r="AE135" s="138">
        <v>0</v>
      </c>
      <c r="AF135" s="140"/>
      <c r="AG135" s="141">
        <f>'form A info'!$AK193/1000</f>
        <v>1427.6210000000001</v>
      </c>
    </row>
    <row r="136" spans="1:33" x14ac:dyDescent="0.2">
      <c r="A136" s="134">
        <v>4837</v>
      </c>
      <c r="B136" s="134" t="s">
        <v>427</v>
      </c>
      <c r="C136" s="114" t="str">
        <f>'form A info'!G196</f>
        <v>y</v>
      </c>
      <c r="D136" s="138">
        <v>243</v>
      </c>
      <c r="E136" s="138">
        <v>0</v>
      </c>
      <c r="F136" s="138">
        <v>261</v>
      </c>
      <c r="G136" s="138">
        <v>9</v>
      </c>
      <c r="H136" s="139"/>
      <c r="I136" s="138">
        <v>0</v>
      </c>
      <c r="J136" s="138">
        <v>0</v>
      </c>
      <c r="K136" s="138">
        <v>-29</v>
      </c>
      <c r="L136" s="138">
        <v>0</v>
      </c>
      <c r="M136" s="139"/>
      <c r="N136" s="138">
        <v>0</v>
      </c>
      <c r="O136" s="138">
        <v>0</v>
      </c>
      <c r="P136" s="138">
        <v>94</v>
      </c>
      <c r="Q136" s="138">
        <v>0</v>
      </c>
      <c r="R136" s="140"/>
      <c r="S136" s="138">
        <v>1</v>
      </c>
      <c r="T136" s="138">
        <v>2</v>
      </c>
      <c r="U136" s="138">
        <v>0</v>
      </c>
      <c r="V136" s="138">
        <v>0</v>
      </c>
      <c r="W136" s="140"/>
      <c r="X136" s="138">
        <v>13</v>
      </c>
      <c r="Y136" s="138">
        <v>0</v>
      </c>
      <c r="Z136" s="138">
        <v>0</v>
      </c>
      <c r="AA136" s="138">
        <v>0</v>
      </c>
      <c r="AB136" s="140"/>
      <c r="AC136" s="138">
        <v>0</v>
      </c>
      <c r="AD136" s="138">
        <v>0</v>
      </c>
      <c r="AE136" s="138">
        <v>0</v>
      </c>
      <c r="AF136" s="140"/>
      <c r="AG136" s="141">
        <f>'form A info'!$AK196/1000</f>
        <v>0</v>
      </c>
    </row>
    <row r="137" spans="1:33" x14ac:dyDescent="0.2">
      <c r="A137" s="134">
        <v>4674</v>
      </c>
      <c r="B137" s="134" t="s">
        <v>440</v>
      </c>
      <c r="C137" s="114" t="str">
        <f>'form A info'!G203</f>
        <v>y</v>
      </c>
      <c r="D137" s="138">
        <v>764</v>
      </c>
      <c r="E137" s="138">
        <v>199</v>
      </c>
      <c r="F137" s="138">
        <v>147</v>
      </c>
      <c r="G137" s="138">
        <v>-29</v>
      </c>
      <c r="H137" s="139"/>
      <c r="I137" s="138">
        <v>0</v>
      </c>
      <c r="J137" s="138">
        <v>0</v>
      </c>
      <c r="K137" s="138">
        <v>2</v>
      </c>
      <c r="L137" s="138">
        <v>2</v>
      </c>
      <c r="M137" s="139"/>
      <c r="N137" s="138">
        <v>0</v>
      </c>
      <c r="O137" s="138">
        <v>60</v>
      </c>
      <c r="P137" s="138">
        <v>40</v>
      </c>
      <c r="Q137" s="138">
        <v>-9</v>
      </c>
      <c r="R137" s="140"/>
      <c r="S137" s="138">
        <v>34</v>
      </c>
      <c r="T137" s="138">
        <v>0</v>
      </c>
      <c r="U137" s="138">
        <v>0</v>
      </c>
      <c r="V137" s="138">
        <v>0</v>
      </c>
      <c r="W137" s="140"/>
      <c r="X137" s="138">
        <v>88</v>
      </c>
      <c r="Y137" s="138">
        <v>0</v>
      </c>
      <c r="Z137" s="138">
        <v>0</v>
      </c>
      <c r="AA137" s="138">
        <v>0</v>
      </c>
      <c r="AB137" s="140"/>
      <c r="AC137" s="138">
        <v>0</v>
      </c>
      <c r="AD137" s="138">
        <v>0</v>
      </c>
      <c r="AE137" s="138">
        <v>21165</v>
      </c>
      <c r="AF137" s="140"/>
      <c r="AG137" s="141">
        <f>'form A info'!$AK203/1000</f>
        <v>936.98299999999995</v>
      </c>
    </row>
    <row r="138" spans="1:33" x14ac:dyDescent="0.2">
      <c r="A138" s="134">
        <v>3725</v>
      </c>
      <c r="B138" s="134" t="s">
        <v>442</v>
      </c>
      <c r="C138" s="114" t="str">
        <f>'form A info'!G204</f>
        <v>y</v>
      </c>
      <c r="D138" s="138">
        <v>41</v>
      </c>
      <c r="E138" s="138">
        <v>329</v>
      </c>
      <c r="F138" s="138">
        <v>69</v>
      </c>
      <c r="G138" s="138">
        <v>0</v>
      </c>
      <c r="H138" s="139"/>
      <c r="I138" s="138">
        <v>0</v>
      </c>
      <c r="J138" s="138">
        <v>0</v>
      </c>
      <c r="K138" s="138">
        <v>0</v>
      </c>
      <c r="L138" s="138">
        <v>0</v>
      </c>
      <c r="M138" s="139"/>
      <c r="N138" s="138">
        <v>0</v>
      </c>
      <c r="O138" s="138">
        <v>10</v>
      </c>
      <c r="P138" s="138">
        <v>8</v>
      </c>
      <c r="Q138" s="138">
        <v>0</v>
      </c>
      <c r="R138" s="140"/>
      <c r="S138" s="138">
        <v>0</v>
      </c>
      <c r="T138" s="138">
        <v>0</v>
      </c>
      <c r="U138" s="138">
        <v>0</v>
      </c>
      <c r="V138" s="138">
        <v>0</v>
      </c>
      <c r="W138" s="140"/>
      <c r="X138" s="138">
        <v>0</v>
      </c>
      <c r="Y138" s="138">
        <v>0</v>
      </c>
      <c r="Z138" s="138">
        <v>0</v>
      </c>
      <c r="AA138" s="138">
        <v>0</v>
      </c>
      <c r="AB138" s="140"/>
      <c r="AC138" s="138">
        <v>0</v>
      </c>
      <c r="AD138" s="138">
        <v>0</v>
      </c>
      <c r="AE138" s="138">
        <v>10591</v>
      </c>
      <c r="AF138" s="140"/>
      <c r="AG138" s="141">
        <f>'form A info'!$AK204/1000</f>
        <v>435.04700000000003</v>
      </c>
    </row>
    <row r="139" spans="1:33" x14ac:dyDescent="0.2">
      <c r="A139" s="134">
        <v>4838</v>
      </c>
      <c r="B139" s="134" t="s">
        <v>666</v>
      </c>
      <c r="C139" s="114" t="str">
        <f>'form A info'!G206</f>
        <v>y</v>
      </c>
      <c r="D139" s="138">
        <v>214</v>
      </c>
      <c r="E139" s="138">
        <v>0</v>
      </c>
      <c r="F139" s="138">
        <v>783</v>
      </c>
      <c r="G139" s="138">
        <v>5</v>
      </c>
      <c r="H139" s="139"/>
      <c r="I139" s="138">
        <v>0</v>
      </c>
      <c r="J139" s="138">
        <v>0</v>
      </c>
      <c r="K139" s="138">
        <v>74</v>
      </c>
      <c r="L139" s="138">
        <v>0</v>
      </c>
      <c r="M139" s="139"/>
      <c r="N139" s="138">
        <v>162</v>
      </c>
      <c r="O139" s="138">
        <v>0</v>
      </c>
      <c r="P139" s="138">
        <v>32</v>
      </c>
      <c r="Q139" s="138">
        <v>3</v>
      </c>
      <c r="R139" s="140"/>
      <c r="S139" s="138">
        <v>35</v>
      </c>
      <c r="T139" s="138">
        <v>0</v>
      </c>
      <c r="U139" s="138">
        <v>0</v>
      </c>
      <c r="V139" s="138">
        <v>0</v>
      </c>
      <c r="W139" s="140"/>
      <c r="X139" s="138">
        <v>76</v>
      </c>
      <c r="Y139" s="138">
        <v>0</v>
      </c>
      <c r="Z139" s="138">
        <v>0</v>
      </c>
      <c r="AA139" s="138">
        <v>0</v>
      </c>
      <c r="AB139" s="140"/>
      <c r="AC139" s="138">
        <v>0</v>
      </c>
      <c r="AD139" s="138">
        <v>0</v>
      </c>
      <c r="AE139" s="138">
        <v>0</v>
      </c>
      <c r="AF139" s="140"/>
      <c r="AG139" s="141">
        <f>'form A info'!$AK206/1000</f>
        <v>117.485</v>
      </c>
    </row>
    <row r="140" spans="1:33" x14ac:dyDescent="0.2">
      <c r="A140" s="134">
        <v>9550</v>
      </c>
      <c r="B140" s="134" t="s">
        <v>455</v>
      </c>
      <c r="C140" s="114" t="str">
        <f>'form A info'!G208</f>
        <v>y</v>
      </c>
      <c r="D140" s="138">
        <v>0</v>
      </c>
      <c r="E140" s="138">
        <v>0</v>
      </c>
      <c r="F140" s="138">
        <v>306</v>
      </c>
      <c r="G140" s="138">
        <v>12</v>
      </c>
      <c r="H140" s="139"/>
      <c r="I140" s="138">
        <v>0</v>
      </c>
      <c r="J140" s="138">
        <v>0</v>
      </c>
      <c r="K140" s="138">
        <v>13</v>
      </c>
      <c r="L140" s="138">
        <v>4</v>
      </c>
      <c r="M140" s="139"/>
      <c r="N140" s="138">
        <v>0</v>
      </c>
      <c r="O140" s="138">
        <v>0</v>
      </c>
      <c r="P140" s="138">
        <v>14</v>
      </c>
      <c r="Q140" s="138">
        <v>4</v>
      </c>
      <c r="R140" s="140"/>
      <c r="S140" s="138">
        <v>0</v>
      </c>
      <c r="T140" s="138">
        <v>0</v>
      </c>
      <c r="U140" s="138">
        <v>0</v>
      </c>
      <c r="V140" s="138">
        <v>0</v>
      </c>
      <c r="W140" s="140"/>
      <c r="X140" s="138">
        <v>0</v>
      </c>
      <c r="Y140" s="138">
        <v>0</v>
      </c>
      <c r="Z140" s="138">
        <v>0</v>
      </c>
      <c r="AA140" s="138">
        <v>0</v>
      </c>
      <c r="AB140" s="140"/>
      <c r="AC140" s="138">
        <v>0</v>
      </c>
      <c r="AD140" s="138">
        <v>0</v>
      </c>
      <c r="AE140" s="138">
        <v>14200</v>
      </c>
      <c r="AF140" s="140"/>
      <c r="AG140" s="141">
        <f>'form A info'!$AK208/1000</f>
        <v>931.56799999999998</v>
      </c>
    </row>
    <row r="141" spans="1:33" x14ac:dyDescent="0.2">
      <c r="A141" s="134">
        <v>508</v>
      </c>
      <c r="B141" s="134" t="s">
        <v>462</v>
      </c>
      <c r="C141" s="114" t="str">
        <f>'form A info'!G211</f>
        <v>y</v>
      </c>
      <c r="D141" s="138">
        <v>328</v>
      </c>
      <c r="E141" s="138">
        <v>1303</v>
      </c>
      <c r="F141" s="138">
        <v>109</v>
      </c>
      <c r="G141" s="138">
        <v>0</v>
      </c>
      <c r="H141" s="139"/>
      <c r="I141" s="138">
        <v>1</v>
      </c>
      <c r="J141" s="138">
        <v>22</v>
      </c>
      <c r="K141" s="138">
        <v>0</v>
      </c>
      <c r="L141" s="138">
        <v>0</v>
      </c>
      <c r="M141" s="139"/>
      <c r="N141" s="138">
        <v>18</v>
      </c>
      <c r="O141" s="138">
        <v>36</v>
      </c>
      <c r="P141" s="138">
        <v>8</v>
      </c>
      <c r="Q141" s="138">
        <v>0</v>
      </c>
      <c r="R141" s="140"/>
      <c r="S141" s="138">
        <v>45</v>
      </c>
      <c r="T141" s="138">
        <v>0</v>
      </c>
      <c r="U141" s="138">
        <v>0</v>
      </c>
      <c r="V141" s="138">
        <v>0</v>
      </c>
      <c r="W141" s="140"/>
      <c r="X141" s="138">
        <v>76</v>
      </c>
      <c r="Y141" s="138">
        <v>0</v>
      </c>
      <c r="Z141" s="138">
        <v>0</v>
      </c>
      <c r="AA141" s="138">
        <v>0</v>
      </c>
      <c r="AB141" s="140"/>
      <c r="AC141" s="138">
        <v>25000</v>
      </c>
      <c r="AD141" s="138">
        <v>0</v>
      </c>
      <c r="AE141" s="138">
        <v>25937</v>
      </c>
      <c r="AF141" s="140"/>
      <c r="AG141" s="141">
        <f>'form A info'!$AK211/1000</f>
        <v>1151.5450000000001</v>
      </c>
    </row>
    <row r="142" spans="1:33" x14ac:dyDescent="0.2">
      <c r="A142" s="134">
        <v>3881</v>
      </c>
      <c r="B142" s="134" t="s">
        <v>667</v>
      </c>
      <c r="C142" s="114" t="str">
        <f>'form A info'!G212</f>
        <v>y</v>
      </c>
      <c r="D142" s="138">
        <v>366</v>
      </c>
      <c r="E142" s="138">
        <v>369</v>
      </c>
      <c r="F142" s="138">
        <v>152</v>
      </c>
      <c r="G142" s="138">
        <v>4</v>
      </c>
      <c r="H142" s="139"/>
      <c r="I142" s="138">
        <v>57</v>
      </c>
      <c r="J142" s="138">
        <v>15</v>
      </c>
      <c r="K142" s="138">
        <v>1</v>
      </c>
      <c r="L142" s="138">
        <v>0</v>
      </c>
      <c r="M142" s="139"/>
      <c r="N142" s="138">
        <v>8</v>
      </c>
      <c r="O142" s="138">
        <v>15</v>
      </c>
      <c r="P142" s="138">
        <v>31</v>
      </c>
      <c r="Q142" s="138">
        <v>0</v>
      </c>
      <c r="R142" s="140"/>
      <c r="S142" s="138">
        <v>34</v>
      </c>
      <c r="T142" s="138">
        <v>0</v>
      </c>
      <c r="U142" s="138">
        <v>0</v>
      </c>
      <c r="V142" s="138">
        <v>0</v>
      </c>
      <c r="W142" s="140"/>
      <c r="X142" s="138">
        <v>61</v>
      </c>
      <c r="Y142" s="138">
        <v>0</v>
      </c>
      <c r="Z142" s="138">
        <v>0</v>
      </c>
      <c r="AA142" s="138">
        <v>0</v>
      </c>
      <c r="AB142" s="140"/>
      <c r="AC142" s="138">
        <v>0</v>
      </c>
      <c r="AD142" s="138">
        <v>0</v>
      </c>
      <c r="AE142" s="138">
        <v>0</v>
      </c>
      <c r="AF142" s="140"/>
      <c r="AG142" s="141">
        <f>'form A info'!$AK212/1000</f>
        <v>768.49800000000005</v>
      </c>
    </row>
    <row r="143" spans="1:33" x14ac:dyDescent="0.2">
      <c r="A143" s="134">
        <v>3762</v>
      </c>
      <c r="B143" s="134" t="s">
        <v>468</v>
      </c>
      <c r="C143" s="114" t="str">
        <f>'form A info'!G213</f>
        <v>y</v>
      </c>
      <c r="D143" s="138">
        <v>0</v>
      </c>
      <c r="E143" s="138">
        <v>0</v>
      </c>
      <c r="F143" s="138">
        <v>23</v>
      </c>
      <c r="G143" s="138">
        <v>5</v>
      </c>
      <c r="H143" s="139"/>
      <c r="I143" s="138">
        <v>0</v>
      </c>
      <c r="J143" s="138">
        <v>0</v>
      </c>
      <c r="K143" s="138">
        <v>0</v>
      </c>
      <c r="L143" s="138">
        <v>0</v>
      </c>
      <c r="M143" s="139"/>
      <c r="N143" s="138">
        <v>0</v>
      </c>
      <c r="O143" s="138">
        <v>14</v>
      </c>
      <c r="P143" s="138">
        <v>0</v>
      </c>
      <c r="Q143" s="138">
        <v>0</v>
      </c>
      <c r="R143" s="140"/>
      <c r="S143" s="138">
        <v>0</v>
      </c>
      <c r="T143" s="138">
        <v>0</v>
      </c>
      <c r="U143" s="138">
        <v>0</v>
      </c>
      <c r="V143" s="138">
        <v>0</v>
      </c>
      <c r="W143" s="140"/>
      <c r="X143" s="138">
        <v>0</v>
      </c>
      <c r="Y143" s="138">
        <v>0</v>
      </c>
      <c r="Z143" s="138">
        <v>0</v>
      </c>
      <c r="AA143" s="138">
        <v>0</v>
      </c>
      <c r="AB143" s="140"/>
      <c r="AC143" s="138">
        <v>0</v>
      </c>
      <c r="AD143" s="138">
        <v>0</v>
      </c>
      <c r="AE143" s="138">
        <v>0</v>
      </c>
      <c r="AF143" s="140"/>
      <c r="AG143" s="141">
        <f>'form A info'!$AK213/1000</f>
        <v>108.84399999999999</v>
      </c>
    </row>
    <row r="144" spans="1:33" x14ac:dyDescent="0.2">
      <c r="A144" s="134">
        <v>9570</v>
      </c>
      <c r="B144" s="134" t="s">
        <v>470</v>
      </c>
      <c r="C144" s="114" t="str">
        <f>'form A info'!G214</f>
        <v>y</v>
      </c>
      <c r="D144" s="138">
        <v>0</v>
      </c>
      <c r="E144" s="138">
        <v>0</v>
      </c>
      <c r="F144" s="138">
        <v>181</v>
      </c>
      <c r="G144" s="138">
        <v>44</v>
      </c>
      <c r="H144" s="139"/>
      <c r="I144" s="138">
        <v>0</v>
      </c>
      <c r="J144" s="138">
        <v>0</v>
      </c>
      <c r="K144" s="138">
        <v>11</v>
      </c>
      <c r="L144" s="138">
        <v>13</v>
      </c>
      <c r="M144" s="139"/>
      <c r="N144" s="138">
        <v>0</v>
      </c>
      <c r="O144" s="138">
        <v>0</v>
      </c>
      <c r="P144" s="138">
        <v>51</v>
      </c>
      <c r="Q144" s="138">
        <v>-44</v>
      </c>
      <c r="R144" s="140"/>
      <c r="S144" s="138">
        <v>0</v>
      </c>
      <c r="T144" s="138">
        <v>0</v>
      </c>
      <c r="U144" s="138">
        <v>0</v>
      </c>
      <c r="V144" s="138">
        <v>0</v>
      </c>
      <c r="W144" s="140"/>
      <c r="X144" s="138">
        <v>0</v>
      </c>
      <c r="Y144" s="138">
        <v>0</v>
      </c>
      <c r="Z144" s="138">
        <v>0</v>
      </c>
      <c r="AA144" s="138">
        <v>0</v>
      </c>
      <c r="AB144" s="140"/>
      <c r="AC144" s="138">
        <v>0</v>
      </c>
      <c r="AD144" s="138">
        <v>0</v>
      </c>
      <c r="AE144" s="138">
        <v>0</v>
      </c>
      <c r="AF144" s="140"/>
      <c r="AG144" s="141">
        <f>'form A info'!$AK214/1000</f>
        <v>679.15300000000002</v>
      </c>
    </row>
    <row r="145" spans="1:33" x14ac:dyDescent="0.2">
      <c r="A145" s="134">
        <v>2550</v>
      </c>
      <c r="B145" s="134" t="s">
        <v>472</v>
      </c>
      <c r="C145" s="114" t="str">
        <f>'form A info'!G215</f>
        <v>y</v>
      </c>
      <c r="D145" s="138">
        <v>412</v>
      </c>
      <c r="E145" s="138">
        <v>587</v>
      </c>
      <c r="F145" s="138">
        <v>224</v>
      </c>
      <c r="G145" s="138">
        <v>0</v>
      </c>
      <c r="H145" s="139"/>
      <c r="I145" s="138">
        <v>0</v>
      </c>
      <c r="J145" s="138">
        <v>0</v>
      </c>
      <c r="K145" s="138">
        <v>0</v>
      </c>
      <c r="L145" s="138">
        <v>0</v>
      </c>
      <c r="M145" s="139"/>
      <c r="N145" s="138">
        <v>23</v>
      </c>
      <c r="O145" s="138">
        <v>12</v>
      </c>
      <c r="P145" s="138">
        <v>42</v>
      </c>
      <c r="Q145" s="138">
        <v>0</v>
      </c>
      <c r="R145" s="140"/>
      <c r="S145" s="138">
        <v>42</v>
      </c>
      <c r="T145" s="138">
        <v>0</v>
      </c>
      <c r="U145" s="138">
        <v>0</v>
      </c>
      <c r="V145" s="138">
        <v>0</v>
      </c>
      <c r="W145" s="140"/>
      <c r="X145" s="138">
        <v>49</v>
      </c>
      <c r="Y145" s="138">
        <v>1</v>
      </c>
      <c r="Z145" s="138">
        <v>0</v>
      </c>
      <c r="AA145" s="138">
        <v>0</v>
      </c>
      <c r="AB145" s="140"/>
      <c r="AC145" s="138">
        <v>0</v>
      </c>
      <c r="AD145" s="138">
        <v>0</v>
      </c>
      <c r="AE145" s="138">
        <v>0</v>
      </c>
      <c r="AF145" s="140"/>
      <c r="AG145" s="141">
        <f>'form A info'!$AK215/1000</f>
        <v>814.03700000000003</v>
      </c>
    </row>
    <row r="146" spans="1:33" x14ac:dyDescent="0.2">
      <c r="A146" s="134">
        <v>9600</v>
      </c>
      <c r="B146" s="134" t="s">
        <v>473</v>
      </c>
      <c r="C146" s="114" t="str">
        <f>'form A info'!G216</f>
        <v>y</v>
      </c>
      <c r="D146" s="138">
        <v>0</v>
      </c>
      <c r="E146" s="138">
        <v>0</v>
      </c>
      <c r="F146" s="138">
        <v>123</v>
      </c>
      <c r="G146" s="138">
        <v>21</v>
      </c>
      <c r="H146" s="139"/>
      <c r="I146" s="138">
        <v>0</v>
      </c>
      <c r="J146" s="138">
        <v>0</v>
      </c>
      <c r="K146" s="138">
        <v>10</v>
      </c>
      <c r="L146" s="138">
        <v>18</v>
      </c>
      <c r="M146" s="139"/>
      <c r="N146" s="138">
        <v>0</v>
      </c>
      <c r="O146" s="138">
        <v>0</v>
      </c>
      <c r="P146" s="138">
        <v>161</v>
      </c>
      <c r="Q146" s="138">
        <v>4</v>
      </c>
      <c r="R146" s="140"/>
      <c r="S146" s="138">
        <v>0</v>
      </c>
      <c r="T146" s="138">
        <v>0</v>
      </c>
      <c r="U146" s="138">
        <v>0</v>
      </c>
      <c r="V146" s="138">
        <v>0</v>
      </c>
      <c r="W146" s="140"/>
      <c r="X146" s="138">
        <v>0</v>
      </c>
      <c r="Y146" s="138">
        <v>0</v>
      </c>
      <c r="Z146" s="138">
        <v>0</v>
      </c>
      <c r="AA146" s="138">
        <v>0</v>
      </c>
      <c r="AB146" s="140"/>
      <c r="AC146" s="138">
        <v>567938</v>
      </c>
      <c r="AD146" s="138">
        <v>0</v>
      </c>
      <c r="AE146" s="138">
        <v>0</v>
      </c>
      <c r="AF146" s="140"/>
      <c r="AG146" s="141">
        <f>'form A info'!$AK216/1000</f>
        <v>735.375</v>
      </c>
    </row>
    <row r="147" spans="1:33" x14ac:dyDescent="0.2">
      <c r="A147" s="134">
        <v>3911</v>
      </c>
      <c r="B147" s="134" t="s">
        <v>476</v>
      </c>
      <c r="C147" s="114" t="str">
        <f>'form A info'!G217</f>
        <v>y</v>
      </c>
      <c r="D147" s="138">
        <v>0</v>
      </c>
      <c r="E147" s="138">
        <v>0</v>
      </c>
      <c r="F147" s="138">
        <v>8</v>
      </c>
      <c r="G147" s="138">
        <v>0</v>
      </c>
      <c r="H147" s="139"/>
      <c r="I147" s="138">
        <v>0</v>
      </c>
      <c r="J147" s="138">
        <v>0</v>
      </c>
      <c r="K147" s="138">
        <v>0</v>
      </c>
      <c r="L147" s="138">
        <v>2</v>
      </c>
      <c r="M147" s="139"/>
      <c r="N147" s="138">
        <v>0</v>
      </c>
      <c r="O147" s="138">
        <v>0</v>
      </c>
      <c r="P147" s="138">
        <v>0</v>
      </c>
      <c r="Q147" s="138">
        <v>0</v>
      </c>
      <c r="R147" s="140"/>
      <c r="S147" s="138">
        <v>0</v>
      </c>
      <c r="T147" s="138">
        <v>0</v>
      </c>
      <c r="U147" s="138">
        <v>0</v>
      </c>
      <c r="V147" s="138">
        <v>0</v>
      </c>
      <c r="W147" s="140"/>
      <c r="X147" s="138">
        <v>0</v>
      </c>
      <c r="Y147" s="138">
        <v>0</v>
      </c>
      <c r="Z147" s="138">
        <v>0</v>
      </c>
      <c r="AA147" s="138">
        <v>0</v>
      </c>
      <c r="AB147" s="140"/>
      <c r="AC147" s="138">
        <v>0</v>
      </c>
      <c r="AD147" s="138">
        <v>0</v>
      </c>
      <c r="AE147" s="138">
        <v>0</v>
      </c>
      <c r="AF147" s="140"/>
      <c r="AG147" s="141">
        <f>'form A info'!$AK217/1000</f>
        <v>12.05508</v>
      </c>
    </row>
    <row r="148" spans="1:33" x14ac:dyDescent="0.2">
      <c r="A148" s="134">
        <v>9620</v>
      </c>
      <c r="B148" s="134" t="s">
        <v>478</v>
      </c>
      <c r="C148" s="114" t="str">
        <f>'form A info'!G218</f>
        <v>y</v>
      </c>
      <c r="D148" s="138">
        <v>0</v>
      </c>
      <c r="E148" s="138">
        <v>0</v>
      </c>
      <c r="F148" s="138">
        <v>1</v>
      </c>
      <c r="G148" s="138">
        <v>0</v>
      </c>
      <c r="H148" s="139"/>
      <c r="I148" s="138">
        <v>0</v>
      </c>
      <c r="J148" s="138">
        <v>0</v>
      </c>
      <c r="K148" s="138">
        <v>0</v>
      </c>
      <c r="L148" s="138">
        <v>0</v>
      </c>
      <c r="M148" s="139"/>
      <c r="N148" s="138">
        <v>0</v>
      </c>
      <c r="O148" s="138">
        <v>0</v>
      </c>
      <c r="P148" s="138">
        <v>9</v>
      </c>
      <c r="Q148" s="138">
        <v>0</v>
      </c>
      <c r="R148" s="140"/>
      <c r="S148" s="138">
        <v>0</v>
      </c>
      <c r="T148" s="138">
        <v>0</v>
      </c>
      <c r="U148" s="138">
        <v>0</v>
      </c>
      <c r="V148" s="138">
        <v>0</v>
      </c>
      <c r="W148" s="140"/>
      <c r="X148" s="138">
        <v>0</v>
      </c>
      <c r="Y148" s="138">
        <v>0</v>
      </c>
      <c r="Z148" s="138">
        <v>0</v>
      </c>
      <c r="AA148" s="138">
        <v>0</v>
      </c>
      <c r="AB148" s="140"/>
      <c r="AC148" s="138">
        <v>0</v>
      </c>
      <c r="AD148" s="138">
        <v>0</v>
      </c>
      <c r="AE148" s="138">
        <v>0</v>
      </c>
      <c r="AF148" s="140"/>
      <c r="AG148" s="141">
        <f>'form A info'!$AK218/1000</f>
        <v>3.516</v>
      </c>
    </row>
    <row r="149" spans="1:33" x14ac:dyDescent="0.2">
      <c r="A149" s="134">
        <v>2307</v>
      </c>
      <c r="B149" s="134" t="s">
        <v>479</v>
      </c>
      <c r="C149" s="114" t="str">
        <f>'form A info'!G219</f>
        <v>y</v>
      </c>
      <c r="D149" s="138">
        <v>38</v>
      </c>
      <c r="E149" s="138">
        <v>174</v>
      </c>
      <c r="F149" s="138">
        <v>62</v>
      </c>
      <c r="G149" s="138">
        <v>15</v>
      </c>
      <c r="H149" s="139"/>
      <c r="I149" s="138">
        <v>0</v>
      </c>
      <c r="J149" s="138">
        <v>0</v>
      </c>
      <c r="K149" s="138">
        <v>0</v>
      </c>
      <c r="L149" s="138">
        <v>0</v>
      </c>
      <c r="M149" s="139"/>
      <c r="N149" s="138">
        <v>0</v>
      </c>
      <c r="O149" s="138">
        <v>14</v>
      </c>
      <c r="P149" s="138">
        <v>2</v>
      </c>
      <c r="Q149" s="138">
        <v>0</v>
      </c>
      <c r="R149" s="140"/>
      <c r="S149" s="138">
        <v>0</v>
      </c>
      <c r="T149" s="138">
        <v>0</v>
      </c>
      <c r="U149" s="138">
        <v>0</v>
      </c>
      <c r="V149" s="138">
        <v>0</v>
      </c>
      <c r="W149" s="140"/>
      <c r="X149" s="138">
        <v>0</v>
      </c>
      <c r="Y149" s="138">
        <v>0</v>
      </c>
      <c r="Z149" s="138">
        <v>0</v>
      </c>
      <c r="AA149" s="138">
        <v>0</v>
      </c>
      <c r="AB149" s="140"/>
      <c r="AC149" s="138">
        <v>0</v>
      </c>
      <c r="AD149" s="138">
        <v>0</v>
      </c>
      <c r="AE149" s="138">
        <v>0</v>
      </c>
      <c r="AF149" s="140"/>
      <c r="AG149" s="141">
        <f>'form A info'!$AK219/1000</f>
        <v>204.12200000000001</v>
      </c>
    </row>
    <row r="150" spans="1:33" x14ac:dyDescent="0.2">
      <c r="A150" s="134">
        <v>2311</v>
      </c>
      <c r="B150" s="134" t="s">
        <v>480</v>
      </c>
      <c r="C150" s="114" t="str">
        <f>'form A info'!G220</f>
        <v>y</v>
      </c>
      <c r="D150" s="138">
        <v>0</v>
      </c>
      <c r="E150" s="138">
        <v>0</v>
      </c>
      <c r="F150" s="138">
        <v>0</v>
      </c>
      <c r="G150" s="138">
        <v>5</v>
      </c>
      <c r="H150" s="139"/>
      <c r="I150" s="138">
        <v>0</v>
      </c>
      <c r="J150" s="138">
        <v>0</v>
      </c>
      <c r="K150" s="138">
        <v>2</v>
      </c>
      <c r="L150" s="138">
        <v>0</v>
      </c>
      <c r="M150" s="139"/>
      <c r="N150" s="138">
        <v>0</v>
      </c>
      <c r="O150" s="138">
        <v>0</v>
      </c>
      <c r="P150" s="138">
        <v>0</v>
      </c>
      <c r="Q150" s="138">
        <v>0</v>
      </c>
      <c r="R150" s="140"/>
      <c r="S150" s="138">
        <v>0</v>
      </c>
      <c r="T150" s="138">
        <v>0</v>
      </c>
      <c r="U150" s="138">
        <v>0</v>
      </c>
      <c r="V150" s="138">
        <v>0</v>
      </c>
      <c r="W150" s="140"/>
      <c r="X150" s="138">
        <v>0</v>
      </c>
      <c r="Y150" s="138">
        <v>0</v>
      </c>
      <c r="Z150" s="138">
        <v>0</v>
      </c>
      <c r="AA150" s="138">
        <v>0</v>
      </c>
      <c r="AB150" s="140"/>
      <c r="AC150" s="138">
        <v>0</v>
      </c>
      <c r="AD150" s="138">
        <v>0</v>
      </c>
      <c r="AE150" s="138">
        <v>0</v>
      </c>
      <c r="AF150" s="140"/>
      <c r="AG150" s="141">
        <f>'form A info'!$AK220/1000</f>
        <v>12.66164</v>
      </c>
    </row>
    <row r="151" spans="1:33" x14ac:dyDescent="0.2">
      <c r="A151" s="134">
        <v>4839</v>
      </c>
      <c r="B151" s="134" t="s">
        <v>482</v>
      </c>
      <c r="C151" s="114" t="str">
        <f>'form A info'!G222</f>
        <v>y</v>
      </c>
      <c r="D151" s="138">
        <v>0</v>
      </c>
      <c r="E151" s="138">
        <v>1001</v>
      </c>
      <c r="F151" s="138">
        <v>570</v>
      </c>
      <c r="G151" s="138">
        <v>1</v>
      </c>
      <c r="H151" s="139"/>
      <c r="I151" s="138">
        <v>0</v>
      </c>
      <c r="J151" s="138">
        <v>0</v>
      </c>
      <c r="K151" s="138">
        <v>0</v>
      </c>
      <c r="L151" s="138">
        <v>0</v>
      </c>
      <c r="M151" s="139"/>
      <c r="N151" s="138">
        <v>0</v>
      </c>
      <c r="O151" s="138">
        <v>87</v>
      </c>
      <c r="P151" s="138">
        <v>37</v>
      </c>
      <c r="Q151" s="138">
        <v>5</v>
      </c>
      <c r="R151" s="140"/>
      <c r="S151" s="138">
        <v>0</v>
      </c>
      <c r="T151" s="138">
        <v>1</v>
      </c>
      <c r="U151" s="138">
        <v>0</v>
      </c>
      <c r="V151" s="138">
        <v>0</v>
      </c>
      <c r="W151" s="140"/>
      <c r="X151" s="138">
        <v>0</v>
      </c>
      <c r="Y151" s="138">
        <v>0</v>
      </c>
      <c r="Z151" s="138">
        <v>0</v>
      </c>
      <c r="AA151" s="138">
        <v>0</v>
      </c>
      <c r="AB151" s="140"/>
      <c r="AC151" s="138">
        <v>0</v>
      </c>
      <c r="AD151" s="138">
        <v>0</v>
      </c>
      <c r="AE151" s="138">
        <v>0</v>
      </c>
      <c r="AF151" s="140"/>
      <c r="AG151" s="141">
        <f>'form A info'!$AK222/1000</f>
        <v>0</v>
      </c>
    </row>
    <row r="152" spans="1:33" x14ac:dyDescent="0.2">
      <c r="A152" s="134">
        <v>2105</v>
      </c>
      <c r="B152" s="134" t="s">
        <v>486</v>
      </c>
      <c r="C152" s="114" t="str">
        <f>'form A info'!G224</f>
        <v>y</v>
      </c>
      <c r="D152" s="138">
        <v>278</v>
      </c>
      <c r="E152" s="138">
        <v>876</v>
      </c>
      <c r="F152" s="138">
        <v>127</v>
      </c>
      <c r="G152" s="138">
        <v>-1</v>
      </c>
      <c r="H152" s="139"/>
      <c r="I152" s="138">
        <v>0</v>
      </c>
      <c r="J152" s="138">
        <v>0</v>
      </c>
      <c r="K152" s="138">
        <v>0</v>
      </c>
      <c r="L152" s="138">
        <v>0</v>
      </c>
      <c r="M152" s="139"/>
      <c r="N152" s="138">
        <v>5</v>
      </c>
      <c r="O152" s="138">
        <v>12</v>
      </c>
      <c r="P152" s="138">
        <v>20</v>
      </c>
      <c r="Q152" s="138">
        <v>4</v>
      </c>
      <c r="R152" s="140"/>
      <c r="S152" s="138">
        <v>39</v>
      </c>
      <c r="T152" s="138">
        <v>0</v>
      </c>
      <c r="U152" s="138">
        <v>0</v>
      </c>
      <c r="V152" s="138">
        <v>0</v>
      </c>
      <c r="W152" s="140"/>
      <c r="X152" s="138">
        <v>68</v>
      </c>
      <c r="Y152" s="138">
        <v>0</v>
      </c>
      <c r="Z152" s="138">
        <v>0</v>
      </c>
      <c r="AA152" s="138">
        <v>0</v>
      </c>
      <c r="AB152" s="140"/>
      <c r="AC152" s="138">
        <v>0</v>
      </c>
      <c r="AD152" s="138">
        <v>36100</v>
      </c>
      <c r="AE152" s="138">
        <v>51262</v>
      </c>
      <c r="AF152" s="140"/>
      <c r="AG152" s="141">
        <f>'form A info'!$AK224/1000</f>
        <v>477.57100000000003</v>
      </c>
    </row>
    <row r="153" spans="1:33" x14ac:dyDescent="0.2">
      <c r="A153" s="134">
        <v>3920</v>
      </c>
      <c r="B153" s="134" t="s">
        <v>489</v>
      </c>
      <c r="C153" s="114" t="str">
        <f>'form A info'!G225</f>
        <v>y</v>
      </c>
      <c r="D153" s="138">
        <v>94</v>
      </c>
      <c r="E153" s="138">
        <v>695</v>
      </c>
      <c r="F153" s="138">
        <v>104</v>
      </c>
      <c r="G153" s="138">
        <v>1</v>
      </c>
      <c r="H153" s="139"/>
      <c r="I153" s="138">
        <v>0</v>
      </c>
      <c r="J153" s="138">
        <v>0</v>
      </c>
      <c r="K153" s="138">
        <v>0</v>
      </c>
      <c r="L153" s="138">
        <v>0</v>
      </c>
      <c r="M153" s="139"/>
      <c r="N153" s="138">
        <v>0</v>
      </c>
      <c r="O153" s="138">
        <v>12</v>
      </c>
      <c r="P153" s="138">
        <v>47</v>
      </c>
      <c r="Q153" s="138">
        <v>0</v>
      </c>
      <c r="R153" s="140"/>
      <c r="S153" s="138">
        <v>0</v>
      </c>
      <c r="T153" s="138">
        <v>0</v>
      </c>
      <c r="U153" s="138">
        <v>0</v>
      </c>
      <c r="V153" s="138">
        <v>0</v>
      </c>
      <c r="W153" s="140"/>
      <c r="X153" s="138">
        <v>0</v>
      </c>
      <c r="Y153" s="138">
        <v>0</v>
      </c>
      <c r="Z153" s="138">
        <v>0</v>
      </c>
      <c r="AA153" s="138">
        <v>0</v>
      </c>
      <c r="AB153" s="140"/>
      <c r="AC153" s="138">
        <v>0</v>
      </c>
      <c r="AD153" s="138">
        <v>0</v>
      </c>
      <c r="AE153" s="138">
        <v>2039</v>
      </c>
      <c r="AF153" s="140"/>
      <c r="AG153" s="141">
        <f>'form A info'!$AK225/1000</f>
        <v>345.52391999999998</v>
      </c>
    </row>
    <row r="154" spans="1:33" x14ac:dyDescent="0.2">
      <c r="A154" s="134">
        <v>9896</v>
      </c>
      <c r="B154" s="134" t="s">
        <v>491</v>
      </c>
      <c r="C154" s="114" t="str">
        <f>'form A info'!G226</f>
        <v>y</v>
      </c>
      <c r="D154" s="138">
        <v>0</v>
      </c>
      <c r="E154" s="138">
        <v>0</v>
      </c>
      <c r="F154" s="138">
        <v>273</v>
      </c>
      <c r="G154" s="138">
        <v>-3</v>
      </c>
      <c r="H154" s="139"/>
      <c r="I154" s="138">
        <v>0</v>
      </c>
      <c r="J154" s="138">
        <v>0</v>
      </c>
      <c r="K154" s="138">
        <v>1</v>
      </c>
      <c r="L154" s="138">
        <v>0</v>
      </c>
      <c r="M154" s="139"/>
      <c r="N154" s="138">
        <v>0</v>
      </c>
      <c r="O154" s="138">
        <v>0</v>
      </c>
      <c r="P154" s="138">
        <v>24</v>
      </c>
      <c r="Q154" s="138">
        <v>75</v>
      </c>
      <c r="R154" s="140"/>
      <c r="S154" s="138">
        <v>0</v>
      </c>
      <c r="T154" s="138">
        <v>0</v>
      </c>
      <c r="U154" s="138">
        <v>0</v>
      </c>
      <c r="V154" s="138">
        <v>0</v>
      </c>
      <c r="W154" s="140"/>
      <c r="X154" s="138">
        <v>0</v>
      </c>
      <c r="Y154" s="138">
        <v>0</v>
      </c>
      <c r="Z154" s="138">
        <v>0</v>
      </c>
      <c r="AA154" s="138">
        <v>0</v>
      </c>
      <c r="AB154" s="140"/>
      <c r="AC154" s="138">
        <v>7900</v>
      </c>
      <c r="AD154" s="138">
        <v>0</v>
      </c>
      <c r="AE154" s="138">
        <v>0</v>
      </c>
      <c r="AF154" s="140"/>
      <c r="AG154" s="141">
        <f>'form A info'!$AK226/1000</f>
        <v>811.91200000000003</v>
      </c>
    </row>
    <row r="155" spans="1:33" x14ac:dyDescent="0.2">
      <c r="A155" s="134">
        <v>9690</v>
      </c>
      <c r="B155" s="134" t="s">
        <v>497</v>
      </c>
      <c r="C155" s="114" t="str">
        <f>'form A info'!G228</f>
        <v>y</v>
      </c>
      <c r="D155" s="138">
        <v>0</v>
      </c>
      <c r="E155" s="138">
        <v>0</v>
      </c>
      <c r="F155" s="138">
        <v>234</v>
      </c>
      <c r="G155" s="138">
        <v>1</v>
      </c>
      <c r="H155" s="139"/>
      <c r="I155" s="138">
        <v>0</v>
      </c>
      <c r="J155" s="138">
        <v>0</v>
      </c>
      <c r="K155" s="138">
        <v>0</v>
      </c>
      <c r="L155" s="138">
        <v>0</v>
      </c>
      <c r="M155" s="139"/>
      <c r="N155" s="138">
        <v>0</v>
      </c>
      <c r="O155" s="138">
        <v>0</v>
      </c>
      <c r="P155" s="138">
        <v>200</v>
      </c>
      <c r="Q155" s="138">
        <v>0</v>
      </c>
      <c r="R155" s="140"/>
      <c r="S155" s="138">
        <v>0</v>
      </c>
      <c r="T155" s="138">
        <v>0</v>
      </c>
      <c r="U155" s="138">
        <v>0</v>
      </c>
      <c r="V155" s="138">
        <v>0</v>
      </c>
      <c r="W155" s="140"/>
      <c r="X155" s="138">
        <v>0</v>
      </c>
      <c r="Y155" s="138">
        <v>0</v>
      </c>
      <c r="Z155" s="138">
        <v>0</v>
      </c>
      <c r="AA155" s="138">
        <v>0</v>
      </c>
      <c r="AB155" s="140"/>
      <c r="AC155" s="138">
        <v>0</v>
      </c>
      <c r="AD155" s="138">
        <v>0</v>
      </c>
      <c r="AE155" s="138">
        <v>10000</v>
      </c>
      <c r="AF155" s="140"/>
      <c r="AG155" s="141">
        <f>'form A info'!$AK228/1000</f>
        <v>4.6970000000000001</v>
      </c>
    </row>
    <row r="156" spans="1:33" x14ac:dyDescent="0.2">
      <c r="A156" s="134">
        <v>2520</v>
      </c>
      <c r="B156" s="134" t="s">
        <v>504</v>
      </c>
      <c r="C156" s="114" t="str">
        <f>'form A info'!G230</f>
        <v>y</v>
      </c>
      <c r="D156" s="138">
        <v>203</v>
      </c>
      <c r="E156" s="138">
        <v>185</v>
      </c>
      <c r="F156" s="138">
        <v>82</v>
      </c>
      <c r="G156" s="138">
        <v>3</v>
      </c>
      <c r="H156" s="139"/>
      <c r="I156" s="138">
        <v>9</v>
      </c>
      <c r="J156" s="138">
        <v>7</v>
      </c>
      <c r="K156" s="138">
        <v>1</v>
      </c>
      <c r="L156" s="138">
        <v>1</v>
      </c>
      <c r="M156" s="139"/>
      <c r="N156" s="138">
        <v>2</v>
      </c>
      <c r="O156" s="138">
        <v>7</v>
      </c>
      <c r="P156" s="138">
        <v>21</v>
      </c>
      <c r="Q156" s="138">
        <v>0</v>
      </c>
      <c r="R156" s="140"/>
      <c r="S156" s="138">
        <v>25</v>
      </c>
      <c r="T156" s="138">
        <v>0</v>
      </c>
      <c r="U156" s="138">
        <v>0</v>
      </c>
      <c r="V156" s="138">
        <v>0</v>
      </c>
      <c r="W156" s="140"/>
      <c r="X156" s="138">
        <v>39</v>
      </c>
      <c r="Y156" s="138">
        <v>0</v>
      </c>
      <c r="Z156" s="138">
        <v>0</v>
      </c>
      <c r="AA156" s="138">
        <v>0</v>
      </c>
      <c r="AB156" s="140"/>
      <c r="AC156" s="138">
        <v>0</v>
      </c>
      <c r="AD156" s="138">
        <v>0</v>
      </c>
      <c r="AE156" s="138">
        <v>9737</v>
      </c>
      <c r="AF156" s="140"/>
      <c r="AG156" s="141">
        <f>'form A info'!$AK230/1000</f>
        <v>77.516999999999996</v>
      </c>
    </row>
    <row r="157" spans="1:33" x14ac:dyDescent="0.2">
      <c r="A157" s="134">
        <v>4116</v>
      </c>
      <c r="B157" s="134" t="s">
        <v>504</v>
      </c>
      <c r="C157" s="114" t="str">
        <f>'form A info'!G231</f>
        <v>y</v>
      </c>
      <c r="D157" s="138">
        <v>31</v>
      </c>
      <c r="E157" s="138">
        <v>0</v>
      </c>
      <c r="F157" s="138">
        <v>50</v>
      </c>
      <c r="G157" s="138">
        <v>2</v>
      </c>
      <c r="H157" s="139"/>
      <c r="I157" s="138">
        <v>0</v>
      </c>
      <c r="J157" s="138">
        <v>0</v>
      </c>
      <c r="K157" s="138">
        <v>1</v>
      </c>
      <c r="L157" s="138">
        <v>0</v>
      </c>
      <c r="M157" s="139"/>
      <c r="N157" s="138">
        <v>0</v>
      </c>
      <c r="O157" s="138">
        <v>0</v>
      </c>
      <c r="P157" s="138">
        <v>0</v>
      </c>
      <c r="Q157" s="138">
        <v>0</v>
      </c>
      <c r="R157" s="140"/>
      <c r="S157" s="138">
        <v>0</v>
      </c>
      <c r="T157" s="138">
        <v>0</v>
      </c>
      <c r="U157" s="138">
        <v>0</v>
      </c>
      <c r="V157" s="138">
        <v>0</v>
      </c>
      <c r="W157" s="140"/>
      <c r="X157" s="138">
        <v>0</v>
      </c>
      <c r="Y157" s="138">
        <v>0</v>
      </c>
      <c r="Z157" s="138">
        <v>0</v>
      </c>
      <c r="AA157" s="138">
        <v>0</v>
      </c>
      <c r="AB157" s="140"/>
      <c r="AC157" s="138">
        <v>2661</v>
      </c>
      <c r="AD157" s="138">
        <v>0</v>
      </c>
      <c r="AE157" s="138">
        <v>6769</v>
      </c>
      <c r="AF157" s="140"/>
      <c r="AG157" s="141">
        <f>'form A info'!$AK231/1000</f>
        <v>379.39400000000001</v>
      </c>
    </row>
    <row r="158" spans="1:33" x14ac:dyDescent="0.2">
      <c r="A158" s="134">
        <v>9750</v>
      </c>
      <c r="B158" s="134" t="s">
        <v>509</v>
      </c>
      <c r="C158" s="114" t="str">
        <f>'form A info'!G233</f>
        <v>y</v>
      </c>
      <c r="D158" s="138">
        <v>0</v>
      </c>
      <c r="E158" s="138">
        <v>0</v>
      </c>
      <c r="F158" s="138">
        <v>81</v>
      </c>
      <c r="G158" s="138">
        <v>11</v>
      </c>
      <c r="H158" s="139"/>
      <c r="I158" s="138">
        <v>0</v>
      </c>
      <c r="J158" s="138">
        <v>0</v>
      </c>
      <c r="K158" s="138">
        <v>8</v>
      </c>
      <c r="L158" s="138">
        <v>6</v>
      </c>
      <c r="M158" s="139"/>
      <c r="N158" s="138">
        <v>0</v>
      </c>
      <c r="O158" s="138">
        <v>0</v>
      </c>
      <c r="P158" s="138">
        <v>2</v>
      </c>
      <c r="Q158" s="138">
        <v>2</v>
      </c>
      <c r="R158" s="140"/>
      <c r="S158" s="138">
        <v>0</v>
      </c>
      <c r="T158" s="138">
        <v>0</v>
      </c>
      <c r="U158" s="138">
        <v>0</v>
      </c>
      <c r="V158" s="138">
        <v>0</v>
      </c>
      <c r="W158" s="140"/>
      <c r="X158" s="138">
        <v>0</v>
      </c>
      <c r="Y158" s="138">
        <v>0</v>
      </c>
      <c r="Z158" s="138">
        <v>0</v>
      </c>
      <c r="AA158" s="138">
        <v>0</v>
      </c>
      <c r="AB158" s="140"/>
      <c r="AC158" s="138">
        <v>32017</v>
      </c>
      <c r="AD158" s="138">
        <v>0</v>
      </c>
      <c r="AE158" s="138">
        <v>0</v>
      </c>
      <c r="AF158" s="140"/>
      <c r="AG158" s="141">
        <f>'form A info'!$AK233/1000</f>
        <v>0</v>
      </c>
    </row>
    <row r="159" spans="1:33" x14ac:dyDescent="0.2">
      <c r="A159" s="134">
        <v>1511</v>
      </c>
      <c r="B159" s="134" t="s">
        <v>510</v>
      </c>
      <c r="C159" s="114" t="str">
        <f>'form A info'!G234</f>
        <v>y</v>
      </c>
      <c r="D159" s="138">
        <v>78</v>
      </c>
      <c r="E159" s="138">
        <v>895</v>
      </c>
      <c r="F159" s="138">
        <v>60</v>
      </c>
      <c r="G159" s="138">
        <v>9</v>
      </c>
      <c r="H159" s="139"/>
      <c r="I159" s="138">
        <v>0</v>
      </c>
      <c r="J159" s="138">
        <v>0</v>
      </c>
      <c r="K159" s="138">
        <v>0</v>
      </c>
      <c r="L159" s="138">
        <v>0</v>
      </c>
      <c r="M159" s="139"/>
      <c r="N159" s="138">
        <v>0</v>
      </c>
      <c r="O159" s="138">
        <v>13</v>
      </c>
      <c r="P159" s="138">
        <v>32</v>
      </c>
      <c r="Q159" s="138">
        <v>0</v>
      </c>
      <c r="R159" s="140"/>
      <c r="S159" s="138">
        <v>0</v>
      </c>
      <c r="T159" s="138">
        <v>0</v>
      </c>
      <c r="U159" s="138">
        <v>0</v>
      </c>
      <c r="V159" s="138">
        <v>0</v>
      </c>
      <c r="W159" s="140"/>
      <c r="X159" s="138">
        <v>0</v>
      </c>
      <c r="Y159" s="138">
        <v>0</v>
      </c>
      <c r="Z159" s="138">
        <v>0</v>
      </c>
      <c r="AA159" s="138">
        <v>0</v>
      </c>
      <c r="AB159" s="140"/>
      <c r="AC159" s="138">
        <v>8500</v>
      </c>
      <c r="AD159" s="138">
        <v>0</v>
      </c>
      <c r="AE159" s="138">
        <v>3597</v>
      </c>
      <c r="AF159" s="140"/>
      <c r="AG159" s="141">
        <f>'form A info'!$AK234/1000</f>
        <v>456.63400000000001</v>
      </c>
    </row>
    <row r="160" spans="1:33" x14ac:dyDescent="0.2">
      <c r="A160" s="134">
        <v>1582</v>
      </c>
      <c r="B160" s="134" t="s">
        <v>518</v>
      </c>
      <c r="C160" s="114" t="str">
        <f>'form A info'!G238</f>
        <v>y</v>
      </c>
      <c r="D160" s="138">
        <v>0</v>
      </c>
      <c r="E160" s="138">
        <v>0</v>
      </c>
      <c r="F160" s="138">
        <v>6</v>
      </c>
      <c r="G160" s="138">
        <v>0</v>
      </c>
      <c r="H160" s="139"/>
      <c r="I160" s="138">
        <v>0</v>
      </c>
      <c r="J160" s="138">
        <v>0</v>
      </c>
      <c r="K160" s="138">
        <v>0</v>
      </c>
      <c r="L160" s="138">
        <v>1</v>
      </c>
      <c r="M160" s="139"/>
      <c r="N160" s="138">
        <v>0</v>
      </c>
      <c r="O160" s="138">
        <v>0</v>
      </c>
      <c r="P160" s="138">
        <v>0</v>
      </c>
      <c r="Q160" s="138">
        <v>0</v>
      </c>
      <c r="R160" s="140"/>
      <c r="S160" s="138">
        <v>0</v>
      </c>
      <c r="T160" s="138">
        <v>0</v>
      </c>
      <c r="U160" s="138">
        <v>0</v>
      </c>
      <c r="V160" s="138">
        <v>0</v>
      </c>
      <c r="W160" s="140"/>
      <c r="X160" s="138">
        <v>0</v>
      </c>
      <c r="Y160" s="138">
        <v>0</v>
      </c>
      <c r="Z160" s="138">
        <v>0</v>
      </c>
      <c r="AA160" s="138">
        <v>0</v>
      </c>
      <c r="AB160" s="140"/>
      <c r="AC160" s="138">
        <v>0</v>
      </c>
      <c r="AD160" s="138">
        <v>0</v>
      </c>
      <c r="AE160" s="138">
        <v>0</v>
      </c>
      <c r="AF160" s="140"/>
      <c r="AG160" s="141">
        <f>'form A info'!$AK238/1000</f>
        <v>14.446999999999999</v>
      </c>
    </row>
    <row r="161" spans="1:33" x14ac:dyDescent="0.2">
      <c r="A161" s="134">
        <v>4841</v>
      </c>
      <c r="B161" s="134" t="s">
        <v>520</v>
      </c>
      <c r="C161" s="114" t="str">
        <f>'form A info'!G239</f>
        <v>y</v>
      </c>
      <c r="D161" s="138">
        <v>0</v>
      </c>
      <c r="E161" s="138">
        <v>0</v>
      </c>
      <c r="F161" s="138">
        <v>191</v>
      </c>
      <c r="G161" s="138">
        <v>13</v>
      </c>
      <c r="H161" s="139"/>
      <c r="I161" s="138">
        <v>0</v>
      </c>
      <c r="J161" s="138">
        <v>0</v>
      </c>
      <c r="K161" s="138">
        <v>33</v>
      </c>
      <c r="L161" s="138">
        <v>0</v>
      </c>
      <c r="M161" s="139"/>
      <c r="N161" s="138">
        <v>0</v>
      </c>
      <c r="O161" s="138">
        <v>62</v>
      </c>
      <c r="P161" s="138">
        <v>12</v>
      </c>
      <c r="Q161" s="138">
        <v>0</v>
      </c>
      <c r="R161" s="140"/>
      <c r="S161" s="138">
        <v>0</v>
      </c>
      <c r="T161" s="138">
        <v>1</v>
      </c>
      <c r="U161" s="138">
        <v>0</v>
      </c>
      <c r="V161" s="138">
        <v>0</v>
      </c>
      <c r="W161" s="140"/>
      <c r="X161" s="138">
        <v>0</v>
      </c>
      <c r="Y161" s="138">
        <v>0</v>
      </c>
      <c r="Z161" s="138">
        <v>0</v>
      </c>
      <c r="AA161" s="138">
        <v>0</v>
      </c>
      <c r="AB161" s="140"/>
      <c r="AC161" s="138">
        <v>111138</v>
      </c>
      <c r="AD161" s="138">
        <v>0</v>
      </c>
      <c r="AE161" s="138">
        <v>0</v>
      </c>
      <c r="AF161" s="140"/>
      <c r="AG161" s="141">
        <f>'form A info'!$AK239/1000</f>
        <v>0</v>
      </c>
    </row>
    <row r="162" spans="1:33" x14ac:dyDescent="0.2">
      <c r="A162" s="134">
        <v>9773</v>
      </c>
      <c r="B162" s="134" t="s">
        <v>524</v>
      </c>
      <c r="C162" s="114" t="str">
        <f>'form A info'!G241</f>
        <v>y</v>
      </c>
      <c r="D162" s="138">
        <v>0</v>
      </c>
      <c r="E162" s="138">
        <v>0</v>
      </c>
      <c r="F162" s="138">
        <v>130</v>
      </c>
      <c r="G162" s="138">
        <v>38</v>
      </c>
      <c r="H162" s="139"/>
      <c r="I162" s="138">
        <v>0</v>
      </c>
      <c r="J162" s="138">
        <v>0</v>
      </c>
      <c r="K162" s="138">
        <v>0</v>
      </c>
      <c r="L162" s="138">
        <v>0</v>
      </c>
      <c r="M162" s="139"/>
      <c r="N162" s="138">
        <v>0</v>
      </c>
      <c r="O162" s="138">
        <v>0</v>
      </c>
      <c r="P162" s="138">
        <v>5</v>
      </c>
      <c r="Q162" s="138">
        <v>4</v>
      </c>
      <c r="R162" s="140"/>
      <c r="S162" s="138">
        <v>0</v>
      </c>
      <c r="T162" s="138">
        <v>0</v>
      </c>
      <c r="U162" s="138">
        <v>0</v>
      </c>
      <c r="V162" s="138">
        <v>0</v>
      </c>
      <c r="W162" s="140"/>
      <c r="X162" s="138">
        <v>0</v>
      </c>
      <c r="Y162" s="138">
        <v>0</v>
      </c>
      <c r="Z162" s="138">
        <v>0</v>
      </c>
      <c r="AA162" s="138">
        <v>0</v>
      </c>
      <c r="AB162" s="140"/>
      <c r="AC162" s="138">
        <v>21985</v>
      </c>
      <c r="AD162" s="138">
        <v>0</v>
      </c>
      <c r="AE162" s="138">
        <v>0</v>
      </c>
      <c r="AF162" s="140"/>
      <c r="AG162" s="141">
        <f>'form A info'!$AK241/1000</f>
        <v>748.71600000000001</v>
      </c>
    </row>
    <row r="163" spans="1:33" x14ac:dyDescent="0.2">
      <c r="A163" s="134">
        <v>3917</v>
      </c>
      <c r="B163" s="134" t="s">
        <v>525</v>
      </c>
      <c r="C163" s="114" t="str">
        <f>'form A info'!G242</f>
        <v>y</v>
      </c>
      <c r="D163" s="138">
        <v>208</v>
      </c>
      <c r="E163" s="138">
        <v>315</v>
      </c>
      <c r="F163" s="138">
        <v>127</v>
      </c>
      <c r="G163" s="138">
        <v>0</v>
      </c>
      <c r="H163" s="139"/>
      <c r="I163" s="138">
        <v>0</v>
      </c>
      <c r="J163" s="138">
        <v>17</v>
      </c>
      <c r="K163" s="138">
        <v>0</v>
      </c>
      <c r="L163" s="138">
        <v>0</v>
      </c>
      <c r="M163" s="139"/>
      <c r="N163" s="138">
        <v>15</v>
      </c>
      <c r="O163" s="138">
        <v>32</v>
      </c>
      <c r="P163" s="138">
        <v>25</v>
      </c>
      <c r="Q163" s="138">
        <v>0</v>
      </c>
      <c r="R163" s="140"/>
      <c r="S163" s="138">
        <v>21</v>
      </c>
      <c r="T163" s="138">
        <v>0</v>
      </c>
      <c r="U163" s="138">
        <v>0</v>
      </c>
      <c r="V163" s="138">
        <v>0</v>
      </c>
      <c r="W163" s="140"/>
      <c r="X163" s="138">
        <v>75</v>
      </c>
      <c r="Y163" s="138">
        <v>0</v>
      </c>
      <c r="Z163" s="138">
        <v>0</v>
      </c>
      <c r="AA163" s="138">
        <v>0</v>
      </c>
      <c r="AB163" s="140"/>
      <c r="AC163" s="138">
        <v>0</v>
      </c>
      <c r="AD163" s="138">
        <v>0</v>
      </c>
      <c r="AE163" s="138">
        <v>8045</v>
      </c>
      <c r="AF163" s="140"/>
      <c r="AG163" s="141">
        <f>'form A info'!$AK242/1000</f>
        <v>760.23500000000001</v>
      </c>
    </row>
    <row r="164" spans="1:33" x14ac:dyDescent="0.2">
      <c r="A164" s="134">
        <v>3915</v>
      </c>
      <c r="B164" s="134" t="s">
        <v>528</v>
      </c>
      <c r="C164" s="114" t="str">
        <f>'form A info'!G243</f>
        <v>y</v>
      </c>
      <c r="D164" s="138">
        <v>0</v>
      </c>
      <c r="E164" s="138">
        <v>0</v>
      </c>
      <c r="F164" s="138">
        <v>8</v>
      </c>
      <c r="G164" s="138">
        <v>0</v>
      </c>
      <c r="H164" s="139"/>
      <c r="I164" s="138">
        <v>0</v>
      </c>
      <c r="J164" s="138">
        <v>0</v>
      </c>
      <c r="K164" s="138">
        <v>0</v>
      </c>
      <c r="L164" s="138">
        <v>0</v>
      </c>
      <c r="M164" s="139"/>
      <c r="N164" s="138">
        <v>0</v>
      </c>
      <c r="O164" s="138">
        <v>0</v>
      </c>
      <c r="P164" s="138">
        <v>1</v>
      </c>
      <c r="Q164" s="138">
        <v>6</v>
      </c>
      <c r="R164" s="140"/>
      <c r="S164" s="138">
        <v>0</v>
      </c>
      <c r="T164" s="138">
        <v>0</v>
      </c>
      <c r="U164" s="138">
        <v>0</v>
      </c>
      <c r="V164" s="138">
        <v>0</v>
      </c>
      <c r="W164" s="140"/>
      <c r="X164" s="138">
        <v>0</v>
      </c>
      <c r="Y164" s="138">
        <v>0</v>
      </c>
      <c r="Z164" s="138">
        <v>0</v>
      </c>
      <c r="AA164" s="138">
        <v>0</v>
      </c>
      <c r="AB164" s="140"/>
      <c r="AC164" s="138">
        <v>0</v>
      </c>
      <c r="AD164" s="138">
        <v>0</v>
      </c>
      <c r="AE164" s="138">
        <v>0</v>
      </c>
      <c r="AF164" s="140"/>
      <c r="AG164" s="141">
        <f>'form A info'!$AK243/1000</f>
        <v>49.219000000000001</v>
      </c>
    </row>
    <row r="165" spans="1:33" x14ac:dyDescent="0.2">
      <c r="A165" s="134">
        <v>4842</v>
      </c>
      <c r="B165" s="134" t="s">
        <v>538</v>
      </c>
      <c r="C165" s="114" t="str">
        <f>'form A info'!G248</f>
        <v>y</v>
      </c>
      <c r="D165" s="138">
        <v>400</v>
      </c>
      <c r="E165" s="138">
        <v>976</v>
      </c>
      <c r="F165" s="138">
        <v>395</v>
      </c>
      <c r="G165" s="138">
        <v>0</v>
      </c>
      <c r="H165" s="139"/>
      <c r="I165" s="138">
        <v>0</v>
      </c>
      <c r="J165" s="138">
        <v>0</v>
      </c>
      <c r="K165" s="138">
        <v>0</v>
      </c>
      <c r="L165" s="138">
        <v>0</v>
      </c>
      <c r="M165" s="139"/>
      <c r="N165" s="138">
        <v>28</v>
      </c>
      <c r="O165" s="138">
        <v>19</v>
      </c>
      <c r="P165" s="138">
        <v>20</v>
      </c>
      <c r="Q165" s="138">
        <v>0</v>
      </c>
      <c r="R165" s="140"/>
      <c r="S165" s="138">
        <v>17</v>
      </c>
      <c r="T165" s="138">
        <v>2</v>
      </c>
      <c r="U165" s="138">
        <v>0</v>
      </c>
      <c r="V165" s="138">
        <v>0</v>
      </c>
      <c r="W165" s="140"/>
      <c r="X165" s="138">
        <v>87</v>
      </c>
      <c r="Y165" s="138">
        <v>0</v>
      </c>
      <c r="Z165" s="138">
        <v>0</v>
      </c>
      <c r="AA165" s="138">
        <v>0</v>
      </c>
      <c r="AB165" s="140"/>
      <c r="AC165" s="138">
        <v>0</v>
      </c>
      <c r="AD165" s="138">
        <v>0</v>
      </c>
      <c r="AE165" s="138">
        <v>0</v>
      </c>
      <c r="AF165" s="140"/>
      <c r="AG165" s="141">
        <f>'form A info'!$AK248/1000</f>
        <v>0</v>
      </c>
    </row>
    <row r="166" spans="1:33" x14ac:dyDescent="0.2">
      <c r="A166" s="134">
        <v>4536</v>
      </c>
      <c r="B166" s="134" t="s">
        <v>541</v>
      </c>
      <c r="C166" s="114" t="str">
        <f>'form A info'!G249</f>
        <v>y</v>
      </c>
      <c r="D166" s="138">
        <v>91</v>
      </c>
      <c r="E166" s="138">
        <v>724</v>
      </c>
      <c r="F166" s="138">
        <v>70</v>
      </c>
      <c r="G166" s="138">
        <v>0</v>
      </c>
      <c r="H166" s="139"/>
      <c r="I166" s="138">
        <v>13</v>
      </c>
      <c r="J166" s="138">
        <v>8</v>
      </c>
      <c r="K166" s="138">
        <v>0</v>
      </c>
      <c r="L166" s="138">
        <v>0</v>
      </c>
      <c r="M166" s="139"/>
      <c r="N166" s="138">
        <v>0</v>
      </c>
      <c r="O166" s="138">
        <v>29</v>
      </c>
      <c r="P166" s="138">
        <v>8</v>
      </c>
      <c r="Q166" s="138">
        <v>0</v>
      </c>
      <c r="R166" s="140"/>
      <c r="S166" s="138">
        <v>0</v>
      </c>
      <c r="T166" s="138">
        <v>0</v>
      </c>
      <c r="U166" s="138">
        <v>0</v>
      </c>
      <c r="V166" s="138">
        <v>0</v>
      </c>
      <c r="W166" s="140"/>
      <c r="X166" s="138">
        <v>0</v>
      </c>
      <c r="Y166" s="138">
        <v>0</v>
      </c>
      <c r="Z166" s="138">
        <v>0</v>
      </c>
      <c r="AA166" s="138">
        <v>0</v>
      </c>
      <c r="AB166" s="140"/>
      <c r="AC166" s="138">
        <v>13935</v>
      </c>
      <c r="AD166" s="138">
        <v>0</v>
      </c>
      <c r="AE166" s="138">
        <v>70755</v>
      </c>
      <c r="AF166" s="140"/>
      <c r="AG166" s="141">
        <f>'form A info'!$AK249/1000</f>
        <v>309.85700000000003</v>
      </c>
    </row>
    <row r="167" spans="1:33" x14ac:dyDescent="0.2">
      <c r="A167" s="134">
        <v>3764</v>
      </c>
      <c r="B167" s="134" t="s">
        <v>543</v>
      </c>
      <c r="C167" s="114" t="str">
        <f>'form A info'!G250</f>
        <v>y</v>
      </c>
      <c r="D167" s="138">
        <v>0</v>
      </c>
      <c r="E167" s="138">
        <v>0</v>
      </c>
      <c r="F167" s="138">
        <v>24</v>
      </c>
      <c r="G167" s="138">
        <v>5</v>
      </c>
      <c r="H167" s="139"/>
      <c r="I167" s="138">
        <v>0</v>
      </c>
      <c r="J167" s="138">
        <v>-1</v>
      </c>
      <c r="K167" s="138">
        <v>0</v>
      </c>
      <c r="L167" s="138">
        <v>2</v>
      </c>
      <c r="M167" s="139"/>
      <c r="N167" s="138">
        <v>0</v>
      </c>
      <c r="O167" s="138">
        <v>21</v>
      </c>
      <c r="P167" s="138">
        <v>0</v>
      </c>
      <c r="Q167" s="138">
        <v>0</v>
      </c>
      <c r="R167" s="140"/>
      <c r="S167" s="138">
        <v>0</v>
      </c>
      <c r="T167" s="138">
        <v>0</v>
      </c>
      <c r="U167" s="138">
        <v>0</v>
      </c>
      <c r="V167" s="138">
        <v>0</v>
      </c>
      <c r="W167" s="140"/>
      <c r="X167" s="138">
        <v>0</v>
      </c>
      <c r="Y167" s="138">
        <v>0</v>
      </c>
      <c r="Z167" s="138">
        <v>0</v>
      </c>
      <c r="AA167" s="138">
        <v>0</v>
      </c>
      <c r="AB167" s="140"/>
      <c r="AC167" s="138">
        <v>0</v>
      </c>
      <c r="AD167" s="138">
        <v>0</v>
      </c>
      <c r="AE167" s="138">
        <v>0</v>
      </c>
      <c r="AF167" s="140"/>
      <c r="AG167" s="141">
        <f>'form A info'!$AK250/1000</f>
        <v>0</v>
      </c>
    </row>
    <row r="168" spans="1:33" x14ac:dyDescent="0.2">
      <c r="A168" s="134">
        <v>4530</v>
      </c>
      <c r="B168" s="134" t="s">
        <v>668</v>
      </c>
      <c r="C168" s="114" t="str">
        <f>'form A info'!G251</f>
        <v>y</v>
      </c>
      <c r="D168" s="138">
        <v>5</v>
      </c>
      <c r="E168" s="138">
        <v>313</v>
      </c>
      <c r="F168" s="138">
        <v>66</v>
      </c>
      <c r="G168" s="138">
        <v>0</v>
      </c>
      <c r="H168" s="139"/>
      <c r="I168" s="138">
        <v>5</v>
      </c>
      <c r="J168" s="138">
        <v>313</v>
      </c>
      <c r="K168" s="138">
        <v>66</v>
      </c>
      <c r="L168" s="138">
        <v>0</v>
      </c>
      <c r="M168" s="139"/>
      <c r="N168" s="138">
        <v>0</v>
      </c>
      <c r="O168" s="138">
        <v>0</v>
      </c>
      <c r="P168" s="138">
        <v>1</v>
      </c>
      <c r="Q168" s="138">
        <v>1</v>
      </c>
      <c r="R168" s="140"/>
      <c r="S168" s="138">
        <v>0</v>
      </c>
      <c r="T168" s="138">
        <v>0</v>
      </c>
      <c r="U168" s="138">
        <v>0</v>
      </c>
      <c r="V168" s="138">
        <v>0</v>
      </c>
      <c r="W168" s="140"/>
      <c r="X168" s="138">
        <v>0</v>
      </c>
      <c r="Y168" s="138">
        <v>0</v>
      </c>
      <c r="Z168" s="138">
        <v>0</v>
      </c>
      <c r="AA168" s="138">
        <v>0</v>
      </c>
      <c r="AB168" s="140"/>
      <c r="AC168" s="138">
        <v>0</v>
      </c>
      <c r="AD168" s="138">
        <v>0</v>
      </c>
      <c r="AE168" s="138">
        <v>0</v>
      </c>
      <c r="AF168" s="140"/>
      <c r="AG168" s="141">
        <f>'form A info'!$AK251/1000</f>
        <v>73.489999999999995</v>
      </c>
    </row>
    <row r="169" spans="1:33" x14ac:dyDescent="0.2">
      <c r="A169" s="134">
        <v>4523</v>
      </c>
      <c r="B169" s="134" t="s">
        <v>548</v>
      </c>
      <c r="C169" s="114" t="str">
        <f>'form A info'!G253</f>
        <v>y</v>
      </c>
      <c r="D169" s="138">
        <v>145</v>
      </c>
      <c r="E169" s="138">
        <v>515</v>
      </c>
      <c r="F169" s="138">
        <v>143</v>
      </c>
      <c r="G169" s="138">
        <v>0</v>
      </c>
      <c r="H169" s="139"/>
      <c r="I169" s="138">
        <v>0</v>
      </c>
      <c r="J169" s="138">
        <v>0</v>
      </c>
      <c r="K169" s="138">
        <v>0</v>
      </c>
      <c r="L169" s="138">
        <v>0</v>
      </c>
      <c r="M169" s="139"/>
      <c r="N169" s="138">
        <v>0</v>
      </c>
      <c r="O169" s="138">
        <v>0</v>
      </c>
      <c r="P169" s="138">
        <v>0</v>
      </c>
      <c r="Q169" s="138">
        <v>0</v>
      </c>
      <c r="R169" s="140"/>
      <c r="S169" s="138">
        <v>0</v>
      </c>
      <c r="T169" s="138">
        <v>0</v>
      </c>
      <c r="U169" s="138">
        <v>0</v>
      </c>
      <c r="V169" s="138">
        <v>0</v>
      </c>
      <c r="W169" s="140"/>
      <c r="X169" s="138">
        <v>14</v>
      </c>
      <c r="Y169" s="138">
        <v>1</v>
      </c>
      <c r="Z169" s="138">
        <v>0</v>
      </c>
      <c r="AA169" s="138">
        <v>0</v>
      </c>
      <c r="AB169" s="140"/>
      <c r="AC169" s="138">
        <v>10352</v>
      </c>
      <c r="AD169" s="138">
        <v>0</v>
      </c>
      <c r="AE169" s="138">
        <v>0</v>
      </c>
      <c r="AF169" s="140"/>
      <c r="AG169" s="141">
        <f>'form A info'!$AK253/1000</f>
        <v>979.20100000000002</v>
      </c>
    </row>
    <row r="170" spans="1:33" x14ac:dyDescent="0.2">
      <c r="A170" s="134">
        <v>4533</v>
      </c>
      <c r="B170" s="134" t="s">
        <v>550</v>
      </c>
      <c r="C170" s="114" t="str">
        <f>'form A info'!G254</f>
        <v>y</v>
      </c>
      <c r="D170" s="138">
        <v>0</v>
      </c>
      <c r="E170" s="138">
        <v>0</v>
      </c>
      <c r="F170" s="138">
        <v>4</v>
      </c>
      <c r="G170" s="138">
        <v>0</v>
      </c>
      <c r="H170" s="139"/>
      <c r="I170" s="138">
        <v>0</v>
      </c>
      <c r="J170" s="138">
        <v>0</v>
      </c>
      <c r="K170" s="138">
        <v>0</v>
      </c>
      <c r="L170" s="138">
        <v>0</v>
      </c>
      <c r="M170" s="139"/>
      <c r="N170" s="138">
        <v>0</v>
      </c>
      <c r="O170" s="138">
        <v>0</v>
      </c>
      <c r="P170" s="138">
        <v>1</v>
      </c>
      <c r="Q170" s="138">
        <v>1</v>
      </c>
      <c r="R170" s="140"/>
      <c r="S170" s="138">
        <v>0</v>
      </c>
      <c r="T170" s="138">
        <v>0</v>
      </c>
      <c r="U170" s="138">
        <v>0</v>
      </c>
      <c r="V170" s="138">
        <v>0</v>
      </c>
      <c r="W170" s="140"/>
      <c r="X170" s="138">
        <v>0</v>
      </c>
      <c r="Y170" s="138">
        <v>0</v>
      </c>
      <c r="Z170" s="138">
        <v>0</v>
      </c>
      <c r="AA170" s="138">
        <v>0</v>
      </c>
      <c r="AB170" s="140"/>
      <c r="AC170" s="138">
        <v>0</v>
      </c>
      <c r="AD170" s="138">
        <v>0</v>
      </c>
      <c r="AE170" s="138">
        <v>0</v>
      </c>
      <c r="AF170" s="140"/>
      <c r="AG170" s="141">
        <f>'form A info'!$AK254/1000</f>
        <v>0</v>
      </c>
    </row>
    <row r="171" spans="1:33" x14ac:dyDescent="0.2">
      <c r="A171" s="134">
        <v>9855</v>
      </c>
      <c r="B171" s="134" t="s">
        <v>553</v>
      </c>
      <c r="C171" s="114" t="str">
        <f>'form A info'!G255</f>
        <v>y</v>
      </c>
      <c r="D171" s="138">
        <v>0</v>
      </c>
      <c r="E171" s="138">
        <v>0</v>
      </c>
      <c r="F171" s="138">
        <v>249</v>
      </c>
      <c r="G171" s="138">
        <v>22</v>
      </c>
      <c r="H171" s="139"/>
      <c r="I171" s="138">
        <v>0</v>
      </c>
      <c r="J171" s="138">
        <v>0</v>
      </c>
      <c r="K171" s="138">
        <v>10</v>
      </c>
      <c r="L171" s="138">
        <v>0</v>
      </c>
      <c r="M171" s="139"/>
      <c r="N171" s="138">
        <v>0</v>
      </c>
      <c r="O171" s="138">
        <v>0</v>
      </c>
      <c r="P171" s="138">
        <v>7</v>
      </c>
      <c r="Q171" s="138">
        <v>3</v>
      </c>
      <c r="R171" s="140"/>
      <c r="S171" s="138">
        <v>0</v>
      </c>
      <c r="T171" s="138">
        <v>0</v>
      </c>
      <c r="U171" s="138">
        <v>0</v>
      </c>
      <c r="V171" s="138">
        <v>0</v>
      </c>
      <c r="W171" s="140"/>
      <c r="X171" s="138">
        <v>0</v>
      </c>
      <c r="Y171" s="138">
        <v>0</v>
      </c>
      <c r="Z171" s="138">
        <v>0</v>
      </c>
      <c r="AA171" s="138">
        <v>0</v>
      </c>
      <c r="AB171" s="140"/>
      <c r="AC171" s="138">
        <v>0</v>
      </c>
      <c r="AD171" s="138">
        <v>0</v>
      </c>
      <c r="AE171" s="138">
        <v>0</v>
      </c>
      <c r="AF171" s="140"/>
      <c r="AG171" s="141">
        <f>'form A info'!$AK255/1000</f>
        <v>0</v>
      </c>
    </row>
    <row r="172" spans="1:33" x14ac:dyDescent="0.2">
      <c r="A172" s="134">
        <v>4602</v>
      </c>
      <c r="B172" s="134" t="s">
        <v>1510</v>
      </c>
      <c r="C172" s="142" t="str">
        <f>'form A info'!G10</f>
        <v>n</v>
      </c>
      <c r="D172" s="138">
        <v>0</v>
      </c>
      <c r="E172" s="138">
        <v>0</v>
      </c>
      <c r="F172" s="138">
        <v>28</v>
      </c>
      <c r="G172" s="138">
        <v>0</v>
      </c>
      <c r="H172" s="139"/>
      <c r="I172" s="138">
        <v>0</v>
      </c>
      <c r="J172" s="138">
        <v>0</v>
      </c>
      <c r="K172" s="138">
        <v>0</v>
      </c>
      <c r="L172" s="138">
        <v>0</v>
      </c>
      <c r="M172" s="139"/>
      <c r="N172" s="138">
        <v>0</v>
      </c>
      <c r="O172" s="138">
        <v>23</v>
      </c>
      <c r="P172" s="138">
        <v>23</v>
      </c>
      <c r="Q172" s="138">
        <v>0</v>
      </c>
      <c r="R172" s="140"/>
      <c r="S172" s="138">
        <v>0</v>
      </c>
      <c r="T172" s="138">
        <v>0</v>
      </c>
      <c r="U172" s="138">
        <v>0</v>
      </c>
      <c r="V172" s="138">
        <v>0</v>
      </c>
      <c r="W172" s="140"/>
      <c r="X172" s="138">
        <v>0</v>
      </c>
      <c r="Y172" s="138">
        <v>0</v>
      </c>
      <c r="Z172" s="138">
        <v>0</v>
      </c>
      <c r="AA172" s="138">
        <v>0</v>
      </c>
      <c r="AB172" s="140"/>
      <c r="AC172" s="138">
        <v>0</v>
      </c>
      <c r="AD172" s="138">
        <v>0</v>
      </c>
      <c r="AE172" s="138">
        <v>0</v>
      </c>
      <c r="AF172" s="140"/>
      <c r="AG172" s="141">
        <f>'form A info'!$AK10/1000</f>
        <v>0</v>
      </c>
    </row>
    <row r="173" spans="1:33" x14ac:dyDescent="0.2">
      <c r="A173" s="134">
        <v>8086</v>
      </c>
      <c r="B173" s="134" t="s">
        <v>1522</v>
      </c>
      <c r="C173" s="142" t="str">
        <f>'form A info'!G14</f>
        <v>n</v>
      </c>
      <c r="D173" s="138"/>
      <c r="E173" s="138"/>
      <c r="F173" s="138">
        <v>540</v>
      </c>
      <c r="G173" s="138"/>
      <c r="H173" s="139"/>
      <c r="I173" s="138"/>
      <c r="J173" s="138"/>
      <c r="K173" s="138"/>
      <c r="L173" s="138"/>
      <c r="M173" s="139"/>
      <c r="N173" s="138"/>
      <c r="O173" s="138"/>
      <c r="P173" s="138">
        <v>361</v>
      </c>
      <c r="Q173" s="138"/>
      <c r="R173" s="140"/>
      <c r="S173" s="138"/>
      <c r="T173" s="138"/>
      <c r="U173" s="138"/>
      <c r="V173" s="138"/>
      <c r="W173" s="140"/>
      <c r="X173" s="138"/>
      <c r="Y173" s="138"/>
      <c r="Z173" s="138"/>
      <c r="AA173" s="138"/>
      <c r="AB173" s="140"/>
      <c r="AC173" s="138"/>
      <c r="AD173" s="138"/>
      <c r="AE173" s="138"/>
      <c r="AF173" s="140"/>
      <c r="AG173" s="141">
        <f>'form A info'!$AK14/1000</f>
        <v>0</v>
      </c>
    </row>
    <row r="174" spans="1:33" x14ac:dyDescent="0.2">
      <c r="A174" s="134">
        <v>9087</v>
      </c>
      <c r="B174" s="134" t="s">
        <v>1523</v>
      </c>
      <c r="C174" s="142" t="str">
        <f>'form A info'!G15</f>
        <v>n</v>
      </c>
      <c r="D174" s="138">
        <v>229</v>
      </c>
      <c r="E174" s="138">
        <v>449</v>
      </c>
      <c r="F174" s="138">
        <v>307</v>
      </c>
      <c r="G174" s="138">
        <v>50</v>
      </c>
      <c r="H174" s="139"/>
      <c r="I174" s="138">
        <v>0</v>
      </c>
      <c r="J174" s="138">
        <v>0</v>
      </c>
      <c r="K174" s="138">
        <v>0</v>
      </c>
      <c r="L174" s="138">
        <v>0</v>
      </c>
      <c r="M174" s="139"/>
      <c r="N174" s="138">
        <v>0</v>
      </c>
      <c r="O174" s="138">
        <v>114</v>
      </c>
      <c r="P174" s="138">
        <v>43</v>
      </c>
      <c r="Q174" s="138">
        <v>0</v>
      </c>
      <c r="R174" s="140"/>
      <c r="S174" s="138">
        <v>19</v>
      </c>
      <c r="T174" s="138">
        <v>0</v>
      </c>
      <c r="U174" s="138">
        <v>0</v>
      </c>
      <c r="V174" s="138">
        <v>0</v>
      </c>
      <c r="W174" s="140"/>
      <c r="X174" s="138">
        <v>146</v>
      </c>
      <c r="Y174" s="138">
        <v>0</v>
      </c>
      <c r="Z174" s="138">
        <v>0</v>
      </c>
      <c r="AA174" s="138">
        <v>0</v>
      </c>
      <c r="AB174" s="140"/>
      <c r="AC174" s="138">
        <v>0</v>
      </c>
      <c r="AD174" s="138">
        <v>12926</v>
      </c>
      <c r="AE174" s="138">
        <v>47091</v>
      </c>
      <c r="AF174" s="140"/>
      <c r="AG174" s="141">
        <f>'form A info'!$AK15/1000</f>
        <v>1178.9690000000001</v>
      </c>
    </row>
    <row r="175" spans="1:33" x14ac:dyDescent="0.2">
      <c r="A175" s="134">
        <v>8120</v>
      </c>
      <c r="B175" s="134" t="s">
        <v>1542</v>
      </c>
      <c r="C175" s="618" t="str">
        <f>'form A info'!G20</f>
        <v>n</v>
      </c>
      <c r="D175" s="138">
        <v>0</v>
      </c>
      <c r="E175" s="138">
        <v>0</v>
      </c>
      <c r="F175" s="138">
        <v>156</v>
      </c>
      <c r="G175" s="138">
        <v>0</v>
      </c>
      <c r="H175" s="139"/>
      <c r="I175" s="138">
        <v>0</v>
      </c>
      <c r="J175" s="138">
        <v>0</v>
      </c>
      <c r="K175" s="138">
        <v>23</v>
      </c>
      <c r="L175" s="138">
        <v>0</v>
      </c>
      <c r="M175" s="139"/>
      <c r="N175" s="138">
        <v>0</v>
      </c>
      <c r="O175" s="138">
        <v>0</v>
      </c>
      <c r="P175" s="138">
        <v>16</v>
      </c>
      <c r="Q175" s="138">
        <v>0</v>
      </c>
      <c r="R175" s="140"/>
      <c r="S175" s="138">
        <v>0</v>
      </c>
      <c r="T175" s="138">
        <v>0</v>
      </c>
      <c r="U175" s="138">
        <v>0</v>
      </c>
      <c r="V175" s="138">
        <v>0</v>
      </c>
      <c r="W175" s="140"/>
      <c r="X175" s="138">
        <v>0</v>
      </c>
      <c r="Y175" s="138">
        <v>0</v>
      </c>
      <c r="Z175" s="138">
        <v>0</v>
      </c>
      <c r="AA175" s="138">
        <v>0</v>
      </c>
      <c r="AB175" s="140"/>
      <c r="AC175" s="138">
        <v>0</v>
      </c>
      <c r="AD175" s="138">
        <v>0</v>
      </c>
      <c r="AE175" s="138">
        <v>0</v>
      </c>
      <c r="AF175" s="140"/>
      <c r="AG175" s="141">
        <f>'form A info'!$AK20/1000</f>
        <v>573.85599999999999</v>
      </c>
    </row>
    <row r="176" spans="1:33" x14ac:dyDescent="0.2">
      <c r="A176" s="134">
        <v>6730</v>
      </c>
      <c r="B176" s="134" t="s">
        <v>1573</v>
      </c>
      <c r="C176" s="142" t="str">
        <f>'form A info'!G30</f>
        <v>n</v>
      </c>
      <c r="D176" s="138">
        <v>0</v>
      </c>
      <c r="E176" s="138">
        <v>0</v>
      </c>
      <c r="F176" s="138">
        <v>0</v>
      </c>
      <c r="G176" s="138">
        <v>0</v>
      </c>
      <c r="H176" s="139"/>
      <c r="I176" s="138">
        <v>0</v>
      </c>
      <c r="J176" s="138">
        <v>0</v>
      </c>
      <c r="K176" s="138">
        <v>0</v>
      </c>
      <c r="L176" s="138">
        <v>0</v>
      </c>
      <c r="M176" s="139"/>
      <c r="N176" s="138">
        <v>0</v>
      </c>
      <c r="O176" s="138">
        <v>0</v>
      </c>
      <c r="P176" s="138">
        <v>0</v>
      </c>
      <c r="Q176" s="138">
        <v>0</v>
      </c>
      <c r="R176" s="140"/>
      <c r="S176" s="138">
        <v>0</v>
      </c>
      <c r="T176" s="138">
        <v>0</v>
      </c>
      <c r="U176" s="138">
        <v>0</v>
      </c>
      <c r="V176" s="138">
        <v>0</v>
      </c>
      <c r="W176" s="140"/>
      <c r="X176" s="138">
        <v>0</v>
      </c>
      <c r="Y176" s="138">
        <v>0</v>
      </c>
      <c r="Z176" s="138">
        <v>0</v>
      </c>
      <c r="AA176" s="138">
        <v>0</v>
      </c>
      <c r="AB176" s="140"/>
      <c r="AC176" s="138">
        <v>0</v>
      </c>
      <c r="AD176" s="138">
        <v>0</v>
      </c>
      <c r="AE176" s="138">
        <v>0</v>
      </c>
      <c r="AF176" s="140"/>
      <c r="AG176" s="141">
        <f>'form A info'!$AK30/1000</f>
        <v>0</v>
      </c>
    </row>
    <row r="177" spans="1:33" x14ac:dyDescent="0.2">
      <c r="A177" s="134">
        <v>8245</v>
      </c>
      <c r="B177" s="134" t="s">
        <v>1592</v>
      </c>
      <c r="C177" s="142" t="str">
        <f>'form A info'!G34</f>
        <v>n</v>
      </c>
      <c r="D177" s="138">
        <v>0</v>
      </c>
      <c r="E177" s="138">
        <v>0</v>
      </c>
      <c r="F177" s="138">
        <v>443</v>
      </c>
      <c r="G177" s="138">
        <v>116</v>
      </c>
      <c r="H177" s="139"/>
      <c r="I177" s="138">
        <v>0</v>
      </c>
      <c r="J177" s="138">
        <v>0</v>
      </c>
      <c r="K177" s="138">
        <v>31</v>
      </c>
      <c r="L177" s="138">
        <v>4</v>
      </c>
      <c r="M177" s="139"/>
      <c r="N177" s="138">
        <v>0</v>
      </c>
      <c r="O177" s="138">
        <v>0</v>
      </c>
      <c r="P177" s="138">
        <v>158</v>
      </c>
      <c r="Q177" s="138">
        <v>14</v>
      </c>
      <c r="R177" s="140"/>
      <c r="S177" s="138">
        <v>0</v>
      </c>
      <c r="T177" s="138">
        <v>0</v>
      </c>
      <c r="U177" s="138">
        <v>0</v>
      </c>
      <c r="V177" s="138">
        <v>0</v>
      </c>
      <c r="W177" s="140"/>
      <c r="X177" s="138">
        <v>19</v>
      </c>
      <c r="Y177" s="138">
        <v>0</v>
      </c>
      <c r="Z177" s="138">
        <v>0</v>
      </c>
      <c r="AA177" s="138">
        <v>0</v>
      </c>
      <c r="AB177" s="140"/>
      <c r="AC177" s="138">
        <v>0</v>
      </c>
      <c r="AD177" s="138">
        <v>0</v>
      </c>
      <c r="AE177" s="138">
        <v>0</v>
      </c>
      <c r="AF177" s="140"/>
      <c r="AG177" s="141">
        <f>'form A info'!$AK34/1000</f>
        <v>1175.7470000000001</v>
      </c>
    </row>
    <row r="178" spans="1:33" x14ac:dyDescent="0.2">
      <c r="A178" s="134">
        <v>9888</v>
      </c>
      <c r="B178" s="134" t="s">
        <v>6</v>
      </c>
      <c r="C178" s="142" t="str">
        <f>'form A info'!G41</f>
        <v>n</v>
      </c>
      <c r="D178" s="138">
        <v>0</v>
      </c>
      <c r="E178" s="138">
        <v>589</v>
      </c>
      <c r="F178" s="138">
        <v>155</v>
      </c>
      <c r="G178" s="138">
        <v>0</v>
      </c>
      <c r="H178" s="139"/>
      <c r="I178" s="138">
        <v>0</v>
      </c>
      <c r="J178" s="138">
        <v>0</v>
      </c>
      <c r="K178" s="138">
        <v>14</v>
      </c>
      <c r="L178" s="138">
        <v>0</v>
      </c>
      <c r="M178" s="139"/>
      <c r="N178" s="138">
        <v>0</v>
      </c>
      <c r="O178" s="138">
        <v>0</v>
      </c>
      <c r="P178" s="138">
        <v>28</v>
      </c>
      <c r="Q178" s="138">
        <v>0</v>
      </c>
      <c r="R178" s="140"/>
      <c r="S178" s="138">
        <v>0</v>
      </c>
      <c r="T178" s="138">
        <v>0</v>
      </c>
      <c r="U178" s="138">
        <v>0</v>
      </c>
      <c r="V178" s="138">
        <v>0</v>
      </c>
      <c r="W178" s="140"/>
      <c r="X178" s="138">
        <v>0</v>
      </c>
      <c r="Y178" s="138">
        <v>0</v>
      </c>
      <c r="Z178" s="138">
        <v>0</v>
      </c>
      <c r="AA178" s="138">
        <v>0</v>
      </c>
      <c r="AB178" s="140"/>
      <c r="AC178" s="138">
        <v>0</v>
      </c>
      <c r="AD178" s="138">
        <v>0</v>
      </c>
      <c r="AE178" s="138">
        <v>0</v>
      </c>
      <c r="AF178" s="140"/>
      <c r="AG178" s="141">
        <f>'form A info'!$AK41/1000</f>
        <v>729.28300000000002</v>
      </c>
    </row>
    <row r="179" spans="1:33" x14ac:dyDescent="0.2">
      <c r="A179" s="134">
        <v>564</v>
      </c>
      <c r="B179" s="134" t="s">
        <v>9</v>
      </c>
      <c r="C179" s="142" t="str">
        <f>'form A info'!G43</f>
        <v>n</v>
      </c>
      <c r="D179" s="138">
        <v>344</v>
      </c>
      <c r="E179" s="138">
        <v>652</v>
      </c>
      <c r="F179" s="138">
        <v>164</v>
      </c>
      <c r="G179" s="138">
        <v>0</v>
      </c>
      <c r="H179" s="139"/>
      <c r="I179" s="138">
        <v>0</v>
      </c>
      <c r="J179" s="138">
        <v>0</v>
      </c>
      <c r="K179" s="138">
        <v>1</v>
      </c>
      <c r="L179" s="138">
        <v>0</v>
      </c>
      <c r="M179" s="139"/>
      <c r="N179" s="138">
        <v>1107</v>
      </c>
      <c r="O179" s="138">
        <v>52</v>
      </c>
      <c r="P179" s="138">
        <v>41</v>
      </c>
      <c r="Q179" s="138">
        <v>0</v>
      </c>
      <c r="R179" s="140"/>
      <c r="S179" s="138">
        <v>46</v>
      </c>
      <c r="T179" s="138">
        <v>0</v>
      </c>
      <c r="U179" s="138">
        <v>0</v>
      </c>
      <c r="V179" s="138">
        <v>0</v>
      </c>
      <c r="W179" s="140"/>
      <c r="X179" s="138">
        <v>112</v>
      </c>
      <c r="Y179" s="138">
        <v>1</v>
      </c>
      <c r="Z179" s="138">
        <v>0</v>
      </c>
      <c r="AA179" s="138">
        <v>0</v>
      </c>
      <c r="AB179" s="140"/>
      <c r="AC179" s="138">
        <v>0</v>
      </c>
      <c r="AD179" s="138">
        <v>0</v>
      </c>
      <c r="AE179" s="138">
        <v>0</v>
      </c>
      <c r="AF179" s="140"/>
      <c r="AG179" s="141">
        <f>'form A info'!$AK43/1000</f>
        <v>0</v>
      </c>
    </row>
    <row r="180" spans="1:33" x14ac:dyDescent="0.2">
      <c r="A180" s="134">
        <v>526</v>
      </c>
      <c r="B180" s="134" t="s">
        <v>11</v>
      </c>
      <c r="C180" s="142" t="str">
        <f>'form A info'!G44</f>
        <v>n</v>
      </c>
      <c r="D180" s="138">
        <v>206</v>
      </c>
      <c r="E180" s="138">
        <v>39</v>
      </c>
      <c r="F180" s="138">
        <v>46</v>
      </c>
      <c r="G180" s="138">
        <v>0</v>
      </c>
      <c r="H180" s="139"/>
      <c r="I180" s="138">
        <v>0</v>
      </c>
      <c r="J180" s="138">
        <v>0</v>
      </c>
      <c r="K180" s="138">
        <v>0</v>
      </c>
      <c r="L180" s="138">
        <v>0</v>
      </c>
      <c r="M180" s="139"/>
      <c r="N180" s="138">
        <v>0</v>
      </c>
      <c r="O180" s="138">
        <v>3</v>
      </c>
      <c r="P180" s="138">
        <v>11</v>
      </c>
      <c r="Q180" s="138">
        <v>0</v>
      </c>
      <c r="R180" s="140"/>
      <c r="S180" s="138">
        <v>17</v>
      </c>
      <c r="T180" s="138">
        <v>0</v>
      </c>
      <c r="U180" s="138">
        <v>0</v>
      </c>
      <c r="V180" s="138">
        <v>0</v>
      </c>
      <c r="W180" s="140"/>
      <c r="X180" s="138">
        <v>55</v>
      </c>
      <c r="Y180" s="138">
        <v>1</v>
      </c>
      <c r="Z180" s="138">
        <v>0</v>
      </c>
      <c r="AA180" s="138">
        <v>0</v>
      </c>
      <c r="AB180" s="140"/>
      <c r="AC180" s="138">
        <v>20631</v>
      </c>
      <c r="AD180" s="138">
        <v>0</v>
      </c>
      <c r="AE180" s="138">
        <v>70865</v>
      </c>
      <c r="AF180" s="140"/>
      <c r="AG180" s="141">
        <f>'form A info'!$AK44/1000</f>
        <v>0</v>
      </c>
    </row>
    <row r="181" spans="1:33" x14ac:dyDescent="0.2">
      <c r="A181" s="134">
        <v>548</v>
      </c>
      <c r="B181" s="134" t="s">
        <v>12</v>
      </c>
      <c r="C181" s="142" t="str">
        <f>'form A info'!G45</f>
        <v>n</v>
      </c>
      <c r="D181" s="138">
        <v>0</v>
      </c>
      <c r="E181" s="138">
        <v>0</v>
      </c>
      <c r="F181" s="138">
        <v>32</v>
      </c>
      <c r="G181" s="138">
        <v>0</v>
      </c>
      <c r="H181" s="139"/>
      <c r="I181" s="138">
        <v>0</v>
      </c>
      <c r="J181" s="138">
        <v>0</v>
      </c>
      <c r="K181" s="138">
        <v>0</v>
      </c>
      <c r="L181" s="138">
        <v>0</v>
      </c>
      <c r="M181" s="139"/>
      <c r="N181" s="138">
        <v>0</v>
      </c>
      <c r="O181" s="138">
        <v>23</v>
      </c>
      <c r="P181" s="138">
        <v>0</v>
      </c>
      <c r="Q181" s="138">
        <v>0</v>
      </c>
      <c r="R181" s="140"/>
      <c r="S181" s="138">
        <v>0</v>
      </c>
      <c r="T181" s="138">
        <v>0</v>
      </c>
      <c r="U181" s="138">
        <v>0</v>
      </c>
      <c r="V181" s="138">
        <v>0</v>
      </c>
      <c r="W181" s="140"/>
      <c r="X181" s="138">
        <v>0</v>
      </c>
      <c r="Y181" s="138">
        <v>0</v>
      </c>
      <c r="Z181" s="138">
        <v>0</v>
      </c>
      <c r="AA181" s="138">
        <v>0</v>
      </c>
      <c r="AB181" s="140"/>
      <c r="AC181" s="138">
        <v>0</v>
      </c>
      <c r="AD181" s="138">
        <v>0</v>
      </c>
      <c r="AE181" s="138">
        <v>0</v>
      </c>
      <c r="AF181" s="140"/>
      <c r="AG181" s="141">
        <f>'form A info'!$AK45/1000</f>
        <v>0</v>
      </c>
    </row>
    <row r="182" spans="1:33" x14ac:dyDescent="0.2">
      <c r="A182" s="134">
        <v>9862</v>
      </c>
      <c r="B182" s="134" t="s">
        <v>24</v>
      </c>
      <c r="C182" s="142" t="str">
        <f>'form A info'!G49</f>
        <v>n</v>
      </c>
      <c r="D182" s="138">
        <v>0</v>
      </c>
      <c r="E182" s="138">
        <v>0</v>
      </c>
      <c r="F182" s="138">
        <v>234</v>
      </c>
      <c r="G182" s="138">
        <v>2</v>
      </c>
      <c r="H182" s="139"/>
      <c r="I182" s="138">
        <v>0</v>
      </c>
      <c r="J182" s="138">
        <v>0</v>
      </c>
      <c r="K182" s="138">
        <v>0</v>
      </c>
      <c r="L182" s="138">
        <v>0</v>
      </c>
      <c r="M182" s="139"/>
      <c r="N182" s="138">
        <v>0</v>
      </c>
      <c r="O182" s="138">
        <v>0</v>
      </c>
      <c r="P182" s="138">
        <v>10</v>
      </c>
      <c r="Q182" s="138">
        <v>7</v>
      </c>
      <c r="R182" s="140"/>
      <c r="S182" s="138">
        <v>0</v>
      </c>
      <c r="T182" s="138">
        <v>0</v>
      </c>
      <c r="U182" s="138">
        <v>0</v>
      </c>
      <c r="V182" s="138">
        <v>0</v>
      </c>
      <c r="W182" s="140"/>
      <c r="X182" s="138">
        <v>0</v>
      </c>
      <c r="Y182" s="138">
        <v>0</v>
      </c>
      <c r="Z182" s="138">
        <v>0</v>
      </c>
      <c r="AA182" s="138">
        <v>0</v>
      </c>
      <c r="AB182" s="140"/>
      <c r="AC182" s="138">
        <v>12000</v>
      </c>
      <c r="AD182" s="138">
        <v>0</v>
      </c>
      <c r="AE182" s="138">
        <v>0</v>
      </c>
      <c r="AF182" s="140"/>
      <c r="AG182" s="141">
        <f>'form A info'!$AK49/1000</f>
        <v>871.54700000000003</v>
      </c>
    </row>
    <row r="183" spans="1:33" x14ac:dyDescent="0.2">
      <c r="A183" s="134">
        <v>7320</v>
      </c>
      <c r="B183" s="134" t="s">
        <v>33</v>
      </c>
      <c r="C183" s="142" t="str">
        <f>'form A info'!G52</f>
        <v>n</v>
      </c>
      <c r="D183" s="138">
        <v>415</v>
      </c>
      <c r="E183" s="138"/>
      <c r="F183" s="138">
        <v>231</v>
      </c>
      <c r="G183" s="138">
        <v>10</v>
      </c>
      <c r="H183" s="139"/>
      <c r="I183" s="138"/>
      <c r="J183" s="138"/>
      <c r="K183" s="138">
        <v>1</v>
      </c>
      <c r="L183" s="138"/>
      <c r="M183" s="139"/>
      <c r="N183" s="138"/>
      <c r="O183" s="138"/>
      <c r="P183" s="138"/>
      <c r="Q183" s="138"/>
      <c r="R183" s="140"/>
      <c r="S183" s="138">
        <v>59</v>
      </c>
      <c r="T183" s="138"/>
      <c r="U183" s="138"/>
      <c r="V183" s="138"/>
      <c r="W183" s="140"/>
      <c r="X183" s="138">
        <v>29</v>
      </c>
      <c r="Y183" s="138"/>
      <c r="Z183" s="138"/>
      <c r="AA183" s="138"/>
      <c r="AB183" s="140"/>
      <c r="AC183" s="138"/>
      <c r="AD183" s="138"/>
      <c r="AE183" s="138"/>
      <c r="AF183" s="140"/>
      <c r="AG183" s="141">
        <f>'form A info'!$AK52/1000</f>
        <v>0</v>
      </c>
    </row>
    <row r="184" spans="1:33" x14ac:dyDescent="0.2">
      <c r="A184" s="134">
        <v>584</v>
      </c>
      <c r="B184" s="134" t="s">
        <v>669</v>
      </c>
      <c r="C184" s="142" t="str">
        <f>'form A info'!G55</f>
        <v>n</v>
      </c>
      <c r="D184" s="138">
        <v>0</v>
      </c>
      <c r="E184" s="138">
        <v>0</v>
      </c>
      <c r="F184" s="138">
        <v>11</v>
      </c>
      <c r="G184" s="138">
        <v>11</v>
      </c>
      <c r="H184" s="139"/>
      <c r="I184" s="138">
        <v>0</v>
      </c>
      <c r="J184" s="138">
        <v>0</v>
      </c>
      <c r="K184" s="138">
        <v>0</v>
      </c>
      <c r="L184" s="138">
        <v>4</v>
      </c>
      <c r="M184" s="139"/>
      <c r="N184" s="138">
        <v>0</v>
      </c>
      <c r="O184" s="138">
        <v>5</v>
      </c>
      <c r="P184" s="138">
        <v>2</v>
      </c>
      <c r="Q184" s="138">
        <v>0</v>
      </c>
      <c r="R184" s="140"/>
      <c r="S184" s="138">
        <v>0</v>
      </c>
      <c r="T184" s="138">
        <v>0</v>
      </c>
      <c r="U184" s="138">
        <v>0</v>
      </c>
      <c r="V184" s="138">
        <v>0</v>
      </c>
      <c r="W184" s="140"/>
      <c r="X184" s="138">
        <v>0</v>
      </c>
      <c r="Y184" s="138">
        <v>0</v>
      </c>
      <c r="Z184" s="138">
        <v>0</v>
      </c>
      <c r="AA184" s="138">
        <v>0</v>
      </c>
      <c r="AB184" s="140"/>
      <c r="AC184" s="138">
        <v>0</v>
      </c>
      <c r="AD184" s="138">
        <v>0</v>
      </c>
      <c r="AE184" s="138">
        <v>0</v>
      </c>
      <c r="AF184" s="140"/>
      <c r="AG184" s="141">
        <f>'form A info'!$AK55/1000</f>
        <v>0</v>
      </c>
    </row>
    <row r="185" spans="1:33" x14ac:dyDescent="0.2">
      <c r="A185" s="134">
        <v>735</v>
      </c>
      <c r="B185" s="134" t="s">
        <v>46</v>
      </c>
      <c r="C185" s="142" t="str">
        <f>'form A info'!G57</f>
        <v>n</v>
      </c>
      <c r="D185" s="138">
        <v>0</v>
      </c>
      <c r="E185" s="138">
        <v>0</v>
      </c>
      <c r="F185" s="138">
        <v>469</v>
      </c>
      <c r="G185" s="138">
        <v>0</v>
      </c>
      <c r="H185" s="139"/>
      <c r="I185" s="138">
        <v>0</v>
      </c>
      <c r="J185" s="138">
        <v>0</v>
      </c>
      <c r="K185" s="138">
        <v>0</v>
      </c>
      <c r="L185" s="138">
        <v>0</v>
      </c>
      <c r="M185" s="139"/>
      <c r="N185" s="138">
        <v>0</v>
      </c>
      <c r="O185" s="138">
        <v>0</v>
      </c>
      <c r="P185" s="138">
        <v>33</v>
      </c>
      <c r="Q185" s="138">
        <v>0</v>
      </c>
      <c r="R185" s="140"/>
      <c r="S185" s="138">
        <v>0</v>
      </c>
      <c r="T185" s="138">
        <v>0</v>
      </c>
      <c r="U185" s="138">
        <v>0</v>
      </c>
      <c r="V185" s="138">
        <v>0</v>
      </c>
      <c r="W185" s="140"/>
      <c r="X185" s="138">
        <v>0</v>
      </c>
      <c r="Y185" s="138">
        <v>0</v>
      </c>
      <c r="Z185" s="138">
        <v>0</v>
      </c>
      <c r="AA185" s="138">
        <v>0</v>
      </c>
      <c r="AB185" s="140"/>
      <c r="AC185" s="138">
        <v>0</v>
      </c>
      <c r="AD185" s="138">
        <v>0</v>
      </c>
      <c r="AE185" s="138">
        <v>0</v>
      </c>
      <c r="AF185" s="140"/>
      <c r="AG185" s="141">
        <f>'form A info'!$AK57/1000</f>
        <v>867.2</v>
      </c>
    </row>
    <row r="186" spans="1:33" x14ac:dyDescent="0.2">
      <c r="A186" s="134">
        <v>4773</v>
      </c>
      <c r="B186" s="134" t="s">
        <v>59</v>
      </c>
      <c r="C186" s="142" t="str">
        <f>'form A info'!G62</f>
        <v>n</v>
      </c>
      <c r="D186" s="138">
        <v>71</v>
      </c>
      <c r="E186" s="138">
        <v>453</v>
      </c>
      <c r="F186" s="138">
        <v>133</v>
      </c>
      <c r="G186" s="138">
        <v>0</v>
      </c>
      <c r="H186" s="139"/>
      <c r="I186" s="138">
        <v>0</v>
      </c>
      <c r="J186" s="138">
        <v>23</v>
      </c>
      <c r="K186" s="138">
        <v>5</v>
      </c>
      <c r="L186" s="138">
        <v>0</v>
      </c>
      <c r="M186" s="139"/>
      <c r="N186" s="138">
        <v>0</v>
      </c>
      <c r="O186" s="138">
        <v>26</v>
      </c>
      <c r="P186" s="138">
        <v>13</v>
      </c>
      <c r="Q186" s="138">
        <v>0</v>
      </c>
      <c r="R186" s="140"/>
      <c r="S186" s="138">
        <v>0</v>
      </c>
      <c r="T186" s="138">
        <v>0</v>
      </c>
      <c r="U186" s="138">
        <v>0</v>
      </c>
      <c r="V186" s="138">
        <v>0</v>
      </c>
      <c r="W186" s="140"/>
      <c r="X186" s="138">
        <v>0</v>
      </c>
      <c r="Y186" s="138">
        <v>3</v>
      </c>
      <c r="Z186" s="138">
        <v>0</v>
      </c>
      <c r="AA186" s="138">
        <v>0</v>
      </c>
      <c r="AB186" s="140"/>
      <c r="AC186" s="138">
        <v>44824</v>
      </c>
      <c r="AD186" s="138">
        <v>0</v>
      </c>
      <c r="AE186" s="138">
        <v>44824</v>
      </c>
      <c r="AF186" s="140"/>
      <c r="AG186" s="141">
        <f>'form A info'!$AK62/1000</f>
        <v>0</v>
      </c>
    </row>
    <row r="187" spans="1:33" x14ac:dyDescent="0.2">
      <c r="A187" s="134">
        <v>4781</v>
      </c>
      <c r="B187" s="134" t="s">
        <v>66</v>
      </c>
      <c r="C187" s="142" t="str">
        <f>'form A info'!G65</f>
        <v>n</v>
      </c>
      <c r="D187" s="138"/>
      <c r="E187" s="138">
        <v>747</v>
      </c>
      <c r="F187" s="138">
        <v>-65</v>
      </c>
      <c r="G187" s="138">
        <v>21</v>
      </c>
      <c r="H187" s="139"/>
      <c r="I187" s="138"/>
      <c r="J187" s="138"/>
      <c r="K187" s="138">
        <v>10</v>
      </c>
      <c r="L187" s="138"/>
      <c r="M187" s="139"/>
      <c r="N187" s="138"/>
      <c r="O187" s="138">
        <v>39</v>
      </c>
      <c r="P187" s="138">
        <v>5</v>
      </c>
      <c r="Q187" s="138"/>
      <c r="R187" s="140"/>
      <c r="S187" s="138"/>
      <c r="T187" s="138"/>
      <c r="U187" s="138"/>
      <c r="V187" s="138"/>
      <c r="W187" s="140"/>
      <c r="X187" s="138"/>
      <c r="Y187" s="138"/>
      <c r="Z187" s="138"/>
      <c r="AA187" s="138"/>
      <c r="AB187" s="140"/>
      <c r="AC187" s="138"/>
      <c r="AD187" s="138"/>
      <c r="AE187" s="138"/>
      <c r="AF187" s="140"/>
      <c r="AG187" s="141">
        <f>'form A info'!$AK65/1000</f>
        <v>0</v>
      </c>
    </row>
    <row r="188" spans="1:33" x14ac:dyDescent="0.2">
      <c r="A188" s="134">
        <v>1101</v>
      </c>
      <c r="B188" s="134" t="s">
        <v>670</v>
      </c>
      <c r="C188" s="142" t="str">
        <f>'form A info'!G66</f>
        <v>n</v>
      </c>
      <c r="D188" s="138">
        <v>0</v>
      </c>
      <c r="E188" s="138">
        <v>0</v>
      </c>
      <c r="F188" s="138">
        <v>12</v>
      </c>
      <c r="G188" s="138">
        <v>0</v>
      </c>
      <c r="H188" s="139"/>
      <c r="I188" s="138">
        <v>0</v>
      </c>
      <c r="J188" s="138">
        <v>0</v>
      </c>
      <c r="K188" s="138">
        <v>0</v>
      </c>
      <c r="L188" s="138">
        <v>1</v>
      </c>
      <c r="M188" s="139"/>
      <c r="N188" s="138">
        <v>0</v>
      </c>
      <c r="O188" s="138">
        <v>6</v>
      </c>
      <c r="P188" s="138">
        <v>16</v>
      </c>
      <c r="Q188" s="138">
        <v>0</v>
      </c>
      <c r="R188" s="140"/>
      <c r="S188" s="138">
        <v>0</v>
      </c>
      <c r="T188" s="138">
        <v>0</v>
      </c>
      <c r="U188" s="138">
        <v>0</v>
      </c>
      <c r="V188" s="138">
        <v>0</v>
      </c>
      <c r="W188" s="140"/>
      <c r="X188" s="138">
        <v>0</v>
      </c>
      <c r="Y188" s="138">
        <v>0</v>
      </c>
      <c r="Z188" s="138">
        <v>0</v>
      </c>
      <c r="AA188" s="138">
        <v>0</v>
      </c>
      <c r="AB188" s="140"/>
      <c r="AC188" s="138">
        <v>0</v>
      </c>
      <c r="AD188" s="138">
        <v>0</v>
      </c>
      <c r="AE188" s="138">
        <v>0</v>
      </c>
      <c r="AF188" s="140"/>
      <c r="AG188" s="141">
        <f>'form A info'!$AK66/1000</f>
        <v>0</v>
      </c>
    </row>
    <row r="189" spans="1:33" x14ac:dyDescent="0.2">
      <c r="A189" s="134">
        <v>1137</v>
      </c>
      <c r="B189" s="134" t="s">
        <v>69</v>
      </c>
      <c r="C189" s="142" t="str">
        <f>'form A info'!G67</f>
        <v>n</v>
      </c>
      <c r="D189" s="138"/>
      <c r="E189" s="138"/>
      <c r="F189" s="138">
        <v>329</v>
      </c>
      <c r="G189" s="138">
        <v>-3</v>
      </c>
      <c r="H189" s="139"/>
      <c r="I189" s="138"/>
      <c r="J189" s="138">
        <v>57</v>
      </c>
      <c r="K189" s="138">
        <v>-8</v>
      </c>
      <c r="L189" s="138"/>
      <c r="M189" s="139"/>
      <c r="N189" s="138"/>
      <c r="O189" s="138"/>
      <c r="P189" s="138">
        <v>17</v>
      </c>
      <c r="Q189" s="138"/>
      <c r="R189" s="140"/>
      <c r="S189" s="138"/>
      <c r="T189" s="138"/>
      <c r="U189" s="138"/>
      <c r="V189" s="138"/>
      <c r="W189" s="140"/>
      <c r="X189" s="138"/>
      <c r="Y189" s="138"/>
      <c r="Z189" s="138"/>
      <c r="AA189" s="138"/>
      <c r="AB189" s="140"/>
      <c r="AC189" s="138"/>
      <c r="AD189" s="138"/>
      <c r="AE189" s="138"/>
      <c r="AF189" s="140"/>
      <c r="AG189" s="141">
        <f>'form A info'!$AK67/1000</f>
        <v>0</v>
      </c>
    </row>
    <row r="190" spans="1:33" x14ac:dyDescent="0.2">
      <c r="A190" s="134">
        <v>1116</v>
      </c>
      <c r="B190" s="134" t="s">
        <v>70</v>
      </c>
      <c r="C190" s="142" t="str">
        <f>'form A info'!G68</f>
        <v>n</v>
      </c>
      <c r="D190" s="138">
        <v>364</v>
      </c>
      <c r="E190" s="138">
        <v>518</v>
      </c>
      <c r="F190" s="138">
        <v>235</v>
      </c>
      <c r="G190" s="138">
        <v>0</v>
      </c>
      <c r="H190" s="139"/>
      <c r="I190" s="138">
        <v>5</v>
      </c>
      <c r="J190" s="138">
        <v>86</v>
      </c>
      <c r="K190" s="138">
        <v>0</v>
      </c>
      <c r="L190" s="138">
        <v>0</v>
      </c>
      <c r="M190" s="139"/>
      <c r="N190" s="138">
        <v>9</v>
      </c>
      <c r="O190" s="138">
        <v>66</v>
      </c>
      <c r="P190" s="138">
        <v>145</v>
      </c>
      <c r="Q190" s="138">
        <v>0</v>
      </c>
      <c r="R190" s="140"/>
      <c r="S190" s="138">
        <v>102</v>
      </c>
      <c r="T190" s="138">
        <v>0</v>
      </c>
      <c r="U190" s="138">
        <v>0</v>
      </c>
      <c r="V190" s="138">
        <v>0</v>
      </c>
      <c r="W190" s="140"/>
      <c r="X190" s="138">
        <v>140</v>
      </c>
      <c r="Y190" s="138">
        <v>0</v>
      </c>
      <c r="Z190" s="138">
        <v>0</v>
      </c>
      <c r="AA190" s="138">
        <v>0</v>
      </c>
      <c r="AB190" s="140"/>
      <c r="AC190" s="138">
        <v>2010</v>
      </c>
      <c r="AD190" s="138">
        <v>25000</v>
      </c>
      <c r="AE190" s="138">
        <v>0</v>
      </c>
      <c r="AF190" s="140"/>
      <c r="AG190" s="141">
        <f>'form A info'!$AK68/1000</f>
        <v>1695.7449999999999</v>
      </c>
    </row>
    <row r="191" spans="1:33" x14ac:dyDescent="0.2">
      <c r="A191" s="134">
        <v>7323</v>
      </c>
      <c r="B191" s="134" t="s">
        <v>671</v>
      </c>
      <c r="C191" s="142" t="str">
        <f>'form A info'!G69</f>
        <v>n</v>
      </c>
      <c r="D191" s="138">
        <v>566</v>
      </c>
      <c r="E191" s="138">
        <v>397</v>
      </c>
      <c r="F191" s="138">
        <v>253</v>
      </c>
      <c r="G191" s="138">
        <v>43</v>
      </c>
      <c r="H191" s="139"/>
      <c r="I191" s="138">
        <v>0</v>
      </c>
      <c r="J191" s="138">
        <v>17</v>
      </c>
      <c r="K191" s="138">
        <v>0</v>
      </c>
      <c r="L191" s="138">
        <v>0</v>
      </c>
      <c r="M191" s="139"/>
      <c r="N191" s="138">
        <v>19</v>
      </c>
      <c r="O191" s="138">
        <v>24</v>
      </c>
      <c r="P191" s="138">
        <v>74</v>
      </c>
      <c r="Q191" s="138">
        <v>0</v>
      </c>
      <c r="R191" s="140"/>
      <c r="S191" s="138">
        <v>41</v>
      </c>
      <c r="T191" s="138">
        <v>0</v>
      </c>
      <c r="U191" s="138">
        <v>0</v>
      </c>
      <c r="V191" s="138">
        <v>0</v>
      </c>
      <c r="W191" s="140"/>
      <c r="X191" s="138">
        <v>97</v>
      </c>
      <c r="Y191" s="138">
        <v>0</v>
      </c>
      <c r="Z191" s="138">
        <v>0</v>
      </c>
      <c r="AA191" s="138">
        <v>0</v>
      </c>
      <c r="AB191" s="140"/>
      <c r="AC191" s="138">
        <v>0</v>
      </c>
      <c r="AD191" s="138">
        <v>0</v>
      </c>
      <c r="AE191" s="138">
        <v>0</v>
      </c>
      <c r="AF191" s="140"/>
      <c r="AG191" s="141">
        <f>'form A info'!$AK69/1000</f>
        <v>363.65</v>
      </c>
    </row>
    <row r="192" spans="1:33" x14ac:dyDescent="0.2">
      <c r="A192" s="134">
        <v>8544</v>
      </c>
      <c r="B192" s="134" t="s">
        <v>76</v>
      </c>
      <c r="C192" s="142" t="str">
        <f>'form A info'!G71</f>
        <v>n</v>
      </c>
      <c r="D192" s="138">
        <v>0</v>
      </c>
      <c r="E192" s="138">
        <v>0</v>
      </c>
      <c r="F192" s="138">
        <v>344</v>
      </c>
      <c r="G192" s="138">
        <v>0</v>
      </c>
      <c r="H192" s="139"/>
      <c r="I192" s="138">
        <v>0</v>
      </c>
      <c r="J192" s="138">
        <v>0</v>
      </c>
      <c r="K192" s="138">
        <v>0</v>
      </c>
      <c r="L192" s="138">
        <v>0</v>
      </c>
      <c r="M192" s="139"/>
      <c r="N192" s="138">
        <v>0</v>
      </c>
      <c r="O192" s="138">
        <v>0</v>
      </c>
      <c r="P192" s="138">
        <v>42</v>
      </c>
      <c r="Q192" s="138">
        <v>0</v>
      </c>
      <c r="R192" s="140"/>
      <c r="S192" s="138">
        <v>0</v>
      </c>
      <c r="T192" s="138">
        <v>0</v>
      </c>
      <c r="U192" s="138">
        <v>0</v>
      </c>
      <c r="V192" s="138">
        <v>0</v>
      </c>
      <c r="W192" s="140"/>
      <c r="X192" s="138">
        <v>0</v>
      </c>
      <c r="Y192" s="138">
        <v>0</v>
      </c>
      <c r="Z192" s="138">
        <v>0</v>
      </c>
      <c r="AA192" s="138">
        <v>0</v>
      </c>
      <c r="AB192" s="140"/>
      <c r="AC192" s="138">
        <v>0</v>
      </c>
      <c r="AD192" s="138">
        <v>0</v>
      </c>
      <c r="AE192" s="138">
        <v>0</v>
      </c>
      <c r="AF192" s="140"/>
      <c r="AG192" s="141">
        <f>'form A info'!$AK71/1000</f>
        <v>1281.2339999999999</v>
      </c>
    </row>
    <row r="193" spans="1:33" x14ac:dyDescent="0.2">
      <c r="A193" s="134">
        <v>1145</v>
      </c>
      <c r="B193" s="134" t="s">
        <v>88</v>
      </c>
      <c r="C193" s="142" t="str">
        <f>'form A info'!G75</f>
        <v>n</v>
      </c>
      <c r="D193" s="138">
        <v>133</v>
      </c>
      <c r="E193" s="138">
        <v>1045</v>
      </c>
      <c r="F193" s="138">
        <v>80</v>
      </c>
      <c r="G193" s="138">
        <v>0</v>
      </c>
      <c r="H193" s="139"/>
      <c r="I193" s="138">
        <v>0</v>
      </c>
      <c r="J193" s="138">
        <v>122</v>
      </c>
      <c r="K193" s="138">
        <v>0</v>
      </c>
      <c r="L193" s="138">
        <v>0</v>
      </c>
      <c r="M193" s="139"/>
      <c r="N193" s="138">
        <v>22</v>
      </c>
      <c r="O193" s="138">
        <v>133</v>
      </c>
      <c r="P193" s="138">
        <v>50</v>
      </c>
      <c r="Q193" s="138">
        <v>0</v>
      </c>
      <c r="R193" s="140"/>
      <c r="S193" s="138">
        <v>31</v>
      </c>
      <c r="T193" s="138">
        <v>0</v>
      </c>
      <c r="U193" s="138">
        <v>0</v>
      </c>
      <c r="V193" s="138">
        <v>0</v>
      </c>
      <c r="W193" s="140"/>
      <c r="X193" s="138">
        <v>78</v>
      </c>
      <c r="Y193" s="138">
        <v>6</v>
      </c>
      <c r="Z193" s="138">
        <v>0</v>
      </c>
      <c r="AA193" s="138">
        <v>0</v>
      </c>
      <c r="AB193" s="140"/>
      <c r="AC193" s="138">
        <v>5067</v>
      </c>
      <c r="AD193" s="138">
        <v>0</v>
      </c>
      <c r="AE193" s="138">
        <v>0</v>
      </c>
      <c r="AF193" s="140"/>
      <c r="AG193" s="141">
        <f>'form A info'!$AK75/1000</f>
        <v>0</v>
      </c>
    </row>
    <row r="194" spans="1:33" x14ac:dyDescent="0.2">
      <c r="A194" s="134">
        <v>509</v>
      </c>
      <c r="B194" s="134" t="s">
        <v>97</v>
      </c>
      <c r="C194" s="142" t="str">
        <f>'form A info'!G78</f>
        <v>n</v>
      </c>
      <c r="D194" s="138">
        <v>0</v>
      </c>
      <c r="E194" s="138">
        <v>0</v>
      </c>
      <c r="F194" s="138">
        <v>25</v>
      </c>
      <c r="G194" s="138">
        <v>0</v>
      </c>
      <c r="H194" s="139"/>
      <c r="I194" s="138">
        <v>0</v>
      </c>
      <c r="J194" s="138">
        <v>0</v>
      </c>
      <c r="K194" s="138">
        <v>0</v>
      </c>
      <c r="L194" s="138">
        <v>0</v>
      </c>
      <c r="M194" s="139"/>
      <c r="N194" s="138">
        <v>0</v>
      </c>
      <c r="O194" s="138">
        <v>14</v>
      </c>
      <c r="P194" s="138">
        <v>0</v>
      </c>
      <c r="Q194" s="138">
        <v>0</v>
      </c>
      <c r="R194" s="140"/>
      <c r="S194" s="138">
        <v>0</v>
      </c>
      <c r="T194" s="138">
        <v>0</v>
      </c>
      <c r="U194" s="138">
        <v>0</v>
      </c>
      <c r="V194" s="138">
        <v>0</v>
      </c>
      <c r="W194" s="140"/>
      <c r="X194" s="138">
        <v>0</v>
      </c>
      <c r="Y194" s="138">
        <v>0</v>
      </c>
      <c r="Z194" s="138">
        <v>0</v>
      </c>
      <c r="AA194" s="138">
        <v>0</v>
      </c>
      <c r="AB194" s="140"/>
      <c r="AC194" s="138">
        <v>0</v>
      </c>
      <c r="AD194" s="138">
        <v>0</v>
      </c>
      <c r="AE194" s="138">
        <v>0</v>
      </c>
      <c r="AF194" s="140"/>
      <c r="AG194" s="141">
        <f>'form A info'!$AK78/1000</f>
        <v>59.468820000000001</v>
      </c>
    </row>
    <row r="195" spans="1:33" x14ac:dyDescent="0.2">
      <c r="A195" s="134">
        <v>1310</v>
      </c>
      <c r="B195" s="134" t="s">
        <v>105</v>
      </c>
      <c r="C195" s="142" t="str">
        <f>'form A info'!G81</f>
        <v>n</v>
      </c>
      <c r="D195" s="138">
        <v>66</v>
      </c>
      <c r="E195" s="138">
        <v>463</v>
      </c>
      <c r="F195" s="138">
        <v>85</v>
      </c>
      <c r="G195" s="138">
        <v>51</v>
      </c>
      <c r="H195" s="139"/>
      <c r="I195" s="138"/>
      <c r="J195" s="138"/>
      <c r="K195" s="138"/>
      <c r="L195" s="138"/>
      <c r="M195" s="139"/>
      <c r="N195" s="138"/>
      <c r="O195" s="138"/>
      <c r="P195" s="138"/>
      <c r="Q195" s="138"/>
      <c r="R195" s="140"/>
      <c r="S195" s="138"/>
      <c r="T195" s="138"/>
      <c r="U195" s="138"/>
      <c r="V195" s="138"/>
      <c r="W195" s="140"/>
      <c r="X195" s="138"/>
      <c r="Y195" s="138"/>
      <c r="Z195" s="138"/>
      <c r="AA195" s="138"/>
      <c r="AB195" s="140"/>
      <c r="AC195" s="138"/>
      <c r="AD195" s="138"/>
      <c r="AE195" s="138"/>
      <c r="AF195" s="140"/>
      <c r="AG195" s="141">
        <f>'form A info'!$AK81/1000</f>
        <v>437.95800000000003</v>
      </c>
    </row>
    <row r="196" spans="1:33" x14ac:dyDescent="0.2">
      <c r="A196" s="134">
        <v>4776</v>
      </c>
      <c r="B196" s="134" t="s">
        <v>106</v>
      </c>
      <c r="C196" s="142" t="str">
        <f>'form A info'!G82</f>
        <v>n</v>
      </c>
      <c r="D196" s="138">
        <v>84</v>
      </c>
      <c r="E196" s="138">
        <v>951</v>
      </c>
      <c r="F196" s="138">
        <v>385</v>
      </c>
      <c r="G196" s="138">
        <v>14</v>
      </c>
      <c r="H196" s="139"/>
      <c r="I196" s="138">
        <v>0</v>
      </c>
      <c r="J196" s="138">
        <v>32</v>
      </c>
      <c r="K196" s="138">
        <v>19</v>
      </c>
      <c r="L196" s="138">
        <v>0</v>
      </c>
      <c r="M196" s="139"/>
      <c r="N196" s="138">
        <v>0</v>
      </c>
      <c r="O196" s="138">
        <v>0</v>
      </c>
      <c r="P196" s="138">
        <v>10</v>
      </c>
      <c r="Q196" s="138">
        <v>1</v>
      </c>
      <c r="R196" s="140"/>
      <c r="S196" s="138">
        <v>0</v>
      </c>
      <c r="T196" s="138">
        <v>0</v>
      </c>
      <c r="U196" s="138">
        <v>0</v>
      </c>
      <c r="V196" s="138">
        <v>0</v>
      </c>
      <c r="W196" s="140"/>
      <c r="X196" s="138">
        <v>0</v>
      </c>
      <c r="Y196" s="138">
        <v>5</v>
      </c>
      <c r="Z196" s="138">
        <v>0</v>
      </c>
      <c r="AA196" s="138">
        <v>0</v>
      </c>
      <c r="AB196" s="140"/>
      <c r="AC196" s="138">
        <v>0</v>
      </c>
      <c r="AD196" s="138">
        <v>0</v>
      </c>
      <c r="AE196" s="138">
        <v>0</v>
      </c>
      <c r="AF196" s="140"/>
      <c r="AG196" s="141">
        <f>'form A info'!$AK82/1000</f>
        <v>879.56299999999999</v>
      </c>
    </row>
    <row r="197" spans="1:33" x14ac:dyDescent="0.2">
      <c r="B197" s="137" t="s">
        <v>111</v>
      </c>
      <c r="C197" s="142" t="str">
        <f>'form A info'!G85</f>
        <v>n</v>
      </c>
      <c r="D197" s="138"/>
      <c r="E197" s="138"/>
      <c r="F197" s="138"/>
      <c r="G197" s="138"/>
      <c r="H197" s="139"/>
      <c r="I197" s="138"/>
      <c r="J197" s="138"/>
      <c r="K197" s="138"/>
      <c r="L197" s="138"/>
      <c r="M197" s="139"/>
      <c r="N197" s="138"/>
      <c r="O197" s="138"/>
      <c r="P197" s="138"/>
      <c r="Q197" s="138"/>
      <c r="R197" s="140"/>
      <c r="S197" s="138"/>
      <c r="T197" s="138"/>
      <c r="U197" s="138"/>
      <c r="V197" s="138"/>
      <c r="W197" s="140"/>
      <c r="X197" s="138"/>
      <c r="Y197" s="138"/>
      <c r="Z197" s="138"/>
      <c r="AA197" s="138"/>
      <c r="AB197" s="140"/>
      <c r="AC197" s="138"/>
      <c r="AD197" s="138"/>
      <c r="AE197" s="138"/>
      <c r="AF197" s="140"/>
      <c r="AG197" s="141">
        <f>'form A info'!$AK85/1000</f>
        <v>0</v>
      </c>
    </row>
    <row r="198" spans="1:33" x14ac:dyDescent="0.2">
      <c r="A198" s="134">
        <v>8685</v>
      </c>
      <c r="B198" s="134" t="s">
        <v>112</v>
      </c>
      <c r="C198" s="142" t="str">
        <f>'form A info'!G86</f>
        <v>n</v>
      </c>
      <c r="D198" s="138"/>
      <c r="E198" s="138"/>
      <c r="F198" s="138">
        <v>308</v>
      </c>
      <c r="G198" s="138">
        <v>10</v>
      </c>
      <c r="H198" s="139"/>
      <c r="I198" s="138"/>
      <c r="J198" s="138"/>
      <c r="K198" s="138"/>
      <c r="L198" s="138"/>
      <c r="M198" s="139"/>
      <c r="N198" s="138"/>
      <c r="O198" s="138"/>
      <c r="P198" s="138"/>
      <c r="Q198" s="138"/>
      <c r="R198" s="140"/>
      <c r="S198" s="138"/>
      <c r="T198" s="138"/>
      <c r="U198" s="138"/>
      <c r="V198" s="138"/>
      <c r="W198" s="140"/>
      <c r="X198" s="138"/>
      <c r="Y198" s="138"/>
      <c r="Z198" s="138"/>
      <c r="AA198" s="138"/>
      <c r="AB198" s="140"/>
      <c r="AC198" s="138"/>
      <c r="AD198" s="138"/>
      <c r="AE198" s="138"/>
      <c r="AF198" s="140"/>
      <c r="AG198" s="141">
        <f>'form A info'!$AK86/1000</f>
        <v>0</v>
      </c>
    </row>
    <row r="199" spans="1:33" x14ac:dyDescent="0.2">
      <c r="A199" s="134">
        <v>4824</v>
      </c>
      <c r="B199" s="134" t="s">
        <v>123</v>
      </c>
      <c r="C199" s="142" t="str">
        <f>'form A info'!G92</f>
        <v>n</v>
      </c>
      <c r="D199" s="138">
        <v>483</v>
      </c>
      <c r="E199" s="138">
        <v>965</v>
      </c>
      <c r="F199" s="138">
        <v>313</v>
      </c>
      <c r="G199" s="138">
        <v>0</v>
      </c>
      <c r="H199" s="139"/>
      <c r="I199" s="138">
        <v>0</v>
      </c>
      <c r="J199" s="138">
        <v>0</v>
      </c>
      <c r="K199" s="138">
        <v>0</v>
      </c>
      <c r="L199" s="138">
        <v>0</v>
      </c>
      <c r="M199" s="139"/>
      <c r="N199" s="138">
        <v>0</v>
      </c>
      <c r="O199" s="138">
        <v>171</v>
      </c>
      <c r="P199" s="138">
        <v>49</v>
      </c>
      <c r="Q199" s="138">
        <v>0</v>
      </c>
      <c r="R199" s="140"/>
      <c r="S199" s="138">
        <v>0</v>
      </c>
      <c r="T199" s="138">
        <v>0</v>
      </c>
      <c r="U199" s="138">
        <v>0</v>
      </c>
      <c r="V199" s="138">
        <v>0</v>
      </c>
      <c r="W199" s="140"/>
      <c r="X199" s="138">
        <v>32</v>
      </c>
      <c r="Y199" s="138">
        <v>6</v>
      </c>
      <c r="Z199" s="138">
        <v>0</v>
      </c>
      <c r="AA199" s="138">
        <v>0</v>
      </c>
      <c r="AB199" s="140"/>
      <c r="AC199" s="138">
        <v>0</v>
      </c>
      <c r="AD199" s="138">
        <v>0</v>
      </c>
      <c r="AE199" s="138">
        <v>0</v>
      </c>
      <c r="AF199" s="140"/>
      <c r="AG199" s="141">
        <f>'form A info'!$AK92/1000</f>
        <v>0</v>
      </c>
    </row>
    <row r="200" spans="1:33" x14ac:dyDescent="0.2">
      <c r="A200" s="134">
        <v>4826</v>
      </c>
      <c r="B200" s="134" t="s">
        <v>134</v>
      </c>
      <c r="C200" s="142" t="str">
        <f>'form A info'!G96</f>
        <v>n</v>
      </c>
      <c r="D200" s="138">
        <v>386</v>
      </c>
      <c r="E200" s="138">
        <v>708</v>
      </c>
      <c r="F200" s="138">
        <v>316</v>
      </c>
      <c r="G200" s="138">
        <v>1</v>
      </c>
      <c r="H200" s="139"/>
      <c r="I200" s="138"/>
      <c r="J200" s="138"/>
      <c r="K200" s="138">
        <v>49</v>
      </c>
      <c r="L200" s="138">
        <v>18</v>
      </c>
      <c r="M200" s="139"/>
      <c r="N200" s="138"/>
      <c r="O200" s="138"/>
      <c r="P200" s="138">
        <v>3</v>
      </c>
      <c r="Q200" s="138"/>
      <c r="R200" s="140"/>
      <c r="S200" s="138"/>
      <c r="T200" s="138"/>
      <c r="U200" s="138"/>
      <c r="V200" s="138"/>
      <c r="W200" s="140"/>
      <c r="X200" s="138"/>
      <c r="Y200" s="138"/>
      <c r="Z200" s="138"/>
      <c r="AA200" s="138"/>
      <c r="AB200" s="140"/>
      <c r="AC200" s="138"/>
      <c r="AD200" s="138"/>
      <c r="AE200" s="138"/>
      <c r="AF200" s="140"/>
      <c r="AG200" s="141">
        <f>'form A info'!$AK96/1000</f>
        <v>0</v>
      </c>
    </row>
    <row r="201" spans="1:33" x14ac:dyDescent="0.2">
      <c r="A201" s="134">
        <v>8807</v>
      </c>
      <c r="B201" s="134" t="s">
        <v>142</v>
      </c>
      <c r="C201" s="142" t="str">
        <f>'form A info'!G99</f>
        <v>n</v>
      </c>
      <c r="D201" s="138">
        <v>0</v>
      </c>
      <c r="E201" s="138">
        <v>0</v>
      </c>
      <c r="F201" s="138">
        <v>8</v>
      </c>
      <c r="G201" s="138">
        <v>0</v>
      </c>
      <c r="H201" s="139"/>
      <c r="I201" s="138">
        <v>0</v>
      </c>
      <c r="J201" s="138">
        <v>0</v>
      </c>
      <c r="K201" s="138">
        <v>0</v>
      </c>
      <c r="L201" s="138">
        <v>0</v>
      </c>
      <c r="M201" s="139"/>
      <c r="N201" s="138">
        <v>0</v>
      </c>
      <c r="O201" s="138">
        <v>0</v>
      </c>
      <c r="P201" s="138">
        <v>0</v>
      </c>
      <c r="Q201" s="138">
        <v>0</v>
      </c>
      <c r="R201" s="140"/>
      <c r="S201" s="138">
        <v>0</v>
      </c>
      <c r="T201" s="138">
        <v>0</v>
      </c>
      <c r="U201" s="138">
        <v>0</v>
      </c>
      <c r="V201" s="138">
        <v>0</v>
      </c>
      <c r="W201" s="140"/>
      <c r="X201" s="138">
        <v>0</v>
      </c>
      <c r="Y201" s="138">
        <v>0</v>
      </c>
      <c r="Z201" s="138">
        <v>0</v>
      </c>
      <c r="AA201" s="138">
        <v>0</v>
      </c>
      <c r="AB201" s="140"/>
      <c r="AC201" s="138">
        <v>0</v>
      </c>
      <c r="AD201" s="138">
        <v>0</v>
      </c>
      <c r="AE201" s="138">
        <v>0</v>
      </c>
      <c r="AF201" s="140"/>
      <c r="AG201" s="141">
        <f>'form A info'!$AK99/1000</f>
        <v>0</v>
      </c>
    </row>
    <row r="202" spans="1:33" x14ac:dyDescent="0.2">
      <c r="A202" s="134">
        <v>8808</v>
      </c>
      <c r="B202" s="134" t="s">
        <v>145</v>
      </c>
      <c r="C202" s="142" t="str">
        <f>'form A info'!G100</f>
        <v>n</v>
      </c>
      <c r="D202" s="138">
        <v>280</v>
      </c>
      <c r="E202" s="138">
        <v>583</v>
      </c>
      <c r="F202" s="138">
        <v>288</v>
      </c>
      <c r="G202" s="138">
        <v>0</v>
      </c>
      <c r="H202" s="139"/>
      <c r="I202" s="138">
        <v>0</v>
      </c>
      <c r="J202" s="138">
        <v>0</v>
      </c>
      <c r="K202" s="138">
        <v>0</v>
      </c>
      <c r="L202" s="138">
        <v>0</v>
      </c>
      <c r="M202" s="139"/>
      <c r="N202" s="138">
        <v>0</v>
      </c>
      <c r="O202" s="138">
        <v>0</v>
      </c>
      <c r="P202" s="138">
        <v>38</v>
      </c>
      <c r="Q202" s="138">
        <v>3</v>
      </c>
      <c r="R202" s="140"/>
      <c r="S202" s="138">
        <v>1</v>
      </c>
      <c r="T202" s="138">
        <v>0</v>
      </c>
      <c r="U202" s="138">
        <v>0</v>
      </c>
      <c r="V202" s="138">
        <v>0</v>
      </c>
      <c r="W202" s="140"/>
      <c r="X202" s="138">
        <v>3</v>
      </c>
      <c r="Y202" s="138">
        <v>0</v>
      </c>
      <c r="Z202" s="138">
        <v>0</v>
      </c>
      <c r="AA202" s="138">
        <v>0</v>
      </c>
      <c r="AB202" s="140"/>
      <c r="AC202" s="138">
        <v>0</v>
      </c>
      <c r="AD202" s="138">
        <v>0</v>
      </c>
      <c r="AE202" s="138">
        <v>0</v>
      </c>
      <c r="AF202" s="140"/>
      <c r="AG202" s="141">
        <f>'form A info'!$AK100/1000</f>
        <v>608.43200000000002</v>
      </c>
    </row>
    <row r="203" spans="1:33" x14ac:dyDescent="0.2">
      <c r="A203" s="134">
        <v>2110</v>
      </c>
      <c r="B203" s="134" t="s">
        <v>161</v>
      </c>
      <c r="C203" s="142" t="str">
        <f>'form A info'!G105</f>
        <v>n</v>
      </c>
      <c r="D203" s="138"/>
      <c r="E203" s="138"/>
      <c r="F203" s="138">
        <v>107</v>
      </c>
      <c r="G203" s="138">
        <v>7</v>
      </c>
      <c r="H203" s="139"/>
      <c r="I203" s="138"/>
      <c r="J203" s="138"/>
      <c r="K203" s="138"/>
      <c r="L203" s="138"/>
      <c r="M203" s="139"/>
      <c r="N203" s="138"/>
      <c r="O203" s="138"/>
      <c r="P203" s="138">
        <v>8</v>
      </c>
      <c r="Q203" s="138">
        <v>2</v>
      </c>
      <c r="R203" s="140"/>
      <c r="S203" s="138"/>
      <c r="T203" s="138"/>
      <c r="U203" s="138"/>
      <c r="V203" s="138"/>
      <c r="W203" s="140"/>
      <c r="X203" s="138"/>
      <c r="Y203" s="138"/>
      <c r="Z203" s="138"/>
      <c r="AA203" s="138"/>
      <c r="AB203" s="140"/>
      <c r="AC203" s="138"/>
      <c r="AD203" s="138"/>
      <c r="AE203" s="138"/>
      <c r="AF203" s="140"/>
      <c r="AG203" s="141">
        <f>'form A info'!$AK105/1000</f>
        <v>0</v>
      </c>
    </row>
    <row r="204" spans="1:33" x14ac:dyDescent="0.2">
      <c r="A204" s="134">
        <v>2111</v>
      </c>
      <c r="B204" s="134" t="s">
        <v>161</v>
      </c>
      <c r="C204" s="142" t="str">
        <f>'form A info'!G106</f>
        <v>n</v>
      </c>
      <c r="D204" s="138"/>
      <c r="E204" s="138"/>
      <c r="F204" s="138">
        <v>121</v>
      </c>
      <c r="G204" s="138">
        <v>12</v>
      </c>
      <c r="H204" s="139"/>
      <c r="I204" s="138"/>
      <c r="J204" s="138"/>
      <c r="K204" s="138"/>
      <c r="L204" s="138"/>
      <c r="M204" s="139"/>
      <c r="N204" s="138"/>
      <c r="O204" s="138"/>
      <c r="P204" s="138">
        <v>12</v>
      </c>
      <c r="Q204" s="138"/>
      <c r="R204" s="140"/>
      <c r="S204" s="138"/>
      <c r="T204" s="138"/>
      <c r="U204" s="138"/>
      <c r="V204" s="138"/>
      <c r="W204" s="140"/>
      <c r="X204" s="138"/>
      <c r="Y204" s="138"/>
      <c r="Z204" s="138"/>
      <c r="AA204" s="138"/>
      <c r="AB204" s="140"/>
      <c r="AC204" s="138"/>
      <c r="AD204" s="138"/>
      <c r="AE204" s="138"/>
      <c r="AF204" s="140"/>
      <c r="AG204" s="141">
        <f>'form A info'!$AK106/1000</f>
        <v>0</v>
      </c>
    </row>
    <row r="205" spans="1:33" x14ac:dyDescent="0.2">
      <c r="A205" s="134">
        <v>9894</v>
      </c>
      <c r="B205" s="134" t="s">
        <v>178</v>
      </c>
      <c r="C205" s="142" t="str">
        <f>'form A info'!G115</f>
        <v>n</v>
      </c>
      <c r="D205" s="138">
        <v>0</v>
      </c>
      <c r="E205" s="138">
        <v>0</v>
      </c>
      <c r="F205" s="138">
        <v>250</v>
      </c>
      <c r="G205" s="138">
        <v>4</v>
      </c>
      <c r="H205" s="139"/>
      <c r="I205" s="138">
        <v>0</v>
      </c>
      <c r="J205" s="138">
        <v>0</v>
      </c>
      <c r="K205" s="138">
        <v>2</v>
      </c>
      <c r="L205" s="138">
        <v>0</v>
      </c>
      <c r="M205" s="139"/>
      <c r="N205" s="138">
        <v>0</v>
      </c>
      <c r="O205" s="138">
        <v>0</v>
      </c>
      <c r="P205" s="138">
        <v>20</v>
      </c>
      <c r="Q205" s="138">
        <v>1</v>
      </c>
      <c r="R205" s="140"/>
      <c r="S205" s="138">
        <v>0</v>
      </c>
      <c r="T205" s="138">
        <v>0</v>
      </c>
      <c r="U205" s="138">
        <v>0</v>
      </c>
      <c r="V205" s="138">
        <v>0</v>
      </c>
      <c r="W205" s="140"/>
      <c r="X205" s="138">
        <v>0</v>
      </c>
      <c r="Y205" s="138">
        <v>0</v>
      </c>
      <c r="Z205" s="138">
        <v>0</v>
      </c>
      <c r="AA205" s="138">
        <v>0</v>
      </c>
      <c r="AB205" s="140"/>
      <c r="AC205" s="138">
        <v>0</v>
      </c>
      <c r="AD205" s="138">
        <v>0</v>
      </c>
      <c r="AE205" s="138">
        <v>0</v>
      </c>
      <c r="AF205" s="140"/>
      <c r="AG205" s="141">
        <f>'form A info'!$AK115/1000</f>
        <v>402.76299999999998</v>
      </c>
    </row>
    <row r="206" spans="1:33" x14ac:dyDescent="0.2">
      <c r="A206" s="134">
        <v>2324</v>
      </c>
      <c r="B206" s="134" t="s">
        <v>180</v>
      </c>
      <c r="C206" s="142" t="str">
        <f>'form A info'!G116</f>
        <v>n</v>
      </c>
      <c r="D206" s="138">
        <v>310</v>
      </c>
      <c r="E206" s="138">
        <v>1022</v>
      </c>
      <c r="F206" s="138">
        <v>97</v>
      </c>
      <c r="G206" s="138">
        <v>50</v>
      </c>
      <c r="H206" s="139"/>
      <c r="I206" s="138">
        <v>0</v>
      </c>
      <c r="J206" s="138">
        <v>0</v>
      </c>
      <c r="K206" s="138">
        <v>0</v>
      </c>
      <c r="L206" s="138">
        <v>0</v>
      </c>
      <c r="M206" s="139"/>
      <c r="N206" s="138">
        <v>62</v>
      </c>
      <c r="O206" s="138">
        <v>62</v>
      </c>
      <c r="P206" s="138">
        <v>65</v>
      </c>
      <c r="Q206" s="138">
        <v>0</v>
      </c>
      <c r="R206" s="140"/>
      <c r="S206" s="138">
        <v>43</v>
      </c>
      <c r="T206" s="138">
        <v>0</v>
      </c>
      <c r="U206" s="138">
        <v>0</v>
      </c>
      <c r="V206" s="138">
        <v>0</v>
      </c>
      <c r="W206" s="140"/>
      <c r="X206" s="138">
        <v>86</v>
      </c>
      <c r="Y206" s="138">
        <v>0</v>
      </c>
      <c r="Z206" s="138">
        <v>0</v>
      </c>
      <c r="AA206" s="138">
        <v>0</v>
      </c>
      <c r="AB206" s="140"/>
      <c r="AC206" s="138">
        <v>0</v>
      </c>
      <c r="AD206" s="138">
        <v>0</v>
      </c>
      <c r="AE206" s="138">
        <v>0</v>
      </c>
      <c r="AF206" s="140"/>
      <c r="AG206" s="141">
        <f>'form A info'!$AK116/1000</f>
        <v>1030.7829999999999</v>
      </c>
    </row>
    <row r="207" spans="1:33" x14ac:dyDescent="0.2">
      <c r="A207" s="134">
        <v>4770</v>
      </c>
      <c r="B207" s="134" t="s">
        <v>196</v>
      </c>
      <c r="C207" s="142" t="str">
        <f>'form A info'!G123</f>
        <v>n</v>
      </c>
      <c r="D207" s="138"/>
      <c r="E207" s="138"/>
      <c r="F207" s="138">
        <v>286</v>
      </c>
      <c r="G207" s="138">
        <v>9</v>
      </c>
      <c r="H207" s="139"/>
      <c r="I207" s="138"/>
      <c r="J207" s="138"/>
      <c r="K207" s="138">
        <v>20</v>
      </c>
      <c r="L207" s="138"/>
      <c r="M207" s="139"/>
      <c r="N207" s="138"/>
      <c r="O207" s="138">
        <v>40</v>
      </c>
      <c r="P207" s="138">
        <v>-1</v>
      </c>
      <c r="Q207" s="138"/>
      <c r="R207" s="140"/>
      <c r="S207" s="138"/>
      <c r="T207" s="138"/>
      <c r="U207" s="138"/>
      <c r="V207" s="138"/>
      <c r="W207" s="140"/>
      <c r="X207" s="138"/>
      <c r="Y207" s="138"/>
      <c r="Z207" s="138"/>
      <c r="AA207" s="138"/>
      <c r="AB207" s="140"/>
      <c r="AC207" s="138"/>
      <c r="AD207" s="138"/>
      <c r="AE207" s="138"/>
      <c r="AF207" s="140"/>
      <c r="AG207" s="141">
        <f>'form A info'!$AK123/1000</f>
        <v>0</v>
      </c>
    </row>
    <row r="208" spans="1:33" x14ac:dyDescent="0.2">
      <c r="A208" s="134">
        <v>2380</v>
      </c>
      <c r="B208" s="134" t="s">
        <v>672</v>
      </c>
      <c r="C208" s="142" t="str">
        <f>'form A info'!G126</f>
        <v>n</v>
      </c>
      <c r="D208" s="138">
        <v>207</v>
      </c>
      <c r="E208" s="138">
        <v>596</v>
      </c>
      <c r="F208" s="138">
        <v>109</v>
      </c>
      <c r="G208" s="138">
        <v>1</v>
      </c>
      <c r="H208" s="139"/>
      <c r="I208" s="138">
        <v>9</v>
      </c>
      <c r="J208" s="138">
        <v>23</v>
      </c>
      <c r="K208" s="138">
        <v>2</v>
      </c>
      <c r="L208" s="138">
        <v>0</v>
      </c>
      <c r="M208" s="139"/>
      <c r="N208" s="138">
        <v>31</v>
      </c>
      <c r="O208" s="138">
        <v>58</v>
      </c>
      <c r="P208" s="138">
        <v>70</v>
      </c>
      <c r="Q208" s="138">
        <v>11</v>
      </c>
      <c r="R208" s="140"/>
      <c r="S208" s="138">
        <v>77</v>
      </c>
      <c r="T208" s="138">
        <v>0</v>
      </c>
      <c r="U208" s="138">
        <v>0</v>
      </c>
      <c r="V208" s="138">
        <v>0</v>
      </c>
      <c r="W208" s="140"/>
      <c r="X208" s="138">
        <v>61</v>
      </c>
      <c r="Y208" s="138">
        <v>0</v>
      </c>
      <c r="Z208" s="138">
        <v>0</v>
      </c>
      <c r="AA208" s="138">
        <v>0</v>
      </c>
      <c r="AB208" s="140"/>
      <c r="AC208" s="138">
        <v>49553</v>
      </c>
      <c r="AD208" s="138">
        <v>0</v>
      </c>
      <c r="AE208" s="138">
        <v>0</v>
      </c>
      <c r="AF208" s="140"/>
      <c r="AG208" s="141">
        <f>'form A info'!$AK126/1000</f>
        <v>0</v>
      </c>
    </row>
    <row r="209" spans="1:33" x14ac:dyDescent="0.2">
      <c r="A209" s="134">
        <v>2631</v>
      </c>
      <c r="B209" s="134" t="s">
        <v>673</v>
      </c>
      <c r="C209" s="142" t="str">
        <f>'form A info'!G129</f>
        <v>n</v>
      </c>
      <c r="D209" s="138">
        <v>0</v>
      </c>
      <c r="E209" s="138">
        <v>0</v>
      </c>
      <c r="F209" s="138">
        <v>0</v>
      </c>
      <c r="G209" s="138">
        <v>0</v>
      </c>
      <c r="H209" s="139"/>
      <c r="I209" s="138">
        <v>0</v>
      </c>
      <c r="J209" s="138">
        <v>0</v>
      </c>
      <c r="K209" s="138">
        <v>0</v>
      </c>
      <c r="L209" s="138">
        <v>0</v>
      </c>
      <c r="M209" s="139"/>
      <c r="N209" s="138">
        <v>0</v>
      </c>
      <c r="O209" s="138">
        <v>0</v>
      </c>
      <c r="P209" s="138">
        <v>0</v>
      </c>
      <c r="Q209" s="138">
        <v>0</v>
      </c>
      <c r="R209" s="140"/>
      <c r="S209" s="138">
        <v>0</v>
      </c>
      <c r="T209" s="138">
        <v>0</v>
      </c>
      <c r="U209" s="138">
        <v>0</v>
      </c>
      <c r="V209" s="138">
        <v>0</v>
      </c>
      <c r="W209" s="140"/>
      <c r="X209" s="138">
        <v>0</v>
      </c>
      <c r="Y209" s="138">
        <v>0</v>
      </c>
      <c r="Z209" s="138">
        <v>0</v>
      </c>
      <c r="AA209" s="138">
        <v>0</v>
      </c>
      <c r="AB209" s="140"/>
      <c r="AC209" s="138">
        <v>0</v>
      </c>
      <c r="AD209" s="138">
        <v>0</v>
      </c>
      <c r="AE209" s="138">
        <v>0</v>
      </c>
      <c r="AF209" s="140"/>
      <c r="AG209" s="141">
        <f>'form A info'!$AK129/1000</f>
        <v>0</v>
      </c>
    </row>
    <row r="210" spans="1:33" x14ac:dyDescent="0.2">
      <c r="A210" s="134">
        <v>3878</v>
      </c>
      <c r="B210" s="134" t="s">
        <v>212</v>
      </c>
      <c r="C210" s="142" t="str">
        <f>'form A info'!G130</f>
        <v>n</v>
      </c>
      <c r="D210" s="138">
        <v>800</v>
      </c>
      <c r="E210" s="138">
        <v>1262</v>
      </c>
      <c r="F210" s="138">
        <v>460</v>
      </c>
      <c r="G210" s="138">
        <v>50</v>
      </c>
      <c r="H210" s="139"/>
      <c r="I210" s="138">
        <v>0</v>
      </c>
      <c r="J210" s="138">
        <v>34</v>
      </c>
      <c r="K210" s="138">
        <v>0</v>
      </c>
      <c r="L210" s="138">
        <v>0</v>
      </c>
      <c r="M210" s="139"/>
      <c r="N210" s="138">
        <v>-1</v>
      </c>
      <c r="O210" s="138">
        <v>102</v>
      </c>
      <c r="P210" s="138">
        <v>68</v>
      </c>
      <c r="Q210" s="138">
        <v>0</v>
      </c>
      <c r="R210" s="140"/>
      <c r="S210" s="138">
        <v>73</v>
      </c>
      <c r="T210" s="138">
        <v>22</v>
      </c>
      <c r="U210" s="138">
        <v>0</v>
      </c>
      <c r="V210" s="138">
        <v>0</v>
      </c>
      <c r="W210" s="140"/>
      <c r="X210" s="138">
        <v>536</v>
      </c>
      <c r="Y210" s="138">
        <v>0</v>
      </c>
      <c r="Z210" s="138">
        <v>0</v>
      </c>
      <c r="AA210" s="138">
        <v>0</v>
      </c>
      <c r="AB210" s="140"/>
      <c r="AC210" s="138">
        <v>0</v>
      </c>
      <c r="AD210" s="138">
        <v>0</v>
      </c>
      <c r="AE210" s="138">
        <v>0</v>
      </c>
      <c r="AF210" s="140"/>
      <c r="AG210" s="141">
        <f>'form A info'!$AK130/1000</f>
        <v>0</v>
      </c>
    </row>
    <row r="211" spans="1:33" x14ac:dyDescent="0.2">
      <c r="A211" s="134">
        <v>4779</v>
      </c>
      <c r="B211" s="134" t="s">
        <v>249</v>
      </c>
      <c r="C211" s="142" t="str">
        <f>'form A info'!G142</f>
        <v>n</v>
      </c>
      <c r="D211" s="138"/>
      <c r="E211" s="138">
        <v>539</v>
      </c>
      <c r="F211" s="138">
        <v>-71</v>
      </c>
      <c r="G211" s="138">
        <v>1</v>
      </c>
      <c r="H211" s="139"/>
      <c r="I211" s="138"/>
      <c r="J211" s="138"/>
      <c r="K211" s="138">
        <v>4</v>
      </c>
      <c r="L211" s="138"/>
      <c r="M211" s="139"/>
      <c r="N211" s="138"/>
      <c r="O211" s="138">
        <v>27</v>
      </c>
      <c r="P211" s="138">
        <v>17</v>
      </c>
      <c r="Q211" s="138"/>
      <c r="R211" s="140"/>
      <c r="S211" s="138"/>
      <c r="T211" s="138"/>
      <c r="U211" s="138"/>
      <c r="V211" s="138"/>
      <c r="W211" s="140"/>
      <c r="X211" s="138"/>
      <c r="Y211" s="138"/>
      <c r="Z211" s="138"/>
      <c r="AA211" s="138"/>
      <c r="AB211" s="140"/>
      <c r="AC211" s="138"/>
      <c r="AD211" s="138"/>
      <c r="AE211" s="138"/>
      <c r="AF211" s="140"/>
      <c r="AG211" s="141">
        <f>'form A info'!$AK142/1000</f>
        <v>0</v>
      </c>
    </row>
    <row r="212" spans="1:33" x14ac:dyDescent="0.2">
      <c r="A212" s="134">
        <v>9780</v>
      </c>
      <c r="B212" s="134" t="s">
        <v>250</v>
      </c>
      <c r="C212" s="142" t="str">
        <f>'form A info'!G143</f>
        <v>n</v>
      </c>
      <c r="D212" s="138">
        <v>0</v>
      </c>
      <c r="E212" s="138">
        <v>0</v>
      </c>
      <c r="F212" s="138">
        <v>251</v>
      </c>
      <c r="G212" s="138">
        <v>3</v>
      </c>
      <c r="H212" s="139"/>
      <c r="I212" s="138">
        <v>0</v>
      </c>
      <c r="J212" s="138">
        <v>0</v>
      </c>
      <c r="K212" s="138">
        <v>1</v>
      </c>
      <c r="L212" s="138">
        <v>0</v>
      </c>
      <c r="M212" s="139"/>
      <c r="N212" s="138">
        <v>0</v>
      </c>
      <c r="O212" s="138">
        <v>0</v>
      </c>
      <c r="P212" s="138">
        <v>36</v>
      </c>
      <c r="Q212" s="138">
        <v>0</v>
      </c>
      <c r="R212" s="140"/>
      <c r="S212" s="138">
        <v>0</v>
      </c>
      <c r="T212" s="138">
        <v>0</v>
      </c>
      <c r="U212" s="138">
        <v>0</v>
      </c>
      <c r="V212" s="138">
        <v>0</v>
      </c>
      <c r="W212" s="140"/>
      <c r="X212" s="138">
        <v>0</v>
      </c>
      <c r="Y212" s="138">
        <v>0</v>
      </c>
      <c r="Z212" s="138">
        <v>0</v>
      </c>
      <c r="AA212" s="138">
        <v>0</v>
      </c>
      <c r="AB212" s="140"/>
      <c r="AC212" s="138">
        <v>0</v>
      </c>
      <c r="AD212" s="138">
        <v>81652</v>
      </c>
      <c r="AE212" s="138">
        <v>0</v>
      </c>
      <c r="AF212" s="140"/>
      <c r="AG212" s="141">
        <f>'form A info'!$AK143/1000</f>
        <v>1234.68</v>
      </c>
    </row>
    <row r="213" spans="1:33" x14ac:dyDescent="0.2">
      <c r="A213" s="134">
        <v>3854</v>
      </c>
      <c r="B213" s="134" t="s">
        <v>253</v>
      </c>
      <c r="C213" s="142" t="str">
        <f>'form A info'!G145</f>
        <v>n</v>
      </c>
      <c r="D213" s="138">
        <v>113</v>
      </c>
      <c r="E213" s="138">
        <v>360</v>
      </c>
      <c r="F213" s="138">
        <v>83</v>
      </c>
      <c r="G213" s="138">
        <v>-2</v>
      </c>
      <c r="H213" s="139"/>
      <c r="I213" s="138"/>
      <c r="J213" s="138"/>
      <c r="K213" s="138"/>
      <c r="L213" s="138"/>
      <c r="M213" s="139"/>
      <c r="N213" s="138"/>
      <c r="O213" s="138"/>
      <c r="P213" s="138"/>
      <c r="Q213" s="138"/>
      <c r="R213" s="140"/>
      <c r="S213" s="138"/>
      <c r="T213" s="138"/>
      <c r="U213" s="138"/>
      <c r="V213" s="138"/>
      <c r="W213" s="140"/>
      <c r="X213" s="138"/>
      <c r="Y213" s="138"/>
      <c r="Z213" s="138"/>
      <c r="AA213" s="138"/>
      <c r="AB213" s="140"/>
      <c r="AC213" s="138">
        <v>9297</v>
      </c>
      <c r="AD213" s="138"/>
      <c r="AE213" s="138"/>
      <c r="AF213" s="140"/>
      <c r="AG213" s="141">
        <f>'form A info'!$AK145/1000</f>
        <v>0</v>
      </c>
    </row>
    <row r="214" spans="1:33" x14ac:dyDescent="0.2">
      <c r="A214" s="134">
        <v>2810</v>
      </c>
      <c r="B214" s="134" t="s">
        <v>277</v>
      </c>
      <c r="C214" s="142" t="str">
        <f>'form A info'!G155</f>
        <v>n</v>
      </c>
      <c r="D214" s="138">
        <v>476</v>
      </c>
      <c r="E214" s="138">
        <v>969</v>
      </c>
      <c r="F214" s="138">
        <v>278</v>
      </c>
      <c r="G214" s="138">
        <v>0</v>
      </c>
      <c r="H214" s="139"/>
      <c r="I214" s="138">
        <v>33</v>
      </c>
      <c r="J214" s="138">
        <v>17</v>
      </c>
      <c r="K214" s="138">
        <v>0</v>
      </c>
      <c r="L214" s="138">
        <v>0</v>
      </c>
      <c r="M214" s="139"/>
      <c r="N214" s="138">
        <v>29</v>
      </c>
      <c r="O214" s="138">
        <v>48</v>
      </c>
      <c r="P214" s="138">
        <v>168</v>
      </c>
      <c r="Q214" s="138">
        <v>0</v>
      </c>
      <c r="R214" s="140"/>
      <c r="S214" s="138">
        <v>69</v>
      </c>
      <c r="T214" s="138">
        <v>0</v>
      </c>
      <c r="U214" s="138">
        <v>0</v>
      </c>
      <c r="V214" s="138">
        <v>0</v>
      </c>
      <c r="W214" s="140"/>
      <c r="X214" s="138">
        <v>152</v>
      </c>
      <c r="Y214" s="138">
        <v>0</v>
      </c>
      <c r="Z214" s="138">
        <v>0</v>
      </c>
      <c r="AA214" s="138">
        <v>0</v>
      </c>
      <c r="AB214" s="140"/>
      <c r="AC214" s="138">
        <v>41063</v>
      </c>
      <c r="AD214" s="138">
        <v>0</v>
      </c>
      <c r="AE214" s="138">
        <v>0</v>
      </c>
      <c r="AF214" s="140"/>
      <c r="AG214" s="141">
        <f>'form A info'!$AK155/1000</f>
        <v>220.214</v>
      </c>
    </row>
    <row r="215" spans="1:33" x14ac:dyDescent="0.2">
      <c r="A215" s="134">
        <v>4771</v>
      </c>
      <c r="B215" s="134" t="s">
        <v>674</v>
      </c>
      <c r="C215" s="142" t="str">
        <f>'form A info'!G157</f>
        <v>n</v>
      </c>
      <c r="D215" s="138">
        <v>0</v>
      </c>
      <c r="E215" s="138">
        <v>185</v>
      </c>
      <c r="F215" s="138">
        <v>268</v>
      </c>
      <c r="G215" s="138">
        <v>48</v>
      </c>
      <c r="H215" s="139"/>
      <c r="I215" s="138">
        <v>0</v>
      </c>
      <c r="J215" s="138">
        <v>6</v>
      </c>
      <c r="K215" s="138">
        <v>11</v>
      </c>
      <c r="L215" s="138">
        <v>11</v>
      </c>
      <c r="M215" s="139"/>
      <c r="N215" s="138">
        <v>0</v>
      </c>
      <c r="O215" s="138">
        <v>34</v>
      </c>
      <c r="P215" s="138">
        <v>24</v>
      </c>
      <c r="Q215" s="138">
        <v>0</v>
      </c>
      <c r="R215" s="140"/>
      <c r="S215" s="138">
        <v>0</v>
      </c>
      <c r="T215" s="138">
        <v>0</v>
      </c>
      <c r="U215" s="138">
        <v>0</v>
      </c>
      <c r="V215" s="138">
        <v>0</v>
      </c>
      <c r="W215" s="140"/>
      <c r="X215" s="138">
        <v>0</v>
      </c>
      <c r="Y215" s="138">
        <v>0</v>
      </c>
      <c r="Z215" s="138">
        <v>0</v>
      </c>
      <c r="AA215" s="138">
        <v>0</v>
      </c>
      <c r="AB215" s="140"/>
      <c r="AC215" s="138">
        <v>31510</v>
      </c>
      <c r="AD215" s="138">
        <v>0</v>
      </c>
      <c r="AE215" s="138">
        <v>0</v>
      </c>
      <c r="AF215" s="140"/>
      <c r="AG215" s="141">
        <f>'form A info'!$AK157/1000</f>
        <v>289.21899999999999</v>
      </c>
    </row>
    <row r="216" spans="1:33" x14ac:dyDescent="0.2">
      <c r="A216" s="134">
        <v>2905</v>
      </c>
      <c r="B216" s="134" t="s">
        <v>314</v>
      </c>
      <c r="C216" s="142" t="str">
        <f>'form A info'!G168</f>
        <v>n</v>
      </c>
      <c r="D216" s="138">
        <v>33</v>
      </c>
      <c r="E216" s="138">
        <v>314</v>
      </c>
      <c r="F216" s="138">
        <v>45</v>
      </c>
      <c r="G216" s="138">
        <v>10</v>
      </c>
      <c r="H216" s="139"/>
      <c r="I216" s="138"/>
      <c r="J216" s="138"/>
      <c r="K216" s="138"/>
      <c r="L216" s="138">
        <v>1</v>
      </c>
      <c r="M216" s="139"/>
      <c r="N216" s="138"/>
      <c r="O216" s="138"/>
      <c r="P216" s="138"/>
      <c r="Q216" s="138"/>
      <c r="R216" s="140"/>
      <c r="S216" s="138"/>
      <c r="T216" s="138"/>
      <c r="U216" s="138"/>
      <c r="V216" s="138"/>
      <c r="W216" s="140"/>
      <c r="X216" s="138"/>
      <c r="Y216" s="138"/>
      <c r="Z216" s="138"/>
      <c r="AA216" s="138"/>
      <c r="AB216" s="140"/>
      <c r="AC216" s="138"/>
      <c r="AD216" s="138"/>
      <c r="AE216" s="138"/>
      <c r="AF216" s="140"/>
      <c r="AG216" s="141">
        <f>'form A info'!$AK168/1000</f>
        <v>144.386</v>
      </c>
    </row>
    <row r="217" spans="1:33" x14ac:dyDescent="0.2">
      <c r="A217" s="134">
        <v>1625</v>
      </c>
      <c r="B217" s="134" t="s">
        <v>317</v>
      </c>
      <c r="C217" s="142" t="str">
        <f>'form A info'!G170</f>
        <v>n</v>
      </c>
      <c r="D217" s="138">
        <v>0</v>
      </c>
      <c r="E217" s="138">
        <v>0</v>
      </c>
      <c r="F217" s="138">
        <v>232</v>
      </c>
      <c r="G217" s="138">
        <v>-25</v>
      </c>
      <c r="H217" s="139"/>
      <c r="I217" s="138">
        <v>0</v>
      </c>
      <c r="J217" s="138">
        <v>0</v>
      </c>
      <c r="K217" s="138">
        <v>1</v>
      </c>
      <c r="L217" s="138">
        <v>0</v>
      </c>
      <c r="M217" s="139"/>
      <c r="N217" s="138">
        <v>0</v>
      </c>
      <c r="O217" s="138">
        <v>0</v>
      </c>
      <c r="P217" s="138">
        <v>2</v>
      </c>
      <c r="Q217" s="138">
        <v>20</v>
      </c>
      <c r="R217" s="140"/>
      <c r="S217" s="138">
        <v>0</v>
      </c>
      <c r="T217" s="138">
        <v>0</v>
      </c>
      <c r="U217" s="138">
        <v>0</v>
      </c>
      <c r="V217" s="138">
        <v>0</v>
      </c>
      <c r="W217" s="140"/>
      <c r="X217" s="138">
        <v>35</v>
      </c>
      <c r="Y217" s="138">
        <v>0</v>
      </c>
      <c r="Z217" s="138">
        <v>0</v>
      </c>
      <c r="AA217" s="138">
        <v>0</v>
      </c>
      <c r="AB217" s="140"/>
      <c r="AC217" s="138">
        <v>24500</v>
      </c>
      <c r="AD217" s="138">
        <v>0</v>
      </c>
      <c r="AE217" s="138">
        <v>0</v>
      </c>
      <c r="AF217" s="140"/>
      <c r="AG217" s="141">
        <f>'form A info'!$AK170/1000</f>
        <v>0</v>
      </c>
    </row>
    <row r="218" spans="1:33" x14ac:dyDescent="0.2">
      <c r="B218" s="137" t="s">
        <v>323</v>
      </c>
      <c r="C218" s="142" t="str">
        <f>'form A info'!G174</f>
        <v>n</v>
      </c>
      <c r="D218" s="138"/>
      <c r="E218" s="138"/>
      <c r="F218" s="138"/>
      <c r="G218" s="138"/>
      <c r="H218" s="139"/>
      <c r="I218" s="138"/>
      <c r="J218" s="138"/>
      <c r="K218" s="138"/>
      <c r="L218" s="138"/>
      <c r="M218" s="139"/>
      <c r="N218" s="138"/>
      <c r="O218" s="138"/>
      <c r="P218" s="138"/>
      <c r="Q218" s="138"/>
      <c r="R218" s="140"/>
      <c r="S218" s="138"/>
      <c r="T218" s="138"/>
      <c r="U218" s="138"/>
      <c r="V218" s="138"/>
      <c r="W218" s="140"/>
      <c r="X218" s="138"/>
      <c r="Y218" s="138"/>
      <c r="Z218" s="138"/>
      <c r="AA218" s="138"/>
      <c r="AB218" s="140"/>
      <c r="AC218" s="138"/>
      <c r="AD218" s="138"/>
      <c r="AE218" s="138"/>
      <c r="AF218" s="140"/>
      <c r="AG218" s="141">
        <f>'form A info'!$AK174/1000</f>
        <v>1024.0409999999999</v>
      </c>
    </row>
    <row r="219" spans="1:33" x14ac:dyDescent="0.2">
      <c r="A219" s="134">
        <v>728</v>
      </c>
      <c r="B219" s="134" t="s">
        <v>331</v>
      </c>
      <c r="C219" s="142" t="str">
        <f>'form A info'!G177</f>
        <v>n</v>
      </c>
      <c r="D219" s="138">
        <v>0</v>
      </c>
      <c r="E219" s="138">
        <v>0</v>
      </c>
      <c r="F219" s="138">
        <v>30</v>
      </c>
      <c r="G219" s="138">
        <v>21</v>
      </c>
      <c r="H219" s="139"/>
      <c r="I219" s="138">
        <v>0</v>
      </c>
      <c r="J219" s="138">
        <v>0</v>
      </c>
      <c r="K219" s="138">
        <v>0</v>
      </c>
      <c r="L219" s="138">
        <v>5</v>
      </c>
      <c r="M219" s="139"/>
      <c r="N219" s="138">
        <v>0</v>
      </c>
      <c r="O219" s="138">
        <v>11</v>
      </c>
      <c r="P219" s="138">
        <v>0</v>
      </c>
      <c r="Q219" s="138">
        <v>1</v>
      </c>
      <c r="R219" s="140"/>
      <c r="S219" s="138">
        <v>0</v>
      </c>
      <c r="T219" s="138">
        <v>0</v>
      </c>
      <c r="U219" s="138">
        <v>0</v>
      </c>
      <c r="V219" s="138">
        <v>0</v>
      </c>
      <c r="W219" s="140"/>
      <c r="X219" s="138">
        <v>0</v>
      </c>
      <c r="Y219" s="138">
        <v>0</v>
      </c>
      <c r="Z219" s="138">
        <v>0</v>
      </c>
      <c r="AA219" s="138">
        <v>0</v>
      </c>
      <c r="AB219" s="140"/>
      <c r="AC219" s="138">
        <v>0</v>
      </c>
      <c r="AD219" s="138">
        <v>0</v>
      </c>
      <c r="AE219" s="138">
        <v>0</v>
      </c>
      <c r="AF219" s="140"/>
      <c r="AG219" s="141">
        <f>'form A info'!$AK177/1000</f>
        <v>0</v>
      </c>
    </row>
    <row r="220" spans="1:33" x14ac:dyDescent="0.2">
      <c r="A220" s="134">
        <v>9903</v>
      </c>
      <c r="B220" s="134" t="s">
        <v>335</v>
      </c>
      <c r="C220" s="142" t="str">
        <f>'form A info'!G178</f>
        <v>n</v>
      </c>
      <c r="D220" s="138">
        <v>0</v>
      </c>
      <c r="E220" s="138">
        <v>0</v>
      </c>
      <c r="F220" s="138">
        <v>223</v>
      </c>
      <c r="G220" s="138">
        <v>2</v>
      </c>
      <c r="H220" s="139"/>
      <c r="I220" s="138">
        <v>0</v>
      </c>
      <c r="J220" s="138">
        <v>0</v>
      </c>
      <c r="K220" s="138">
        <v>4</v>
      </c>
      <c r="L220" s="138">
        <v>0</v>
      </c>
      <c r="M220" s="139"/>
      <c r="N220" s="138">
        <v>0</v>
      </c>
      <c r="O220" s="138">
        <v>0</v>
      </c>
      <c r="P220" s="138">
        <v>52</v>
      </c>
      <c r="Q220" s="138">
        <v>9</v>
      </c>
      <c r="R220" s="140"/>
      <c r="S220" s="138">
        <v>0</v>
      </c>
      <c r="T220" s="138">
        <v>0</v>
      </c>
      <c r="U220" s="138">
        <v>0</v>
      </c>
      <c r="V220" s="138">
        <v>0</v>
      </c>
      <c r="W220" s="140"/>
      <c r="X220" s="138">
        <v>1</v>
      </c>
      <c r="Y220" s="138">
        <v>0</v>
      </c>
      <c r="Z220" s="138">
        <v>0</v>
      </c>
      <c r="AA220" s="138">
        <v>0</v>
      </c>
      <c r="AB220" s="140"/>
      <c r="AC220" s="138">
        <v>0</v>
      </c>
      <c r="AD220" s="138">
        <v>0</v>
      </c>
      <c r="AE220" s="138">
        <v>39651</v>
      </c>
      <c r="AF220" s="140"/>
      <c r="AG220" s="141">
        <f>'form A info'!$AK178/1000</f>
        <v>617.74599999999998</v>
      </c>
    </row>
    <row r="221" spans="1:33" x14ac:dyDescent="0.2">
      <c r="A221" s="134">
        <v>7314</v>
      </c>
      <c r="B221" s="134" t="s">
        <v>368</v>
      </c>
      <c r="C221" s="142" t="str">
        <f>'form A info'!G186</f>
        <v>n</v>
      </c>
      <c r="D221" s="138">
        <v>0</v>
      </c>
      <c r="E221" s="138">
        <v>0</v>
      </c>
      <c r="F221" s="138">
        <v>22</v>
      </c>
      <c r="G221" s="138">
        <v>4</v>
      </c>
      <c r="H221" s="139"/>
      <c r="I221" s="138">
        <v>0</v>
      </c>
      <c r="J221" s="138">
        <v>0</v>
      </c>
      <c r="K221" s="138">
        <v>0</v>
      </c>
      <c r="L221" s="138">
        <v>0</v>
      </c>
      <c r="M221" s="139"/>
      <c r="N221" s="138">
        <v>0</v>
      </c>
      <c r="O221" s="138">
        <v>16</v>
      </c>
      <c r="P221" s="138">
        <v>3</v>
      </c>
      <c r="Q221" s="138">
        <v>0</v>
      </c>
      <c r="R221" s="140"/>
      <c r="S221" s="138">
        <v>0</v>
      </c>
      <c r="T221" s="138">
        <v>0</v>
      </c>
      <c r="U221" s="138">
        <v>0</v>
      </c>
      <c r="V221" s="138">
        <v>0</v>
      </c>
      <c r="W221" s="140"/>
      <c r="X221" s="138">
        <v>0</v>
      </c>
      <c r="Y221" s="138">
        <v>0</v>
      </c>
      <c r="Z221" s="138">
        <v>0</v>
      </c>
      <c r="AA221" s="138">
        <v>0</v>
      </c>
      <c r="AB221" s="140"/>
      <c r="AC221" s="138">
        <v>0</v>
      </c>
      <c r="AD221" s="138">
        <v>0</v>
      </c>
      <c r="AE221" s="138">
        <v>0</v>
      </c>
      <c r="AF221" s="140"/>
      <c r="AG221" s="141">
        <f>'form A info'!$AK186/1000</f>
        <v>0</v>
      </c>
    </row>
    <row r="222" spans="1:33" x14ac:dyDescent="0.2">
      <c r="A222" s="134">
        <v>1904</v>
      </c>
      <c r="B222" s="134" t="s">
        <v>370</v>
      </c>
      <c r="C222" s="142" t="str">
        <f>'form A info'!G187</f>
        <v>n</v>
      </c>
      <c r="D222" s="138">
        <v>0</v>
      </c>
      <c r="E222" s="138">
        <v>0</v>
      </c>
      <c r="F222" s="138">
        <v>14</v>
      </c>
      <c r="G222" s="138">
        <v>3</v>
      </c>
      <c r="H222" s="139"/>
      <c r="I222" s="138">
        <v>0</v>
      </c>
      <c r="J222" s="138">
        <v>0</v>
      </c>
      <c r="K222" s="138">
        <v>0</v>
      </c>
      <c r="L222" s="138">
        <v>0</v>
      </c>
      <c r="M222" s="139"/>
      <c r="N222" s="138">
        <v>0</v>
      </c>
      <c r="O222" s="138">
        <v>3</v>
      </c>
      <c r="P222" s="138">
        <v>4</v>
      </c>
      <c r="Q222" s="138">
        <v>-1</v>
      </c>
      <c r="R222" s="140"/>
      <c r="S222" s="138">
        <v>0</v>
      </c>
      <c r="T222" s="138">
        <v>0</v>
      </c>
      <c r="U222" s="138">
        <v>0</v>
      </c>
      <c r="V222" s="138">
        <v>0</v>
      </c>
      <c r="W222" s="140"/>
      <c r="X222" s="138">
        <v>0</v>
      </c>
      <c r="Y222" s="138">
        <v>0</v>
      </c>
      <c r="Z222" s="138">
        <v>0</v>
      </c>
      <c r="AA222" s="138">
        <v>0</v>
      </c>
      <c r="AB222" s="140"/>
      <c r="AC222" s="138">
        <v>0</v>
      </c>
      <c r="AD222" s="138">
        <v>0</v>
      </c>
      <c r="AE222" s="138">
        <v>0</v>
      </c>
      <c r="AF222" s="140"/>
      <c r="AG222" s="141">
        <f>'form A info'!$AK187/1000</f>
        <v>0</v>
      </c>
    </row>
    <row r="223" spans="1:33" x14ac:dyDescent="0.2">
      <c r="A223" s="134">
        <v>1</v>
      </c>
      <c r="B223" s="134" t="s">
        <v>414</v>
      </c>
      <c r="C223" s="142" t="str">
        <f>'form A info'!G189</f>
        <v>n</v>
      </c>
      <c r="D223" s="138">
        <v>0</v>
      </c>
      <c r="E223" s="138">
        <v>0</v>
      </c>
      <c r="F223" s="138">
        <v>0</v>
      </c>
      <c r="G223" s="138">
        <v>0</v>
      </c>
      <c r="H223" s="139"/>
      <c r="I223" s="138">
        <v>0</v>
      </c>
      <c r="J223" s="138">
        <v>0</v>
      </c>
      <c r="K223" s="138">
        <v>0</v>
      </c>
      <c r="L223" s="138">
        <v>0</v>
      </c>
      <c r="M223" s="139"/>
      <c r="N223" s="138">
        <v>0</v>
      </c>
      <c r="O223" s="138">
        <v>0</v>
      </c>
      <c r="P223" s="138">
        <v>0</v>
      </c>
      <c r="Q223" s="138">
        <v>0</v>
      </c>
      <c r="R223" s="140"/>
      <c r="S223" s="138">
        <v>0</v>
      </c>
      <c r="T223" s="138">
        <v>0</v>
      </c>
      <c r="U223" s="138">
        <v>0</v>
      </c>
      <c r="V223" s="138">
        <v>0</v>
      </c>
      <c r="W223" s="140"/>
      <c r="X223" s="138">
        <v>0</v>
      </c>
      <c r="Y223" s="138">
        <v>0</v>
      </c>
      <c r="Z223" s="138">
        <v>0</v>
      </c>
      <c r="AA223" s="138">
        <v>0</v>
      </c>
      <c r="AB223" s="140"/>
      <c r="AC223" s="138">
        <v>0</v>
      </c>
      <c r="AD223" s="138">
        <v>0</v>
      </c>
      <c r="AE223" s="138">
        <v>0</v>
      </c>
      <c r="AF223" s="140"/>
      <c r="AG223" s="141">
        <f>'form A info'!$AK189/1000</f>
        <v>0</v>
      </c>
    </row>
    <row r="224" spans="1:33" x14ac:dyDescent="0.2">
      <c r="A224" s="134">
        <v>3805</v>
      </c>
      <c r="B224" s="134" t="s">
        <v>417</v>
      </c>
      <c r="C224" s="142" t="str">
        <f>'form A info'!G191</f>
        <v>n</v>
      </c>
      <c r="D224" s="138">
        <v>262</v>
      </c>
      <c r="E224" s="138">
        <v>261</v>
      </c>
      <c r="F224" s="138">
        <v>85</v>
      </c>
      <c r="G224" s="138">
        <v>0</v>
      </c>
      <c r="H224" s="139"/>
      <c r="I224" s="138">
        <v>0</v>
      </c>
      <c r="J224" s="138">
        <v>0</v>
      </c>
      <c r="K224" s="138">
        <v>0</v>
      </c>
      <c r="L224" s="138">
        <v>0</v>
      </c>
      <c r="M224" s="139"/>
      <c r="N224" s="138">
        <v>13</v>
      </c>
      <c r="O224" s="138">
        <v>9</v>
      </c>
      <c r="P224" s="138">
        <v>27</v>
      </c>
      <c r="Q224" s="138">
        <v>0</v>
      </c>
      <c r="R224" s="140"/>
      <c r="S224" s="138">
        <v>33</v>
      </c>
      <c r="T224" s="138">
        <v>0</v>
      </c>
      <c r="U224" s="138">
        <v>0</v>
      </c>
      <c r="V224" s="138">
        <v>0</v>
      </c>
      <c r="W224" s="140"/>
      <c r="X224" s="138">
        <v>66</v>
      </c>
      <c r="Y224" s="138">
        <v>2</v>
      </c>
      <c r="Z224" s="138">
        <v>0</v>
      </c>
      <c r="AA224" s="138">
        <v>0</v>
      </c>
      <c r="AB224" s="140"/>
      <c r="AC224" s="138">
        <v>0</v>
      </c>
      <c r="AD224" s="138">
        <v>0</v>
      </c>
      <c r="AE224" s="138">
        <v>0</v>
      </c>
      <c r="AF224" s="140"/>
      <c r="AG224" s="141">
        <f>'form A info'!$AK191/1000</f>
        <v>814.51</v>
      </c>
    </row>
    <row r="225" spans="1:33" x14ac:dyDescent="0.2">
      <c r="A225" s="134">
        <v>546</v>
      </c>
      <c r="B225" s="134" t="s">
        <v>425</v>
      </c>
      <c r="C225" s="142" t="str">
        <f>'form A info'!G194</f>
        <v>n</v>
      </c>
      <c r="D225" s="138">
        <v>0</v>
      </c>
      <c r="E225" s="138">
        <v>0</v>
      </c>
      <c r="F225" s="138">
        <v>12</v>
      </c>
      <c r="G225" s="138">
        <v>0</v>
      </c>
      <c r="H225" s="139"/>
      <c r="I225" s="138">
        <v>0</v>
      </c>
      <c r="J225" s="138">
        <v>0</v>
      </c>
      <c r="K225" s="138">
        <v>0</v>
      </c>
      <c r="L225" s="138">
        <v>0</v>
      </c>
      <c r="M225" s="139"/>
      <c r="N225" s="138">
        <v>0</v>
      </c>
      <c r="O225" s="138">
        <v>0</v>
      </c>
      <c r="P225" s="138">
        <v>0</v>
      </c>
      <c r="Q225" s="138">
        <v>6</v>
      </c>
      <c r="R225" s="140"/>
      <c r="S225" s="138">
        <v>0</v>
      </c>
      <c r="T225" s="138">
        <v>0</v>
      </c>
      <c r="U225" s="138">
        <v>0</v>
      </c>
      <c r="V225" s="138">
        <v>0</v>
      </c>
      <c r="W225" s="140"/>
      <c r="X225" s="138">
        <v>0</v>
      </c>
      <c r="Y225" s="138">
        <v>0</v>
      </c>
      <c r="Z225" s="138">
        <v>0</v>
      </c>
      <c r="AA225" s="138">
        <v>0</v>
      </c>
      <c r="AB225" s="140"/>
      <c r="AC225" s="138">
        <v>0</v>
      </c>
      <c r="AD225" s="138">
        <v>0</v>
      </c>
      <c r="AE225" s="138">
        <v>0</v>
      </c>
      <c r="AF225" s="140"/>
      <c r="AG225" s="141">
        <f>'form A info'!$AK194/1000</f>
        <v>0</v>
      </c>
    </row>
    <row r="226" spans="1:33" x14ac:dyDescent="0.2">
      <c r="A226" s="134">
        <v>4780</v>
      </c>
      <c r="B226" s="134" t="s">
        <v>426</v>
      </c>
      <c r="C226" s="142" t="str">
        <f>'form A info'!G195</f>
        <v>n</v>
      </c>
      <c r="D226" s="138"/>
      <c r="E226" s="138">
        <v>577</v>
      </c>
      <c r="F226" s="138">
        <v>-25</v>
      </c>
      <c r="G226" s="138">
        <v>16</v>
      </c>
      <c r="H226" s="139"/>
      <c r="I226" s="138"/>
      <c r="J226" s="138"/>
      <c r="K226" s="138">
        <v>13</v>
      </c>
      <c r="L226" s="138"/>
      <c r="M226" s="139"/>
      <c r="N226" s="138"/>
      <c r="O226" s="138">
        <v>22</v>
      </c>
      <c r="P226" s="138">
        <v>9</v>
      </c>
      <c r="Q226" s="138"/>
      <c r="R226" s="140"/>
      <c r="S226" s="138"/>
      <c r="T226" s="138"/>
      <c r="U226" s="138"/>
      <c r="V226" s="138"/>
      <c r="W226" s="140"/>
      <c r="X226" s="138"/>
      <c r="Y226" s="138"/>
      <c r="Z226" s="138"/>
      <c r="AA226" s="138"/>
      <c r="AB226" s="140"/>
      <c r="AC226" s="138"/>
      <c r="AD226" s="138"/>
      <c r="AE226" s="138"/>
      <c r="AF226" s="140"/>
      <c r="AG226" s="141">
        <f>'form A info'!$AK195/1000</f>
        <v>0</v>
      </c>
    </row>
    <row r="227" spans="1:33" x14ac:dyDescent="0.2">
      <c r="A227" s="134">
        <v>3625</v>
      </c>
      <c r="B227" s="134" t="s">
        <v>430</v>
      </c>
      <c r="C227" s="142" t="str">
        <f>'form A info'!G197</f>
        <v>n</v>
      </c>
      <c r="D227" s="138">
        <v>502</v>
      </c>
      <c r="E227" s="138">
        <v>646</v>
      </c>
      <c r="F227" s="138">
        <v>106</v>
      </c>
      <c r="G227" s="138">
        <v>0</v>
      </c>
      <c r="H227" s="139"/>
      <c r="I227" s="138">
        <v>0</v>
      </c>
      <c r="J227" s="138">
        <v>0</v>
      </c>
      <c r="K227" s="138">
        <v>0</v>
      </c>
      <c r="L227" s="138">
        <v>0</v>
      </c>
      <c r="M227" s="139"/>
      <c r="N227" s="138">
        <v>36</v>
      </c>
      <c r="O227" s="138">
        <v>44</v>
      </c>
      <c r="P227" s="138">
        <v>12</v>
      </c>
      <c r="Q227" s="138">
        <v>0</v>
      </c>
      <c r="R227" s="140"/>
      <c r="S227" s="138">
        <v>53</v>
      </c>
      <c r="T227" s="138">
        <v>0</v>
      </c>
      <c r="U227" s="138">
        <v>0</v>
      </c>
      <c r="V227" s="138">
        <v>0</v>
      </c>
      <c r="W227" s="140"/>
      <c r="X227" s="138">
        <v>89</v>
      </c>
      <c r="Y227" s="138">
        <v>1</v>
      </c>
      <c r="Z227" s="138">
        <v>0</v>
      </c>
      <c r="AA227" s="138">
        <v>0</v>
      </c>
      <c r="AB227" s="140"/>
      <c r="AC227" s="138">
        <v>0</v>
      </c>
      <c r="AD227" s="138">
        <v>0</v>
      </c>
      <c r="AE227" s="138">
        <v>0</v>
      </c>
      <c r="AF227" s="140"/>
      <c r="AG227" s="141">
        <f>'form A info'!$AK197/1000</f>
        <v>805.81500000000005</v>
      </c>
    </row>
    <row r="228" spans="1:33" x14ac:dyDescent="0.2">
      <c r="A228" s="134">
        <v>2</v>
      </c>
      <c r="B228" s="134" t="s">
        <v>432</v>
      </c>
      <c r="C228" s="142" t="str">
        <f>'form A info'!G198</f>
        <v>n</v>
      </c>
      <c r="D228" s="138">
        <v>0</v>
      </c>
      <c r="E228" s="138">
        <v>0</v>
      </c>
      <c r="F228" s="138">
        <v>0</v>
      </c>
      <c r="G228" s="138">
        <v>0</v>
      </c>
      <c r="H228" s="139"/>
      <c r="I228" s="138">
        <v>0</v>
      </c>
      <c r="J228" s="138">
        <v>0</v>
      </c>
      <c r="K228" s="138">
        <v>0</v>
      </c>
      <c r="L228" s="138">
        <v>0</v>
      </c>
      <c r="M228" s="139"/>
      <c r="N228" s="138">
        <v>0</v>
      </c>
      <c r="O228" s="138">
        <v>0</v>
      </c>
      <c r="P228" s="138">
        <v>0</v>
      </c>
      <c r="Q228" s="138">
        <v>0</v>
      </c>
      <c r="R228" s="140"/>
      <c r="S228" s="138">
        <v>0</v>
      </c>
      <c r="T228" s="138">
        <v>0</v>
      </c>
      <c r="U228" s="138">
        <v>0</v>
      </c>
      <c r="V228" s="138">
        <v>0</v>
      </c>
      <c r="W228" s="140"/>
      <c r="X228" s="138">
        <v>0</v>
      </c>
      <c r="Y228" s="138">
        <v>0</v>
      </c>
      <c r="Z228" s="138">
        <v>0</v>
      </c>
      <c r="AA228" s="138">
        <v>0</v>
      </c>
      <c r="AB228" s="140"/>
      <c r="AC228" s="138">
        <v>0</v>
      </c>
      <c r="AD228" s="138">
        <v>0</v>
      </c>
      <c r="AE228" s="138">
        <v>0</v>
      </c>
      <c r="AF228" s="140"/>
      <c r="AG228" s="141">
        <f>'form A info'!$AK198/1000</f>
        <v>0</v>
      </c>
    </row>
    <row r="229" spans="1:33" x14ac:dyDescent="0.2">
      <c r="A229" s="134">
        <v>3824</v>
      </c>
      <c r="B229" s="134" t="s">
        <v>675</v>
      </c>
      <c r="C229" s="142" t="str">
        <f>'form A info'!G199</f>
        <v>n</v>
      </c>
      <c r="D229" s="138">
        <v>0</v>
      </c>
      <c r="E229" s="138">
        <v>0</v>
      </c>
      <c r="F229" s="138">
        <v>362</v>
      </c>
      <c r="G229" s="138">
        <v>21</v>
      </c>
      <c r="H229" s="139"/>
      <c r="I229" s="138">
        <v>0</v>
      </c>
      <c r="J229" s="138">
        <v>0</v>
      </c>
      <c r="K229" s="138">
        <v>0</v>
      </c>
      <c r="L229" s="138">
        <v>0</v>
      </c>
      <c r="M229" s="139"/>
      <c r="N229" s="138">
        <v>0</v>
      </c>
      <c r="O229" s="138">
        <v>0</v>
      </c>
      <c r="P229" s="138">
        <v>7</v>
      </c>
      <c r="Q229" s="138">
        <v>23</v>
      </c>
      <c r="R229" s="140"/>
      <c r="S229" s="138">
        <v>0</v>
      </c>
      <c r="T229" s="138">
        <v>0</v>
      </c>
      <c r="U229" s="138">
        <v>0</v>
      </c>
      <c r="V229" s="138">
        <v>0</v>
      </c>
      <c r="W229" s="140"/>
      <c r="X229" s="138">
        <v>0</v>
      </c>
      <c r="Y229" s="138">
        <v>0</v>
      </c>
      <c r="Z229" s="138">
        <v>0</v>
      </c>
      <c r="AA229" s="138">
        <v>0</v>
      </c>
      <c r="AB229" s="140"/>
      <c r="AC229" s="138">
        <v>0</v>
      </c>
      <c r="AD229" s="138">
        <v>0</v>
      </c>
      <c r="AE229" s="138">
        <v>0</v>
      </c>
      <c r="AF229" s="140"/>
      <c r="AG229" s="141">
        <f>'form A info'!$AK199/1000</f>
        <v>0</v>
      </c>
    </row>
    <row r="230" spans="1:33" x14ac:dyDescent="0.2">
      <c r="A230" s="134">
        <v>3894</v>
      </c>
      <c r="B230" s="134" t="s">
        <v>676</v>
      </c>
      <c r="C230" s="142" t="str">
        <f>'form A info'!G200</f>
        <v>n</v>
      </c>
      <c r="D230" s="138">
        <v>0</v>
      </c>
      <c r="E230" s="138">
        <v>0</v>
      </c>
      <c r="F230" s="138">
        <v>0</v>
      </c>
      <c r="G230" s="138">
        <v>356</v>
      </c>
      <c r="H230" s="139"/>
      <c r="I230" s="138">
        <v>0</v>
      </c>
      <c r="J230" s="138">
        <v>0</v>
      </c>
      <c r="K230" s="138">
        <v>0</v>
      </c>
      <c r="L230" s="138">
        <v>0</v>
      </c>
      <c r="M230" s="139"/>
      <c r="N230" s="138">
        <v>0</v>
      </c>
      <c r="O230" s="138">
        <v>0</v>
      </c>
      <c r="P230" s="138">
        <v>0</v>
      </c>
      <c r="Q230" s="138">
        <v>18</v>
      </c>
      <c r="R230" s="140"/>
      <c r="S230" s="138">
        <v>0</v>
      </c>
      <c r="T230" s="138">
        <v>0</v>
      </c>
      <c r="U230" s="138">
        <v>0</v>
      </c>
      <c r="V230" s="138">
        <v>0</v>
      </c>
      <c r="W230" s="140"/>
      <c r="X230" s="138">
        <v>0</v>
      </c>
      <c r="Y230" s="138">
        <v>0</v>
      </c>
      <c r="Z230" s="138">
        <v>0</v>
      </c>
      <c r="AA230" s="138">
        <v>0</v>
      </c>
      <c r="AB230" s="140"/>
      <c r="AC230" s="138">
        <v>0</v>
      </c>
      <c r="AD230" s="138">
        <v>0</v>
      </c>
      <c r="AE230" s="138">
        <v>0</v>
      </c>
      <c r="AF230" s="140"/>
      <c r="AG230" s="141">
        <f>'form A info'!$AK200/1000</f>
        <v>0</v>
      </c>
    </row>
    <row r="231" spans="1:33" x14ac:dyDescent="0.2">
      <c r="A231" s="134">
        <v>3632</v>
      </c>
      <c r="B231" s="134" t="s">
        <v>436</v>
      </c>
      <c r="C231" s="142" t="str">
        <f>'form A info'!G201</f>
        <v>n</v>
      </c>
      <c r="D231" s="138">
        <v>381</v>
      </c>
      <c r="E231" s="138">
        <v>0</v>
      </c>
      <c r="F231" s="138">
        <v>398</v>
      </c>
      <c r="G231" s="138">
        <v>19</v>
      </c>
      <c r="H231" s="139"/>
      <c r="I231" s="138">
        <v>203</v>
      </c>
      <c r="J231" s="138">
        <v>0</v>
      </c>
      <c r="K231" s="138">
        <v>9</v>
      </c>
      <c r="L231" s="138">
        <v>4</v>
      </c>
      <c r="M231" s="139"/>
      <c r="N231" s="138">
        <v>28</v>
      </c>
      <c r="O231" s="138">
        <v>0</v>
      </c>
      <c r="P231" s="138">
        <v>20</v>
      </c>
      <c r="Q231" s="138">
        <v>0</v>
      </c>
      <c r="R231" s="140"/>
      <c r="S231" s="138">
        <v>130</v>
      </c>
      <c r="T231" s="138">
        <v>0</v>
      </c>
      <c r="U231" s="138">
        <v>0</v>
      </c>
      <c r="V231" s="138">
        <v>0</v>
      </c>
      <c r="W231" s="140"/>
      <c r="X231" s="138">
        <v>183</v>
      </c>
      <c r="Y231" s="138">
        <v>0</v>
      </c>
      <c r="Z231" s="138">
        <v>0</v>
      </c>
      <c r="AA231" s="138">
        <v>0</v>
      </c>
      <c r="AB231" s="140"/>
      <c r="AC231" s="138">
        <v>0</v>
      </c>
      <c r="AD231" s="138">
        <v>0</v>
      </c>
      <c r="AE231" s="138">
        <v>54700</v>
      </c>
      <c r="AF231" s="140"/>
      <c r="AG231" s="141">
        <f>'form A info'!$AK201/1000</f>
        <v>0</v>
      </c>
    </row>
    <row r="232" spans="1:33" x14ac:dyDescent="0.2">
      <c r="A232" s="134">
        <v>3635</v>
      </c>
      <c r="B232" s="134" t="s">
        <v>438</v>
      </c>
      <c r="C232" s="142" t="str">
        <f>'form A info'!G202</f>
        <v>n</v>
      </c>
      <c r="D232" s="138">
        <v>-29</v>
      </c>
      <c r="E232" s="138">
        <v>1972</v>
      </c>
      <c r="F232" s="138">
        <v>709</v>
      </c>
      <c r="G232" s="138">
        <v>1</v>
      </c>
      <c r="H232" s="139"/>
      <c r="I232" s="138">
        <v>0</v>
      </c>
      <c r="J232" s="138">
        <v>0</v>
      </c>
      <c r="K232" s="138">
        <v>0</v>
      </c>
      <c r="L232" s="138">
        <v>1</v>
      </c>
      <c r="M232" s="139"/>
      <c r="N232" s="138">
        <v>0</v>
      </c>
      <c r="O232" s="138">
        <v>34</v>
      </c>
      <c r="P232" s="138">
        <v>20</v>
      </c>
      <c r="Q232" s="138">
        <v>0</v>
      </c>
      <c r="R232" s="140"/>
      <c r="S232" s="138">
        <v>0</v>
      </c>
      <c r="T232" s="138">
        <v>0</v>
      </c>
      <c r="U232" s="138">
        <v>0</v>
      </c>
      <c r="V232" s="138">
        <v>0</v>
      </c>
      <c r="W232" s="140"/>
      <c r="X232" s="138">
        <v>0</v>
      </c>
      <c r="Y232" s="138">
        <v>0</v>
      </c>
      <c r="Z232" s="138">
        <v>0</v>
      </c>
      <c r="AA232" s="138">
        <v>0</v>
      </c>
      <c r="AB232" s="140"/>
      <c r="AC232" s="138">
        <v>0</v>
      </c>
      <c r="AD232" s="138">
        <v>0</v>
      </c>
      <c r="AE232" s="138">
        <v>0</v>
      </c>
      <c r="AF232" s="140"/>
      <c r="AG232" s="141">
        <f>'form A info'!$AK202/1000</f>
        <v>429.721</v>
      </c>
    </row>
    <row r="233" spans="1:33" x14ac:dyDescent="0.2">
      <c r="A233" s="134">
        <v>4772</v>
      </c>
      <c r="B233" s="134" t="s">
        <v>442</v>
      </c>
      <c r="C233" s="142" t="str">
        <f>'form A info'!G205</f>
        <v>n</v>
      </c>
      <c r="D233" s="138">
        <v>0</v>
      </c>
      <c r="E233" s="138">
        <v>458</v>
      </c>
      <c r="F233" s="138">
        <v>299</v>
      </c>
      <c r="G233" s="138">
        <v>1</v>
      </c>
      <c r="H233" s="139"/>
      <c r="I233" s="138">
        <v>0</v>
      </c>
      <c r="J233" s="138">
        <v>37</v>
      </c>
      <c r="K233" s="138">
        <v>7</v>
      </c>
      <c r="L233" s="138">
        <v>0</v>
      </c>
      <c r="M233" s="139"/>
      <c r="N233" s="138">
        <v>0</v>
      </c>
      <c r="O233" s="138">
        <v>75</v>
      </c>
      <c r="P233" s="138">
        <v>32</v>
      </c>
      <c r="Q233" s="138">
        <v>0</v>
      </c>
      <c r="R233" s="140"/>
      <c r="S233" s="138">
        <v>0</v>
      </c>
      <c r="T233" s="138">
        <v>0</v>
      </c>
      <c r="U233" s="138">
        <v>0</v>
      </c>
      <c r="V233" s="138">
        <v>0</v>
      </c>
      <c r="W233" s="140"/>
      <c r="X233" s="138">
        <v>0</v>
      </c>
      <c r="Y233" s="138">
        <v>1</v>
      </c>
      <c r="Z233" s="138">
        <v>0</v>
      </c>
      <c r="AA233" s="138">
        <v>0</v>
      </c>
      <c r="AB233" s="140"/>
      <c r="AC233" s="138">
        <v>0</v>
      </c>
      <c r="AD233" s="138">
        <v>0</v>
      </c>
      <c r="AE233" s="138">
        <v>0</v>
      </c>
      <c r="AF233" s="140"/>
      <c r="AG233" s="141">
        <f>'form A info'!$AK205/1000</f>
        <v>290.80695000000003</v>
      </c>
    </row>
    <row r="234" spans="1:33" x14ac:dyDescent="0.2">
      <c r="A234" s="134">
        <v>4778</v>
      </c>
      <c r="B234" s="134" t="s">
        <v>454</v>
      </c>
      <c r="C234" s="142" t="str">
        <f>'form A info'!G207</f>
        <v>n</v>
      </c>
      <c r="D234" s="138"/>
      <c r="E234" s="138">
        <v>548</v>
      </c>
      <c r="F234" s="138">
        <v>-79</v>
      </c>
      <c r="G234" s="138">
        <v>7</v>
      </c>
      <c r="H234" s="139"/>
      <c r="I234" s="138"/>
      <c r="J234" s="138"/>
      <c r="K234" s="138">
        <v>3</v>
      </c>
      <c r="L234" s="138"/>
      <c r="M234" s="139"/>
      <c r="N234" s="138"/>
      <c r="O234" s="138">
        <v>39</v>
      </c>
      <c r="P234" s="138">
        <v>5</v>
      </c>
      <c r="Q234" s="138"/>
      <c r="R234" s="140"/>
      <c r="S234" s="138"/>
      <c r="T234" s="138"/>
      <c r="U234" s="138"/>
      <c r="V234" s="138"/>
      <c r="W234" s="140"/>
      <c r="X234" s="138"/>
      <c r="Y234" s="138"/>
      <c r="Z234" s="138"/>
      <c r="AA234" s="138"/>
      <c r="AB234" s="140"/>
      <c r="AC234" s="138"/>
      <c r="AD234" s="138"/>
      <c r="AE234" s="138"/>
      <c r="AF234" s="140"/>
      <c r="AG234" s="141">
        <f>'form A info'!$AK207/1000</f>
        <v>0</v>
      </c>
    </row>
    <row r="235" spans="1:33" x14ac:dyDescent="0.2">
      <c r="A235" s="134">
        <v>3892</v>
      </c>
      <c r="B235" s="134" t="s">
        <v>457</v>
      </c>
      <c r="C235" s="142" t="str">
        <f>'form A info'!G209</f>
        <v>n</v>
      </c>
      <c r="D235" s="138">
        <v>21</v>
      </c>
      <c r="E235" s="138">
        <v>0</v>
      </c>
      <c r="F235" s="138">
        <v>28</v>
      </c>
      <c r="G235" s="138">
        <v>2</v>
      </c>
      <c r="H235" s="139"/>
      <c r="I235" s="138">
        <v>0</v>
      </c>
      <c r="J235" s="138">
        <v>0</v>
      </c>
      <c r="K235" s="138">
        <v>0</v>
      </c>
      <c r="L235" s="138">
        <v>0</v>
      </c>
      <c r="M235" s="139"/>
      <c r="N235" s="138">
        <v>0</v>
      </c>
      <c r="O235" s="138">
        <v>0</v>
      </c>
      <c r="P235" s="138">
        <v>7</v>
      </c>
      <c r="Q235" s="138">
        <v>0</v>
      </c>
      <c r="R235" s="140"/>
      <c r="S235" s="138">
        <v>0</v>
      </c>
      <c r="T235" s="138">
        <v>0</v>
      </c>
      <c r="U235" s="138">
        <v>0</v>
      </c>
      <c r="V235" s="138">
        <v>0</v>
      </c>
      <c r="W235" s="140"/>
      <c r="X235" s="138">
        <v>0</v>
      </c>
      <c r="Y235" s="138">
        <v>0</v>
      </c>
      <c r="Z235" s="138">
        <v>0</v>
      </c>
      <c r="AA235" s="138">
        <v>0</v>
      </c>
      <c r="AB235" s="140"/>
      <c r="AC235" s="138">
        <v>3746</v>
      </c>
      <c r="AD235" s="138">
        <v>0</v>
      </c>
      <c r="AE235" s="138">
        <v>49046</v>
      </c>
      <c r="AF235" s="140"/>
      <c r="AG235" s="141">
        <f>'form A info'!$AK209/1000</f>
        <v>98.281000000000006</v>
      </c>
    </row>
    <row r="236" spans="1:33" x14ac:dyDescent="0.2">
      <c r="A236" s="134">
        <v>4777</v>
      </c>
      <c r="B236" s="134" t="s">
        <v>461</v>
      </c>
      <c r="C236" s="142" t="str">
        <f>'form A info'!G210</f>
        <v>n</v>
      </c>
      <c r="D236" s="138"/>
      <c r="E236" s="138">
        <v>508</v>
      </c>
      <c r="F236" s="138">
        <v>-47</v>
      </c>
      <c r="G236" s="138">
        <v>8</v>
      </c>
      <c r="H236" s="139"/>
      <c r="I236" s="138"/>
      <c r="J236" s="138"/>
      <c r="K236" s="138">
        <v>3</v>
      </c>
      <c r="L236" s="138"/>
      <c r="M236" s="139"/>
      <c r="N236" s="138"/>
      <c r="O236" s="138">
        <v>53</v>
      </c>
      <c r="P236" s="138">
        <v>6</v>
      </c>
      <c r="Q236" s="138"/>
      <c r="R236" s="140"/>
      <c r="S236" s="138"/>
      <c r="T236" s="138"/>
      <c r="U236" s="138"/>
      <c r="V236" s="138"/>
      <c r="W236" s="140"/>
      <c r="X236" s="138"/>
      <c r="Y236" s="138"/>
      <c r="Z236" s="138"/>
      <c r="AA236" s="138"/>
      <c r="AB236" s="140"/>
      <c r="AC236" s="138"/>
      <c r="AD236" s="138"/>
      <c r="AE236" s="138"/>
      <c r="AF236" s="140"/>
      <c r="AG236" s="141">
        <f>'form A info'!$AK210/1000</f>
        <v>0</v>
      </c>
    </row>
    <row r="237" spans="1:33" x14ac:dyDescent="0.2">
      <c r="A237" s="134">
        <v>3633</v>
      </c>
      <c r="B237" s="134" t="s">
        <v>481</v>
      </c>
      <c r="C237" s="142" t="str">
        <f>'form A info'!G221</f>
        <v>n</v>
      </c>
      <c r="D237" s="138">
        <v>147</v>
      </c>
      <c r="E237" s="138">
        <v>112</v>
      </c>
      <c r="F237" s="138">
        <v>6</v>
      </c>
      <c r="G237" s="138">
        <v>0</v>
      </c>
      <c r="H237" s="139"/>
      <c r="I237" s="138">
        <v>0</v>
      </c>
      <c r="J237" s="138">
        <v>0</v>
      </c>
      <c r="K237" s="138">
        <v>0</v>
      </c>
      <c r="L237" s="138">
        <v>0</v>
      </c>
      <c r="M237" s="139"/>
      <c r="N237" s="138">
        <v>0</v>
      </c>
      <c r="O237" s="138">
        <v>23</v>
      </c>
      <c r="P237" s="138">
        <v>0</v>
      </c>
      <c r="Q237" s="138">
        <v>0</v>
      </c>
      <c r="R237" s="140"/>
      <c r="S237" s="138">
        <v>1</v>
      </c>
      <c r="T237" s="138">
        <v>0</v>
      </c>
      <c r="U237" s="138">
        <v>0</v>
      </c>
      <c r="V237" s="138">
        <v>0</v>
      </c>
      <c r="W237" s="140"/>
      <c r="X237" s="138">
        <v>0</v>
      </c>
      <c r="Y237" s="138">
        <v>0</v>
      </c>
      <c r="Z237" s="138">
        <v>0</v>
      </c>
      <c r="AA237" s="138">
        <v>0</v>
      </c>
      <c r="AB237" s="140"/>
      <c r="AC237" s="138">
        <v>0</v>
      </c>
      <c r="AD237" s="138">
        <v>0</v>
      </c>
      <c r="AE237" s="138">
        <v>0</v>
      </c>
      <c r="AF237" s="140"/>
      <c r="AG237" s="141">
        <f>'form A info'!$AK221/1000</f>
        <v>0</v>
      </c>
    </row>
    <row r="238" spans="1:33" x14ac:dyDescent="0.2">
      <c r="A238" s="134">
        <v>4840</v>
      </c>
      <c r="B238" s="134" t="s">
        <v>484</v>
      </c>
      <c r="C238" s="142" t="str">
        <f>'form A info'!G223</f>
        <v>n</v>
      </c>
      <c r="D238" s="138">
        <v>421</v>
      </c>
      <c r="E238" s="138">
        <v>1026</v>
      </c>
      <c r="F238" s="138">
        <v>238</v>
      </c>
      <c r="G238" s="138">
        <v>0</v>
      </c>
      <c r="H238" s="139"/>
      <c r="I238" s="138">
        <v>0</v>
      </c>
      <c r="J238" s="138">
        <v>0</v>
      </c>
      <c r="K238" s="138">
        <v>0</v>
      </c>
      <c r="L238" s="138">
        <v>0</v>
      </c>
      <c r="M238" s="139"/>
      <c r="N238" s="138">
        <v>0</v>
      </c>
      <c r="O238" s="138">
        <v>199</v>
      </c>
      <c r="P238" s="138">
        <v>25</v>
      </c>
      <c r="Q238" s="138">
        <v>0</v>
      </c>
      <c r="R238" s="140"/>
      <c r="S238" s="138">
        <v>0</v>
      </c>
      <c r="T238" s="138">
        <v>0</v>
      </c>
      <c r="U238" s="138">
        <v>0</v>
      </c>
      <c r="V238" s="138">
        <v>0</v>
      </c>
      <c r="W238" s="140"/>
      <c r="X238" s="138">
        <v>90</v>
      </c>
      <c r="Y238" s="138">
        <v>0</v>
      </c>
      <c r="Z238" s="138">
        <v>0</v>
      </c>
      <c r="AA238" s="138">
        <v>0</v>
      </c>
      <c r="AB238" s="140"/>
      <c r="AC238" s="138">
        <v>0</v>
      </c>
      <c r="AD238" s="138">
        <v>360068</v>
      </c>
      <c r="AE238" s="138">
        <v>0</v>
      </c>
      <c r="AF238" s="140"/>
      <c r="AG238" s="141">
        <f>'form A info'!$AK223/1000</f>
        <v>52.222000000000001</v>
      </c>
    </row>
    <row r="239" spans="1:33" x14ac:dyDescent="0.2">
      <c r="A239" s="134">
        <v>3951</v>
      </c>
      <c r="B239" s="134" t="s">
        <v>493</v>
      </c>
      <c r="C239" s="142" t="str">
        <f>'form A info'!G227</f>
        <v>n</v>
      </c>
      <c r="D239" s="138">
        <v>115</v>
      </c>
      <c r="E239" s="138">
        <v>0</v>
      </c>
      <c r="F239" s="138">
        <v>67</v>
      </c>
      <c r="G239" s="138">
        <v>7</v>
      </c>
      <c r="H239" s="139"/>
      <c r="I239" s="138">
        <v>64</v>
      </c>
      <c r="J239" s="138">
        <v>24</v>
      </c>
      <c r="K239" s="138">
        <v>2</v>
      </c>
      <c r="L239" s="138">
        <v>0</v>
      </c>
      <c r="M239" s="139"/>
      <c r="N239" s="138">
        <v>32</v>
      </c>
      <c r="O239" s="138">
        <v>5</v>
      </c>
      <c r="P239" s="138">
        <v>12</v>
      </c>
      <c r="Q239" s="138">
        <v>1</v>
      </c>
      <c r="R239" s="140"/>
      <c r="S239" s="138">
        <v>108</v>
      </c>
      <c r="T239" s="138">
        <v>0</v>
      </c>
      <c r="U239" s="138">
        <v>0</v>
      </c>
      <c r="V239" s="138">
        <v>0</v>
      </c>
      <c r="W239" s="140"/>
      <c r="X239" s="138">
        <v>35</v>
      </c>
      <c r="Y239" s="138">
        <v>0</v>
      </c>
      <c r="Z239" s="138">
        <v>0</v>
      </c>
      <c r="AA239" s="138">
        <v>0</v>
      </c>
      <c r="AB239" s="140"/>
      <c r="AC239" s="138">
        <v>135688</v>
      </c>
      <c r="AD239" s="138">
        <v>0</v>
      </c>
      <c r="AE239" s="138">
        <v>0</v>
      </c>
      <c r="AF239" s="140"/>
      <c r="AG239" s="141">
        <f>'form A info'!$AK227/1000</f>
        <v>232.49700000000001</v>
      </c>
    </row>
    <row r="240" spans="1:33" x14ac:dyDescent="0.2">
      <c r="A240" s="134">
        <v>9711</v>
      </c>
      <c r="B240" s="134" t="s">
        <v>499</v>
      </c>
      <c r="C240" s="142" t="str">
        <f>'form A info'!G229</f>
        <v>n</v>
      </c>
      <c r="D240" s="138">
        <v>0</v>
      </c>
      <c r="E240" s="138">
        <v>0</v>
      </c>
      <c r="F240" s="138">
        <v>7</v>
      </c>
      <c r="G240" s="138">
        <v>-1</v>
      </c>
      <c r="H240" s="139"/>
      <c r="I240" s="138">
        <v>0</v>
      </c>
      <c r="J240" s="138">
        <v>0</v>
      </c>
      <c r="K240" s="138">
        <v>0</v>
      </c>
      <c r="L240" s="138">
        <v>0</v>
      </c>
      <c r="M240" s="139"/>
      <c r="N240" s="138">
        <v>0</v>
      </c>
      <c r="O240" s="138">
        <v>0</v>
      </c>
      <c r="P240" s="138">
        <v>0</v>
      </c>
      <c r="Q240" s="138">
        <v>0</v>
      </c>
      <c r="R240" s="140"/>
      <c r="S240" s="138">
        <v>0</v>
      </c>
      <c r="T240" s="138">
        <v>0</v>
      </c>
      <c r="U240" s="138">
        <v>0</v>
      </c>
      <c r="V240" s="138">
        <v>0</v>
      </c>
      <c r="W240" s="140"/>
      <c r="X240" s="138">
        <v>0</v>
      </c>
      <c r="Y240" s="138">
        <v>0</v>
      </c>
      <c r="Z240" s="138">
        <v>0</v>
      </c>
      <c r="AA240" s="138">
        <v>0</v>
      </c>
      <c r="AB240" s="140"/>
      <c r="AC240" s="138">
        <v>0</v>
      </c>
      <c r="AD240" s="138">
        <v>0</v>
      </c>
      <c r="AE240" s="138">
        <v>0</v>
      </c>
      <c r="AF240" s="140"/>
      <c r="AG240" s="141">
        <f>'form A info'!$AK229/1000</f>
        <v>66.807000000000002</v>
      </c>
    </row>
    <row r="241" spans="1:33" x14ac:dyDescent="0.2">
      <c r="A241" s="134">
        <v>9710</v>
      </c>
      <c r="B241" s="134" t="s">
        <v>507</v>
      </c>
      <c r="C241" s="142" t="str">
        <f>'form A info'!G232</f>
        <v>n</v>
      </c>
      <c r="D241" s="138">
        <v>0</v>
      </c>
      <c r="E241" s="138">
        <v>0</v>
      </c>
      <c r="F241" s="138">
        <v>225</v>
      </c>
      <c r="G241" s="138">
        <v>3</v>
      </c>
      <c r="H241" s="139"/>
      <c r="I241" s="138">
        <v>0</v>
      </c>
      <c r="J241" s="138">
        <v>0</v>
      </c>
      <c r="K241" s="138">
        <v>9</v>
      </c>
      <c r="L241" s="138">
        <v>0</v>
      </c>
      <c r="M241" s="139"/>
      <c r="N241" s="138">
        <v>0</v>
      </c>
      <c r="O241" s="138">
        <v>0</v>
      </c>
      <c r="P241" s="138">
        <v>18</v>
      </c>
      <c r="Q241" s="138">
        <v>0</v>
      </c>
      <c r="R241" s="140"/>
      <c r="S241" s="138">
        <v>0</v>
      </c>
      <c r="T241" s="138">
        <v>0</v>
      </c>
      <c r="U241" s="138">
        <v>0</v>
      </c>
      <c r="V241" s="138">
        <v>0</v>
      </c>
      <c r="W241" s="140"/>
      <c r="X241" s="138">
        <v>0</v>
      </c>
      <c r="Y241" s="138">
        <v>0</v>
      </c>
      <c r="Z241" s="138">
        <v>0</v>
      </c>
      <c r="AA241" s="138">
        <v>0</v>
      </c>
      <c r="AB241" s="140"/>
      <c r="AC241" s="138">
        <v>0</v>
      </c>
      <c r="AD241" s="138">
        <v>0</v>
      </c>
      <c r="AE241" s="138">
        <v>0</v>
      </c>
      <c r="AF241" s="140"/>
      <c r="AG241" s="141">
        <f>'form A info'!$AK232/1000</f>
        <v>590.524</v>
      </c>
    </row>
    <row r="242" spans="1:33" x14ac:dyDescent="0.2">
      <c r="A242" s="134">
        <v>4775</v>
      </c>
      <c r="B242" s="134" t="s">
        <v>513</v>
      </c>
      <c r="C242" s="142" t="str">
        <f>'form A info'!G235</f>
        <v>n</v>
      </c>
      <c r="D242" s="138"/>
      <c r="E242" s="138"/>
      <c r="F242" s="138">
        <v>110</v>
      </c>
      <c r="G242" s="138">
        <v>4</v>
      </c>
      <c r="H242" s="139"/>
      <c r="I242" s="138"/>
      <c r="J242" s="138"/>
      <c r="K242" s="138">
        <v>3</v>
      </c>
      <c r="L242" s="138">
        <v>1</v>
      </c>
      <c r="M242" s="139"/>
      <c r="N242" s="138">
        <v>0</v>
      </c>
      <c r="O242" s="138">
        <v>61</v>
      </c>
      <c r="P242" s="138">
        <v>6</v>
      </c>
      <c r="Q242" s="138"/>
      <c r="R242" s="140"/>
      <c r="S242" s="138"/>
      <c r="T242" s="138"/>
      <c r="U242" s="138"/>
      <c r="V242" s="138"/>
      <c r="W242" s="140"/>
      <c r="X242" s="138"/>
      <c r="Y242" s="138"/>
      <c r="Z242" s="138"/>
      <c r="AA242" s="138"/>
      <c r="AB242" s="140"/>
      <c r="AC242" s="138"/>
      <c r="AD242" s="138"/>
      <c r="AE242" s="138">
        <v>8607</v>
      </c>
      <c r="AF242" s="140"/>
      <c r="AG242" s="141">
        <f>'form A info'!$AK235/1000</f>
        <v>13.887</v>
      </c>
    </row>
    <row r="243" spans="1:33" x14ac:dyDescent="0.2">
      <c r="A243" s="134">
        <v>4316</v>
      </c>
      <c r="B243" s="134" t="s">
        <v>514</v>
      </c>
      <c r="C243" s="142" t="str">
        <f>'form A info'!G236</f>
        <v>n</v>
      </c>
      <c r="D243" s="138">
        <v>0</v>
      </c>
      <c r="E243" s="138">
        <v>0</v>
      </c>
      <c r="F243" s="138">
        <v>24</v>
      </c>
      <c r="G243" s="138">
        <v>0</v>
      </c>
      <c r="H243" s="139"/>
      <c r="I243" s="138">
        <v>0</v>
      </c>
      <c r="J243" s="138">
        <v>0</v>
      </c>
      <c r="K243" s="138">
        <v>0</v>
      </c>
      <c r="L243" s="138">
        <v>1</v>
      </c>
      <c r="M243" s="139"/>
      <c r="N243" s="138">
        <v>0</v>
      </c>
      <c r="O243" s="138">
        <v>8</v>
      </c>
      <c r="P243" s="138">
        <v>0</v>
      </c>
      <c r="Q243" s="138">
        <v>0</v>
      </c>
      <c r="R243" s="140"/>
      <c r="S243" s="138">
        <v>0</v>
      </c>
      <c r="T243" s="138">
        <v>0</v>
      </c>
      <c r="U243" s="138">
        <v>0</v>
      </c>
      <c r="V243" s="138">
        <v>0</v>
      </c>
      <c r="W243" s="140"/>
      <c r="X243" s="138">
        <v>0</v>
      </c>
      <c r="Y243" s="138">
        <v>0</v>
      </c>
      <c r="Z243" s="138">
        <v>0</v>
      </c>
      <c r="AA243" s="138">
        <v>0</v>
      </c>
      <c r="AB243" s="140"/>
      <c r="AC243" s="138">
        <v>0</v>
      </c>
      <c r="AD243" s="138">
        <v>0</v>
      </c>
      <c r="AE243" s="138">
        <v>0</v>
      </c>
      <c r="AF243" s="140"/>
      <c r="AG243" s="141">
        <f>'form A info'!$AK236/1000</f>
        <v>0</v>
      </c>
    </row>
    <row r="244" spans="1:33" x14ac:dyDescent="0.2">
      <c r="A244" s="134">
        <v>9270</v>
      </c>
      <c r="B244" s="134" t="s">
        <v>516</v>
      </c>
      <c r="C244" s="142" t="str">
        <f>'form A info'!G237</f>
        <v>n</v>
      </c>
      <c r="D244" s="138">
        <v>4</v>
      </c>
      <c r="E244" s="138">
        <v>314</v>
      </c>
      <c r="F244" s="138">
        <v>240</v>
      </c>
      <c r="G244" s="138">
        <v>66</v>
      </c>
      <c r="H244" s="139"/>
      <c r="I244" s="138">
        <v>0</v>
      </c>
      <c r="J244" s="138">
        <v>0</v>
      </c>
      <c r="K244" s="138">
        <v>2</v>
      </c>
      <c r="L244" s="138">
        <v>0</v>
      </c>
      <c r="M244" s="139"/>
      <c r="N244" s="138">
        <v>0</v>
      </c>
      <c r="O244" s="138">
        <v>0</v>
      </c>
      <c r="P244" s="138">
        <v>23</v>
      </c>
      <c r="Q244" s="138">
        <v>0</v>
      </c>
      <c r="R244" s="140"/>
      <c r="S244" s="138">
        <v>21</v>
      </c>
      <c r="T244" s="138">
        <v>0</v>
      </c>
      <c r="U244" s="138">
        <v>0</v>
      </c>
      <c r="V244" s="138">
        <v>0</v>
      </c>
      <c r="W244" s="140"/>
      <c r="X244" s="138">
        <v>0</v>
      </c>
      <c r="Y244" s="138">
        <v>0</v>
      </c>
      <c r="Z244" s="138">
        <v>0</v>
      </c>
      <c r="AA244" s="138">
        <v>0</v>
      </c>
      <c r="AB244" s="140"/>
      <c r="AC244" s="138">
        <v>0</v>
      </c>
      <c r="AD244" s="138">
        <v>0</v>
      </c>
      <c r="AE244" s="138">
        <v>4735</v>
      </c>
      <c r="AF244" s="140"/>
      <c r="AG244" s="141">
        <f>'form A info'!$AK237/1000</f>
        <v>690.32</v>
      </c>
    </row>
    <row r="245" spans="1:33" x14ac:dyDescent="0.2">
      <c r="A245" s="134">
        <v>9774</v>
      </c>
      <c r="B245" s="134" t="s">
        <v>522</v>
      </c>
      <c r="C245" s="142" t="str">
        <f>'form A info'!G240</f>
        <v>n</v>
      </c>
      <c r="D245" s="138">
        <v>0</v>
      </c>
      <c r="E245" s="138">
        <v>0</v>
      </c>
      <c r="F245" s="138">
        <v>0</v>
      </c>
      <c r="G245" s="138">
        <v>0</v>
      </c>
      <c r="H245" s="139"/>
      <c r="I245" s="138">
        <v>0</v>
      </c>
      <c r="J245" s="138">
        <v>0</v>
      </c>
      <c r="K245" s="138">
        <v>0</v>
      </c>
      <c r="L245" s="138">
        <v>0</v>
      </c>
      <c r="M245" s="139"/>
      <c r="N245" s="138">
        <v>0</v>
      </c>
      <c r="O245" s="138">
        <v>0</v>
      </c>
      <c r="P245" s="138">
        <v>0</v>
      </c>
      <c r="Q245" s="138">
        <v>0</v>
      </c>
      <c r="R245" s="140"/>
      <c r="S245" s="138">
        <v>0</v>
      </c>
      <c r="T245" s="138">
        <v>0</v>
      </c>
      <c r="U245" s="138">
        <v>0</v>
      </c>
      <c r="V245" s="138">
        <v>0</v>
      </c>
      <c r="W245" s="140"/>
      <c r="X245" s="138">
        <v>0</v>
      </c>
      <c r="Y245" s="138">
        <v>0</v>
      </c>
      <c r="Z245" s="138">
        <v>0</v>
      </c>
      <c r="AA245" s="138">
        <v>0</v>
      </c>
      <c r="AB245" s="140"/>
      <c r="AC245" s="138">
        <v>0</v>
      </c>
      <c r="AD245" s="138">
        <v>0</v>
      </c>
      <c r="AE245" s="138">
        <v>0</v>
      </c>
      <c r="AF245" s="140"/>
      <c r="AG245" s="141">
        <f>'form A info'!$AK240/1000</f>
        <v>0</v>
      </c>
    </row>
    <row r="246" spans="1:33" x14ac:dyDescent="0.2">
      <c r="A246" s="134">
        <v>519</v>
      </c>
      <c r="B246" s="134" t="s">
        <v>529</v>
      </c>
      <c r="C246" s="142" t="str">
        <f>'form A info'!G244</f>
        <v>n</v>
      </c>
      <c r="D246" s="138">
        <v>0</v>
      </c>
      <c r="E246" s="138">
        <v>0</v>
      </c>
      <c r="F246" s="138">
        <v>46</v>
      </c>
      <c r="G246" s="138">
        <v>0</v>
      </c>
      <c r="H246" s="139"/>
      <c r="I246" s="138">
        <v>0</v>
      </c>
      <c r="J246" s="138">
        <v>0</v>
      </c>
      <c r="K246" s="138">
        <v>0</v>
      </c>
      <c r="L246" s="138">
        <v>0</v>
      </c>
      <c r="M246" s="139"/>
      <c r="N246" s="138">
        <v>0</v>
      </c>
      <c r="O246" s="138">
        <v>29</v>
      </c>
      <c r="P246" s="138">
        <v>16</v>
      </c>
      <c r="Q246" s="138">
        <v>0</v>
      </c>
      <c r="R246" s="140"/>
      <c r="S246" s="138">
        <v>0</v>
      </c>
      <c r="T246" s="138">
        <v>0</v>
      </c>
      <c r="U246" s="138">
        <v>0</v>
      </c>
      <c r="V246" s="138">
        <v>0</v>
      </c>
      <c r="W246" s="140"/>
      <c r="X246" s="138">
        <v>0</v>
      </c>
      <c r="Y246" s="138">
        <v>0</v>
      </c>
      <c r="Z246" s="138">
        <v>0</v>
      </c>
      <c r="AA246" s="138">
        <v>0</v>
      </c>
      <c r="AB246" s="140"/>
      <c r="AC246" s="138">
        <v>0</v>
      </c>
      <c r="AD246" s="138">
        <v>0</v>
      </c>
      <c r="AE246" s="138">
        <v>0</v>
      </c>
      <c r="AF246" s="140"/>
      <c r="AG246" s="141">
        <f>'form A info'!$AK244/1000</f>
        <v>0</v>
      </c>
    </row>
    <row r="247" spans="1:33" x14ac:dyDescent="0.2">
      <c r="A247" s="134">
        <v>9805</v>
      </c>
      <c r="B247" s="134" t="s">
        <v>531</v>
      </c>
      <c r="C247" s="142" t="str">
        <f>'form A info'!G245</f>
        <v>n</v>
      </c>
      <c r="D247" s="138">
        <v>0</v>
      </c>
      <c r="E247" s="138">
        <v>0</v>
      </c>
      <c r="F247" s="138">
        <v>252</v>
      </c>
      <c r="G247" s="138">
        <v>0</v>
      </c>
      <c r="H247" s="139"/>
      <c r="I247" s="138">
        <v>0</v>
      </c>
      <c r="J247" s="138">
        <v>0</v>
      </c>
      <c r="K247" s="138">
        <v>11</v>
      </c>
      <c r="L247" s="138">
        <v>0</v>
      </c>
      <c r="M247" s="139"/>
      <c r="N247" s="138">
        <v>0</v>
      </c>
      <c r="O247" s="138">
        <v>0</v>
      </c>
      <c r="P247" s="138">
        <v>152</v>
      </c>
      <c r="Q247" s="138">
        <v>0</v>
      </c>
      <c r="R247" s="140"/>
      <c r="S247" s="138">
        <v>0</v>
      </c>
      <c r="T247" s="138">
        <v>0</v>
      </c>
      <c r="U247" s="138">
        <v>0</v>
      </c>
      <c r="V247" s="138">
        <v>0</v>
      </c>
      <c r="W247" s="140"/>
      <c r="X247" s="138">
        <v>0</v>
      </c>
      <c r="Y247" s="138">
        <v>0</v>
      </c>
      <c r="Z247" s="138">
        <v>0</v>
      </c>
      <c r="AA247" s="138">
        <v>0</v>
      </c>
      <c r="AB247" s="140"/>
      <c r="AC247" s="138">
        <v>5000</v>
      </c>
      <c r="AD247" s="138">
        <v>0</v>
      </c>
      <c r="AE247" s="138">
        <v>0</v>
      </c>
      <c r="AF247" s="140"/>
      <c r="AG247" s="141">
        <f>'form A info'!$AK245/1000</f>
        <v>995.49400000000003</v>
      </c>
    </row>
    <row r="248" spans="1:33" x14ac:dyDescent="0.2">
      <c r="B248" s="137" t="s">
        <v>677</v>
      </c>
      <c r="C248" s="142" t="str">
        <f>'form A info'!G246</f>
        <v>n</v>
      </c>
      <c r="D248" s="138"/>
      <c r="E248" s="138"/>
      <c r="F248" s="138"/>
      <c r="G248" s="138"/>
      <c r="H248" s="139"/>
      <c r="I248" s="138"/>
      <c r="J248" s="138"/>
      <c r="K248" s="138"/>
      <c r="L248" s="138"/>
      <c r="M248" s="139"/>
      <c r="N248" s="138"/>
      <c r="O248" s="138"/>
      <c r="P248" s="138"/>
      <c r="Q248" s="138"/>
      <c r="R248" s="140"/>
      <c r="S248" s="138"/>
      <c r="T248" s="138"/>
      <c r="U248" s="138"/>
      <c r="V248" s="138"/>
      <c r="W248" s="140"/>
      <c r="X248" s="138"/>
      <c r="Y248" s="138"/>
      <c r="Z248" s="138"/>
      <c r="AA248" s="138"/>
      <c r="AB248" s="140"/>
      <c r="AC248" s="138"/>
      <c r="AD248" s="138"/>
      <c r="AE248" s="138"/>
      <c r="AF248" s="140"/>
      <c r="AG248" s="141">
        <f>'form A info'!$AK246/1000</f>
        <v>0</v>
      </c>
    </row>
    <row r="249" spans="1:33" x14ac:dyDescent="0.2">
      <c r="A249" s="134">
        <v>4514</v>
      </c>
      <c r="B249" s="134" t="s">
        <v>535</v>
      </c>
      <c r="C249" s="142" t="str">
        <f>'form A info'!G247</f>
        <v>n</v>
      </c>
      <c r="D249" s="138">
        <v>0</v>
      </c>
      <c r="E249" s="138">
        <v>0</v>
      </c>
      <c r="F249" s="138">
        <v>8</v>
      </c>
      <c r="G249" s="138">
        <v>0</v>
      </c>
      <c r="H249" s="139"/>
      <c r="I249" s="138">
        <v>0</v>
      </c>
      <c r="J249" s="138">
        <v>0</v>
      </c>
      <c r="K249" s="138">
        <v>0</v>
      </c>
      <c r="L249" s="138">
        <v>0</v>
      </c>
      <c r="M249" s="139"/>
      <c r="N249" s="138">
        <v>0</v>
      </c>
      <c r="O249" s="138">
        <v>0</v>
      </c>
      <c r="P249" s="138">
        <v>0</v>
      </c>
      <c r="Q249" s="138">
        <v>0</v>
      </c>
      <c r="R249" s="140"/>
      <c r="S249" s="138">
        <v>0</v>
      </c>
      <c r="T249" s="138">
        <v>0</v>
      </c>
      <c r="U249" s="138">
        <v>0</v>
      </c>
      <c r="V249" s="138">
        <v>0</v>
      </c>
      <c r="W249" s="140"/>
      <c r="X249" s="138">
        <v>0</v>
      </c>
      <c r="Y249" s="138">
        <v>0</v>
      </c>
      <c r="Z249" s="138">
        <v>0</v>
      </c>
      <c r="AA249" s="138">
        <v>0</v>
      </c>
      <c r="AB249" s="140"/>
      <c r="AC249" s="138">
        <v>0</v>
      </c>
      <c r="AD249" s="138">
        <v>0</v>
      </c>
      <c r="AE249" s="138">
        <v>0</v>
      </c>
      <c r="AF249" s="140"/>
      <c r="AG249" s="141">
        <f>'form A info'!$AK247/1000</f>
        <v>7.7919999999999998</v>
      </c>
    </row>
    <row r="250" spans="1:33" x14ac:dyDescent="0.2">
      <c r="A250" s="134">
        <v>4534</v>
      </c>
      <c r="B250" s="134" t="s">
        <v>546</v>
      </c>
      <c r="C250" s="142" t="str">
        <f>'form A info'!G252</f>
        <v>n</v>
      </c>
      <c r="D250" s="138">
        <v>0</v>
      </c>
      <c r="E250" s="138">
        <v>0</v>
      </c>
      <c r="F250" s="138">
        <v>13</v>
      </c>
      <c r="G250" s="138">
        <v>7</v>
      </c>
      <c r="H250" s="139"/>
      <c r="I250" s="138">
        <v>0</v>
      </c>
      <c r="J250" s="138">
        <v>0</v>
      </c>
      <c r="K250" s="138">
        <v>0</v>
      </c>
      <c r="L250" s="138">
        <v>3</v>
      </c>
      <c r="M250" s="139"/>
      <c r="N250" s="138">
        <v>0</v>
      </c>
      <c r="O250" s="138">
        <v>0</v>
      </c>
      <c r="P250" s="138">
        <v>8</v>
      </c>
      <c r="Q250" s="138">
        <v>3</v>
      </c>
      <c r="R250" s="140"/>
      <c r="S250" s="138">
        <v>0</v>
      </c>
      <c r="T250" s="138">
        <v>0</v>
      </c>
      <c r="U250" s="138">
        <v>0</v>
      </c>
      <c r="V250" s="138">
        <v>0</v>
      </c>
      <c r="W250" s="140"/>
      <c r="X250" s="138">
        <v>0</v>
      </c>
      <c r="Y250" s="138">
        <v>0</v>
      </c>
      <c r="Z250" s="138">
        <v>0</v>
      </c>
      <c r="AA250" s="138">
        <v>0</v>
      </c>
      <c r="AB250" s="140"/>
      <c r="AC250" s="138">
        <v>0</v>
      </c>
      <c r="AD250" s="138">
        <v>0</v>
      </c>
      <c r="AE250" s="138">
        <v>0</v>
      </c>
      <c r="AF250" s="140"/>
      <c r="AG250" s="141">
        <f>'form A info'!$AK252/1000</f>
        <v>124.14400000000001</v>
      </c>
    </row>
    <row r="251" spans="1:33" x14ac:dyDescent="0.2">
      <c r="A251" s="134">
        <v>4612</v>
      </c>
      <c r="B251" s="134" t="s">
        <v>554</v>
      </c>
      <c r="C251" s="142" t="str">
        <f>'form A info'!G256</f>
        <v>n</v>
      </c>
      <c r="D251" s="138">
        <v>0</v>
      </c>
      <c r="E251" s="138">
        <v>0</v>
      </c>
      <c r="F251" s="138">
        <v>7</v>
      </c>
      <c r="G251" s="138">
        <v>7</v>
      </c>
      <c r="H251" s="139"/>
      <c r="I251" s="138">
        <v>0</v>
      </c>
      <c r="J251" s="138">
        <v>0</v>
      </c>
      <c r="K251" s="138">
        <v>0</v>
      </c>
      <c r="L251" s="138">
        <v>0</v>
      </c>
      <c r="M251" s="139"/>
      <c r="N251" s="138">
        <v>0</v>
      </c>
      <c r="O251" s="138">
        <v>5</v>
      </c>
      <c r="P251" s="138">
        <v>8</v>
      </c>
      <c r="Q251" s="138">
        <v>0</v>
      </c>
      <c r="R251" s="140"/>
      <c r="S251" s="138">
        <v>0</v>
      </c>
      <c r="T251" s="138">
        <v>0</v>
      </c>
      <c r="U251" s="138">
        <v>0</v>
      </c>
      <c r="V251" s="138">
        <v>0</v>
      </c>
      <c r="W251" s="140"/>
      <c r="X251" s="138">
        <v>0</v>
      </c>
      <c r="Y251" s="138">
        <v>0</v>
      </c>
      <c r="Z251" s="138">
        <v>0</v>
      </c>
      <c r="AA251" s="138">
        <v>0</v>
      </c>
      <c r="AB251" s="140"/>
      <c r="AC251" s="138">
        <v>0</v>
      </c>
      <c r="AD251" s="138">
        <v>0</v>
      </c>
      <c r="AE251" s="138">
        <v>0</v>
      </c>
      <c r="AF251" s="140"/>
      <c r="AG251" s="141">
        <f>'form A info'!$AK256/1000</f>
        <v>0</v>
      </c>
    </row>
    <row r="252" spans="1:33" x14ac:dyDescent="0.2">
      <c r="C252" s="137" t="s">
        <v>678</v>
      </c>
      <c r="D252" s="143">
        <f>SUM(D2:D251)</f>
        <v>23087</v>
      </c>
      <c r="E252" s="143">
        <f>SUM(E2:E251)</f>
        <v>52421</v>
      </c>
      <c r="F252" s="143">
        <f>SUM(F2:F251)</f>
        <v>31553</v>
      </c>
      <c r="G252" s="143">
        <f>SUM(G2:G251)</f>
        <v>2200</v>
      </c>
      <c r="H252" s="139"/>
      <c r="I252" s="143">
        <f>SUM(I2:I251)</f>
        <v>848</v>
      </c>
      <c r="J252" s="143">
        <f>SUM(J2:J251)</f>
        <v>990</v>
      </c>
      <c r="K252" s="143">
        <f>SUM(K2:K251)</f>
        <v>1083</v>
      </c>
      <c r="L252" s="143">
        <f>SUM(L2:L251)</f>
        <v>229</v>
      </c>
      <c r="M252" s="139"/>
      <c r="N252" s="143">
        <f>SUM(N2:N251)</f>
        <v>2069</v>
      </c>
      <c r="O252" s="143">
        <f>SUM(O2:O251)</f>
        <v>3948</v>
      </c>
      <c r="P252" s="143">
        <f>SUM(P2:P251)</f>
        <v>6198</v>
      </c>
      <c r="Q252" s="143">
        <f>SUM(Q2:Q251)</f>
        <v>445</v>
      </c>
      <c r="R252" s="140"/>
      <c r="S252" s="143">
        <f>SUM(S2:S251)</f>
        <v>2240</v>
      </c>
      <c r="T252" s="143">
        <f>SUM(T2:T251)</f>
        <v>46</v>
      </c>
      <c r="U252" s="143">
        <f>SUM(U2:U251)</f>
        <v>0</v>
      </c>
      <c r="V252" s="143">
        <f>SUM(V2:V251)</f>
        <v>0</v>
      </c>
      <c r="W252" s="140"/>
      <c r="X252" s="143">
        <f>SUM(X2:X251)</f>
        <v>5298</v>
      </c>
      <c r="Y252" s="143">
        <f>SUM(Y2:Y251)</f>
        <v>45</v>
      </c>
      <c r="Z252" s="143">
        <f>SUM(Z2:Z251)</f>
        <v>0</v>
      </c>
      <c r="AA252" s="143">
        <f>SUM(AA2:AA251)</f>
        <v>0</v>
      </c>
      <c r="AB252" s="140"/>
      <c r="AC252" s="143">
        <f>SUM(AC2:AC251)</f>
        <v>1899373</v>
      </c>
      <c r="AD252" s="143">
        <f>SUM(AD2:AD251)</f>
        <v>646022</v>
      </c>
      <c r="AE252" s="143">
        <f>SUM(AE2:AE251)</f>
        <v>2532513</v>
      </c>
      <c r="AF252" s="140"/>
      <c r="AG252" s="143">
        <f>SUM(AG2:AG251)</f>
        <v>67205.302330000006</v>
      </c>
    </row>
    <row r="253" spans="1:33" x14ac:dyDescent="0.2">
      <c r="C253" s="137" t="s">
        <v>679</v>
      </c>
      <c r="D253" s="141">
        <f>SUMIF($C2:$C251,"y",D2:D251)</f>
        <v>15516</v>
      </c>
      <c r="E253" s="141">
        <f>SUMIF($C2:$C251,"y",E2:E251)</f>
        <v>31971</v>
      </c>
      <c r="F253" s="141">
        <f>SUMIF($C2:$C251,"y",F2:F251)</f>
        <v>19748</v>
      </c>
      <c r="G253" s="141">
        <f>SUMIF($C2:$C251,"y",G2:G251)</f>
        <v>1133</v>
      </c>
      <c r="H253" s="139"/>
      <c r="I253" s="141">
        <f>SUMIF($C2:$C251,"y",I2:I251)</f>
        <v>534</v>
      </c>
      <c r="J253" s="141">
        <f>SUMIF($C2:$C251,"y",J2:J251)</f>
        <v>512</v>
      </c>
      <c r="K253" s="141">
        <f>SUMIF($C2:$C251,"y",K2:K251)</f>
        <v>831</v>
      </c>
      <c r="L253" s="141">
        <f>SUMIF($C2:$C251,"y",L2:L251)</f>
        <v>175</v>
      </c>
      <c r="M253" s="139"/>
      <c r="N253" s="141">
        <f>SUMIF($C2:$C251,"y",N2:N251)</f>
        <v>675</v>
      </c>
      <c r="O253" s="141">
        <f>SUMIF($C2:$C251,"y",O2:O251)</f>
        <v>2232</v>
      </c>
      <c r="P253" s="141">
        <f>SUMIF($C2:$C251,"y",P2:P251)</f>
        <v>4021</v>
      </c>
      <c r="Q253" s="141">
        <f>SUMIF($C2:$C251,"y",Q2:Q251)</f>
        <v>326</v>
      </c>
      <c r="R253" s="140"/>
      <c r="S253" s="141">
        <f>SUMIF($C2:$C251,"y",S2:S251)</f>
        <v>1286</v>
      </c>
      <c r="T253" s="141">
        <f>SUMIF($C2:$C251,"y",T2:T251)</f>
        <v>24</v>
      </c>
      <c r="U253" s="141">
        <f>SUMIF($C2:$C251,"y",U2:U251)</f>
        <v>0</v>
      </c>
      <c r="V253" s="141">
        <f>SUMIF($C2:$C251,"y",V2:V251)</f>
        <v>0</v>
      </c>
      <c r="W253" s="140"/>
      <c r="X253" s="141">
        <f>SUMIF($C2:$C251,"y",X2:X251)</f>
        <v>3219</v>
      </c>
      <c r="Y253" s="141">
        <f>SUMIF($C2:$C251,"y",Y2:Y251)</f>
        <v>19</v>
      </c>
      <c r="Z253" s="141">
        <f>SUMIF($C2:$C251,"y",Z2:Z251)</f>
        <v>0</v>
      </c>
      <c r="AA253" s="141">
        <f>SUMIF($C2:$C251,"y",AA2:AA251)</f>
        <v>0</v>
      </c>
      <c r="AB253" s="140"/>
      <c r="AC253" s="141">
        <f>SUMIF($C2:$C251,"y",AC2:AC251)</f>
        <v>1514484</v>
      </c>
      <c r="AD253" s="141">
        <f>SUMIF($C2:$C251,"y",AD2:AD251)</f>
        <v>166376</v>
      </c>
      <c r="AE253" s="141">
        <f>SUMIF($C2:$C251,"y",AE2:AE251)</f>
        <v>2212994</v>
      </c>
      <c r="AF253" s="140"/>
      <c r="AG253" s="141">
        <f>SUMIF($C2:$C251,"y",AG2:AG251)</f>
        <v>45787.076559999987</v>
      </c>
    </row>
    <row r="254" spans="1:33" ht="13.5" thickBot="1" x14ac:dyDescent="0.25">
      <c r="B254" s="11"/>
      <c r="C254" s="144" t="s">
        <v>10</v>
      </c>
      <c r="D254" s="138"/>
      <c r="E254" s="138"/>
      <c r="F254" s="145" t="s">
        <v>680</v>
      </c>
      <c r="G254" s="146">
        <f>SUM(D252:G252)</f>
        <v>109261</v>
      </c>
      <c r="H254" s="139"/>
      <c r="I254" s="138"/>
      <c r="J254" s="138"/>
      <c r="K254" s="145" t="s">
        <v>680</v>
      </c>
      <c r="L254" s="146">
        <f>SUM(I252:L252)</f>
        <v>3150</v>
      </c>
      <c r="M254" s="139"/>
      <c r="N254" s="138"/>
      <c r="O254" s="138"/>
      <c r="P254" s="145" t="s">
        <v>680</v>
      </c>
      <c r="Q254" s="146">
        <f>SUM(N252:Q252)</f>
        <v>12660</v>
      </c>
      <c r="R254" s="140"/>
      <c r="S254" s="138"/>
      <c r="T254" s="138"/>
      <c r="U254" s="145" t="s">
        <v>680</v>
      </c>
      <c r="V254" s="146">
        <f>SUM(S252:V252)-T252</f>
        <v>2240</v>
      </c>
      <c r="W254" s="140"/>
      <c r="X254" s="138"/>
      <c r="Y254" s="138"/>
      <c r="Z254" s="145" t="s">
        <v>680</v>
      </c>
      <c r="AA254" s="146">
        <f>SUM(X252:AA252)-Y252</f>
        <v>5298</v>
      </c>
      <c r="AB254" s="140"/>
      <c r="AC254" s="138"/>
      <c r="AD254" s="145" t="s">
        <v>680</v>
      </c>
      <c r="AE254" s="146">
        <f>SUM(AB252:AE252)/1000</f>
        <v>5077.9080000000004</v>
      </c>
      <c r="AF254" s="140"/>
      <c r="AG254" s="146">
        <f>AG252</f>
        <v>67205.302330000006</v>
      </c>
    </row>
    <row r="255" spans="1:33" ht="14.25" thickTop="1" thickBot="1" x14ac:dyDescent="0.25">
      <c r="D255" s="138"/>
      <c r="E255" s="138"/>
      <c r="F255" s="145" t="s">
        <v>636</v>
      </c>
      <c r="G255" s="138">
        <f>SUM(D253:G253)</f>
        <v>68368</v>
      </c>
      <c r="H255" s="139"/>
      <c r="I255" s="138"/>
      <c r="J255" s="138"/>
      <c r="K255" s="145" t="s">
        <v>636</v>
      </c>
      <c r="L255" s="138">
        <f>SUM(I253:L253)</f>
        <v>2052</v>
      </c>
      <c r="M255" s="139"/>
      <c r="N255" s="138"/>
      <c r="O255" s="138"/>
      <c r="P255" s="145" t="s">
        <v>636</v>
      </c>
      <c r="Q255" s="146">
        <f>SUM(N253:Q253)</f>
        <v>7254</v>
      </c>
      <c r="R255" s="140"/>
      <c r="S255" s="138"/>
      <c r="T255" s="138"/>
      <c r="U255" s="145" t="s">
        <v>636</v>
      </c>
      <c r="V255" s="146">
        <f>SUM(S253:V253)-T253</f>
        <v>1286</v>
      </c>
      <c r="W255" s="140"/>
      <c r="X255" s="138"/>
      <c r="Y255" s="138"/>
      <c r="Z255" s="145" t="s">
        <v>636</v>
      </c>
      <c r="AA255" s="146">
        <f>SUM(X253:AA253)-Y253</f>
        <v>3219</v>
      </c>
      <c r="AB255" s="140"/>
      <c r="AC255" s="138"/>
      <c r="AD255" s="145" t="s">
        <v>636</v>
      </c>
      <c r="AE255" s="146">
        <f>SUM(AB253:AE253)/1000</f>
        <v>3893.8539999999998</v>
      </c>
      <c r="AF255" s="140"/>
      <c r="AG255" s="146">
        <f>AG253</f>
        <v>45787.076559999987</v>
      </c>
    </row>
    <row r="256" spans="1:33" ht="13.5" thickTop="1" x14ac:dyDescent="0.2">
      <c r="D256" s="138"/>
      <c r="E256" s="138"/>
      <c r="F256" s="138"/>
      <c r="G256" s="138"/>
      <c r="H256" s="139"/>
      <c r="I256" s="138"/>
      <c r="J256" s="138"/>
      <c r="K256" s="138"/>
      <c r="L256" s="138"/>
      <c r="M256" s="139"/>
      <c r="N256" s="138"/>
      <c r="O256" s="138"/>
      <c r="P256" s="138"/>
      <c r="Q256" s="138"/>
      <c r="R256" s="140"/>
      <c r="S256" s="138"/>
      <c r="T256" s="138"/>
      <c r="U256" s="138"/>
      <c r="V256" s="138"/>
      <c r="W256" s="140"/>
      <c r="X256" s="138"/>
      <c r="Y256" s="138"/>
      <c r="Z256" s="138"/>
      <c r="AA256" s="138"/>
      <c r="AB256" s="140"/>
      <c r="AC256" s="138"/>
      <c r="AD256" s="138"/>
      <c r="AE256" s="138"/>
      <c r="AF256" s="140"/>
      <c r="AG256" s="138"/>
    </row>
    <row r="257" spans="4:33" x14ac:dyDescent="0.2">
      <c r="D257" s="138"/>
      <c r="E257" s="138"/>
      <c r="F257" s="138"/>
      <c r="G257" s="138"/>
      <c r="H257" s="139"/>
      <c r="I257" s="138"/>
      <c r="J257" s="138"/>
      <c r="K257" s="138"/>
      <c r="L257" s="138"/>
      <c r="M257" s="139"/>
      <c r="N257" s="138"/>
      <c r="O257" s="138"/>
      <c r="P257" s="138"/>
      <c r="Q257" s="138"/>
      <c r="R257" s="140"/>
      <c r="S257" s="138"/>
      <c r="T257" s="138"/>
      <c r="U257" s="138"/>
      <c r="V257" s="138"/>
      <c r="W257" s="140"/>
      <c r="X257" s="138"/>
      <c r="Y257" s="138"/>
      <c r="Z257" s="138"/>
      <c r="AA257" s="138"/>
      <c r="AB257" s="140"/>
      <c r="AC257" s="138"/>
      <c r="AD257" s="138"/>
      <c r="AE257" s="138"/>
      <c r="AF257" s="140"/>
      <c r="AG257" s="138"/>
    </row>
    <row r="258" spans="4:33" x14ac:dyDescent="0.2">
      <c r="D258" s="138"/>
      <c r="E258" s="138"/>
      <c r="F258" s="138"/>
      <c r="G258" s="138"/>
      <c r="H258" s="139"/>
      <c r="I258" s="138"/>
      <c r="J258" s="138"/>
      <c r="K258" s="138"/>
      <c r="L258" s="138"/>
      <c r="M258" s="139"/>
      <c r="N258" s="138"/>
      <c r="O258" s="138"/>
      <c r="P258" s="138"/>
      <c r="Q258" s="138"/>
      <c r="R258" s="140"/>
      <c r="S258" s="138"/>
      <c r="T258" s="138"/>
      <c r="U258" s="138"/>
      <c r="V258" s="138"/>
      <c r="W258" s="140"/>
      <c r="X258" s="138"/>
      <c r="Y258" s="138"/>
      <c r="Z258" s="138"/>
      <c r="AA258" s="138"/>
      <c r="AB258" s="140"/>
      <c r="AC258" s="138"/>
      <c r="AD258" s="138"/>
      <c r="AE258" s="138"/>
      <c r="AF258" s="140"/>
      <c r="AG258" s="138"/>
    </row>
  </sheetData>
  <pageMargins left="0.25" right="0.26" top="1" bottom="1" header="0.5" footer="0.5"/>
  <pageSetup scale="50" orientation="landscape"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8">
    <pageSetUpPr fitToPage="1"/>
  </sheetPr>
  <dimension ref="A1:IF256"/>
  <sheetViews>
    <sheetView topLeftCell="AJ228" zoomScale="75" workbookViewId="0">
      <selection activeCell="AV255" sqref="AV255"/>
    </sheetView>
  </sheetViews>
  <sheetFormatPr defaultRowHeight="12.75" x14ac:dyDescent="0.2"/>
  <cols>
    <col min="1" max="1" width="6.42578125" bestFit="1" customWidth="1"/>
    <col min="2" max="2" width="6.42578125" customWidth="1"/>
    <col min="3" max="3" width="30.28515625" customWidth="1"/>
    <col min="4" max="4" width="24.42578125" hidden="1" customWidth="1"/>
    <col min="5" max="5" width="11.140625" customWidth="1"/>
    <col min="6" max="6" width="10.28515625" customWidth="1"/>
    <col min="7" max="7" width="14.140625" customWidth="1"/>
    <col min="8" max="8" width="6" customWidth="1"/>
    <col min="9" max="9" width="10.85546875" customWidth="1"/>
    <col min="10" max="10" width="17.28515625" hidden="1" customWidth="1"/>
    <col min="11" max="11" width="22.42578125" customWidth="1"/>
    <col min="12" max="12" width="6.85546875" customWidth="1"/>
    <col min="13" max="13" width="4.140625" bestFit="1" customWidth="1"/>
    <col min="14" max="14" width="6.42578125" hidden="1" customWidth="1"/>
    <col min="15" max="15" width="9.7109375" hidden="1" customWidth="1"/>
    <col min="16" max="16" width="9" hidden="1" customWidth="1"/>
    <col min="17" max="17" width="9.140625" hidden="1" customWidth="1"/>
    <col min="18" max="18" width="14.85546875" bestFit="1" customWidth="1"/>
    <col min="19" max="19" width="11.28515625" bestFit="1" customWidth="1"/>
    <col min="20" max="20" width="11.140625" customWidth="1"/>
    <col min="21" max="21" width="10.42578125" customWidth="1"/>
    <col min="22" max="22" width="11.85546875" customWidth="1"/>
    <col min="23" max="23" width="11.85546875" hidden="1" customWidth="1"/>
    <col min="24" max="24" width="9" customWidth="1"/>
    <col min="25" max="25" width="14.140625" customWidth="1"/>
    <col min="26" max="26" width="10.28515625" customWidth="1"/>
    <col min="27" max="27" width="9.42578125" customWidth="1"/>
    <col min="28" max="28" width="11.28515625" hidden="1" customWidth="1"/>
    <col min="29" max="29" width="8.28515625" hidden="1" customWidth="1"/>
    <col min="30" max="30" width="10.85546875" hidden="1" customWidth="1"/>
    <col min="31" max="31" width="10.42578125" hidden="1" customWidth="1"/>
    <col min="32" max="32" width="6.85546875" hidden="1" customWidth="1"/>
    <col min="33" max="33" width="7.5703125" hidden="1" customWidth="1"/>
    <col min="34" max="34" width="11.140625" hidden="1" customWidth="1"/>
    <col min="35" max="35" width="10.140625" hidden="1" customWidth="1"/>
    <col min="36" max="36" width="5" bestFit="1" customWidth="1"/>
    <col min="37" max="37" width="11.7109375" bestFit="1" customWidth="1"/>
    <col min="38" max="38" width="10.5703125" hidden="1" customWidth="1"/>
    <col min="39" max="39" width="6" customWidth="1"/>
    <col min="40" max="40" width="38.7109375" hidden="1" customWidth="1"/>
    <col min="41" max="41" width="12.7109375" customWidth="1"/>
    <col min="42" max="42" width="18.28515625" hidden="1" customWidth="1"/>
    <col min="43" max="43" width="18.28515625" customWidth="1"/>
    <col min="44" max="46" width="9.42578125" bestFit="1" customWidth="1"/>
    <col min="47" max="47" width="8.28515625" bestFit="1" customWidth="1"/>
    <col min="48" max="48" width="6.5703125" bestFit="1" customWidth="1"/>
    <col min="49" max="49" width="6.5703125" customWidth="1"/>
    <col min="50" max="50" width="8" bestFit="1" customWidth="1"/>
    <col min="51" max="51" width="6.5703125" bestFit="1" customWidth="1"/>
    <col min="52" max="54" width="8.28515625" bestFit="1" customWidth="1"/>
    <col min="55" max="55" width="6.5703125" bestFit="1" customWidth="1"/>
    <col min="56" max="56" width="8.28515625" bestFit="1" customWidth="1"/>
    <col min="57" max="57" width="6.85546875" customWidth="1"/>
    <col min="58" max="59" width="6.28515625" bestFit="1" customWidth="1"/>
    <col min="60" max="60" width="8.28515625" bestFit="1" customWidth="1"/>
    <col min="61" max="61" width="7" customWidth="1"/>
    <col min="62" max="62" width="7.5703125" customWidth="1"/>
    <col min="63" max="63" width="6.28515625" bestFit="1" customWidth="1"/>
    <col min="64" max="64" width="12" bestFit="1" customWidth="1"/>
    <col min="65" max="65" width="10.5703125" bestFit="1" customWidth="1"/>
    <col min="66" max="66" width="11.5703125" bestFit="1" customWidth="1"/>
    <col min="67" max="67" width="9.42578125" customWidth="1"/>
  </cols>
  <sheetData>
    <row r="1" spans="1:67" s="696" customFormat="1" ht="210" customHeight="1" x14ac:dyDescent="0.2">
      <c r="A1" s="970" t="s">
        <v>882</v>
      </c>
      <c r="B1" s="970" t="s">
        <v>883</v>
      </c>
      <c r="C1" s="970" t="s">
        <v>1377</v>
      </c>
      <c r="D1" s="970" t="s">
        <v>1377</v>
      </c>
      <c r="E1" s="970" t="s">
        <v>884</v>
      </c>
      <c r="F1" s="970" t="s">
        <v>885</v>
      </c>
      <c r="G1" s="970" t="s">
        <v>886</v>
      </c>
      <c r="H1" s="970" t="s">
        <v>1380</v>
      </c>
      <c r="I1" s="970" t="s">
        <v>887</v>
      </c>
      <c r="J1" s="970" t="s">
        <v>888</v>
      </c>
      <c r="K1" s="970" t="s">
        <v>1385</v>
      </c>
      <c r="L1" s="970" t="s">
        <v>1375</v>
      </c>
      <c r="M1" s="970" t="s">
        <v>1386</v>
      </c>
      <c r="N1" s="970" t="s">
        <v>1387</v>
      </c>
      <c r="O1" s="970" t="s">
        <v>889</v>
      </c>
      <c r="P1" s="970" t="s">
        <v>890</v>
      </c>
      <c r="Q1" s="970" t="s">
        <v>1390</v>
      </c>
      <c r="R1" s="970" t="s">
        <v>1391</v>
      </c>
      <c r="S1" s="970" t="s">
        <v>1392</v>
      </c>
      <c r="T1" s="970" t="s">
        <v>884</v>
      </c>
      <c r="U1" s="970" t="s">
        <v>1394</v>
      </c>
      <c r="V1" s="970" t="s">
        <v>1395</v>
      </c>
      <c r="W1" s="970" t="s">
        <v>1396</v>
      </c>
      <c r="X1" s="970" t="s">
        <v>1397</v>
      </c>
      <c r="Y1" s="970" t="s">
        <v>1398</v>
      </c>
      <c r="Z1" s="970" t="s">
        <v>891</v>
      </c>
      <c r="AA1" s="970" t="s">
        <v>1400</v>
      </c>
      <c r="AB1" s="970" t="s">
        <v>1401</v>
      </c>
      <c r="AC1" s="970" t="s">
        <v>1402</v>
      </c>
      <c r="AD1" s="970" t="s">
        <v>892</v>
      </c>
      <c r="AE1" s="970" t="s">
        <v>893</v>
      </c>
      <c r="AF1" s="970" t="s">
        <v>894</v>
      </c>
      <c r="AG1" s="970" t="s">
        <v>895</v>
      </c>
      <c r="AH1" s="970" t="s">
        <v>1407</v>
      </c>
      <c r="AI1" s="970" t="s">
        <v>1408</v>
      </c>
      <c r="AJ1" s="970" t="s">
        <v>896</v>
      </c>
      <c r="AK1" s="970" t="s">
        <v>897</v>
      </c>
      <c r="AL1" s="970" t="s">
        <v>887</v>
      </c>
      <c r="AM1" s="970" t="s">
        <v>1380</v>
      </c>
      <c r="AN1" s="970" t="s">
        <v>1377</v>
      </c>
      <c r="AO1" s="970" t="s">
        <v>257</v>
      </c>
      <c r="AP1" s="970" t="s">
        <v>898</v>
      </c>
      <c r="AQ1" s="970" t="s">
        <v>256</v>
      </c>
      <c r="AR1" s="970" t="s">
        <v>637</v>
      </c>
      <c r="AS1" s="970" t="s">
        <v>638</v>
      </c>
      <c r="AT1" s="970" t="s">
        <v>639</v>
      </c>
      <c r="AU1" s="970" t="s">
        <v>640</v>
      </c>
      <c r="AV1" s="970" t="s">
        <v>641</v>
      </c>
      <c r="AW1" s="970" t="s">
        <v>642</v>
      </c>
      <c r="AX1" s="970" t="s">
        <v>643</v>
      </c>
      <c r="AY1" s="970" t="s">
        <v>644</v>
      </c>
      <c r="AZ1" s="970" t="s">
        <v>645</v>
      </c>
      <c r="BA1" s="970" t="s">
        <v>646</v>
      </c>
      <c r="BB1" s="970" t="s">
        <v>647</v>
      </c>
      <c r="BC1" s="970" t="s">
        <v>648</v>
      </c>
      <c r="BD1" s="970" t="s">
        <v>649</v>
      </c>
      <c r="BE1" s="970" t="s">
        <v>650</v>
      </c>
      <c r="BF1" s="970" t="s">
        <v>651</v>
      </c>
      <c r="BG1" s="970" t="s">
        <v>652</v>
      </c>
      <c r="BH1" s="970" t="s">
        <v>653</v>
      </c>
      <c r="BI1" s="970" t="s">
        <v>654</v>
      </c>
      <c r="BJ1" s="970" t="s">
        <v>655</v>
      </c>
      <c r="BK1" s="970" t="s">
        <v>656</v>
      </c>
      <c r="BL1" s="970" t="s">
        <v>657</v>
      </c>
      <c r="BM1" s="970" t="s">
        <v>658</v>
      </c>
      <c r="BN1" s="970" t="s">
        <v>659</v>
      </c>
      <c r="BO1" s="970" t="s">
        <v>634</v>
      </c>
    </row>
    <row r="2" spans="1:67" ht="15" customHeight="1" x14ac:dyDescent="0.2">
      <c r="A2" s="697">
        <v>110</v>
      </c>
      <c r="B2" s="697"/>
      <c r="C2" s="698" t="s">
        <v>1413</v>
      </c>
      <c r="D2" s="699" t="s">
        <v>1413</v>
      </c>
      <c r="E2" s="700">
        <f t="shared" ref="E2:E7" si="0">IF(I2="regional",IF(R2*0.2975,S2*0.3484),S2*0.1939)</f>
        <v>221768.79399999999</v>
      </c>
      <c r="F2" s="700">
        <v>0</v>
      </c>
      <c r="G2" s="701">
        <f t="shared" ref="G2:G33" si="1">E2+F2</f>
        <v>221768.79399999999</v>
      </c>
      <c r="H2" s="698" t="s">
        <v>10</v>
      </c>
      <c r="I2" s="699" t="s">
        <v>1416</v>
      </c>
      <c r="J2" s="699" t="s">
        <v>1417</v>
      </c>
      <c r="K2" s="699" t="s">
        <v>1418</v>
      </c>
      <c r="L2" s="699" t="s">
        <v>10</v>
      </c>
      <c r="M2" s="702">
        <v>80</v>
      </c>
      <c r="N2" s="702">
        <v>0.73899999999999999</v>
      </c>
      <c r="O2" s="702">
        <v>0.75</v>
      </c>
      <c r="P2" s="702">
        <v>0.67500000000000004</v>
      </c>
      <c r="Q2" s="702">
        <v>0.71</v>
      </c>
      <c r="R2" s="702">
        <v>746273</v>
      </c>
      <c r="S2" s="702">
        <v>636535</v>
      </c>
      <c r="T2" s="7">
        <f t="shared" ref="T2:T33" si="2">IF(I2="regional",IF(R2&gt;0,R2*0.2975,S2*0.3484),S2*0.1939)</f>
        <v>222016.2175</v>
      </c>
      <c r="U2" s="702">
        <v>426315</v>
      </c>
      <c r="V2" s="702">
        <v>210220</v>
      </c>
      <c r="W2" s="702">
        <v>3017</v>
      </c>
      <c r="X2" s="702">
        <v>0</v>
      </c>
      <c r="Y2" s="702">
        <v>0</v>
      </c>
      <c r="Z2" s="702">
        <v>0</v>
      </c>
      <c r="AA2" s="702">
        <v>858551.21750000003</v>
      </c>
      <c r="AB2" s="702">
        <v>222016.2175</v>
      </c>
      <c r="AC2" s="702">
        <v>636535</v>
      </c>
      <c r="AD2" s="702">
        <v>0</v>
      </c>
      <c r="AE2" s="702">
        <v>0</v>
      </c>
      <c r="AF2" s="702">
        <v>0</v>
      </c>
      <c r="AG2" s="702">
        <v>636535</v>
      </c>
      <c r="AH2" s="702">
        <v>0</v>
      </c>
      <c r="AI2" s="702">
        <v>0</v>
      </c>
      <c r="AJ2" s="698">
        <v>4</v>
      </c>
      <c r="AK2" s="698" t="s">
        <v>899</v>
      </c>
      <c r="AL2" s="699" t="s">
        <v>1416</v>
      </c>
      <c r="AM2" s="698" t="s">
        <v>10</v>
      </c>
      <c r="AN2" s="699" t="s">
        <v>1413</v>
      </c>
      <c r="AO2" s="699">
        <v>222016.2175</v>
      </c>
      <c r="AP2" s="703">
        <f t="shared" ref="AP2:AP14" si="3">AR2+AT2+AU2+AV2+AX2+AY2+AZ2+BD2+BF2+BG2+BH2+BJ2+BK2+(BL2+BM2+BN2)/1000+(0.1*BO2)</f>
        <v>153.55889999999999</v>
      </c>
      <c r="AQ2" s="703">
        <f>AR2+AT2+AU2+AV2+AX2+AY2+AZ2+BB2+BC2+BD2+BF2+BG2+BH2+BJ2+BK2+(BL2+BM2+BN2)/1000+(0.1*BO2)</f>
        <v>164.55889999999999</v>
      </c>
      <c r="AR2" s="697">
        <v>42</v>
      </c>
      <c r="AS2" s="697">
        <v>0</v>
      </c>
      <c r="AT2" s="697">
        <v>26</v>
      </c>
      <c r="AU2" s="697">
        <v>33</v>
      </c>
      <c r="AV2" s="697">
        <v>0</v>
      </c>
      <c r="AW2" s="697">
        <v>0</v>
      </c>
      <c r="AX2" s="697">
        <v>0</v>
      </c>
      <c r="AY2" s="697">
        <v>0</v>
      </c>
      <c r="AZ2" s="697">
        <v>0</v>
      </c>
      <c r="BA2" s="697">
        <v>0</v>
      </c>
      <c r="BB2" s="697">
        <v>7</v>
      </c>
      <c r="BC2" s="697">
        <v>4</v>
      </c>
      <c r="BD2" s="697">
        <v>0</v>
      </c>
      <c r="BE2" s="697">
        <v>0</v>
      </c>
      <c r="BF2" s="697">
        <v>0</v>
      </c>
      <c r="BG2" s="697">
        <v>0</v>
      </c>
      <c r="BH2" s="697">
        <v>0</v>
      </c>
      <c r="BI2" s="697">
        <v>0</v>
      </c>
      <c r="BJ2" s="697">
        <v>0</v>
      </c>
      <c r="BK2" s="697">
        <v>0</v>
      </c>
      <c r="BL2" s="697">
        <v>8728</v>
      </c>
      <c r="BM2" s="697">
        <v>0</v>
      </c>
      <c r="BN2" s="697">
        <v>0</v>
      </c>
      <c r="BO2" s="697">
        <v>438.30900000000003</v>
      </c>
    </row>
    <row r="3" spans="1:67" ht="15" customHeight="1" x14ac:dyDescent="0.2">
      <c r="A3" s="697">
        <v>328</v>
      </c>
      <c r="B3" s="697" t="s">
        <v>1412</v>
      </c>
      <c r="C3" s="698" t="s">
        <v>1420</v>
      </c>
      <c r="D3" s="699" t="s">
        <v>1420</v>
      </c>
      <c r="E3" s="700">
        <f t="shared" si="0"/>
        <v>191628.3616</v>
      </c>
      <c r="F3" s="700">
        <v>276843</v>
      </c>
      <c r="G3" s="701">
        <f t="shared" si="1"/>
        <v>468471.3616</v>
      </c>
      <c r="H3" s="698" t="s">
        <v>10</v>
      </c>
      <c r="I3" s="699" t="s">
        <v>1416</v>
      </c>
      <c r="J3" s="699" t="s">
        <v>1412</v>
      </c>
      <c r="K3" s="699" t="s">
        <v>1423</v>
      </c>
      <c r="L3" s="699" t="s">
        <v>1412</v>
      </c>
      <c r="M3" s="702">
        <v>64</v>
      </c>
      <c r="N3" s="702">
        <v>0.73499999999999999</v>
      </c>
      <c r="O3" s="702">
        <v>0.754</v>
      </c>
      <c r="P3" s="702">
        <v>0.68</v>
      </c>
      <c r="Q3" s="702">
        <v>0.70399999999999996</v>
      </c>
      <c r="R3" s="702">
        <v>628918</v>
      </c>
      <c r="S3" s="702">
        <v>550024</v>
      </c>
      <c r="T3" s="7">
        <f t="shared" si="2"/>
        <v>187103.10499999998</v>
      </c>
      <c r="U3" s="702">
        <v>332773</v>
      </c>
      <c r="V3" s="702">
        <v>217251</v>
      </c>
      <c r="W3" s="702">
        <v>3242</v>
      </c>
      <c r="X3" s="702">
        <v>463946.10499999998</v>
      </c>
      <c r="Y3" s="702">
        <v>187103.10500000001</v>
      </c>
      <c r="Z3" s="702">
        <v>276843</v>
      </c>
      <c r="AA3" s="702">
        <v>273181</v>
      </c>
      <c r="AB3" s="702">
        <v>0</v>
      </c>
      <c r="AC3" s="702">
        <v>273181</v>
      </c>
      <c r="AD3" s="702">
        <v>276843</v>
      </c>
      <c r="AE3" s="702">
        <v>0</v>
      </c>
      <c r="AF3" s="702">
        <v>273181</v>
      </c>
      <c r="AG3" s="702">
        <v>0</v>
      </c>
      <c r="AH3" s="702">
        <v>189000</v>
      </c>
      <c r="AI3" s="702">
        <v>222000</v>
      </c>
      <c r="AJ3" s="698" t="s">
        <v>900</v>
      </c>
      <c r="AK3" s="698" t="s">
        <v>901</v>
      </c>
      <c r="AL3" s="699" t="s">
        <v>1416</v>
      </c>
      <c r="AM3" s="698" t="s">
        <v>10</v>
      </c>
      <c r="AN3" s="699" t="s">
        <v>1420</v>
      </c>
      <c r="AO3" s="699">
        <v>463946.10499999998</v>
      </c>
      <c r="AP3" s="703">
        <f t="shared" si="3"/>
        <v>366.892</v>
      </c>
      <c r="AQ3" s="703">
        <f t="shared" ref="AQ3:AQ66" si="4">AR3+AT3+AU3+AV3+AX3+AY3+AZ3+BB3+BC3+BD3+BF3+BG3+BH3+BJ3+BK3+(BL3+BM3+BN3)/1000+(0.1*BO3)</f>
        <v>394.892</v>
      </c>
      <c r="AR3" s="697">
        <v>181</v>
      </c>
      <c r="AS3" s="697">
        <v>222</v>
      </c>
      <c r="AT3" s="697">
        <v>44</v>
      </c>
      <c r="AU3" s="697">
        <v>19</v>
      </c>
      <c r="AV3" s="697">
        <v>0</v>
      </c>
      <c r="AW3" s="697">
        <v>0</v>
      </c>
      <c r="AX3" s="697">
        <v>0</v>
      </c>
      <c r="AY3" s="697">
        <v>0</v>
      </c>
      <c r="AZ3" s="697">
        <v>7</v>
      </c>
      <c r="BA3" s="697">
        <v>10</v>
      </c>
      <c r="BB3" s="697">
        <v>28</v>
      </c>
      <c r="BC3" s="697">
        <v>0</v>
      </c>
      <c r="BD3" s="697">
        <v>30</v>
      </c>
      <c r="BE3" s="697">
        <v>0</v>
      </c>
      <c r="BF3" s="697">
        <v>0</v>
      </c>
      <c r="BG3" s="697">
        <v>0</v>
      </c>
      <c r="BH3" s="697">
        <v>34</v>
      </c>
      <c r="BI3" s="697">
        <v>0</v>
      </c>
      <c r="BJ3" s="697">
        <v>0</v>
      </c>
      <c r="BK3" s="697">
        <v>0</v>
      </c>
      <c r="BL3" s="697">
        <v>0</v>
      </c>
      <c r="BM3" s="697">
        <v>0</v>
      </c>
      <c r="BN3" s="697">
        <v>0</v>
      </c>
      <c r="BO3" s="697">
        <v>518.91999999999996</v>
      </c>
    </row>
    <row r="4" spans="1:67" s="392" customFormat="1" ht="15" customHeight="1" x14ac:dyDescent="0.2">
      <c r="A4" s="704">
        <v>115</v>
      </c>
      <c r="B4" s="704"/>
      <c r="C4" s="705" t="s">
        <v>902</v>
      </c>
      <c r="D4" s="706" t="s">
        <v>902</v>
      </c>
      <c r="E4" s="700" t="e">
        <f t="shared" si="0"/>
        <v>#VALUE!</v>
      </c>
      <c r="F4" s="707" t="s">
        <v>10</v>
      </c>
      <c r="G4" s="701" t="e">
        <f t="shared" si="1"/>
        <v>#VALUE!</v>
      </c>
      <c r="H4" s="705" t="s">
        <v>1417</v>
      </c>
      <c r="I4" s="706" t="s">
        <v>1416</v>
      </c>
      <c r="J4" s="706" t="s">
        <v>10</v>
      </c>
      <c r="K4" s="706" t="s">
        <v>10</v>
      </c>
      <c r="L4" s="706" t="s">
        <v>1412</v>
      </c>
      <c r="M4" s="708" t="s">
        <v>10</v>
      </c>
      <c r="N4" s="708" t="s">
        <v>10</v>
      </c>
      <c r="O4" s="708" t="s">
        <v>10</v>
      </c>
      <c r="P4" s="708" t="s">
        <v>10</v>
      </c>
      <c r="Q4" s="708" t="s">
        <v>10</v>
      </c>
      <c r="R4" s="708" t="s">
        <v>10</v>
      </c>
      <c r="S4" s="708" t="s">
        <v>10</v>
      </c>
      <c r="T4" s="7" t="e">
        <f t="shared" si="2"/>
        <v>#VALUE!</v>
      </c>
      <c r="U4" s="708" t="s">
        <v>10</v>
      </c>
      <c r="V4" s="708" t="s">
        <v>10</v>
      </c>
      <c r="W4" s="708" t="s">
        <v>10</v>
      </c>
      <c r="X4" s="708" t="s">
        <v>10</v>
      </c>
      <c r="Y4" s="708" t="s">
        <v>10</v>
      </c>
      <c r="Z4" s="708" t="s">
        <v>10</v>
      </c>
      <c r="AA4" s="708" t="s">
        <v>10</v>
      </c>
      <c r="AB4" s="708" t="s">
        <v>10</v>
      </c>
      <c r="AC4" s="708" t="s">
        <v>10</v>
      </c>
      <c r="AD4" s="708" t="s">
        <v>10</v>
      </c>
      <c r="AE4" s="708" t="s">
        <v>10</v>
      </c>
      <c r="AF4" s="708" t="s">
        <v>10</v>
      </c>
      <c r="AG4" s="708" t="s">
        <v>10</v>
      </c>
      <c r="AH4" s="708" t="s">
        <v>10</v>
      </c>
      <c r="AI4" s="708" t="s">
        <v>10</v>
      </c>
      <c r="AJ4" s="705" t="s">
        <v>903</v>
      </c>
      <c r="AK4" s="705" t="s">
        <v>904</v>
      </c>
      <c r="AL4" s="709" t="s">
        <v>1578</v>
      </c>
      <c r="AM4" s="705" t="s">
        <v>1417</v>
      </c>
      <c r="AN4" s="709" t="s">
        <v>902</v>
      </c>
      <c r="AO4" s="709">
        <v>0</v>
      </c>
      <c r="AP4" s="710">
        <f t="shared" si="3"/>
        <v>334</v>
      </c>
      <c r="AQ4" s="703">
        <f t="shared" si="4"/>
        <v>380</v>
      </c>
      <c r="AR4" s="779">
        <v>94</v>
      </c>
      <c r="AS4" s="779">
        <v>0</v>
      </c>
      <c r="AT4" s="779">
        <v>125</v>
      </c>
      <c r="AU4" s="779">
        <v>1</v>
      </c>
      <c r="AV4" s="779">
        <v>21</v>
      </c>
      <c r="AW4" s="779">
        <v>6</v>
      </c>
      <c r="AX4" s="779">
        <v>10</v>
      </c>
      <c r="AY4" s="779">
        <v>0</v>
      </c>
      <c r="AZ4" s="779">
        <v>0</v>
      </c>
      <c r="BA4" s="779">
        <v>0</v>
      </c>
      <c r="BB4" s="779">
        <v>46</v>
      </c>
      <c r="BC4" s="779">
        <v>0</v>
      </c>
      <c r="BD4" s="779">
        <v>-2</v>
      </c>
      <c r="BE4" s="779">
        <v>0</v>
      </c>
      <c r="BF4" s="779">
        <v>0</v>
      </c>
      <c r="BG4" s="779">
        <v>0</v>
      </c>
      <c r="BH4" s="779">
        <v>41</v>
      </c>
      <c r="BI4" s="779">
        <v>0</v>
      </c>
      <c r="BJ4" s="779">
        <v>0</v>
      </c>
      <c r="BK4" s="779">
        <v>0</v>
      </c>
      <c r="BL4" s="779">
        <v>0</v>
      </c>
      <c r="BM4" s="779">
        <v>0</v>
      </c>
      <c r="BN4" s="779">
        <v>44000</v>
      </c>
      <c r="BO4" s="779">
        <v>0</v>
      </c>
    </row>
    <row r="5" spans="1:67" ht="15" customHeight="1" x14ac:dyDescent="0.2">
      <c r="A5" s="697">
        <v>124</v>
      </c>
      <c r="B5" s="697" t="s">
        <v>1412</v>
      </c>
      <c r="C5" s="698" t="s">
        <v>1424</v>
      </c>
      <c r="D5" s="699" t="s">
        <v>1424</v>
      </c>
      <c r="E5" s="700">
        <f t="shared" si="0"/>
        <v>220331.99239999999</v>
      </c>
      <c r="F5" s="700">
        <v>342809</v>
      </c>
      <c r="G5" s="701">
        <f t="shared" si="1"/>
        <v>563140.99239999999</v>
      </c>
      <c r="H5" s="698" t="s">
        <v>10</v>
      </c>
      <c r="I5" s="699" t="s">
        <v>1416</v>
      </c>
      <c r="J5" s="699" t="s">
        <v>1412</v>
      </c>
      <c r="K5" s="699" t="s">
        <v>1509</v>
      </c>
      <c r="L5" s="699" t="s">
        <v>1412</v>
      </c>
      <c r="M5" s="702">
        <v>107</v>
      </c>
      <c r="N5" s="702">
        <v>0.93500000000000005</v>
      </c>
      <c r="O5" s="702">
        <v>0.93400000000000005</v>
      </c>
      <c r="P5" s="702">
        <v>0.747</v>
      </c>
      <c r="Q5" s="702">
        <v>0.84299999999999997</v>
      </c>
      <c r="R5" s="702">
        <v>739600</v>
      </c>
      <c r="S5" s="702">
        <v>632411</v>
      </c>
      <c r="T5" s="7">
        <f t="shared" si="2"/>
        <v>220031</v>
      </c>
      <c r="U5" s="702">
        <v>404394</v>
      </c>
      <c r="V5" s="702">
        <v>228017</v>
      </c>
      <c r="W5" s="702">
        <v>3500</v>
      </c>
      <c r="X5" s="702">
        <v>562840</v>
      </c>
      <c r="Y5" s="702">
        <v>220031</v>
      </c>
      <c r="Z5" s="702">
        <v>342809</v>
      </c>
      <c r="AA5" s="702">
        <v>289602</v>
      </c>
      <c r="AB5" s="702">
        <v>0</v>
      </c>
      <c r="AC5" s="702">
        <v>289602</v>
      </c>
      <c r="AD5" s="702">
        <v>342809</v>
      </c>
      <c r="AE5" s="702">
        <v>0</v>
      </c>
      <c r="AF5" s="702">
        <v>289602</v>
      </c>
      <c r="AG5" s="702">
        <v>0</v>
      </c>
      <c r="AH5" s="702">
        <v>301000</v>
      </c>
      <c r="AI5" s="702">
        <v>239000</v>
      </c>
      <c r="AJ5" s="698" t="s">
        <v>900</v>
      </c>
      <c r="AK5" s="698" t="s">
        <v>905</v>
      </c>
      <c r="AL5" s="699" t="s">
        <v>1416</v>
      </c>
      <c r="AM5" s="698" t="s">
        <v>10</v>
      </c>
      <c r="AN5" s="699" t="s">
        <v>1424</v>
      </c>
      <c r="AO5" s="699">
        <v>562840</v>
      </c>
      <c r="AP5" s="703">
        <f t="shared" si="3"/>
        <v>356.49690000000004</v>
      </c>
      <c r="AQ5" s="703">
        <f t="shared" si="4"/>
        <v>377.49690000000004</v>
      </c>
      <c r="AR5" s="697">
        <v>144</v>
      </c>
      <c r="AS5" s="697">
        <v>239</v>
      </c>
      <c r="AT5" s="697">
        <v>59</v>
      </c>
      <c r="AU5" s="697">
        <v>8</v>
      </c>
      <c r="AV5" s="697">
        <v>0</v>
      </c>
      <c r="AW5" s="697">
        <v>0</v>
      </c>
      <c r="AX5" s="697">
        <v>0</v>
      </c>
      <c r="AY5" s="697">
        <v>0</v>
      </c>
      <c r="AZ5" s="697">
        <v>11</v>
      </c>
      <c r="BA5" s="697">
        <v>15</v>
      </c>
      <c r="BB5" s="697">
        <v>21</v>
      </c>
      <c r="BC5" s="697">
        <v>0</v>
      </c>
      <c r="BD5" s="697">
        <v>23</v>
      </c>
      <c r="BE5" s="697">
        <v>0</v>
      </c>
      <c r="BF5" s="697">
        <v>0</v>
      </c>
      <c r="BG5" s="697">
        <v>0</v>
      </c>
      <c r="BH5" s="697">
        <v>43</v>
      </c>
      <c r="BI5" s="697">
        <v>0</v>
      </c>
      <c r="BJ5" s="697">
        <v>0</v>
      </c>
      <c r="BK5" s="697">
        <v>0</v>
      </c>
      <c r="BL5" s="697">
        <v>0</v>
      </c>
      <c r="BM5" s="697">
        <v>0</v>
      </c>
      <c r="BN5" s="697">
        <v>14564</v>
      </c>
      <c r="BO5" s="697">
        <v>539.32899999999995</v>
      </c>
    </row>
    <row r="6" spans="1:67" ht="15" customHeight="1" x14ac:dyDescent="0.2">
      <c r="A6" s="697">
        <v>140</v>
      </c>
      <c r="B6" s="697"/>
      <c r="C6" s="698" t="s">
        <v>1514</v>
      </c>
      <c r="D6" s="699" t="s">
        <v>1514</v>
      </c>
      <c r="E6" s="700">
        <f t="shared" si="0"/>
        <v>17620.4686</v>
      </c>
      <c r="F6" s="700">
        <v>0</v>
      </c>
      <c r="G6" s="701">
        <f t="shared" si="1"/>
        <v>17620.4686</v>
      </c>
      <c r="H6" s="698" t="s">
        <v>10</v>
      </c>
      <c r="I6" s="699" t="s">
        <v>1512</v>
      </c>
      <c r="J6" s="699" t="s">
        <v>1417</v>
      </c>
      <c r="K6" s="699" t="s">
        <v>1517</v>
      </c>
      <c r="L6" s="699" t="s">
        <v>10</v>
      </c>
      <c r="M6" s="702">
        <v>5</v>
      </c>
      <c r="N6" s="702">
        <v>1</v>
      </c>
      <c r="O6" s="702">
        <v>1</v>
      </c>
      <c r="P6" s="702">
        <v>0.747</v>
      </c>
      <c r="Q6" s="702">
        <v>0.84299999999999997</v>
      </c>
      <c r="R6" s="702">
        <v>0</v>
      </c>
      <c r="S6" s="702">
        <v>90874</v>
      </c>
      <c r="T6" s="7">
        <f t="shared" si="2"/>
        <v>17620.4686</v>
      </c>
      <c r="U6" s="702">
        <v>81047</v>
      </c>
      <c r="V6" s="702">
        <v>9827</v>
      </c>
      <c r="W6" s="702">
        <v>488</v>
      </c>
      <c r="X6" s="702">
        <v>0</v>
      </c>
      <c r="Y6" s="702">
        <v>0</v>
      </c>
      <c r="Z6" s="702">
        <v>0</v>
      </c>
      <c r="AA6" s="702">
        <v>108494.46859999999</v>
      </c>
      <c r="AB6" s="702">
        <v>17620.4686</v>
      </c>
      <c r="AC6" s="702">
        <v>90874</v>
      </c>
      <c r="AD6" s="702">
        <v>0</v>
      </c>
      <c r="AE6" s="702">
        <v>0</v>
      </c>
      <c r="AF6" s="702">
        <v>0</v>
      </c>
      <c r="AG6" s="702">
        <v>90874</v>
      </c>
      <c r="AH6" s="702">
        <v>0</v>
      </c>
      <c r="AI6" s="702">
        <v>0</v>
      </c>
      <c r="AJ6" s="698">
        <v>4</v>
      </c>
      <c r="AK6" s="698" t="s">
        <v>906</v>
      </c>
      <c r="AL6" s="699" t="s">
        <v>1512</v>
      </c>
      <c r="AM6" s="698" t="s">
        <v>10</v>
      </c>
      <c r="AN6" s="699" t="s">
        <v>1514</v>
      </c>
      <c r="AO6" s="699">
        <v>17620.4686</v>
      </c>
      <c r="AP6" s="703">
        <f t="shared" si="3"/>
        <v>5</v>
      </c>
      <c r="AQ6" s="703">
        <f t="shared" si="4"/>
        <v>6</v>
      </c>
      <c r="AR6" s="697">
        <v>0</v>
      </c>
      <c r="AS6" s="697">
        <v>0</v>
      </c>
      <c r="AT6" s="697">
        <v>5</v>
      </c>
      <c r="AU6" s="697">
        <v>0</v>
      </c>
      <c r="AV6" s="697">
        <v>0</v>
      </c>
      <c r="AW6" s="697">
        <v>0</v>
      </c>
      <c r="AX6" s="697">
        <v>0</v>
      </c>
      <c r="AY6" s="697">
        <v>0</v>
      </c>
      <c r="AZ6" s="697">
        <v>0</v>
      </c>
      <c r="BA6" s="697">
        <v>0</v>
      </c>
      <c r="BB6" s="697">
        <v>1</v>
      </c>
      <c r="BC6" s="697">
        <v>0</v>
      </c>
      <c r="BD6" s="697">
        <v>0</v>
      </c>
      <c r="BE6" s="697">
        <v>0</v>
      </c>
      <c r="BF6" s="697">
        <v>0</v>
      </c>
      <c r="BG6" s="697">
        <v>0</v>
      </c>
      <c r="BH6" s="697">
        <v>0</v>
      </c>
      <c r="BI6" s="697">
        <v>0</v>
      </c>
      <c r="BJ6" s="697">
        <v>0</v>
      </c>
      <c r="BK6" s="697">
        <v>0</v>
      </c>
      <c r="BL6" s="697">
        <v>0</v>
      </c>
      <c r="BM6" s="697">
        <v>0</v>
      </c>
      <c r="BN6" s="697">
        <v>0</v>
      </c>
      <c r="BO6" s="697">
        <v>0</v>
      </c>
    </row>
    <row r="7" spans="1:67" ht="15" customHeight="1" x14ac:dyDescent="0.2">
      <c r="A7" s="697">
        <v>4820</v>
      </c>
      <c r="B7" s="697"/>
      <c r="C7" s="698" t="s">
        <v>1518</v>
      </c>
      <c r="D7" s="699" t="s">
        <v>1518</v>
      </c>
      <c r="E7" s="700">
        <f t="shared" si="0"/>
        <v>330980</v>
      </c>
      <c r="F7" s="700">
        <v>0</v>
      </c>
      <c r="G7" s="701">
        <f t="shared" si="1"/>
        <v>330980</v>
      </c>
      <c r="H7" s="698" t="s">
        <v>10</v>
      </c>
      <c r="I7" s="699" t="s">
        <v>1416</v>
      </c>
      <c r="J7" s="699" t="s">
        <v>1417</v>
      </c>
      <c r="K7" s="699" t="s">
        <v>1517</v>
      </c>
      <c r="L7" s="699" t="s">
        <v>10</v>
      </c>
      <c r="M7" s="702">
        <v>130</v>
      </c>
      <c r="N7" s="702">
        <v>0.67400000000000004</v>
      </c>
      <c r="O7" s="702">
        <v>0.69199999999999995</v>
      </c>
      <c r="P7" s="702">
        <v>0.92500000000000004</v>
      </c>
      <c r="Q7" s="702">
        <v>0.95199999999999996</v>
      </c>
      <c r="R7" s="702">
        <v>501572</v>
      </c>
      <c r="S7" s="702">
        <v>950000</v>
      </c>
      <c r="T7" s="7">
        <f t="shared" si="2"/>
        <v>149217.66999999998</v>
      </c>
      <c r="U7" s="702">
        <v>501572</v>
      </c>
      <c r="V7" s="702">
        <v>448428</v>
      </c>
      <c r="W7" s="702">
        <v>5500</v>
      </c>
      <c r="X7" s="702">
        <v>0</v>
      </c>
      <c r="Y7" s="702">
        <v>0</v>
      </c>
      <c r="Z7" s="702">
        <v>0</v>
      </c>
      <c r="AA7" s="702">
        <v>1099217.67</v>
      </c>
      <c r="AB7" s="702">
        <v>149217.67000000001</v>
      </c>
      <c r="AC7" s="702">
        <v>950000</v>
      </c>
      <c r="AD7" s="702">
        <v>0</v>
      </c>
      <c r="AE7" s="702">
        <v>0</v>
      </c>
      <c r="AF7" s="702">
        <v>0</v>
      </c>
      <c r="AG7" s="702">
        <v>950000</v>
      </c>
      <c r="AH7" s="702">
        <v>0</v>
      </c>
      <c r="AI7" s="702">
        <v>0</v>
      </c>
      <c r="AJ7" s="698">
        <v>4</v>
      </c>
      <c r="AK7" s="698" t="s">
        <v>906</v>
      </c>
      <c r="AL7" s="699" t="s">
        <v>1416</v>
      </c>
      <c r="AM7" s="698" t="s">
        <v>10</v>
      </c>
      <c r="AN7" s="699" t="s">
        <v>1518</v>
      </c>
      <c r="AO7" s="699">
        <v>149217.67000000001</v>
      </c>
      <c r="AP7" s="703">
        <f t="shared" si="3"/>
        <v>228.306265</v>
      </c>
      <c r="AQ7" s="703">
        <f t="shared" si="4"/>
        <v>243.306265</v>
      </c>
      <c r="AR7" s="697">
        <v>0</v>
      </c>
      <c r="AS7" s="697">
        <v>0</v>
      </c>
      <c r="AT7" s="697">
        <v>160</v>
      </c>
      <c r="AU7" s="697">
        <v>49</v>
      </c>
      <c r="AV7" s="697">
        <v>0</v>
      </c>
      <c r="AW7" s="697">
        <v>0</v>
      </c>
      <c r="AX7" s="697">
        <v>17</v>
      </c>
      <c r="AY7" s="697">
        <v>2</v>
      </c>
      <c r="AZ7" s="697">
        <v>0</v>
      </c>
      <c r="BA7" s="697">
        <v>0</v>
      </c>
      <c r="BB7" s="697">
        <v>11</v>
      </c>
      <c r="BC7" s="697">
        <v>4</v>
      </c>
      <c r="BD7" s="697">
        <v>0</v>
      </c>
      <c r="BE7" s="697">
        <v>1</v>
      </c>
      <c r="BF7" s="697">
        <v>0</v>
      </c>
      <c r="BG7" s="697">
        <v>0</v>
      </c>
      <c r="BH7" s="697">
        <v>0</v>
      </c>
      <c r="BI7" s="697">
        <v>0</v>
      </c>
      <c r="BJ7" s="697">
        <v>0</v>
      </c>
      <c r="BK7" s="697">
        <v>0</v>
      </c>
      <c r="BL7" s="697">
        <v>0</v>
      </c>
      <c r="BM7" s="697">
        <v>0</v>
      </c>
      <c r="BN7" s="697">
        <v>0</v>
      </c>
      <c r="BO7" s="697">
        <v>3.0626500000000001</v>
      </c>
    </row>
    <row r="8" spans="1:67" ht="15" customHeight="1" x14ac:dyDescent="0.2">
      <c r="A8" s="697">
        <v>3116</v>
      </c>
      <c r="B8" s="697"/>
      <c r="C8" s="698" t="s">
        <v>1521</v>
      </c>
      <c r="D8" s="699" t="s">
        <v>1521</v>
      </c>
      <c r="E8" s="700">
        <f t="shared" ref="E8:E71" si="5">IF(I8="regional",IF(R8*0.2975,S8*0.3484),S8*0.1939)</f>
        <v>24103.515099999997</v>
      </c>
      <c r="F8" s="700">
        <v>0</v>
      </c>
      <c r="G8" s="701">
        <f t="shared" si="1"/>
        <v>24103.515099999997</v>
      </c>
      <c r="H8" s="698" t="s">
        <v>10</v>
      </c>
      <c r="I8" s="699" t="s">
        <v>1512</v>
      </c>
      <c r="J8" s="699" t="s">
        <v>1417</v>
      </c>
      <c r="K8" s="699" t="s">
        <v>1517</v>
      </c>
      <c r="L8" s="699" t="s">
        <v>10</v>
      </c>
      <c r="M8" s="702">
        <v>22</v>
      </c>
      <c r="N8" s="702">
        <v>0.96</v>
      </c>
      <c r="O8" s="702">
        <v>0.96</v>
      </c>
      <c r="P8" s="702">
        <v>0.96</v>
      </c>
      <c r="Q8" s="702">
        <v>0.96699999999999997</v>
      </c>
      <c r="R8" s="702">
        <v>0</v>
      </c>
      <c r="S8" s="702">
        <v>124309</v>
      </c>
      <c r="T8" s="7">
        <f t="shared" si="2"/>
        <v>24103.515099999997</v>
      </c>
      <c r="U8" s="702">
        <v>81319</v>
      </c>
      <c r="V8" s="702">
        <v>42990</v>
      </c>
      <c r="W8" s="702">
        <v>1102</v>
      </c>
      <c r="X8" s="702">
        <v>0</v>
      </c>
      <c r="Y8" s="702">
        <v>0</v>
      </c>
      <c r="Z8" s="702">
        <v>0</v>
      </c>
      <c r="AA8" s="702">
        <v>148412.51509999999</v>
      </c>
      <c r="AB8" s="702">
        <v>24103.515100000001</v>
      </c>
      <c r="AC8" s="702">
        <v>124309</v>
      </c>
      <c r="AD8" s="702">
        <v>0</v>
      </c>
      <c r="AE8" s="702">
        <v>0</v>
      </c>
      <c r="AF8" s="702">
        <v>0</v>
      </c>
      <c r="AG8" s="702">
        <v>124309</v>
      </c>
      <c r="AH8" s="702">
        <v>0</v>
      </c>
      <c r="AI8" s="702">
        <v>0</v>
      </c>
      <c r="AJ8" s="698">
        <v>4</v>
      </c>
      <c r="AK8" s="698" t="s">
        <v>906</v>
      </c>
      <c r="AL8" s="699" t="s">
        <v>1512</v>
      </c>
      <c r="AM8" s="698" t="s">
        <v>10</v>
      </c>
      <c r="AN8" s="699" t="s">
        <v>1521</v>
      </c>
      <c r="AO8" s="699">
        <v>24103.515100000001</v>
      </c>
      <c r="AP8" s="703">
        <f t="shared" si="3"/>
        <v>18</v>
      </c>
      <c r="AQ8" s="703">
        <f t="shared" si="4"/>
        <v>40</v>
      </c>
      <c r="AR8" s="697">
        <v>0</v>
      </c>
      <c r="AS8" s="697">
        <v>0</v>
      </c>
      <c r="AT8" s="697">
        <v>5</v>
      </c>
      <c r="AU8" s="697">
        <v>11</v>
      </c>
      <c r="AV8" s="697">
        <v>0</v>
      </c>
      <c r="AW8" s="697">
        <v>0</v>
      </c>
      <c r="AX8" s="697">
        <v>0</v>
      </c>
      <c r="AY8" s="697">
        <v>2</v>
      </c>
      <c r="AZ8" s="697">
        <v>0</v>
      </c>
      <c r="BA8" s="697">
        <v>5</v>
      </c>
      <c r="BB8" s="697">
        <v>21</v>
      </c>
      <c r="BC8" s="697">
        <v>1</v>
      </c>
      <c r="BD8" s="697">
        <v>0</v>
      </c>
      <c r="BE8" s="697">
        <v>0</v>
      </c>
      <c r="BF8" s="697">
        <v>0</v>
      </c>
      <c r="BG8" s="697">
        <v>0</v>
      </c>
      <c r="BH8" s="697">
        <v>0</v>
      </c>
      <c r="BI8" s="697">
        <v>0</v>
      </c>
      <c r="BJ8" s="697">
        <v>0</v>
      </c>
      <c r="BK8" s="697">
        <v>0</v>
      </c>
      <c r="BL8" s="697">
        <v>0</v>
      </c>
      <c r="BM8" s="697">
        <v>0</v>
      </c>
      <c r="BN8" s="697">
        <v>0</v>
      </c>
      <c r="BO8" s="697">
        <v>0</v>
      </c>
    </row>
    <row r="9" spans="1:67" ht="15" customHeight="1" x14ac:dyDescent="0.2">
      <c r="A9" s="697">
        <v>9087</v>
      </c>
      <c r="B9" s="697" t="s">
        <v>1412</v>
      </c>
      <c r="C9" s="698" t="s">
        <v>1523</v>
      </c>
      <c r="D9" s="699" t="s">
        <v>1523</v>
      </c>
      <c r="E9" s="700">
        <f t="shared" si="5"/>
        <v>386706.92839999998</v>
      </c>
      <c r="F9" s="700">
        <v>488036</v>
      </c>
      <c r="G9" s="701">
        <f t="shared" si="1"/>
        <v>874742.92839999998</v>
      </c>
      <c r="H9" s="698" t="s">
        <v>1417</v>
      </c>
      <c r="I9" s="699" t="s">
        <v>1416</v>
      </c>
      <c r="J9" s="699" t="s">
        <v>1412</v>
      </c>
      <c r="K9" s="699" t="s">
        <v>1526</v>
      </c>
      <c r="L9" s="699" t="s">
        <v>1412</v>
      </c>
      <c r="M9" s="702">
        <v>141</v>
      </c>
      <c r="N9" s="702">
        <v>0.98599999999999999</v>
      </c>
      <c r="O9" s="702">
        <v>0.98599999999999999</v>
      </c>
      <c r="P9" s="702">
        <v>0.95599999999999996</v>
      </c>
      <c r="Q9" s="702">
        <v>0.83499999999999996</v>
      </c>
      <c r="R9" s="702">
        <v>1385850</v>
      </c>
      <c r="S9" s="702">
        <v>1109951</v>
      </c>
      <c r="T9" s="7">
        <f t="shared" si="2"/>
        <v>412290.375</v>
      </c>
      <c r="U9" s="702">
        <v>754956</v>
      </c>
      <c r="V9" s="702">
        <v>354995</v>
      </c>
      <c r="W9" s="702">
        <v>4602</v>
      </c>
      <c r="X9" s="702">
        <v>900326.375</v>
      </c>
      <c r="Y9" s="702">
        <v>412290.375</v>
      </c>
      <c r="Z9" s="702">
        <v>488036</v>
      </c>
      <c r="AA9" s="702">
        <v>621915</v>
      </c>
      <c r="AB9" s="702">
        <v>0</v>
      </c>
      <c r="AC9" s="702">
        <v>621915</v>
      </c>
      <c r="AD9" s="702">
        <v>488036</v>
      </c>
      <c r="AE9" s="702">
        <v>0</v>
      </c>
      <c r="AF9" s="702">
        <v>621915</v>
      </c>
      <c r="AG9" s="702">
        <v>0</v>
      </c>
      <c r="AH9" s="702">
        <v>660000</v>
      </c>
      <c r="AI9" s="702">
        <v>449000</v>
      </c>
      <c r="AJ9" s="698" t="s">
        <v>900</v>
      </c>
      <c r="AK9" s="698" t="s">
        <v>907</v>
      </c>
      <c r="AL9" s="699" t="s">
        <v>1416</v>
      </c>
      <c r="AM9" s="698" t="s">
        <v>1417</v>
      </c>
      <c r="AN9" s="699" t="s">
        <v>1523</v>
      </c>
      <c r="AO9" s="699">
        <v>900326.375</v>
      </c>
      <c r="AP9" s="703">
        <f t="shared" si="3"/>
        <v>928.91390000000001</v>
      </c>
      <c r="AQ9" s="703">
        <f t="shared" si="4"/>
        <v>971.91390000000001</v>
      </c>
      <c r="AR9" s="697">
        <v>229</v>
      </c>
      <c r="AS9" s="697">
        <v>449</v>
      </c>
      <c r="AT9" s="697">
        <v>307</v>
      </c>
      <c r="AU9" s="697">
        <v>50</v>
      </c>
      <c r="AV9" s="697">
        <v>0</v>
      </c>
      <c r="AW9" s="697">
        <v>0</v>
      </c>
      <c r="AX9" s="697">
        <v>0</v>
      </c>
      <c r="AY9" s="697">
        <v>0</v>
      </c>
      <c r="AZ9" s="697">
        <v>0</v>
      </c>
      <c r="BA9" s="697">
        <v>114</v>
      </c>
      <c r="BB9" s="697">
        <v>43</v>
      </c>
      <c r="BC9" s="697">
        <v>0</v>
      </c>
      <c r="BD9" s="697">
        <v>19</v>
      </c>
      <c r="BE9" s="697">
        <v>0</v>
      </c>
      <c r="BF9" s="697">
        <v>0</v>
      </c>
      <c r="BG9" s="697">
        <v>0</v>
      </c>
      <c r="BH9" s="697">
        <v>146</v>
      </c>
      <c r="BI9" s="697">
        <v>0</v>
      </c>
      <c r="BJ9" s="697">
        <v>0</v>
      </c>
      <c r="BK9" s="697">
        <v>0</v>
      </c>
      <c r="BL9" s="697">
        <v>0</v>
      </c>
      <c r="BM9" s="697">
        <v>12926</v>
      </c>
      <c r="BN9" s="697">
        <v>47091</v>
      </c>
      <c r="BO9" s="697">
        <v>1178.9690000000001</v>
      </c>
    </row>
    <row r="10" spans="1:67" ht="15" customHeight="1" x14ac:dyDescent="0.2">
      <c r="A10" s="697">
        <v>145</v>
      </c>
      <c r="B10" s="697" t="s">
        <v>1412</v>
      </c>
      <c r="C10" s="698" t="s">
        <v>1527</v>
      </c>
      <c r="D10" s="699" t="s">
        <v>1527</v>
      </c>
      <c r="E10" s="700">
        <f t="shared" si="5"/>
        <v>475897.67679999996</v>
      </c>
      <c r="F10" s="700">
        <v>638586</v>
      </c>
      <c r="G10" s="701">
        <f t="shared" si="1"/>
        <v>1114483.6768</v>
      </c>
      <c r="H10" s="698" t="s">
        <v>10</v>
      </c>
      <c r="I10" s="699" t="s">
        <v>1416</v>
      </c>
      <c r="J10" s="699" t="s">
        <v>1412</v>
      </c>
      <c r="K10" s="699" t="s">
        <v>1528</v>
      </c>
      <c r="L10" s="699" t="s">
        <v>1412</v>
      </c>
      <c r="M10" s="702">
        <v>184</v>
      </c>
      <c r="N10" s="702">
        <v>0.95099999999999996</v>
      </c>
      <c r="O10" s="702">
        <v>0.95399999999999996</v>
      </c>
      <c r="P10" s="702">
        <v>0.86299999999999999</v>
      </c>
      <c r="Q10" s="702">
        <v>0.92100000000000004</v>
      </c>
      <c r="R10" s="702">
        <v>1645545</v>
      </c>
      <c r="S10" s="702">
        <v>1365952</v>
      </c>
      <c r="T10" s="7">
        <f t="shared" si="2"/>
        <v>489549.63749999995</v>
      </c>
      <c r="U10" s="702">
        <v>932372</v>
      </c>
      <c r="V10" s="702">
        <v>433580</v>
      </c>
      <c r="W10" s="702">
        <v>5600</v>
      </c>
      <c r="X10" s="702">
        <v>1128135.638</v>
      </c>
      <c r="Y10" s="702">
        <v>489549.63750000001</v>
      </c>
      <c r="Z10" s="702">
        <v>638586</v>
      </c>
      <c r="AA10" s="702">
        <v>727366</v>
      </c>
      <c r="AB10" s="702">
        <v>0</v>
      </c>
      <c r="AC10" s="702">
        <v>727366</v>
      </c>
      <c r="AD10" s="702">
        <v>638586</v>
      </c>
      <c r="AE10" s="702">
        <v>0</v>
      </c>
      <c r="AF10" s="702">
        <v>727366</v>
      </c>
      <c r="AG10" s="702">
        <v>0</v>
      </c>
      <c r="AH10" s="702">
        <v>849000</v>
      </c>
      <c r="AI10" s="702">
        <v>769000</v>
      </c>
      <c r="AJ10" s="698" t="s">
        <v>900</v>
      </c>
      <c r="AK10" s="698" t="s">
        <v>901</v>
      </c>
      <c r="AL10" s="699" t="s">
        <v>1416</v>
      </c>
      <c r="AM10" s="698" t="s">
        <v>10</v>
      </c>
      <c r="AN10" s="699" t="s">
        <v>1527</v>
      </c>
      <c r="AO10" s="699">
        <v>1128135.6375</v>
      </c>
      <c r="AP10" s="703">
        <f t="shared" si="3"/>
        <v>866.48255599999993</v>
      </c>
      <c r="AQ10" s="703">
        <f t="shared" si="4"/>
        <v>1054.4825559999999</v>
      </c>
      <c r="AR10" s="697">
        <v>433</v>
      </c>
      <c r="AS10" s="697">
        <v>769</v>
      </c>
      <c r="AT10" s="697">
        <v>140</v>
      </c>
      <c r="AU10" s="697">
        <v>0</v>
      </c>
      <c r="AV10" s="697">
        <v>0</v>
      </c>
      <c r="AW10" s="697">
        <v>0</v>
      </c>
      <c r="AX10" s="697">
        <v>0</v>
      </c>
      <c r="AY10" s="697">
        <v>0</v>
      </c>
      <c r="AZ10" s="697">
        <v>6</v>
      </c>
      <c r="BA10" s="697">
        <v>72</v>
      </c>
      <c r="BB10" s="697">
        <v>188</v>
      </c>
      <c r="BC10" s="697">
        <v>0</v>
      </c>
      <c r="BD10" s="697">
        <v>28</v>
      </c>
      <c r="BE10" s="697">
        <v>0</v>
      </c>
      <c r="BF10" s="697">
        <v>0</v>
      </c>
      <c r="BG10" s="697">
        <v>0</v>
      </c>
      <c r="BH10" s="697">
        <v>53</v>
      </c>
      <c r="BI10" s="697">
        <v>2</v>
      </c>
      <c r="BJ10" s="697">
        <v>0</v>
      </c>
      <c r="BK10" s="697">
        <v>0</v>
      </c>
      <c r="BL10" s="697">
        <v>0</v>
      </c>
      <c r="BM10" s="697">
        <v>0</v>
      </c>
      <c r="BN10" s="697">
        <v>99001</v>
      </c>
      <c r="BO10" s="697">
        <v>1074.81556</v>
      </c>
    </row>
    <row r="11" spans="1:67" ht="15" customHeight="1" x14ac:dyDescent="0.2">
      <c r="A11" s="697">
        <v>302</v>
      </c>
      <c r="B11" s="697" t="s">
        <v>1412</v>
      </c>
      <c r="C11" s="698" t="s">
        <v>1529</v>
      </c>
      <c r="D11" s="699" t="s">
        <v>1529</v>
      </c>
      <c r="E11" s="700">
        <f t="shared" si="5"/>
        <v>390424.00799999997</v>
      </c>
      <c r="F11" s="700">
        <v>0</v>
      </c>
      <c r="G11" s="701">
        <f t="shared" si="1"/>
        <v>390424.00799999997</v>
      </c>
      <c r="H11" s="698" t="s">
        <v>10</v>
      </c>
      <c r="I11" s="699" t="s">
        <v>1416</v>
      </c>
      <c r="J11" s="699" t="s">
        <v>1412</v>
      </c>
      <c r="K11" s="699" t="s">
        <v>1532</v>
      </c>
      <c r="L11" s="699" t="s">
        <v>10</v>
      </c>
      <c r="M11" s="702">
        <v>154</v>
      </c>
      <c r="N11" s="702">
        <v>0.95099999999999996</v>
      </c>
      <c r="O11" s="702">
        <v>0.96</v>
      </c>
      <c r="P11" s="702">
        <v>0.90800000000000003</v>
      </c>
      <c r="Q11" s="702">
        <v>0.88600000000000001</v>
      </c>
      <c r="R11" s="702">
        <v>1310195</v>
      </c>
      <c r="S11" s="702">
        <v>1120620</v>
      </c>
      <c r="T11" s="7">
        <f t="shared" si="2"/>
        <v>389783.01249999995</v>
      </c>
      <c r="U11" s="702">
        <v>738683</v>
      </c>
      <c r="V11" s="702">
        <v>381937</v>
      </c>
      <c r="W11" s="702">
        <v>5768</v>
      </c>
      <c r="X11" s="702">
        <v>0</v>
      </c>
      <c r="Y11" s="702">
        <v>0</v>
      </c>
      <c r="Z11" s="702">
        <v>0</v>
      </c>
      <c r="AA11" s="702">
        <v>1510403.013</v>
      </c>
      <c r="AB11" s="702">
        <v>389783.01250000001</v>
      </c>
      <c r="AC11" s="702">
        <v>1120620</v>
      </c>
      <c r="AD11" s="702">
        <v>0</v>
      </c>
      <c r="AE11" s="702">
        <v>0</v>
      </c>
      <c r="AF11" s="702">
        <v>1120620</v>
      </c>
      <c r="AG11" s="702">
        <v>0</v>
      </c>
      <c r="AH11" s="702">
        <v>714000</v>
      </c>
      <c r="AI11" s="702">
        <v>605000</v>
      </c>
      <c r="AJ11" s="698">
        <v>4</v>
      </c>
      <c r="AK11" s="698" t="s">
        <v>899</v>
      </c>
      <c r="AL11" s="699" t="s">
        <v>1416</v>
      </c>
      <c r="AM11" s="698" t="s">
        <v>10</v>
      </c>
      <c r="AN11" s="699" t="s">
        <v>1529</v>
      </c>
      <c r="AO11" s="699">
        <v>389783.01250000001</v>
      </c>
      <c r="AP11" s="703">
        <f t="shared" si="3"/>
        <v>234.00720000000001</v>
      </c>
      <c r="AQ11" s="703">
        <f t="shared" si="4"/>
        <v>288.00720000000001</v>
      </c>
      <c r="AR11" s="697">
        <v>47</v>
      </c>
      <c r="AS11" s="697">
        <v>605</v>
      </c>
      <c r="AT11" s="697">
        <v>81</v>
      </c>
      <c r="AU11" s="697">
        <v>11</v>
      </c>
      <c r="AV11" s="697">
        <v>0</v>
      </c>
      <c r="AW11" s="697">
        <v>0</v>
      </c>
      <c r="AX11" s="697">
        <v>5</v>
      </c>
      <c r="AY11" s="697">
        <v>0</v>
      </c>
      <c r="AZ11" s="697">
        <v>0</v>
      </c>
      <c r="BA11" s="697">
        <v>26</v>
      </c>
      <c r="BB11" s="697">
        <v>52</v>
      </c>
      <c r="BC11" s="697">
        <v>2</v>
      </c>
      <c r="BD11" s="697">
        <v>0</v>
      </c>
      <c r="BE11" s="697">
        <v>0</v>
      </c>
      <c r="BF11" s="697">
        <v>0</v>
      </c>
      <c r="BG11" s="697">
        <v>0</v>
      </c>
      <c r="BH11" s="697">
        <v>0</v>
      </c>
      <c r="BI11" s="697">
        <v>0</v>
      </c>
      <c r="BJ11" s="697">
        <v>0</v>
      </c>
      <c r="BK11" s="697">
        <v>0</v>
      </c>
      <c r="BL11" s="697">
        <v>5552</v>
      </c>
      <c r="BM11" s="697">
        <v>0</v>
      </c>
      <c r="BN11" s="697">
        <v>51913</v>
      </c>
      <c r="BO11" s="697">
        <v>325.42200000000003</v>
      </c>
    </row>
    <row r="12" spans="1:67" ht="15" customHeight="1" x14ac:dyDescent="0.2">
      <c r="A12" s="697">
        <v>8099</v>
      </c>
      <c r="B12" s="697"/>
      <c r="C12" s="698" t="s">
        <v>1533</v>
      </c>
      <c r="D12" s="699" t="s">
        <v>1533</v>
      </c>
      <c r="E12" s="700">
        <f t="shared" si="5"/>
        <v>223744.91879999998</v>
      </c>
      <c r="F12" s="700">
        <v>0</v>
      </c>
      <c r="G12" s="701">
        <f t="shared" si="1"/>
        <v>223744.91879999998</v>
      </c>
      <c r="H12" s="698" t="s">
        <v>10</v>
      </c>
      <c r="I12" s="699" t="s">
        <v>1416</v>
      </c>
      <c r="J12" s="699" t="s">
        <v>1417</v>
      </c>
      <c r="K12" s="699" t="s">
        <v>1536</v>
      </c>
      <c r="L12" s="699" t="s">
        <v>10</v>
      </c>
      <c r="M12" s="702">
        <v>74</v>
      </c>
      <c r="N12" s="702">
        <v>0.83399999999999996</v>
      </c>
      <c r="O12" s="702">
        <v>0.88800000000000001</v>
      </c>
      <c r="P12" s="702">
        <v>0.877</v>
      </c>
      <c r="Q12" s="702">
        <v>0.85499999999999998</v>
      </c>
      <c r="R12" s="702">
        <v>664194</v>
      </c>
      <c r="S12" s="702">
        <v>642207</v>
      </c>
      <c r="T12" s="7">
        <f t="shared" si="2"/>
        <v>197597.715</v>
      </c>
      <c r="U12" s="702">
        <v>445150</v>
      </c>
      <c r="V12" s="702">
        <v>197057</v>
      </c>
      <c r="W12" s="702">
        <v>3589</v>
      </c>
      <c r="X12" s="702">
        <v>0</v>
      </c>
      <c r="Y12" s="702">
        <v>0</v>
      </c>
      <c r="Z12" s="702">
        <v>0</v>
      </c>
      <c r="AA12" s="702">
        <v>839804.71499999997</v>
      </c>
      <c r="AB12" s="702">
        <v>197597.715</v>
      </c>
      <c r="AC12" s="702">
        <v>642207</v>
      </c>
      <c r="AD12" s="702">
        <v>0</v>
      </c>
      <c r="AE12" s="702">
        <v>0</v>
      </c>
      <c r="AF12" s="702">
        <v>0</v>
      </c>
      <c r="AG12" s="702">
        <v>642207</v>
      </c>
      <c r="AH12" s="702">
        <v>0</v>
      </c>
      <c r="AI12" s="702">
        <v>0</v>
      </c>
      <c r="AJ12" s="698">
        <v>4</v>
      </c>
      <c r="AK12" s="698" t="s">
        <v>899</v>
      </c>
      <c r="AL12" s="699" t="s">
        <v>1416</v>
      </c>
      <c r="AM12" s="698" t="s">
        <v>10</v>
      </c>
      <c r="AN12" s="699" t="s">
        <v>1533</v>
      </c>
      <c r="AO12" s="699">
        <v>197597.715</v>
      </c>
      <c r="AP12" s="703">
        <f t="shared" si="3"/>
        <v>59</v>
      </c>
      <c r="AQ12" s="703">
        <f t="shared" si="4"/>
        <v>65</v>
      </c>
      <c r="AR12" s="697">
        <v>0</v>
      </c>
      <c r="AS12" s="697">
        <v>0</v>
      </c>
      <c r="AT12" s="697">
        <v>2</v>
      </c>
      <c r="AU12" s="697">
        <v>2</v>
      </c>
      <c r="AV12" s="697">
        <v>0</v>
      </c>
      <c r="AW12" s="697">
        <v>0</v>
      </c>
      <c r="AX12" s="697">
        <v>54</v>
      </c>
      <c r="AY12" s="697">
        <v>1</v>
      </c>
      <c r="AZ12" s="697">
        <v>0</v>
      </c>
      <c r="BA12" s="697">
        <v>0</v>
      </c>
      <c r="BB12" s="697">
        <v>5</v>
      </c>
      <c r="BC12" s="697">
        <v>1</v>
      </c>
      <c r="BD12" s="697">
        <v>0</v>
      </c>
      <c r="BE12" s="697">
        <v>0</v>
      </c>
      <c r="BF12" s="697">
        <v>0</v>
      </c>
      <c r="BG12" s="697">
        <v>0</v>
      </c>
      <c r="BH12" s="697">
        <v>0</v>
      </c>
      <c r="BI12" s="697">
        <v>0</v>
      </c>
      <c r="BJ12" s="697">
        <v>0</v>
      </c>
      <c r="BK12" s="697">
        <v>0</v>
      </c>
      <c r="BL12" s="697">
        <v>0</v>
      </c>
      <c r="BM12" s="697">
        <v>0</v>
      </c>
      <c r="BN12" s="697">
        <v>0</v>
      </c>
      <c r="BO12" s="697">
        <v>0</v>
      </c>
    </row>
    <row r="13" spans="1:67" ht="15" customHeight="1" x14ac:dyDescent="0.2">
      <c r="A13" s="697">
        <v>8115</v>
      </c>
      <c r="B13" s="697" t="s">
        <v>1412</v>
      </c>
      <c r="C13" s="698" t="s">
        <v>1537</v>
      </c>
      <c r="D13" s="699" t="s">
        <v>1537</v>
      </c>
      <c r="E13" s="700">
        <f t="shared" si="5"/>
        <v>363662.01039999997</v>
      </c>
      <c r="F13" s="700">
        <v>0</v>
      </c>
      <c r="G13" s="701">
        <f t="shared" si="1"/>
        <v>363662.01039999997</v>
      </c>
      <c r="H13" s="698" t="s">
        <v>10</v>
      </c>
      <c r="I13" s="699" t="s">
        <v>1416</v>
      </c>
      <c r="J13" s="699" t="s">
        <v>1412</v>
      </c>
      <c r="K13" s="699" t="s">
        <v>1540</v>
      </c>
      <c r="L13" s="699" t="s">
        <v>10</v>
      </c>
      <c r="M13" s="702">
        <v>158</v>
      </c>
      <c r="N13" s="702">
        <v>0.878</v>
      </c>
      <c r="O13" s="702">
        <v>0.89400000000000002</v>
      </c>
      <c r="P13" s="702">
        <v>0.88700000000000001</v>
      </c>
      <c r="Q13" s="702">
        <v>0.873</v>
      </c>
      <c r="R13" s="702">
        <v>1193429</v>
      </c>
      <c r="S13" s="702">
        <v>1043806</v>
      </c>
      <c r="T13" s="7">
        <f t="shared" si="2"/>
        <v>355045.1275</v>
      </c>
      <c r="U13" s="702">
        <v>541973</v>
      </c>
      <c r="V13" s="702">
        <v>501833</v>
      </c>
      <c r="W13" s="702">
        <v>5072</v>
      </c>
      <c r="X13" s="702">
        <v>0</v>
      </c>
      <c r="Y13" s="702">
        <v>0</v>
      </c>
      <c r="Z13" s="702">
        <v>0</v>
      </c>
      <c r="AA13" s="702">
        <v>1398851.128</v>
      </c>
      <c r="AB13" s="702">
        <v>355045.1275</v>
      </c>
      <c r="AC13" s="702">
        <v>1043806</v>
      </c>
      <c r="AD13" s="702">
        <v>0</v>
      </c>
      <c r="AE13" s="702">
        <v>0</v>
      </c>
      <c r="AF13" s="702">
        <v>1043806</v>
      </c>
      <c r="AG13" s="702">
        <v>0</v>
      </c>
      <c r="AH13" s="702">
        <v>591000</v>
      </c>
      <c r="AI13" s="702">
        <v>565000</v>
      </c>
      <c r="AJ13" s="698" t="s">
        <v>908</v>
      </c>
      <c r="AK13" s="698" t="s">
        <v>909</v>
      </c>
      <c r="AL13" s="699" t="s">
        <v>1416</v>
      </c>
      <c r="AM13" s="698" t="s">
        <v>10</v>
      </c>
      <c r="AN13" s="699" t="s">
        <v>1537</v>
      </c>
      <c r="AO13" s="699">
        <v>355045.1275</v>
      </c>
      <c r="AP13" s="703">
        <f t="shared" si="3"/>
        <v>468.31891400000001</v>
      </c>
      <c r="AQ13" s="703">
        <f t="shared" si="4"/>
        <v>541.31891399999995</v>
      </c>
      <c r="AR13" s="697">
        <v>0</v>
      </c>
      <c r="AS13" s="697">
        <v>565</v>
      </c>
      <c r="AT13" s="697">
        <v>346</v>
      </c>
      <c r="AU13" s="697">
        <v>-20</v>
      </c>
      <c r="AV13" s="697">
        <v>0</v>
      </c>
      <c r="AW13" s="697">
        <v>0</v>
      </c>
      <c r="AX13" s="697">
        <v>83</v>
      </c>
      <c r="AY13" s="697">
        <v>15</v>
      </c>
      <c r="AZ13" s="697">
        <v>0</v>
      </c>
      <c r="BA13" s="697">
        <v>0</v>
      </c>
      <c r="BB13" s="697">
        <v>66</v>
      </c>
      <c r="BC13" s="697">
        <v>7</v>
      </c>
      <c r="BD13" s="697">
        <v>5</v>
      </c>
      <c r="BE13" s="697">
        <v>0</v>
      </c>
      <c r="BF13" s="697">
        <v>0</v>
      </c>
      <c r="BG13" s="697">
        <v>0</v>
      </c>
      <c r="BH13" s="697">
        <v>0</v>
      </c>
      <c r="BI13" s="697">
        <v>0</v>
      </c>
      <c r="BJ13" s="697">
        <v>0</v>
      </c>
      <c r="BK13" s="697">
        <v>0</v>
      </c>
      <c r="BL13" s="697">
        <v>0</v>
      </c>
      <c r="BM13" s="697">
        <v>0</v>
      </c>
      <c r="BN13" s="697">
        <v>0</v>
      </c>
      <c r="BO13" s="697">
        <v>393.18914000000001</v>
      </c>
    </row>
    <row r="14" spans="1:67" ht="15" customHeight="1" x14ac:dyDescent="0.2">
      <c r="A14" s="697">
        <v>8120</v>
      </c>
      <c r="B14" s="697"/>
      <c r="C14" s="698" t="s">
        <v>1542</v>
      </c>
      <c r="D14" s="699" t="s">
        <v>1542</v>
      </c>
      <c r="E14" s="700">
        <f t="shared" si="5"/>
        <v>172162.2084</v>
      </c>
      <c r="F14" s="700">
        <v>0</v>
      </c>
      <c r="G14" s="701">
        <f t="shared" si="1"/>
        <v>172162.2084</v>
      </c>
      <c r="H14" s="698" t="s">
        <v>1417</v>
      </c>
      <c r="I14" s="699" t="s">
        <v>1416</v>
      </c>
      <c r="J14" s="699" t="s">
        <v>1417</v>
      </c>
      <c r="K14" s="699" t="s">
        <v>1250</v>
      </c>
      <c r="L14" s="699" t="s">
        <v>10</v>
      </c>
      <c r="M14" s="702">
        <v>97</v>
      </c>
      <c r="N14" s="702">
        <v>0.84199999999999997</v>
      </c>
      <c r="O14" s="702">
        <v>0.84699999999999998</v>
      </c>
      <c r="P14" s="702">
        <v>0.80400000000000005</v>
      </c>
      <c r="Q14" s="702">
        <v>0.748</v>
      </c>
      <c r="R14" s="702">
        <v>620910</v>
      </c>
      <c r="S14" s="702">
        <v>494151</v>
      </c>
      <c r="T14" s="7">
        <f t="shared" si="2"/>
        <v>184720.72500000001</v>
      </c>
      <c r="U14" s="702">
        <v>242576</v>
      </c>
      <c r="V14" s="702">
        <v>251575</v>
      </c>
      <c r="W14" s="702">
        <v>3127</v>
      </c>
      <c r="X14" s="702">
        <v>0</v>
      </c>
      <c r="Y14" s="702">
        <v>0</v>
      </c>
      <c r="Z14" s="702">
        <v>0</v>
      </c>
      <c r="AA14" s="702">
        <v>678871.72499999998</v>
      </c>
      <c r="AB14" s="702">
        <v>184720.72500000001</v>
      </c>
      <c r="AC14" s="702">
        <v>494151</v>
      </c>
      <c r="AD14" s="702">
        <v>0</v>
      </c>
      <c r="AE14" s="702">
        <v>0</v>
      </c>
      <c r="AF14" s="702">
        <v>0</v>
      </c>
      <c r="AG14" s="702">
        <v>494151</v>
      </c>
      <c r="AH14" s="702">
        <v>0</v>
      </c>
      <c r="AI14" s="702">
        <v>0</v>
      </c>
      <c r="AJ14" s="698" t="s">
        <v>900</v>
      </c>
      <c r="AK14" s="698" t="s">
        <v>905</v>
      </c>
      <c r="AL14" s="699" t="s">
        <v>1416</v>
      </c>
      <c r="AM14" s="698" t="s">
        <v>1417</v>
      </c>
      <c r="AN14" s="699" t="s">
        <v>1542</v>
      </c>
      <c r="AO14" s="699">
        <v>184720.72500000001</v>
      </c>
      <c r="AP14" s="703">
        <f t="shared" si="3"/>
        <v>236.38560000000001</v>
      </c>
      <c r="AQ14" s="703">
        <f t="shared" si="4"/>
        <v>252.38560000000001</v>
      </c>
      <c r="AR14" s="697">
        <v>0</v>
      </c>
      <c r="AS14" s="697">
        <v>0</v>
      </c>
      <c r="AT14" s="697">
        <v>156</v>
      </c>
      <c r="AU14" s="697">
        <v>0</v>
      </c>
      <c r="AV14" s="697">
        <v>0</v>
      </c>
      <c r="AW14" s="697">
        <v>0</v>
      </c>
      <c r="AX14" s="697">
        <v>23</v>
      </c>
      <c r="AY14" s="697">
        <v>0</v>
      </c>
      <c r="AZ14" s="697">
        <v>0</v>
      </c>
      <c r="BA14" s="697">
        <v>0</v>
      </c>
      <c r="BB14" s="697">
        <v>16</v>
      </c>
      <c r="BC14" s="697">
        <v>0</v>
      </c>
      <c r="BD14" s="697">
        <v>0</v>
      </c>
      <c r="BE14" s="697">
        <v>0</v>
      </c>
      <c r="BF14" s="697">
        <v>0</v>
      </c>
      <c r="BG14" s="697">
        <v>0</v>
      </c>
      <c r="BH14" s="697">
        <v>0</v>
      </c>
      <c r="BI14" s="697">
        <v>0</v>
      </c>
      <c r="BJ14" s="697">
        <v>0</v>
      </c>
      <c r="BK14" s="697">
        <v>0</v>
      </c>
      <c r="BL14" s="697">
        <v>0</v>
      </c>
      <c r="BM14" s="697">
        <v>0</v>
      </c>
      <c r="BN14" s="697">
        <v>0</v>
      </c>
      <c r="BO14" s="697">
        <v>573.85599999999999</v>
      </c>
    </row>
    <row r="15" spans="1:67" s="392" customFormat="1" ht="15" customHeight="1" x14ac:dyDescent="0.2">
      <c r="A15" s="711">
        <v>572</v>
      </c>
      <c r="B15" s="711"/>
      <c r="C15" s="711" t="s">
        <v>910</v>
      </c>
      <c r="D15" s="712" t="s">
        <v>910</v>
      </c>
      <c r="E15" s="700">
        <f t="shared" si="5"/>
        <v>0</v>
      </c>
      <c r="F15" s="713"/>
      <c r="G15" s="701">
        <f t="shared" si="1"/>
        <v>0</v>
      </c>
      <c r="H15" s="711"/>
      <c r="I15" s="712" t="s">
        <v>911</v>
      </c>
      <c r="J15" s="712"/>
      <c r="K15" s="712"/>
      <c r="L15" s="712"/>
      <c r="M15" s="712"/>
      <c r="N15" s="712"/>
      <c r="O15" s="712"/>
      <c r="P15" s="712"/>
      <c r="Q15" s="712"/>
      <c r="R15" s="712"/>
      <c r="S15" s="712"/>
      <c r="T15" s="7">
        <f t="shared" si="2"/>
        <v>0</v>
      </c>
      <c r="U15" s="712"/>
      <c r="V15" s="712"/>
      <c r="W15" s="712"/>
      <c r="X15" s="712"/>
      <c r="Y15" s="712"/>
      <c r="Z15" s="712"/>
      <c r="AA15" s="712"/>
      <c r="AB15" s="712"/>
      <c r="AC15" s="712"/>
      <c r="AD15" s="712"/>
      <c r="AE15" s="712"/>
      <c r="AF15" s="712"/>
      <c r="AG15" s="712"/>
      <c r="AH15" s="712"/>
      <c r="AI15" s="712"/>
      <c r="AJ15" s="711"/>
      <c r="AK15" s="711"/>
      <c r="AL15" s="711" t="s">
        <v>911</v>
      </c>
      <c r="AM15" s="711"/>
      <c r="AN15" s="711"/>
      <c r="AO15" s="711"/>
      <c r="AP15" s="714"/>
      <c r="AQ15" s="703">
        <f t="shared" si="4"/>
        <v>0</v>
      </c>
      <c r="AR15" s="778"/>
      <c r="AS15" s="778"/>
      <c r="AT15" s="778"/>
      <c r="AU15" s="778"/>
      <c r="AV15" s="711"/>
      <c r="AW15" s="711"/>
      <c r="AX15" s="711"/>
      <c r="AY15" s="711"/>
      <c r="AZ15" s="778"/>
      <c r="BA15" s="778"/>
      <c r="BB15" s="778"/>
      <c r="BC15" s="778"/>
      <c r="BD15" s="778"/>
      <c r="BE15" s="778"/>
      <c r="BF15" s="778"/>
      <c r="BG15" s="778"/>
      <c r="BH15" s="778"/>
      <c r="BI15" s="778"/>
      <c r="BJ15" s="778"/>
      <c r="BK15" s="778"/>
      <c r="BL15" s="711"/>
      <c r="BM15" s="711"/>
      <c r="BN15" s="711"/>
      <c r="BO15" s="711"/>
    </row>
    <row r="16" spans="1:67" ht="15" customHeight="1" x14ac:dyDescent="0.2">
      <c r="A16" s="715">
        <v>315</v>
      </c>
      <c r="B16" s="715"/>
      <c r="C16" s="716" t="s">
        <v>912</v>
      </c>
      <c r="D16" s="706" t="s">
        <v>912</v>
      </c>
      <c r="E16" s="700">
        <f t="shared" si="5"/>
        <v>7486.0911999999998</v>
      </c>
      <c r="F16" s="707" t="s">
        <v>10</v>
      </c>
      <c r="G16" s="701" t="e">
        <f t="shared" si="1"/>
        <v>#VALUE!</v>
      </c>
      <c r="H16" s="705" t="s">
        <v>1417</v>
      </c>
      <c r="I16" s="706" t="s">
        <v>911</v>
      </c>
      <c r="J16" s="706" t="s">
        <v>10</v>
      </c>
      <c r="K16" s="706" t="s">
        <v>10</v>
      </c>
      <c r="L16" s="706" t="s">
        <v>10</v>
      </c>
      <c r="M16" s="708" t="s">
        <v>10</v>
      </c>
      <c r="N16" s="708" t="s">
        <v>10</v>
      </c>
      <c r="O16" s="708" t="s">
        <v>10</v>
      </c>
      <c r="P16" s="708" t="s">
        <v>10</v>
      </c>
      <c r="Q16" s="708" t="s">
        <v>10</v>
      </c>
      <c r="R16" s="708" t="s">
        <v>10</v>
      </c>
      <c r="S16" s="708">
        <v>38608</v>
      </c>
      <c r="T16" s="7">
        <f t="shared" si="2"/>
        <v>7486.0911999999998</v>
      </c>
      <c r="U16" s="708" t="s">
        <v>10</v>
      </c>
      <c r="V16" s="708" t="s">
        <v>10</v>
      </c>
      <c r="W16" s="708" t="s">
        <v>10</v>
      </c>
      <c r="X16" s="708" t="s">
        <v>10</v>
      </c>
      <c r="Y16" s="708" t="s">
        <v>10</v>
      </c>
      <c r="Z16" s="708" t="s">
        <v>10</v>
      </c>
      <c r="AA16" s="708" t="s">
        <v>10</v>
      </c>
      <c r="AB16" s="708" t="s">
        <v>10</v>
      </c>
      <c r="AC16" s="708" t="s">
        <v>10</v>
      </c>
      <c r="AD16" s="708" t="s">
        <v>10</v>
      </c>
      <c r="AE16" s="708" t="s">
        <v>10</v>
      </c>
      <c r="AF16" s="708" t="s">
        <v>10</v>
      </c>
      <c r="AG16" s="708" t="s">
        <v>10</v>
      </c>
      <c r="AH16" s="708" t="s">
        <v>10</v>
      </c>
      <c r="AI16" s="708" t="s">
        <v>10</v>
      </c>
      <c r="AJ16" s="705">
        <v>4</v>
      </c>
      <c r="AK16" s="705" t="s">
        <v>913</v>
      </c>
      <c r="AL16" s="709" t="s">
        <v>911</v>
      </c>
      <c r="AM16" s="705" t="s">
        <v>1417</v>
      </c>
      <c r="AN16" s="717" t="s">
        <v>912</v>
      </c>
      <c r="AO16" s="718">
        <v>0</v>
      </c>
      <c r="AP16" s="719">
        <f t="shared" ref="AP16:AP38" si="6">AR16+AT16+AU16+AV16+AX16+AY16+AZ16+BD16+BF16+BG16+BH16+BJ16+BK16+(BL16+BM16+BN16)/1000+(0.1*BO16)</f>
        <v>213</v>
      </c>
      <c r="AQ16" s="703">
        <f t="shared" si="4"/>
        <v>213</v>
      </c>
      <c r="AR16" s="720">
        <v>108</v>
      </c>
      <c r="AS16" s="720">
        <v>0</v>
      </c>
      <c r="AT16" s="720">
        <v>7</v>
      </c>
      <c r="AU16" s="720">
        <v>67</v>
      </c>
      <c r="AV16" s="704">
        <v>0</v>
      </c>
      <c r="AW16" s="704">
        <v>0</v>
      </c>
      <c r="AX16" s="704">
        <v>0</v>
      </c>
      <c r="AY16" s="704">
        <v>0</v>
      </c>
      <c r="AZ16" s="721">
        <v>1</v>
      </c>
      <c r="BA16" s="721">
        <v>0</v>
      </c>
      <c r="BB16" s="721">
        <v>0</v>
      </c>
      <c r="BC16" s="721">
        <v>0</v>
      </c>
      <c r="BD16" s="720">
        <v>1</v>
      </c>
      <c r="BE16" s="720">
        <v>0</v>
      </c>
      <c r="BF16" s="720">
        <v>0</v>
      </c>
      <c r="BG16" s="720">
        <v>0</v>
      </c>
      <c r="BH16" s="720">
        <v>29</v>
      </c>
      <c r="BI16" s="720">
        <v>0</v>
      </c>
      <c r="BJ16" s="720">
        <v>0</v>
      </c>
      <c r="BK16" s="720">
        <v>0</v>
      </c>
      <c r="BL16" s="704">
        <v>0</v>
      </c>
      <c r="BM16" s="704">
        <v>0</v>
      </c>
      <c r="BN16" s="704">
        <v>0</v>
      </c>
      <c r="BO16" s="722"/>
    </row>
    <row r="17" spans="1:67" ht="15" customHeight="1" x14ac:dyDescent="0.2">
      <c r="A17" s="697">
        <v>313</v>
      </c>
      <c r="B17" s="697"/>
      <c r="C17" s="698" t="s">
        <v>1543</v>
      </c>
      <c r="D17" s="699" t="s">
        <v>1543</v>
      </c>
      <c r="E17" s="700">
        <f t="shared" si="5"/>
        <v>105402.29489999999</v>
      </c>
      <c r="F17" s="700">
        <v>0</v>
      </c>
      <c r="G17" s="701">
        <f t="shared" si="1"/>
        <v>105402.29489999999</v>
      </c>
      <c r="H17" s="698" t="s">
        <v>10</v>
      </c>
      <c r="I17" s="699" t="s">
        <v>1512</v>
      </c>
      <c r="J17" s="699" t="s">
        <v>10</v>
      </c>
      <c r="K17" s="699" t="s">
        <v>1545</v>
      </c>
      <c r="L17" s="699" t="s">
        <v>10</v>
      </c>
      <c r="M17" s="702">
        <v>57</v>
      </c>
      <c r="N17" s="702">
        <v>0.88700000000000001</v>
      </c>
      <c r="O17" s="702">
        <v>0.92</v>
      </c>
      <c r="P17" s="702">
        <v>0.93600000000000005</v>
      </c>
      <c r="Q17" s="702">
        <v>0.89600000000000002</v>
      </c>
      <c r="R17" s="702">
        <v>0</v>
      </c>
      <c r="S17" s="702">
        <v>543591</v>
      </c>
      <c r="T17" s="7">
        <f t="shared" si="2"/>
        <v>105402.29489999999</v>
      </c>
      <c r="U17" s="702">
        <v>414515</v>
      </c>
      <c r="V17" s="702">
        <v>129076</v>
      </c>
      <c r="W17" s="702">
        <v>2715</v>
      </c>
      <c r="X17" s="702">
        <v>0</v>
      </c>
      <c r="Y17" s="702">
        <v>0</v>
      </c>
      <c r="Z17" s="702">
        <v>0</v>
      </c>
      <c r="AA17" s="702">
        <v>648993.29489999998</v>
      </c>
      <c r="AB17" s="702">
        <v>105402.29489999999</v>
      </c>
      <c r="AC17" s="702">
        <v>543591</v>
      </c>
      <c r="AD17" s="702">
        <v>0</v>
      </c>
      <c r="AE17" s="702">
        <v>0</v>
      </c>
      <c r="AF17" s="702">
        <v>0</v>
      </c>
      <c r="AG17" s="702">
        <v>543591</v>
      </c>
      <c r="AH17" s="702">
        <v>0</v>
      </c>
      <c r="AI17" s="702">
        <v>0</v>
      </c>
      <c r="AJ17" s="698">
        <v>4</v>
      </c>
      <c r="AK17" s="698" t="s">
        <v>899</v>
      </c>
      <c r="AL17" s="699" t="s">
        <v>1512</v>
      </c>
      <c r="AM17" s="698" t="s">
        <v>10</v>
      </c>
      <c r="AN17" s="699" t="s">
        <v>1543</v>
      </c>
      <c r="AO17" s="699">
        <v>105402.29489999999</v>
      </c>
      <c r="AP17" s="703">
        <f t="shared" si="6"/>
        <v>32</v>
      </c>
      <c r="AQ17" s="703">
        <f t="shared" si="4"/>
        <v>36</v>
      </c>
      <c r="AR17" s="697">
        <v>0</v>
      </c>
      <c r="AS17" s="697">
        <v>0</v>
      </c>
      <c r="AT17" s="697">
        <v>23</v>
      </c>
      <c r="AU17" s="697">
        <v>5</v>
      </c>
      <c r="AV17" s="697">
        <v>0</v>
      </c>
      <c r="AW17" s="697">
        <v>0</v>
      </c>
      <c r="AX17" s="697">
        <v>0</v>
      </c>
      <c r="AY17" s="697">
        <v>4</v>
      </c>
      <c r="AZ17" s="697">
        <v>0</v>
      </c>
      <c r="BA17" s="697">
        <v>0</v>
      </c>
      <c r="BB17" s="697">
        <v>3</v>
      </c>
      <c r="BC17" s="697">
        <v>1</v>
      </c>
      <c r="BD17" s="697">
        <v>0</v>
      </c>
      <c r="BE17" s="697">
        <v>0</v>
      </c>
      <c r="BF17" s="697">
        <v>0</v>
      </c>
      <c r="BG17" s="697">
        <v>0</v>
      </c>
      <c r="BH17" s="697">
        <v>0</v>
      </c>
      <c r="BI17" s="697">
        <v>0</v>
      </c>
      <c r="BJ17" s="697">
        <v>0</v>
      </c>
      <c r="BK17" s="697">
        <v>0</v>
      </c>
      <c r="BL17" s="697">
        <v>0</v>
      </c>
      <c r="BM17" s="697">
        <v>0</v>
      </c>
      <c r="BN17" s="697">
        <v>0</v>
      </c>
      <c r="BO17" s="697">
        <v>0</v>
      </c>
    </row>
    <row r="18" spans="1:67" ht="15" customHeight="1" x14ac:dyDescent="0.2">
      <c r="A18" s="697">
        <v>8680</v>
      </c>
      <c r="B18" s="697"/>
      <c r="C18" s="698" t="s">
        <v>1546</v>
      </c>
      <c r="D18" s="699" t="s">
        <v>1546</v>
      </c>
      <c r="E18" s="700">
        <f t="shared" si="5"/>
        <v>125258.62439999999</v>
      </c>
      <c r="F18" s="700">
        <v>0</v>
      </c>
      <c r="G18" s="701">
        <f t="shared" si="1"/>
        <v>125258.62439999999</v>
      </c>
      <c r="H18" s="698" t="s">
        <v>10</v>
      </c>
      <c r="I18" s="699" t="s">
        <v>1512</v>
      </c>
      <c r="J18" s="699" t="s">
        <v>1417</v>
      </c>
      <c r="K18" s="699" t="s">
        <v>1549</v>
      </c>
      <c r="L18" s="699" t="s">
        <v>10</v>
      </c>
      <c r="M18" s="702">
        <v>63</v>
      </c>
      <c r="N18" s="702">
        <v>0.95199999999999996</v>
      </c>
      <c r="O18" s="702">
        <v>0.92600000000000005</v>
      </c>
      <c r="P18" s="702">
        <v>0.94099999999999995</v>
      </c>
      <c r="Q18" s="702">
        <v>0.90100000000000002</v>
      </c>
      <c r="R18" s="702">
        <v>0</v>
      </c>
      <c r="S18" s="702">
        <v>645996</v>
      </c>
      <c r="T18" s="7">
        <f t="shared" si="2"/>
        <v>125258.62439999999</v>
      </c>
      <c r="U18" s="702">
        <v>396866</v>
      </c>
      <c r="V18" s="702">
        <v>249130</v>
      </c>
      <c r="W18" s="702">
        <v>3250</v>
      </c>
      <c r="X18" s="702">
        <v>0</v>
      </c>
      <c r="Y18" s="702">
        <v>0</v>
      </c>
      <c r="Z18" s="702">
        <v>0</v>
      </c>
      <c r="AA18" s="702">
        <v>771254.62439999997</v>
      </c>
      <c r="AB18" s="702">
        <v>125258.6244</v>
      </c>
      <c r="AC18" s="702">
        <v>645996</v>
      </c>
      <c r="AD18" s="702">
        <v>0</v>
      </c>
      <c r="AE18" s="702">
        <v>0</v>
      </c>
      <c r="AF18" s="702">
        <v>0</v>
      </c>
      <c r="AG18" s="702">
        <v>645996</v>
      </c>
      <c r="AH18" s="702">
        <v>0</v>
      </c>
      <c r="AI18" s="702">
        <v>0</v>
      </c>
      <c r="AJ18" s="698">
        <v>4</v>
      </c>
      <c r="AK18" s="698" t="s">
        <v>913</v>
      </c>
      <c r="AL18" s="699" t="s">
        <v>1512</v>
      </c>
      <c r="AM18" s="698" t="s">
        <v>10</v>
      </c>
      <c r="AN18" s="699" t="s">
        <v>1546</v>
      </c>
      <c r="AO18" s="699">
        <v>125258.6244</v>
      </c>
      <c r="AP18" s="703">
        <f t="shared" si="6"/>
        <v>70</v>
      </c>
      <c r="AQ18" s="703">
        <f t="shared" si="4"/>
        <v>78</v>
      </c>
      <c r="AR18" s="697">
        <v>0</v>
      </c>
      <c r="AS18" s="697">
        <v>0</v>
      </c>
      <c r="AT18" s="697">
        <v>42</v>
      </c>
      <c r="AU18" s="697">
        <v>21</v>
      </c>
      <c r="AV18" s="697">
        <v>0</v>
      </c>
      <c r="AW18" s="697">
        <v>0</v>
      </c>
      <c r="AX18" s="697">
        <v>2</v>
      </c>
      <c r="AY18" s="697">
        <v>5</v>
      </c>
      <c r="AZ18" s="697">
        <v>0</v>
      </c>
      <c r="BA18" s="697">
        <v>3</v>
      </c>
      <c r="BB18" s="697">
        <v>8</v>
      </c>
      <c r="BC18" s="697">
        <v>0</v>
      </c>
      <c r="BD18" s="697">
        <v>0</v>
      </c>
      <c r="BE18" s="697">
        <v>0</v>
      </c>
      <c r="BF18" s="697">
        <v>0</v>
      </c>
      <c r="BG18" s="697">
        <v>0</v>
      </c>
      <c r="BH18" s="697">
        <v>0</v>
      </c>
      <c r="BI18" s="697">
        <v>0</v>
      </c>
      <c r="BJ18" s="697">
        <v>0</v>
      </c>
      <c r="BK18" s="697">
        <v>0</v>
      </c>
      <c r="BL18" s="697">
        <v>0</v>
      </c>
      <c r="BM18" s="697">
        <v>0</v>
      </c>
      <c r="BN18" s="697">
        <v>0</v>
      </c>
      <c r="BO18" s="697">
        <v>0</v>
      </c>
    </row>
    <row r="19" spans="1:67" ht="15" customHeight="1" x14ac:dyDescent="0.2">
      <c r="A19" s="697">
        <v>8142</v>
      </c>
      <c r="B19" s="697"/>
      <c r="C19" s="698" t="s">
        <v>1550</v>
      </c>
      <c r="D19" s="699" t="s">
        <v>1550</v>
      </c>
      <c r="E19" s="700">
        <f t="shared" si="5"/>
        <v>371044.95480000001</v>
      </c>
      <c r="F19" s="700">
        <v>0</v>
      </c>
      <c r="G19" s="701">
        <f t="shared" si="1"/>
        <v>371044.95480000001</v>
      </c>
      <c r="H19" s="698" t="s">
        <v>10</v>
      </c>
      <c r="I19" s="699" t="s">
        <v>1416</v>
      </c>
      <c r="J19" s="699" t="s">
        <v>1417</v>
      </c>
      <c r="K19" s="699" t="s">
        <v>1552</v>
      </c>
      <c r="L19" s="699" t="s">
        <v>10</v>
      </c>
      <c r="M19" s="702">
        <v>151</v>
      </c>
      <c r="N19" s="702">
        <v>0.88300000000000001</v>
      </c>
      <c r="O19" s="702">
        <v>0.89400000000000002</v>
      </c>
      <c r="P19" s="702">
        <v>0.94399999999999995</v>
      </c>
      <c r="Q19" s="702">
        <v>0.86899999999999999</v>
      </c>
      <c r="R19" s="702">
        <v>1199771</v>
      </c>
      <c r="S19" s="702">
        <v>1064997</v>
      </c>
      <c r="T19" s="7">
        <f t="shared" si="2"/>
        <v>356931.8725</v>
      </c>
      <c r="U19" s="702">
        <v>762368</v>
      </c>
      <c r="V19" s="702">
        <v>302629</v>
      </c>
      <c r="W19" s="702">
        <v>5510</v>
      </c>
      <c r="X19" s="702">
        <v>0</v>
      </c>
      <c r="Y19" s="702">
        <v>0</v>
      </c>
      <c r="Z19" s="702">
        <v>0</v>
      </c>
      <c r="AA19" s="702">
        <v>1421928.8729999999</v>
      </c>
      <c r="AB19" s="702">
        <v>356931.8725</v>
      </c>
      <c r="AC19" s="702">
        <v>1064997</v>
      </c>
      <c r="AD19" s="702">
        <v>0</v>
      </c>
      <c r="AE19" s="702">
        <v>0</v>
      </c>
      <c r="AF19" s="702">
        <v>0</v>
      </c>
      <c r="AG19" s="702">
        <v>1064997</v>
      </c>
      <c r="AH19" s="702">
        <v>0</v>
      </c>
      <c r="AI19" s="702">
        <v>0</v>
      </c>
      <c r="AJ19" s="698" t="s">
        <v>900</v>
      </c>
      <c r="AK19" s="698" t="s">
        <v>907</v>
      </c>
      <c r="AL19" s="699" t="s">
        <v>1416</v>
      </c>
      <c r="AM19" s="698" t="s">
        <v>10</v>
      </c>
      <c r="AN19" s="699" t="s">
        <v>1550</v>
      </c>
      <c r="AO19" s="699">
        <v>356931.8725</v>
      </c>
      <c r="AP19" s="703">
        <f t="shared" si="6"/>
        <v>258.00010000000003</v>
      </c>
      <c r="AQ19" s="703">
        <f t="shared" si="4"/>
        <v>278.00010000000003</v>
      </c>
      <c r="AR19" s="697">
        <v>0</v>
      </c>
      <c r="AS19" s="697">
        <v>0</v>
      </c>
      <c r="AT19" s="697">
        <v>164</v>
      </c>
      <c r="AU19" s="697">
        <v>-1</v>
      </c>
      <c r="AV19" s="697">
        <v>0</v>
      </c>
      <c r="AW19" s="697">
        <v>0</v>
      </c>
      <c r="AX19" s="697">
        <v>0</v>
      </c>
      <c r="AY19" s="697">
        <v>0</v>
      </c>
      <c r="AZ19" s="697">
        <v>0</v>
      </c>
      <c r="BA19" s="697">
        <v>0</v>
      </c>
      <c r="BB19" s="697">
        <v>20</v>
      </c>
      <c r="BC19" s="697">
        <v>0</v>
      </c>
      <c r="BD19" s="697">
        <v>0</v>
      </c>
      <c r="BE19" s="697">
        <v>0</v>
      </c>
      <c r="BF19" s="697">
        <v>0</v>
      </c>
      <c r="BG19" s="697">
        <v>0</v>
      </c>
      <c r="BH19" s="697">
        <v>0</v>
      </c>
      <c r="BI19" s="697">
        <v>0</v>
      </c>
      <c r="BJ19" s="697">
        <v>0</v>
      </c>
      <c r="BK19" s="697">
        <v>0</v>
      </c>
      <c r="BL19" s="697">
        <v>3949</v>
      </c>
      <c r="BM19" s="697">
        <v>0</v>
      </c>
      <c r="BN19" s="697">
        <v>0</v>
      </c>
      <c r="BO19" s="697">
        <v>910.51099999999997</v>
      </c>
    </row>
    <row r="20" spans="1:67" ht="15" customHeight="1" x14ac:dyDescent="0.2">
      <c r="A20" s="697">
        <v>4821</v>
      </c>
      <c r="B20" s="697" t="s">
        <v>1412</v>
      </c>
      <c r="C20" s="698" t="s">
        <v>1553</v>
      </c>
      <c r="D20" s="699" t="s">
        <v>1553</v>
      </c>
      <c r="E20" s="700">
        <f t="shared" si="5"/>
        <v>435500</v>
      </c>
      <c r="F20" s="700">
        <v>0</v>
      </c>
      <c r="G20" s="701">
        <f t="shared" si="1"/>
        <v>435500</v>
      </c>
      <c r="H20" s="698" t="s">
        <v>10</v>
      </c>
      <c r="I20" s="699" t="s">
        <v>1416</v>
      </c>
      <c r="J20" s="699" t="s">
        <v>1412</v>
      </c>
      <c r="K20" s="699" t="s">
        <v>1556</v>
      </c>
      <c r="L20" s="699" t="s">
        <v>10</v>
      </c>
      <c r="M20" s="702">
        <v>181</v>
      </c>
      <c r="N20" s="702">
        <v>0.95099999999999996</v>
      </c>
      <c r="O20" s="702">
        <v>0.97699999999999998</v>
      </c>
      <c r="P20" s="702">
        <v>0.92500000000000004</v>
      </c>
      <c r="Q20" s="702">
        <v>0.95199999999999996</v>
      </c>
      <c r="R20" s="702">
        <v>813000</v>
      </c>
      <c r="S20" s="702">
        <v>1250000</v>
      </c>
      <c r="T20" s="7">
        <f t="shared" si="2"/>
        <v>241867.5</v>
      </c>
      <c r="U20" s="702">
        <v>813000</v>
      </c>
      <c r="V20" s="702">
        <v>437000</v>
      </c>
      <c r="W20" s="702">
        <v>6115</v>
      </c>
      <c r="X20" s="702">
        <v>0</v>
      </c>
      <c r="Y20" s="702">
        <v>0</v>
      </c>
      <c r="Z20" s="702">
        <v>0</v>
      </c>
      <c r="AA20" s="702">
        <v>1491867.5</v>
      </c>
      <c r="AB20" s="702">
        <v>241867.5</v>
      </c>
      <c r="AC20" s="702">
        <v>1250000</v>
      </c>
      <c r="AD20" s="702">
        <v>0</v>
      </c>
      <c r="AE20" s="702">
        <v>0</v>
      </c>
      <c r="AF20" s="702">
        <v>1250000</v>
      </c>
      <c r="AG20" s="702">
        <v>0</v>
      </c>
      <c r="AH20" s="702">
        <v>2217000</v>
      </c>
      <c r="AI20" s="702">
        <v>1531000</v>
      </c>
      <c r="AJ20" s="698" t="s">
        <v>914</v>
      </c>
      <c r="AK20" s="698" t="s">
        <v>1555</v>
      </c>
      <c r="AL20" s="699" t="s">
        <v>1416</v>
      </c>
      <c r="AM20" s="698" t="s">
        <v>10</v>
      </c>
      <c r="AN20" s="699" t="s">
        <v>1553</v>
      </c>
      <c r="AO20" s="699">
        <v>241867.5</v>
      </c>
      <c r="AP20" s="703">
        <f t="shared" si="6"/>
        <v>333</v>
      </c>
      <c r="AQ20" s="703">
        <f t="shared" si="4"/>
        <v>370</v>
      </c>
      <c r="AR20" s="697">
        <v>17</v>
      </c>
      <c r="AS20" s="697">
        <v>1531</v>
      </c>
      <c r="AT20" s="697">
        <v>291</v>
      </c>
      <c r="AU20" s="697">
        <v>0</v>
      </c>
      <c r="AV20" s="697">
        <v>0</v>
      </c>
      <c r="AW20" s="697">
        <v>0</v>
      </c>
      <c r="AX20" s="697">
        <v>0</v>
      </c>
      <c r="AY20" s="697">
        <v>0</v>
      </c>
      <c r="AZ20" s="697">
        <v>0</v>
      </c>
      <c r="BA20" s="697">
        <v>32</v>
      </c>
      <c r="BB20" s="697">
        <v>37</v>
      </c>
      <c r="BC20" s="697">
        <v>0</v>
      </c>
      <c r="BD20" s="697">
        <v>1</v>
      </c>
      <c r="BE20" s="697">
        <v>1</v>
      </c>
      <c r="BF20" s="697">
        <v>0</v>
      </c>
      <c r="BG20" s="697">
        <v>0</v>
      </c>
      <c r="BH20" s="697">
        <v>24</v>
      </c>
      <c r="BI20" s="697">
        <v>0</v>
      </c>
      <c r="BJ20" s="697">
        <v>0</v>
      </c>
      <c r="BK20" s="697">
        <v>0</v>
      </c>
      <c r="BL20" s="697">
        <v>0</v>
      </c>
      <c r="BM20" s="697">
        <v>0</v>
      </c>
      <c r="BN20" s="697">
        <v>0</v>
      </c>
      <c r="BO20" s="697">
        <v>0</v>
      </c>
    </row>
    <row r="21" spans="1:67" ht="15" customHeight="1" x14ac:dyDescent="0.2">
      <c r="A21" s="697">
        <v>323</v>
      </c>
      <c r="B21" s="697"/>
      <c r="C21" s="698" t="s">
        <v>1557</v>
      </c>
      <c r="D21" s="699" t="s">
        <v>1557</v>
      </c>
      <c r="E21" s="700">
        <f t="shared" si="5"/>
        <v>52140.4856</v>
      </c>
      <c r="F21" s="700">
        <v>0</v>
      </c>
      <c r="G21" s="701">
        <f t="shared" si="1"/>
        <v>52140.4856</v>
      </c>
      <c r="H21" s="698" t="s">
        <v>10</v>
      </c>
      <c r="I21" s="699" t="s">
        <v>1512</v>
      </c>
      <c r="J21" s="699" t="s">
        <v>1417</v>
      </c>
      <c r="K21" s="699" t="s">
        <v>1545</v>
      </c>
      <c r="L21" s="699" t="s">
        <v>10</v>
      </c>
      <c r="M21" s="702">
        <v>20</v>
      </c>
      <c r="N21" s="702">
        <v>0.58199999999999996</v>
      </c>
      <c r="O21" s="702">
        <v>0.55900000000000005</v>
      </c>
      <c r="P21" s="702">
        <v>0.65800000000000003</v>
      </c>
      <c r="Q21" s="702">
        <v>0.629</v>
      </c>
      <c r="R21" s="702">
        <v>0</v>
      </c>
      <c r="S21" s="702">
        <v>268904</v>
      </c>
      <c r="T21" s="7">
        <f t="shared" si="2"/>
        <v>52140.4856</v>
      </c>
      <c r="U21" s="702">
        <v>216491</v>
      </c>
      <c r="V21" s="702">
        <v>52413</v>
      </c>
      <c r="W21" s="702">
        <v>1345</v>
      </c>
      <c r="X21" s="702">
        <v>0</v>
      </c>
      <c r="Y21" s="702">
        <v>0</v>
      </c>
      <c r="Z21" s="702">
        <v>0</v>
      </c>
      <c r="AA21" s="702">
        <v>321044.48560000001</v>
      </c>
      <c r="AB21" s="702">
        <v>52140.4856</v>
      </c>
      <c r="AC21" s="702">
        <v>268904</v>
      </c>
      <c r="AD21" s="702">
        <v>0</v>
      </c>
      <c r="AE21" s="702">
        <v>0</v>
      </c>
      <c r="AF21" s="702">
        <v>0</v>
      </c>
      <c r="AG21" s="702">
        <v>268904</v>
      </c>
      <c r="AH21" s="702">
        <v>0</v>
      </c>
      <c r="AI21" s="702">
        <v>0</v>
      </c>
      <c r="AJ21" s="698">
        <v>4</v>
      </c>
      <c r="AK21" s="698" t="s">
        <v>899</v>
      </c>
      <c r="AL21" s="699" t="s">
        <v>1512</v>
      </c>
      <c r="AM21" s="698" t="s">
        <v>10</v>
      </c>
      <c r="AN21" s="699" t="s">
        <v>1557</v>
      </c>
      <c r="AO21" s="699">
        <v>52140.4856</v>
      </c>
      <c r="AP21" s="703">
        <f t="shared" si="6"/>
        <v>28</v>
      </c>
      <c r="AQ21" s="703">
        <f t="shared" si="4"/>
        <v>34</v>
      </c>
      <c r="AR21" s="697">
        <v>0</v>
      </c>
      <c r="AS21" s="697">
        <v>0</v>
      </c>
      <c r="AT21" s="697">
        <v>21</v>
      </c>
      <c r="AU21" s="697">
        <v>7</v>
      </c>
      <c r="AV21" s="697">
        <v>0</v>
      </c>
      <c r="AW21" s="697">
        <v>0</v>
      </c>
      <c r="AX21" s="697">
        <v>0</v>
      </c>
      <c r="AY21" s="697">
        <v>0</v>
      </c>
      <c r="AZ21" s="697">
        <v>0</v>
      </c>
      <c r="BA21" s="697">
        <v>3</v>
      </c>
      <c r="BB21" s="697">
        <v>6</v>
      </c>
      <c r="BC21" s="697">
        <v>0</v>
      </c>
      <c r="BD21" s="697">
        <v>0</v>
      </c>
      <c r="BE21" s="697">
        <v>0</v>
      </c>
      <c r="BF21" s="697">
        <v>0</v>
      </c>
      <c r="BG21" s="697">
        <v>0</v>
      </c>
      <c r="BH21" s="697">
        <v>0</v>
      </c>
      <c r="BI21" s="697">
        <v>0</v>
      </c>
      <c r="BJ21" s="697">
        <v>0</v>
      </c>
      <c r="BK21" s="697">
        <v>0</v>
      </c>
      <c r="BL21" s="697">
        <v>0</v>
      </c>
      <c r="BM21" s="697">
        <v>0</v>
      </c>
      <c r="BN21" s="697">
        <v>0</v>
      </c>
      <c r="BO21" s="697">
        <v>0</v>
      </c>
    </row>
    <row r="22" spans="1:67" ht="15" customHeight="1" x14ac:dyDescent="0.2">
      <c r="A22" s="697">
        <v>324</v>
      </c>
      <c r="B22" s="697"/>
      <c r="C22" s="698" t="s">
        <v>1562</v>
      </c>
      <c r="D22" s="699" t="s">
        <v>1562</v>
      </c>
      <c r="E22" s="700">
        <f t="shared" si="5"/>
        <v>7930.7038999999995</v>
      </c>
      <c r="F22" s="700">
        <v>0</v>
      </c>
      <c r="G22" s="701">
        <f t="shared" si="1"/>
        <v>7930.7038999999995</v>
      </c>
      <c r="H22" s="698" t="s">
        <v>10</v>
      </c>
      <c r="I22" s="699" t="s">
        <v>1512</v>
      </c>
      <c r="J22" s="699" t="s">
        <v>10</v>
      </c>
      <c r="K22" s="699" t="s">
        <v>1565</v>
      </c>
      <c r="L22" s="699" t="s">
        <v>10</v>
      </c>
      <c r="M22" s="702">
        <v>8</v>
      </c>
      <c r="N22" s="702">
        <v>0.94599999999999995</v>
      </c>
      <c r="O22" s="702">
        <v>0.94599999999999995</v>
      </c>
      <c r="P22" s="702">
        <v>1</v>
      </c>
      <c r="Q22" s="702">
        <v>1</v>
      </c>
      <c r="R22" s="702">
        <v>0</v>
      </c>
      <c r="S22" s="702">
        <v>40901</v>
      </c>
      <c r="T22" s="7">
        <f t="shared" si="2"/>
        <v>7930.7038999999995</v>
      </c>
      <c r="U22" s="702">
        <v>0</v>
      </c>
      <c r="V22" s="702">
        <v>40901</v>
      </c>
      <c r="W22" s="702">
        <v>315</v>
      </c>
      <c r="X22" s="702">
        <v>0</v>
      </c>
      <c r="Y22" s="702">
        <v>0</v>
      </c>
      <c r="Z22" s="702">
        <v>0</v>
      </c>
      <c r="AA22" s="702">
        <v>48831.7039</v>
      </c>
      <c r="AB22" s="702">
        <v>7930.7039000000004</v>
      </c>
      <c r="AC22" s="702">
        <v>40901</v>
      </c>
      <c r="AD22" s="702">
        <v>0</v>
      </c>
      <c r="AE22" s="702">
        <v>0</v>
      </c>
      <c r="AF22" s="702">
        <v>0</v>
      </c>
      <c r="AG22" s="702">
        <v>40901</v>
      </c>
      <c r="AH22" s="702">
        <v>0</v>
      </c>
      <c r="AI22" s="702">
        <v>0</v>
      </c>
      <c r="AJ22" s="698">
        <v>4</v>
      </c>
      <c r="AK22" s="698" t="s">
        <v>913</v>
      </c>
      <c r="AL22" s="699" t="s">
        <v>1512</v>
      </c>
      <c r="AM22" s="698" t="s">
        <v>10</v>
      </c>
      <c r="AN22" s="699" t="s">
        <v>1562</v>
      </c>
      <c r="AO22" s="699">
        <v>7930.7039000000004</v>
      </c>
      <c r="AP22" s="703">
        <f t="shared" si="6"/>
        <v>8</v>
      </c>
      <c r="AQ22" s="703">
        <f t="shared" si="4"/>
        <v>8</v>
      </c>
      <c r="AR22" s="697">
        <v>0</v>
      </c>
      <c r="AS22" s="697">
        <v>0</v>
      </c>
      <c r="AT22" s="697">
        <v>8</v>
      </c>
      <c r="AU22" s="697">
        <v>0</v>
      </c>
      <c r="AV22" s="697">
        <v>0</v>
      </c>
      <c r="AW22" s="697">
        <v>0</v>
      </c>
      <c r="AX22" s="697">
        <v>0</v>
      </c>
      <c r="AY22" s="697">
        <v>0</v>
      </c>
      <c r="AZ22" s="697">
        <v>0</v>
      </c>
      <c r="BA22" s="697">
        <v>0</v>
      </c>
      <c r="BB22" s="697">
        <v>0</v>
      </c>
      <c r="BC22" s="697">
        <v>0</v>
      </c>
      <c r="BD22" s="697">
        <v>0</v>
      </c>
      <c r="BE22" s="697">
        <v>0</v>
      </c>
      <c r="BF22" s="697">
        <v>0</v>
      </c>
      <c r="BG22" s="697">
        <v>0</v>
      </c>
      <c r="BH22" s="697">
        <v>0</v>
      </c>
      <c r="BI22" s="697">
        <v>0</v>
      </c>
      <c r="BJ22" s="697">
        <v>0</v>
      </c>
      <c r="BK22" s="697">
        <v>0</v>
      </c>
      <c r="BL22" s="697">
        <v>0</v>
      </c>
      <c r="BM22" s="697">
        <v>0</v>
      </c>
      <c r="BN22" s="697">
        <v>0</v>
      </c>
      <c r="BO22" s="697">
        <v>0</v>
      </c>
    </row>
    <row r="23" spans="1:67" ht="15" customHeight="1" x14ac:dyDescent="0.2">
      <c r="A23" s="697">
        <v>344</v>
      </c>
      <c r="B23" s="697" t="s">
        <v>1412</v>
      </c>
      <c r="C23" s="698" t="s">
        <v>1566</v>
      </c>
      <c r="D23" s="699" t="s">
        <v>1566</v>
      </c>
      <c r="E23" s="700">
        <f t="shared" si="5"/>
        <v>199045.10079999999</v>
      </c>
      <c r="F23" s="700">
        <v>0</v>
      </c>
      <c r="G23" s="701">
        <f t="shared" si="1"/>
        <v>199045.10079999999</v>
      </c>
      <c r="H23" s="698" t="s">
        <v>10</v>
      </c>
      <c r="I23" s="699" t="s">
        <v>1416</v>
      </c>
      <c r="J23" s="699" t="s">
        <v>1412</v>
      </c>
      <c r="K23" s="699" t="s">
        <v>1568</v>
      </c>
      <c r="L23" s="699" t="s">
        <v>10</v>
      </c>
      <c r="M23" s="702">
        <v>90</v>
      </c>
      <c r="N23" s="702">
        <v>0.81799999999999995</v>
      </c>
      <c r="O23" s="702">
        <v>0.97399999999999998</v>
      </c>
      <c r="P23" s="702">
        <v>0.96299999999999997</v>
      </c>
      <c r="Q23" s="702">
        <v>0.95</v>
      </c>
      <c r="R23" s="702">
        <v>652078</v>
      </c>
      <c r="S23" s="702">
        <v>571312</v>
      </c>
      <c r="T23" s="7">
        <f t="shared" si="2"/>
        <v>193993.20499999999</v>
      </c>
      <c r="U23" s="702">
        <v>378599</v>
      </c>
      <c r="V23" s="702">
        <v>192713</v>
      </c>
      <c r="W23" s="702">
        <v>2865</v>
      </c>
      <c r="X23" s="702">
        <v>0</v>
      </c>
      <c r="Y23" s="702">
        <v>0</v>
      </c>
      <c r="Z23" s="702">
        <v>0</v>
      </c>
      <c r="AA23" s="702">
        <v>765305.20499999996</v>
      </c>
      <c r="AB23" s="702">
        <v>193993.20499999999</v>
      </c>
      <c r="AC23" s="702">
        <v>571312</v>
      </c>
      <c r="AD23" s="702">
        <v>0</v>
      </c>
      <c r="AE23" s="702">
        <v>0</v>
      </c>
      <c r="AF23" s="702">
        <v>571312</v>
      </c>
      <c r="AG23" s="702">
        <v>0</v>
      </c>
      <c r="AH23" s="702">
        <v>519000</v>
      </c>
      <c r="AI23" s="702">
        <v>452000</v>
      </c>
      <c r="AJ23" s="698" t="s">
        <v>900</v>
      </c>
      <c r="AK23" s="698" t="s">
        <v>901</v>
      </c>
      <c r="AL23" s="699" t="s">
        <v>1416</v>
      </c>
      <c r="AM23" s="698" t="s">
        <v>10</v>
      </c>
      <c r="AN23" s="699" t="s">
        <v>1566</v>
      </c>
      <c r="AO23" s="699">
        <v>193993.20499999999</v>
      </c>
      <c r="AP23" s="703">
        <f t="shared" si="6"/>
        <v>176.193175</v>
      </c>
      <c r="AQ23" s="703">
        <f t="shared" si="4"/>
        <v>194.193175</v>
      </c>
      <c r="AR23" s="697">
        <v>0</v>
      </c>
      <c r="AS23" s="697">
        <v>452</v>
      </c>
      <c r="AT23" s="697">
        <v>120</v>
      </c>
      <c r="AU23" s="697">
        <v>0</v>
      </c>
      <c r="AV23" s="697">
        <v>0</v>
      </c>
      <c r="AW23" s="697">
        <v>0</v>
      </c>
      <c r="AX23" s="697">
        <v>0</v>
      </c>
      <c r="AY23" s="697">
        <v>0</v>
      </c>
      <c r="AZ23" s="697">
        <v>0</v>
      </c>
      <c r="BA23" s="697">
        <v>7</v>
      </c>
      <c r="BB23" s="697">
        <v>18</v>
      </c>
      <c r="BC23" s="697">
        <v>0</v>
      </c>
      <c r="BD23" s="697">
        <v>0</v>
      </c>
      <c r="BE23" s="697">
        <v>0</v>
      </c>
      <c r="BF23" s="697">
        <v>0</v>
      </c>
      <c r="BG23" s="697">
        <v>0</v>
      </c>
      <c r="BH23" s="697">
        <v>0</v>
      </c>
      <c r="BI23" s="697">
        <v>0</v>
      </c>
      <c r="BJ23" s="697">
        <v>0</v>
      </c>
      <c r="BK23" s="697">
        <v>0</v>
      </c>
      <c r="BL23" s="697">
        <v>9478</v>
      </c>
      <c r="BM23" s="697">
        <v>0</v>
      </c>
      <c r="BN23" s="697">
        <v>0</v>
      </c>
      <c r="BO23" s="697">
        <v>467.15174999999999</v>
      </c>
    </row>
    <row r="24" spans="1:67" ht="15" customHeight="1" x14ac:dyDescent="0.2">
      <c r="A24" s="697">
        <v>8178</v>
      </c>
      <c r="B24" s="697"/>
      <c r="C24" s="698" t="s">
        <v>1569</v>
      </c>
      <c r="D24" s="699" t="s">
        <v>1569</v>
      </c>
      <c r="E24" s="700">
        <f t="shared" si="5"/>
        <v>267676.76519999997</v>
      </c>
      <c r="F24" s="700">
        <v>0</v>
      </c>
      <c r="G24" s="701">
        <f t="shared" si="1"/>
        <v>267676.76519999997</v>
      </c>
      <c r="H24" s="698" t="s">
        <v>10</v>
      </c>
      <c r="I24" s="699" t="s">
        <v>1416</v>
      </c>
      <c r="J24" s="699" t="s">
        <v>1417</v>
      </c>
      <c r="K24" s="699" t="s">
        <v>1540</v>
      </c>
      <c r="L24" s="699" t="s">
        <v>10</v>
      </c>
      <c r="M24" s="702">
        <v>76</v>
      </c>
      <c r="N24" s="702">
        <v>0.90400000000000003</v>
      </c>
      <c r="O24" s="702">
        <v>0.93899999999999995</v>
      </c>
      <c r="P24" s="702">
        <v>0.874</v>
      </c>
      <c r="Q24" s="702">
        <v>0.76700000000000002</v>
      </c>
      <c r="R24" s="702">
        <v>857149</v>
      </c>
      <c r="S24" s="702">
        <v>768303</v>
      </c>
      <c r="T24" s="7">
        <f t="shared" si="2"/>
        <v>255001.82749999998</v>
      </c>
      <c r="U24" s="702">
        <v>467626</v>
      </c>
      <c r="V24" s="702">
        <v>300677</v>
      </c>
      <c r="W24" s="702">
        <v>4248</v>
      </c>
      <c r="X24" s="702">
        <v>0</v>
      </c>
      <c r="Y24" s="702">
        <v>0</v>
      </c>
      <c r="Z24" s="702">
        <v>0</v>
      </c>
      <c r="AA24" s="702">
        <v>1023304.828</v>
      </c>
      <c r="AB24" s="702">
        <v>255001.82750000001</v>
      </c>
      <c r="AC24" s="702">
        <v>768303</v>
      </c>
      <c r="AD24" s="702">
        <v>0</v>
      </c>
      <c r="AE24" s="702">
        <v>0</v>
      </c>
      <c r="AF24" s="702">
        <v>0</v>
      </c>
      <c r="AG24" s="702">
        <v>768303</v>
      </c>
      <c r="AH24" s="702">
        <v>0</v>
      </c>
      <c r="AI24" s="702">
        <v>0</v>
      </c>
      <c r="AJ24" s="698" t="s">
        <v>908</v>
      </c>
      <c r="AK24" s="698" t="s">
        <v>909</v>
      </c>
      <c r="AL24" s="699" t="s">
        <v>1416</v>
      </c>
      <c r="AM24" s="698" t="s">
        <v>10</v>
      </c>
      <c r="AN24" s="699" t="s">
        <v>1569</v>
      </c>
      <c r="AO24" s="699">
        <v>255001.82750000001</v>
      </c>
      <c r="AP24" s="703">
        <f t="shared" si="6"/>
        <v>117.023595</v>
      </c>
      <c r="AQ24" s="703">
        <f t="shared" si="4"/>
        <v>138.023595</v>
      </c>
      <c r="AR24" s="697">
        <v>0</v>
      </c>
      <c r="AS24" s="697">
        <v>0</v>
      </c>
      <c r="AT24" s="697">
        <v>63</v>
      </c>
      <c r="AU24" s="697">
        <v>10</v>
      </c>
      <c r="AV24" s="697">
        <v>0</v>
      </c>
      <c r="AW24" s="697">
        <v>0</v>
      </c>
      <c r="AX24" s="697">
        <v>11</v>
      </c>
      <c r="AY24" s="697">
        <v>4</v>
      </c>
      <c r="AZ24" s="697">
        <v>0</v>
      </c>
      <c r="BA24" s="697">
        <v>0</v>
      </c>
      <c r="BB24" s="697">
        <v>18</v>
      </c>
      <c r="BC24" s="697">
        <v>3</v>
      </c>
      <c r="BD24" s="697">
        <v>0</v>
      </c>
      <c r="BE24" s="697">
        <v>0</v>
      </c>
      <c r="BF24" s="697">
        <v>0</v>
      </c>
      <c r="BG24" s="697">
        <v>0</v>
      </c>
      <c r="BH24" s="697">
        <v>0</v>
      </c>
      <c r="BI24" s="697">
        <v>0</v>
      </c>
      <c r="BJ24" s="697">
        <v>0</v>
      </c>
      <c r="BK24" s="697">
        <v>0</v>
      </c>
      <c r="BL24" s="697">
        <v>0</v>
      </c>
      <c r="BM24" s="697">
        <v>0</v>
      </c>
      <c r="BN24" s="697">
        <v>0</v>
      </c>
      <c r="BO24" s="697">
        <v>290.23595</v>
      </c>
    </row>
    <row r="25" spans="1:67" ht="15" customHeight="1" x14ac:dyDescent="0.2">
      <c r="A25" s="697">
        <v>339</v>
      </c>
      <c r="B25" s="697"/>
      <c r="C25" s="698" t="s">
        <v>1571</v>
      </c>
      <c r="D25" s="699" t="s">
        <v>1571</v>
      </c>
      <c r="E25" s="700">
        <f t="shared" si="5"/>
        <v>25998.6937</v>
      </c>
      <c r="F25" s="700">
        <v>0</v>
      </c>
      <c r="G25" s="701">
        <f t="shared" si="1"/>
        <v>25998.6937</v>
      </c>
      <c r="H25" s="698" t="s">
        <v>10</v>
      </c>
      <c r="I25" s="699" t="s">
        <v>1512</v>
      </c>
      <c r="J25" s="699" t="s">
        <v>1417</v>
      </c>
      <c r="K25" s="699" t="s">
        <v>1545</v>
      </c>
      <c r="L25" s="699" t="s">
        <v>10</v>
      </c>
      <c r="M25" s="702">
        <v>40</v>
      </c>
      <c r="N25" s="702">
        <v>0.80200000000000005</v>
      </c>
      <c r="O25" s="702">
        <v>0.73299999999999998</v>
      </c>
      <c r="P25" s="702">
        <v>0.79700000000000004</v>
      </c>
      <c r="Q25" s="702">
        <v>0.80700000000000005</v>
      </c>
      <c r="R25" s="702">
        <v>0</v>
      </c>
      <c r="S25" s="702">
        <v>134083</v>
      </c>
      <c r="T25" s="7">
        <f t="shared" si="2"/>
        <v>25998.6937</v>
      </c>
      <c r="U25" s="702">
        <v>0</v>
      </c>
      <c r="V25" s="702">
        <v>134083</v>
      </c>
      <c r="W25" s="702">
        <v>910</v>
      </c>
      <c r="X25" s="702">
        <v>0</v>
      </c>
      <c r="Y25" s="702">
        <v>0</v>
      </c>
      <c r="Z25" s="702">
        <v>0</v>
      </c>
      <c r="AA25" s="702">
        <v>160081.6937</v>
      </c>
      <c r="AB25" s="702">
        <v>25998.6937</v>
      </c>
      <c r="AC25" s="702">
        <v>134083</v>
      </c>
      <c r="AD25" s="702">
        <v>0</v>
      </c>
      <c r="AE25" s="702">
        <v>0</v>
      </c>
      <c r="AF25" s="702">
        <v>0</v>
      </c>
      <c r="AG25" s="702">
        <v>134083</v>
      </c>
      <c r="AH25" s="702">
        <v>0</v>
      </c>
      <c r="AI25" s="702">
        <v>0</v>
      </c>
      <c r="AJ25" s="698">
        <v>4</v>
      </c>
      <c r="AK25" s="698" t="s">
        <v>899</v>
      </c>
      <c r="AL25" s="699" t="s">
        <v>1512</v>
      </c>
      <c r="AM25" s="698" t="s">
        <v>10</v>
      </c>
      <c r="AN25" s="699" t="s">
        <v>1571</v>
      </c>
      <c r="AO25" s="699">
        <v>25998.6937</v>
      </c>
      <c r="AP25" s="703">
        <f t="shared" si="6"/>
        <v>58</v>
      </c>
      <c r="AQ25" s="703">
        <f t="shared" si="4"/>
        <v>69</v>
      </c>
      <c r="AR25" s="697">
        <v>0</v>
      </c>
      <c r="AS25" s="697">
        <v>0</v>
      </c>
      <c r="AT25" s="697">
        <v>30</v>
      </c>
      <c r="AU25" s="697">
        <v>26</v>
      </c>
      <c r="AV25" s="697">
        <v>0</v>
      </c>
      <c r="AW25" s="697">
        <v>0</v>
      </c>
      <c r="AX25" s="697">
        <v>0</v>
      </c>
      <c r="AY25" s="697">
        <v>2</v>
      </c>
      <c r="AZ25" s="697">
        <v>0</v>
      </c>
      <c r="BA25" s="697">
        <v>18</v>
      </c>
      <c r="BB25" s="697">
        <v>11</v>
      </c>
      <c r="BC25" s="697">
        <v>0</v>
      </c>
      <c r="BD25" s="697">
        <v>0</v>
      </c>
      <c r="BE25" s="697">
        <v>0</v>
      </c>
      <c r="BF25" s="697">
        <v>0</v>
      </c>
      <c r="BG25" s="697">
        <v>0</v>
      </c>
      <c r="BH25" s="697">
        <v>0</v>
      </c>
      <c r="BI25" s="697">
        <v>0</v>
      </c>
      <c r="BJ25" s="697">
        <v>0</v>
      </c>
      <c r="BK25" s="697">
        <v>0</v>
      </c>
      <c r="BL25" s="697">
        <v>0</v>
      </c>
      <c r="BM25" s="697">
        <v>0</v>
      </c>
      <c r="BN25" s="697">
        <v>0</v>
      </c>
      <c r="BO25" s="697">
        <v>0</v>
      </c>
    </row>
    <row r="26" spans="1:67" ht="15" customHeight="1" x14ac:dyDescent="0.2">
      <c r="A26" s="697">
        <v>4822</v>
      </c>
      <c r="B26" s="697"/>
      <c r="C26" s="698" t="s">
        <v>1575</v>
      </c>
      <c r="D26" s="699" t="s">
        <v>1575</v>
      </c>
      <c r="E26" s="700">
        <f t="shared" si="5"/>
        <v>437242</v>
      </c>
      <c r="F26" s="700">
        <v>0</v>
      </c>
      <c r="G26" s="701">
        <f t="shared" si="1"/>
        <v>437242</v>
      </c>
      <c r="H26" s="698" t="s">
        <v>10</v>
      </c>
      <c r="I26" s="699" t="s">
        <v>1578</v>
      </c>
      <c r="J26" s="699" t="s">
        <v>10</v>
      </c>
      <c r="K26" s="699" t="s">
        <v>1579</v>
      </c>
      <c r="L26" s="699" t="s">
        <v>10</v>
      </c>
      <c r="M26" s="702">
        <v>175</v>
      </c>
      <c r="N26" s="702">
        <v>0.96499999999999997</v>
      </c>
      <c r="O26" s="702">
        <v>0.98099999999999998</v>
      </c>
      <c r="P26" s="702">
        <v>0.92500000000000004</v>
      </c>
      <c r="Q26" s="702">
        <v>0.95199999999999996</v>
      </c>
      <c r="R26" s="702">
        <v>1580588</v>
      </c>
      <c r="S26" s="702">
        <v>1255000</v>
      </c>
      <c r="T26" s="7">
        <f t="shared" si="2"/>
        <v>470224.93</v>
      </c>
      <c r="U26" s="702">
        <v>836500</v>
      </c>
      <c r="V26" s="702">
        <v>418500</v>
      </c>
      <c r="W26" s="702">
        <v>6000</v>
      </c>
      <c r="X26" s="702">
        <v>0</v>
      </c>
      <c r="Y26" s="702">
        <v>0</v>
      </c>
      <c r="Z26" s="702">
        <v>0</v>
      </c>
      <c r="AA26" s="702">
        <v>1725224.93</v>
      </c>
      <c r="AB26" s="702">
        <v>470224.93</v>
      </c>
      <c r="AC26" s="702">
        <v>1255000</v>
      </c>
      <c r="AD26" s="702">
        <v>0</v>
      </c>
      <c r="AE26" s="702">
        <v>0</v>
      </c>
      <c r="AF26" s="702">
        <v>0</v>
      </c>
      <c r="AG26" s="702">
        <v>1255000</v>
      </c>
      <c r="AH26" s="702">
        <v>0</v>
      </c>
      <c r="AI26" s="702">
        <v>0</v>
      </c>
      <c r="AJ26" s="698">
        <v>4</v>
      </c>
      <c r="AK26" s="698" t="s">
        <v>915</v>
      </c>
      <c r="AL26" s="699" t="s">
        <v>1578</v>
      </c>
      <c r="AM26" s="698" t="s">
        <v>10</v>
      </c>
      <c r="AN26" s="699" t="s">
        <v>1575</v>
      </c>
      <c r="AO26" s="699">
        <v>470224.93</v>
      </c>
      <c r="AP26" s="703">
        <f t="shared" si="6"/>
        <v>477.83086500000002</v>
      </c>
      <c r="AQ26" s="703">
        <f t="shared" si="4"/>
        <v>504.83086500000002</v>
      </c>
      <c r="AR26" s="697">
        <v>0</v>
      </c>
      <c r="AS26" s="697">
        <v>0</v>
      </c>
      <c r="AT26" s="697">
        <v>431</v>
      </c>
      <c r="AU26" s="697">
        <v>1</v>
      </c>
      <c r="AV26" s="697">
        <v>0</v>
      </c>
      <c r="AW26" s="697">
        <v>0</v>
      </c>
      <c r="AX26" s="697">
        <v>27</v>
      </c>
      <c r="AY26" s="697">
        <v>0</v>
      </c>
      <c r="AZ26" s="697">
        <v>0</v>
      </c>
      <c r="BA26" s="697">
        <v>0</v>
      </c>
      <c r="BB26" s="697">
        <v>27</v>
      </c>
      <c r="BC26" s="697">
        <v>0</v>
      </c>
      <c r="BD26" s="697">
        <v>0</v>
      </c>
      <c r="BE26" s="697">
        <v>0</v>
      </c>
      <c r="BF26" s="697">
        <v>0</v>
      </c>
      <c r="BG26" s="697">
        <v>0</v>
      </c>
      <c r="BH26" s="697">
        <v>0</v>
      </c>
      <c r="BI26" s="697">
        <v>0</v>
      </c>
      <c r="BJ26" s="697">
        <v>0</v>
      </c>
      <c r="BK26" s="697">
        <v>0</v>
      </c>
      <c r="BL26" s="697">
        <v>0</v>
      </c>
      <c r="BM26" s="697">
        <v>0</v>
      </c>
      <c r="BN26" s="697">
        <v>0</v>
      </c>
      <c r="BO26" s="697">
        <v>188.30865</v>
      </c>
    </row>
    <row r="27" spans="1:67" ht="15" customHeight="1" x14ac:dyDescent="0.2">
      <c r="A27" s="697">
        <v>8700</v>
      </c>
      <c r="B27" s="697" t="s">
        <v>1412</v>
      </c>
      <c r="C27" s="698" t="s">
        <v>1581</v>
      </c>
      <c r="D27" s="699" t="s">
        <v>1581</v>
      </c>
      <c r="E27" s="700">
        <f t="shared" si="5"/>
        <v>498259.73079999996</v>
      </c>
      <c r="F27" s="700">
        <v>0</v>
      </c>
      <c r="G27" s="701">
        <f t="shared" si="1"/>
        <v>498259.73079999996</v>
      </c>
      <c r="H27" s="698" t="s">
        <v>10</v>
      </c>
      <c r="I27" s="699" t="s">
        <v>1416</v>
      </c>
      <c r="J27" s="699" t="s">
        <v>1412</v>
      </c>
      <c r="K27" s="699" t="s">
        <v>1565</v>
      </c>
      <c r="L27" s="699" t="s">
        <v>10</v>
      </c>
      <c r="M27" s="702">
        <v>125</v>
      </c>
      <c r="N27" s="702">
        <v>0.879</v>
      </c>
      <c r="O27" s="702">
        <v>0.85199999999999998</v>
      </c>
      <c r="P27" s="702">
        <v>0.875</v>
      </c>
      <c r="Q27" s="702">
        <v>0.93799999999999994</v>
      </c>
      <c r="R27" s="702">
        <v>1445650</v>
      </c>
      <c r="S27" s="702">
        <v>1430137</v>
      </c>
      <c r="T27" s="7">
        <f t="shared" si="2"/>
        <v>430080.875</v>
      </c>
      <c r="U27" s="702">
        <v>1078896</v>
      </c>
      <c r="V27" s="702">
        <v>351241</v>
      </c>
      <c r="W27" s="702">
        <v>7558</v>
      </c>
      <c r="X27" s="702">
        <v>0</v>
      </c>
      <c r="Y27" s="702">
        <v>0</v>
      </c>
      <c r="Z27" s="702">
        <v>0</v>
      </c>
      <c r="AA27" s="702">
        <v>1860217.875</v>
      </c>
      <c r="AB27" s="702">
        <v>430080.875</v>
      </c>
      <c r="AC27" s="702">
        <v>1430137</v>
      </c>
      <c r="AD27" s="702">
        <v>0</v>
      </c>
      <c r="AE27" s="702">
        <v>0</v>
      </c>
      <c r="AF27" s="702">
        <v>1430137</v>
      </c>
      <c r="AG27" s="702">
        <v>0</v>
      </c>
      <c r="AH27" s="702">
        <v>527000</v>
      </c>
      <c r="AI27" s="702">
        <v>519000</v>
      </c>
      <c r="AJ27" s="698">
        <v>4</v>
      </c>
      <c r="AK27" s="698" t="s">
        <v>913</v>
      </c>
      <c r="AL27" s="699" t="s">
        <v>1416</v>
      </c>
      <c r="AM27" s="698" t="s">
        <v>10</v>
      </c>
      <c r="AN27" s="699" t="s">
        <v>1581</v>
      </c>
      <c r="AO27" s="699">
        <v>430080.875</v>
      </c>
      <c r="AP27" s="703">
        <f t="shared" si="6"/>
        <v>158.61509999999998</v>
      </c>
      <c r="AQ27" s="703">
        <f t="shared" si="4"/>
        <v>163.61509999999998</v>
      </c>
      <c r="AR27" s="697">
        <v>19</v>
      </c>
      <c r="AS27" s="697">
        <v>519</v>
      </c>
      <c r="AT27" s="697">
        <v>49</v>
      </c>
      <c r="AU27" s="697">
        <v>30</v>
      </c>
      <c r="AV27" s="697">
        <v>0</v>
      </c>
      <c r="AW27" s="697">
        <v>0</v>
      </c>
      <c r="AX27" s="697">
        <v>4</v>
      </c>
      <c r="AY27" s="697">
        <v>3</v>
      </c>
      <c r="AZ27" s="697">
        <v>0</v>
      </c>
      <c r="BA27" s="697">
        <v>0</v>
      </c>
      <c r="BB27" s="697">
        <v>4</v>
      </c>
      <c r="BC27" s="697">
        <v>1</v>
      </c>
      <c r="BD27" s="697">
        <v>0</v>
      </c>
      <c r="BE27" s="697">
        <v>0</v>
      </c>
      <c r="BF27" s="697">
        <v>0</v>
      </c>
      <c r="BG27" s="697">
        <v>0</v>
      </c>
      <c r="BH27" s="697">
        <v>0</v>
      </c>
      <c r="BI27" s="697">
        <v>0</v>
      </c>
      <c r="BJ27" s="697">
        <v>0</v>
      </c>
      <c r="BK27" s="697">
        <v>0</v>
      </c>
      <c r="BL27" s="697">
        <v>0</v>
      </c>
      <c r="BM27" s="697">
        <v>0</v>
      </c>
      <c r="BN27" s="697">
        <v>0</v>
      </c>
      <c r="BO27" s="697">
        <v>536.15099999999995</v>
      </c>
    </row>
    <row r="28" spans="1:67" ht="15" customHeight="1" x14ac:dyDescent="0.2">
      <c r="A28" s="697">
        <v>512</v>
      </c>
      <c r="B28" s="697"/>
      <c r="C28" s="698" t="s">
        <v>1582</v>
      </c>
      <c r="D28" s="699" t="s">
        <v>1582</v>
      </c>
      <c r="E28" s="700">
        <f t="shared" si="5"/>
        <v>6325.4057999999995</v>
      </c>
      <c r="F28" s="700">
        <v>0</v>
      </c>
      <c r="G28" s="701">
        <f t="shared" si="1"/>
        <v>6325.4057999999995</v>
      </c>
      <c r="H28" s="698" t="s">
        <v>10</v>
      </c>
      <c r="I28" s="699" t="s">
        <v>1512</v>
      </c>
      <c r="J28" s="699" t="s">
        <v>10</v>
      </c>
      <c r="K28" s="699" t="s">
        <v>1591</v>
      </c>
      <c r="L28" s="699" t="s">
        <v>10</v>
      </c>
      <c r="M28" s="702">
        <v>0</v>
      </c>
      <c r="N28" s="702">
        <v>1</v>
      </c>
      <c r="O28" s="702">
        <v>1</v>
      </c>
      <c r="P28" s="702">
        <v>1</v>
      </c>
      <c r="Q28" s="702">
        <v>1</v>
      </c>
      <c r="R28" s="702">
        <v>0</v>
      </c>
      <c r="S28" s="702">
        <v>32622</v>
      </c>
      <c r="T28" s="7">
        <f t="shared" si="2"/>
        <v>6325.4057999999995</v>
      </c>
      <c r="U28" s="702">
        <v>32622</v>
      </c>
      <c r="V28" s="702">
        <v>0</v>
      </c>
      <c r="W28" s="702">
        <v>200</v>
      </c>
      <c r="X28" s="702">
        <v>0</v>
      </c>
      <c r="Y28" s="702">
        <v>0</v>
      </c>
      <c r="Z28" s="702">
        <v>0</v>
      </c>
      <c r="AA28" s="702">
        <v>38947.4058</v>
      </c>
      <c r="AB28" s="702">
        <v>6325.4058000000005</v>
      </c>
      <c r="AC28" s="702">
        <v>32622</v>
      </c>
      <c r="AD28" s="702">
        <v>0</v>
      </c>
      <c r="AE28" s="702">
        <v>0</v>
      </c>
      <c r="AF28" s="702">
        <v>0</v>
      </c>
      <c r="AG28" s="702">
        <v>32622</v>
      </c>
      <c r="AH28" s="702">
        <v>0</v>
      </c>
      <c r="AI28" s="702">
        <v>0</v>
      </c>
      <c r="AJ28" s="698" t="s">
        <v>900</v>
      </c>
      <c r="AK28" s="698" t="s">
        <v>901</v>
      </c>
      <c r="AL28" s="699" t="s">
        <v>1512</v>
      </c>
      <c r="AM28" s="698" t="s">
        <v>10</v>
      </c>
      <c r="AN28" s="699" t="s">
        <v>1582</v>
      </c>
      <c r="AO28" s="699">
        <v>6325.4058000000005</v>
      </c>
      <c r="AP28" s="703">
        <f t="shared" si="6"/>
        <v>81.179299999999998</v>
      </c>
      <c r="AQ28" s="703">
        <f t="shared" si="4"/>
        <v>81.179299999999998</v>
      </c>
      <c r="AR28" s="697">
        <v>0</v>
      </c>
      <c r="AS28" s="697">
        <v>0</v>
      </c>
      <c r="AT28" s="697">
        <v>7</v>
      </c>
      <c r="AU28" s="697">
        <v>0</v>
      </c>
      <c r="AV28" s="697">
        <v>0</v>
      </c>
      <c r="AW28" s="697">
        <v>0</v>
      </c>
      <c r="AX28" s="697">
        <v>0</v>
      </c>
      <c r="AY28" s="697">
        <v>0</v>
      </c>
      <c r="AZ28" s="697">
        <v>0</v>
      </c>
      <c r="BA28" s="697">
        <v>0</v>
      </c>
      <c r="BB28" s="697">
        <v>0</v>
      </c>
      <c r="BC28" s="697">
        <v>0</v>
      </c>
      <c r="BD28" s="697">
        <v>73</v>
      </c>
      <c r="BE28" s="697">
        <v>0</v>
      </c>
      <c r="BF28" s="697">
        <v>0</v>
      </c>
      <c r="BG28" s="697">
        <v>0</v>
      </c>
      <c r="BH28" s="697">
        <v>0</v>
      </c>
      <c r="BI28" s="697">
        <v>0</v>
      </c>
      <c r="BJ28" s="697">
        <v>0</v>
      </c>
      <c r="BK28" s="697">
        <v>0</v>
      </c>
      <c r="BL28" s="697">
        <v>0</v>
      </c>
      <c r="BM28" s="697">
        <v>0</v>
      </c>
      <c r="BN28" s="697">
        <v>0</v>
      </c>
      <c r="BO28" s="697">
        <v>11.792999999999999</v>
      </c>
    </row>
    <row r="29" spans="1:67" ht="15" customHeight="1" x14ac:dyDescent="0.2">
      <c r="A29" s="697">
        <v>8245</v>
      </c>
      <c r="B29" s="697"/>
      <c r="C29" s="698" t="s">
        <v>1592</v>
      </c>
      <c r="D29" s="699" t="s">
        <v>1592</v>
      </c>
      <c r="E29" s="700">
        <f t="shared" si="5"/>
        <v>448547.92839999998</v>
      </c>
      <c r="F29" s="700">
        <v>0</v>
      </c>
      <c r="G29" s="701">
        <f t="shared" si="1"/>
        <v>448547.92839999998</v>
      </c>
      <c r="H29" s="698" t="s">
        <v>1412</v>
      </c>
      <c r="I29" s="699" t="s">
        <v>1416</v>
      </c>
      <c r="J29" s="699" t="s">
        <v>1417</v>
      </c>
      <c r="K29" s="699" t="s">
        <v>1595</v>
      </c>
      <c r="L29" s="699" t="s">
        <v>10</v>
      </c>
      <c r="M29" s="702">
        <v>190</v>
      </c>
      <c r="N29" s="702">
        <v>0.88</v>
      </c>
      <c r="O29" s="702">
        <v>0.89300000000000002</v>
      </c>
      <c r="P29" s="702">
        <v>0.84899999999999998</v>
      </c>
      <c r="Q29" s="702">
        <v>0.85499999999999998</v>
      </c>
      <c r="R29" s="702">
        <v>1447842</v>
      </c>
      <c r="S29" s="702">
        <v>1287451</v>
      </c>
      <c r="T29" s="7">
        <f t="shared" si="2"/>
        <v>430732.995</v>
      </c>
      <c r="U29" s="702">
        <v>816613</v>
      </c>
      <c r="V29" s="702">
        <v>470838</v>
      </c>
      <c r="W29" s="702">
        <v>5760</v>
      </c>
      <c r="X29" s="702">
        <v>0</v>
      </c>
      <c r="Y29" s="702">
        <v>0</v>
      </c>
      <c r="Z29" s="702">
        <v>0</v>
      </c>
      <c r="AA29" s="702">
        <v>1718183.9950000001</v>
      </c>
      <c r="AB29" s="702">
        <v>430732.995</v>
      </c>
      <c r="AC29" s="702">
        <v>1287451</v>
      </c>
      <c r="AD29" s="702">
        <v>0</v>
      </c>
      <c r="AE29" s="702">
        <v>0</v>
      </c>
      <c r="AF29" s="702">
        <v>0</v>
      </c>
      <c r="AG29" s="702">
        <v>1287451</v>
      </c>
      <c r="AH29" s="702">
        <v>0</v>
      </c>
      <c r="AI29" s="702">
        <v>0</v>
      </c>
      <c r="AJ29" s="698" t="s">
        <v>908</v>
      </c>
      <c r="AK29" s="698" t="s">
        <v>909</v>
      </c>
      <c r="AL29" s="699" t="s">
        <v>1416</v>
      </c>
      <c r="AM29" s="698"/>
      <c r="AN29" s="699" t="s">
        <v>1592</v>
      </c>
      <c r="AO29" s="699">
        <v>430732.995</v>
      </c>
      <c r="AP29" s="703">
        <f t="shared" si="6"/>
        <v>730.57470000000001</v>
      </c>
      <c r="AQ29" s="703">
        <f t="shared" si="4"/>
        <v>902.57470000000001</v>
      </c>
      <c r="AR29" s="697">
        <v>0</v>
      </c>
      <c r="AS29" s="697">
        <v>0</v>
      </c>
      <c r="AT29" s="697">
        <v>443</v>
      </c>
      <c r="AU29" s="697">
        <v>116</v>
      </c>
      <c r="AV29" s="697">
        <v>0</v>
      </c>
      <c r="AW29" s="697">
        <v>0</v>
      </c>
      <c r="AX29" s="697">
        <v>31</v>
      </c>
      <c r="AY29" s="697">
        <v>4</v>
      </c>
      <c r="AZ29" s="697">
        <v>0</v>
      </c>
      <c r="BA29" s="697">
        <v>0</v>
      </c>
      <c r="BB29" s="697">
        <v>158</v>
      </c>
      <c r="BC29" s="697">
        <v>14</v>
      </c>
      <c r="BD29" s="697">
        <v>0</v>
      </c>
      <c r="BE29" s="697">
        <v>0</v>
      </c>
      <c r="BF29" s="697">
        <v>0</v>
      </c>
      <c r="BG29" s="697">
        <v>0</v>
      </c>
      <c r="BH29" s="697">
        <v>19</v>
      </c>
      <c r="BI29" s="697">
        <v>0</v>
      </c>
      <c r="BJ29" s="697">
        <v>0</v>
      </c>
      <c r="BK29" s="697">
        <v>0</v>
      </c>
      <c r="BL29" s="697">
        <v>0</v>
      </c>
      <c r="BM29" s="697">
        <v>0</v>
      </c>
      <c r="BN29" s="697">
        <v>0</v>
      </c>
      <c r="BO29" s="697">
        <v>1175.7470000000001</v>
      </c>
    </row>
    <row r="30" spans="1:67" ht="15" customHeight="1" x14ac:dyDescent="0.2">
      <c r="A30" s="697">
        <v>513</v>
      </c>
      <c r="B30" s="697"/>
      <c r="C30" s="698" t="s">
        <v>1596</v>
      </c>
      <c r="D30" s="699" t="s">
        <v>1596</v>
      </c>
      <c r="E30" s="700">
        <f t="shared" si="5"/>
        <v>143297.61679999999</v>
      </c>
      <c r="F30" s="700">
        <v>0</v>
      </c>
      <c r="G30" s="701">
        <f t="shared" si="1"/>
        <v>143297.61679999999</v>
      </c>
      <c r="H30" s="698" t="s">
        <v>10</v>
      </c>
      <c r="I30" s="699" t="s">
        <v>1416</v>
      </c>
      <c r="J30" s="699" t="s">
        <v>1417</v>
      </c>
      <c r="K30" s="699" t="s">
        <v>1598</v>
      </c>
      <c r="L30" s="699" t="s">
        <v>10</v>
      </c>
      <c r="M30" s="702">
        <v>54</v>
      </c>
      <c r="N30" s="702">
        <v>0.78400000000000003</v>
      </c>
      <c r="O30" s="702">
        <v>0.78700000000000003</v>
      </c>
      <c r="P30" s="702">
        <v>0.83799999999999997</v>
      </c>
      <c r="Q30" s="702">
        <v>0.52</v>
      </c>
      <c r="R30" s="702">
        <v>449345</v>
      </c>
      <c r="S30" s="702">
        <v>411302</v>
      </c>
      <c r="T30" s="7">
        <f t="shared" si="2"/>
        <v>133680.13749999998</v>
      </c>
      <c r="U30" s="702">
        <v>301514</v>
      </c>
      <c r="V30" s="702">
        <v>109788</v>
      </c>
      <c r="W30" s="702">
        <v>2575</v>
      </c>
      <c r="X30" s="702">
        <v>0</v>
      </c>
      <c r="Y30" s="702">
        <v>0</v>
      </c>
      <c r="Z30" s="702">
        <v>0</v>
      </c>
      <c r="AA30" s="702">
        <v>544982.13749999995</v>
      </c>
      <c r="AB30" s="702">
        <v>133680.13750000001</v>
      </c>
      <c r="AC30" s="702">
        <v>411302</v>
      </c>
      <c r="AD30" s="702">
        <v>0</v>
      </c>
      <c r="AE30" s="702">
        <v>0</v>
      </c>
      <c r="AF30" s="702">
        <v>0</v>
      </c>
      <c r="AG30" s="702">
        <v>411302</v>
      </c>
      <c r="AH30" s="702">
        <v>0</v>
      </c>
      <c r="AI30" s="702">
        <v>0</v>
      </c>
      <c r="AJ30" s="698">
        <v>4</v>
      </c>
      <c r="AK30" s="698" t="s">
        <v>913</v>
      </c>
      <c r="AL30" s="699" t="s">
        <v>916</v>
      </c>
      <c r="AM30" s="698" t="s">
        <v>10</v>
      </c>
      <c r="AN30" s="699" t="s">
        <v>1596</v>
      </c>
      <c r="AO30" s="699">
        <v>133680.13750000001</v>
      </c>
      <c r="AP30" s="703">
        <f t="shared" si="6"/>
        <v>163</v>
      </c>
      <c r="AQ30" s="703">
        <f t="shared" si="4"/>
        <v>169</v>
      </c>
      <c r="AR30" s="697">
        <v>41</v>
      </c>
      <c r="AS30" s="697">
        <v>0</v>
      </c>
      <c r="AT30" s="697">
        <v>109</v>
      </c>
      <c r="AU30" s="697">
        <v>13</v>
      </c>
      <c r="AV30" s="697">
        <v>0</v>
      </c>
      <c r="AW30" s="697">
        <v>5</v>
      </c>
      <c r="AX30" s="697">
        <v>0</v>
      </c>
      <c r="AY30" s="697">
        <v>0</v>
      </c>
      <c r="AZ30" s="697">
        <v>0</v>
      </c>
      <c r="BA30" s="697">
        <v>10</v>
      </c>
      <c r="BB30" s="697">
        <v>6</v>
      </c>
      <c r="BC30" s="697">
        <v>0</v>
      </c>
      <c r="BD30" s="697">
        <v>0</v>
      </c>
      <c r="BE30" s="697">
        <v>0</v>
      </c>
      <c r="BF30" s="697">
        <v>0</v>
      </c>
      <c r="BG30" s="697">
        <v>0</v>
      </c>
      <c r="BH30" s="697">
        <v>0</v>
      </c>
      <c r="BI30" s="697">
        <v>0</v>
      </c>
      <c r="BJ30" s="697">
        <v>0</v>
      </c>
      <c r="BK30" s="697">
        <v>0</v>
      </c>
      <c r="BL30" s="697">
        <v>0</v>
      </c>
      <c r="BM30" s="697">
        <v>0</v>
      </c>
      <c r="BN30" s="697">
        <v>0</v>
      </c>
      <c r="BO30" s="697">
        <v>0</v>
      </c>
    </row>
    <row r="31" spans="1:67" ht="15" customHeight="1" x14ac:dyDescent="0.2">
      <c r="A31" s="697">
        <v>516</v>
      </c>
      <c r="B31" s="697"/>
      <c r="C31" s="698" t="s">
        <v>1599</v>
      </c>
      <c r="D31" s="699" t="s">
        <v>1599</v>
      </c>
      <c r="E31" s="700">
        <f t="shared" si="5"/>
        <v>89346.987099999998</v>
      </c>
      <c r="F31" s="700">
        <v>0</v>
      </c>
      <c r="G31" s="701">
        <f t="shared" si="1"/>
        <v>89346.987099999998</v>
      </c>
      <c r="H31" s="698" t="s">
        <v>10</v>
      </c>
      <c r="I31" s="699" t="s">
        <v>1512</v>
      </c>
      <c r="J31" s="699" t="s">
        <v>1417</v>
      </c>
      <c r="K31" s="699" t="s">
        <v>1601</v>
      </c>
      <c r="L31" s="699" t="s">
        <v>10</v>
      </c>
      <c r="M31" s="702">
        <v>41</v>
      </c>
      <c r="N31" s="702">
        <v>1</v>
      </c>
      <c r="O31" s="702">
        <v>1</v>
      </c>
      <c r="P31" s="702">
        <v>1</v>
      </c>
      <c r="Q31" s="702">
        <v>0.38100000000000001</v>
      </c>
      <c r="R31" s="702">
        <v>0</v>
      </c>
      <c r="S31" s="702">
        <v>460789</v>
      </c>
      <c r="T31" s="7">
        <f t="shared" si="2"/>
        <v>89346.987099999998</v>
      </c>
      <c r="U31" s="702">
        <v>127899</v>
      </c>
      <c r="V31" s="702">
        <v>332890</v>
      </c>
      <c r="W31" s="702">
        <v>2300</v>
      </c>
      <c r="X31" s="702">
        <v>0</v>
      </c>
      <c r="Y31" s="702">
        <v>0</v>
      </c>
      <c r="Z31" s="702">
        <v>0</v>
      </c>
      <c r="AA31" s="702">
        <v>550135.98710000003</v>
      </c>
      <c r="AB31" s="702">
        <v>89346.987099999998</v>
      </c>
      <c r="AC31" s="702">
        <v>460789</v>
      </c>
      <c r="AD31" s="702">
        <v>0</v>
      </c>
      <c r="AE31" s="702">
        <v>0</v>
      </c>
      <c r="AF31" s="702">
        <v>0</v>
      </c>
      <c r="AG31" s="702">
        <v>460789</v>
      </c>
      <c r="AH31" s="702">
        <v>0</v>
      </c>
      <c r="AI31" s="702">
        <v>0</v>
      </c>
      <c r="AJ31" s="698" t="s">
        <v>900</v>
      </c>
      <c r="AK31" s="698" t="s">
        <v>905</v>
      </c>
      <c r="AL31" s="699" t="s">
        <v>1512</v>
      </c>
      <c r="AM31" s="698" t="s">
        <v>10</v>
      </c>
      <c r="AN31" s="699" t="s">
        <v>1599</v>
      </c>
      <c r="AO31" s="699">
        <v>89346.987099999998</v>
      </c>
      <c r="AP31" s="703">
        <f t="shared" si="6"/>
        <v>1</v>
      </c>
      <c r="AQ31" s="703">
        <f t="shared" si="4"/>
        <v>1</v>
      </c>
      <c r="AR31" s="697">
        <v>0</v>
      </c>
      <c r="AS31" s="697">
        <v>0</v>
      </c>
      <c r="AT31" s="697">
        <v>1</v>
      </c>
      <c r="AU31" s="697">
        <v>0</v>
      </c>
      <c r="AV31" s="697">
        <v>0</v>
      </c>
      <c r="AW31" s="697">
        <v>0</v>
      </c>
      <c r="AX31" s="697">
        <v>0</v>
      </c>
      <c r="AY31" s="697">
        <v>0</v>
      </c>
      <c r="AZ31" s="697">
        <v>0</v>
      </c>
      <c r="BA31" s="697">
        <v>0</v>
      </c>
      <c r="BB31" s="697">
        <v>0</v>
      </c>
      <c r="BC31" s="697">
        <v>0</v>
      </c>
      <c r="BD31" s="697">
        <v>0</v>
      </c>
      <c r="BE31" s="697">
        <v>0</v>
      </c>
      <c r="BF31" s="697">
        <v>0</v>
      </c>
      <c r="BG31" s="697">
        <v>0</v>
      </c>
      <c r="BH31" s="697">
        <v>0</v>
      </c>
      <c r="BI31" s="697">
        <v>0</v>
      </c>
      <c r="BJ31" s="697">
        <v>0</v>
      </c>
      <c r="BK31" s="697">
        <v>0</v>
      </c>
      <c r="BL31" s="697">
        <v>0</v>
      </c>
      <c r="BM31" s="697">
        <v>0</v>
      </c>
      <c r="BN31" s="697">
        <v>0</v>
      </c>
      <c r="BO31" s="697">
        <v>0</v>
      </c>
    </row>
    <row r="32" spans="1:67" ht="15" customHeight="1" x14ac:dyDescent="0.2">
      <c r="A32" s="697">
        <v>4661</v>
      </c>
      <c r="B32" s="697" t="s">
        <v>1412</v>
      </c>
      <c r="C32" s="698" t="s">
        <v>1602</v>
      </c>
      <c r="D32" s="699" t="s">
        <v>1602</v>
      </c>
      <c r="E32" s="700">
        <f t="shared" si="5"/>
        <v>199847.1176</v>
      </c>
      <c r="F32" s="700">
        <v>0</v>
      </c>
      <c r="G32" s="701">
        <f t="shared" si="1"/>
        <v>199847.1176</v>
      </c>
      <c r="H32" s="698" t="s">
        <v>10</v>
      </c>
      <c r="I32" s="699" t="s">
        <v>1416</v>
      </c>
      <c r="J32" s="699" t="s">
        <v>1412</v>
      </c>
      <c r="K32" s="699" t="s">
        <v>1605</v>
      </c>
      <c r="L32" s="699" t="s">
        <v>10</v>
      </c>
      <c r="M32" s="702">
        <v>86</v>
      </c>
      <c r="N32" s="702">
        <v>0.92600000000000005</v>
      </c>
      <c r="O32" s="702">
        <v>0.94599999999999995</v>
      </c>
      <c r="P32" s="702">
        <v>0.92800000000000005</v>
      </c>
      <c r="Q32" s="702">
        <v>0.95199999999999996</v>
      </c>
      <c r="R32" s="702">
        <v>651334</v>
      </c>
      <c r="S32" s="702">
        <v>573614</v>
      </c>
      <c r="T32" s="7">
        <f t="shared" si="2"/>
        <v>193771.86499999999</v>
      </c>
      <c r="U32" s="702">
        <v>381153</v>
      </c>
      <c r="V32" s="702">
        <v>192461</v>
      </c>
      <c r="W32" s="702">
        <v>3375</v>
      </c>
      <c r="X32" s="702">
        <v>0</v>
      </c>
      <c r="Y32" s="702">
        <v>0</v>
      </c>
      <c r="Z32" s="702">
        <v>0</v>
      </c>
      <c r="AA32" s="702">
        <v>767385.86499999999</v>
      </c>
      <c r="AB32" s="702">
        <v>193771.86499999999</v>
      </c>
      <c r="AC32" s="702">
        <v>573614</v>
      </c>
      <c r="AD32" s="702">
        <v>0</v>
      </c>
      <c r="AE32" s="702">
        <v>0</v>
      </c>
      <c r="AF32" s="702">
        <v>573614</v>
      </c>
      <c r="AG32" s="702">
        <v>0</v>
      </c>
      <c r="AH32" s="702">
        <v>540000</v>
      </c>
      <c r="AI32" s="702">
        <v>321000</v>
      </c>
      <c r="AJ32" s="698" t="s">
        <v>900</v>
      </c>
      <c r="AK32" s="698" t="s">
        <v>905</v>
      </c>
      <c r="AL32" s="699" t="s">
        <v>1416</v>
      </c>
      <c r="AM32" s="698" t="s">
        <v>10</v>
      </c>
      <c r="AN32" s="699" t="s">
        <v>1602</v>
      </c>
      <c r="AO32" s="699">
        <v>193771.86499999999</v>
      </c>
      <c r="AP32" s="703">
        <f t="shared" si="6"/>
        <v>151.32859999999999</v>
      </c>
      <c r="AQ32" s="703">
        <f t="shared" si="4"/>
        <v>151.32859999999999</v>
      </c>
      <c r="AR32" s="697">
        <v>0</v>
      </c>
      <c r="AS32" s="697">
        <v>321</v>
      </c>
      <c r="AT32" s="697">
        <v>113</v>
      </c>
      <c r="AU32" s="697">
        <v>0</v>
      </c>
      <c r="AV32" s="697">
        <v>0</v>
      </c>
      <c r="AW32" s="697">
        <v>0</v>
      </c>
      <c r="AX32" s="697">
        <v>0</v>
      </c>
      <c r="AY32" s="697">
        <v>0</v>
      </c>
      <c r="AZ32" s="697">
        <v>0</v>
      </c>
      <c r="BA32" s="697">
        <v>34</v>
      </c>
      <c r="BB32" s="697">
        <v>0</v>
      </c>
      <c r="BC32" s="697">
        <v>0</v>
      </c>
      <c r="BD32" s="697">
        <v>0</v>
      </c>
      <c r="BE32" s="697">
        <v>0</v>
      </c>
      <c r="BF32" s="697">
        <v>0</v>
      </c>
      <c r="BG32" s="697">
        <v>0</v>
      </c>
      <c r="BH32" s="697">
        <v>15</v>
      </c>
      <c r="BI32" s="697">
        <v>0</v>
      </c>
      <c r="BJ32" s="697">
        <v>0</v>
      </c>
      <c r="BK32" s="697">
        <v>0</v>
      </c>
      <c r="BL32" s="697">
        <v>0</v>
      </c>
      <c r="BM32" s="697">
        <v>0</v>
      </c>
      <c r="BN32" s="697">
        <v>0</v>
      </c>
      <c r="BO32" s="697">
        <v>233.286</v>
      </c>
    </row>
    <row r="33" spans="1:83" ht="15" customHeight="1" x14ac:dyDescent="0.2">
      <c r="A33" s="697">
        <v>8250</v>
      </c>
      <c r="B33" s="697"/>
      <c r="C33" s="698" t="s">
        <v>1606</v>
      </c>
      <c r="D33" s="699" t="s">
        <v>1606</v>
      </c>
      <c r="E33" s="700">
        <f t="shared" si="5"/>
        <v>149007.196</v>
      </c>
      <c r="F33" s="700">
        <v>0</v>
      </c>
      <c r="G33" s="701">
        <f t="shared" si="1"/>
        <v>149007.196</v>
      </c>
      <c r="H33" s="698" t="s">
        <v>10</v>
      </c>
      <c r="I33" s="699" t="s">
        <v>1416</v>
      </c>
      <c r="J33" s="699" t="s">
        <v>1417</v>
      </c>
      <c r="K33" s="699" t="s">
        <v>0</v>
      </c>
      <c r="L33" s="699" t="s">
        <v>10</v>
      </c>
      <c r="M33" s="702">
        <v>72</v>
      </c>
      <c r="N33" s="702">
        <v>0.749</v>
      </c>
      <c r="O33" s="702">
        <v>0.746</v>
      </c>
      <c r="P33" s="702">
        <v>0.69199999999999995</v>
      </c>
      <c r="Q33" s="702">
        <v>0.63200000000000001</v>
      </c>
      <c r="R33" s="702">
        <v>530152</v>
      </c>
      <c r="S33" s="702">
        <v>427690</v>
      </c>
      <c r="T33" s="7">
        <f t="shared" si="2"/>
        <v>157720.22</v>
      </c>
      <c r="U33" s="702">
        <v>213572</v>
      </c>
      <c r="V33" s="702">
        <v>214118</v>
      </c>
      <c r="W33" s="702">
        <v>2692</v>
      </c>
      <c r="X33" s="702">
        <v>0</v>
      </c>
      <c r="Y33" s="702">
        <v>0</v>
      </c>
      <c r="Z33" s="702">
        <v>0</v>
      </c>
      <c r="AA33" s="702">
        <v>585410.22</v>
      </c>
      <c r="AB33" s="702">
        <v>157720.22</v>
      </c>
      <c r="AC33" s="702">
        <v>427690</v>
      </c>
      <c r="AD33" s="702">
        <v>0</v>
      </c>
      <c r="AE33" s="702">
        <v>0</v>
      </c>
      <c r="AF33" s="702">
        <v>0</v>
      </c>
      <c r="AG33" s="702">
        <v>427690</v>
      </c>
      <c r="AH33" s="702">
        <v>0</v>
      </c>
      <c r="AI33" s="702">
        <v>0</v>
      </c>
      <c r="AJ33" s="698">
        <v>4</v>
      </c>
      <c r="AK33" s="698" t="s">
        <v>917</v>
      </c>
      <c r="AL33" s="699" t="s">
        <v>1416</v>
      </c>
      <c r="AM33" s="698" t="s">
        <v>10</v>
      </c>
      <c r="AN33" s="699" t="s">
        <v>1606</v>
      </c>
      <c r="AO33" s="699">
        <v>157720.22</v>
      </c>
      <c r="AP33" s="703">
        <f t="shared" si="6"/>
        <v>226</v>
      </c>
      <c r="AQ33" s="703">
        <f t="shared" si="4"/>
        <v>244</v>
      </c>
      <c r="AR33" s="697">
        <v>0</v>
      </c>
      <c r="AS33" s="697">
        <v>0</v>
      </c>
      <c r="AT33" s="697">
        <v>166</v>
      </c>
      <c r="AU33" s="697">
        <v>28</v>
      </c>
      <c r="AV33" s="697">
        <v>0</v>
      </c>
      <c r="AW33" s="697">
        <v>0</v>
      </c>
      <c r="AX33" s="697">
        <v>23</v>
      </c>
      <c r="AY33" s="697">
        <v>9</v>
      </c>
      <c r="AZ33" s="697">
        <v>0</v>
      </c>
      <c r="BA33" s="697">
        <v>0</v>
      </c>
      <c r="BB33" s="697">
        <v>15</v>
      </c>
      <c r="BC33" s="697">
        <v>3</v>
      </c>
      <c r="BD33" s="697">
        <v>0</v>
      </c>
      <c r="BE33" s="697">
        <v>0</v>
      </c>
      <c r="BF33" s="697">
        <v>0</v>
      </c>
      <c r="BG33" s="697">
        <v>0</v>
      </c>
      <c r="BH33" s="697">
        <v>0</v>
      </c>
      <c r="BI33" s="697">
        <v>0</v>
      </c>
      <c r="BJ33" s="697">
        <v>0</v>
      </c>
      <c r="BK33" s="697">
        <v>0</v>
      </c>
      <c r="BL33" s="697">
        <v>0</v>
      </c>
      <c r="BM33" s="697">
        <v>0</v>
      </c>
      <c r="BN33" s="697">
        <v>0</v>
      </c>
      <c r="BO33" s="697">
        <v>0</v>
      </c>
    </row>
    <row r="34" spans="1:83" ht="15" customHeight="1" x14ac:dyDescent="0.2">
      <c r="A34" s="697">
        <v>8253</v>
      </c>
      <c r="B34" s="697" t="s">
        <v>1412</v>
      </c>
      <c r="C34" s="698" t="s">
        <v>1</v>
      </c>
      <c r="D34" s="699" t="s">
        <v>1</v>
      </c>
      <c r="E34" s="700">
        <f t="shared" si="5"/>
        <v>218015.1324</v>
      </c>
      <c r="F34" s="700">
        <v>0</v>
      </c>
      <c r="G34" s="701">
        <f t="shared" ref="G34:G65" si="7">E34+F34</f>
        <v>218015.1324</v>
      </c>
      <c r="H34" s="698" t="s">
        <v>10</v>
      </c>
      <c r="I34" s="699" t="s">
        <v>1416</v>
      </c>
      <c r="J34" s="699" t="s">
        <v>1412</v>
      </c>
      <c r="K34" s="699" t="s">
        <v>3</v>
      </c>
      <c r="L34" s="699" t="s">
        <v>10</v>
      </c>
      <c r="M34" s="702">
        <v>77</v>
      </c>
      <c r="N34" s="702">
        <v>0.94399999999999995</v>
      </c>
      <c r="O34" s="702">
        <v>0.97499999999999998</v>
      </c>
      <c r="P34" s="702">
        <v>0.97799999999999998</v>
      </c>
      <c r="Q34" s="702">
        <v>0.90600000000000003</v>
      </c>
      <c r="R34" s="702">
        <v>540019</v>
      </c>
      <c r="S34" s="702">
        <v>625761</v>
      </c>
      <c r="T34" s="7">
        <f t="shared" ref="T34:T65" si="8">IF(I34="regional",IF(R34&gt;0,R34*0.2975,S34*0.3484),S34*0.1939)</f>
        <v>160655.6525</v>
      </c>
      <c r="U34" s="702">
        <v>361767</v>
      </c>
      <c r="V34" s="702">
        <v>263994</v>
      </c>
      <c r="W34" s="702">
        <v>3224</v>
      </c>
      <c r="X34" s="702">
        <v>0</v>
      </c>
      <c r="Y34" s="702">
        <v>0</v>
      </c>
      <c r="Z34" s="702">
        <v>0</v>
      </c>
      <c r="AA34" s="702">
        <v>786416.65249999997</v>
      </c>
      <c r="AB34" s="702">
        <v>160655.6525</v>
      </c>
      <c r="AC34" s="702">
        <v>625761</v>
      </c>
      <c r="AD34" s="702">
        <v>0</v>
      </c>
      <c r="AE34" s="702">
        <v>0</v>
      </c>
      <c r="AF34" s="702">
        <v>625761</v>
      </c>
      <c r="AG34" s="702">
        <v>0</v>
      </c>
      <c r="AH34" s="702">
        <v>589000</v>
      </c>
      <c r="AI34" s="702">
        <v>559000</v>
      </c>
      <c r="AJ34" s="698" t="s">
        <v>908</v>
      </c>
      <c r="AK34" s="698" t="s">
        <v>909</v>
      </c>
      <c r="AL34" s="699" t="s">
        <v>1416</v>
      </c>
      <c r="AM34" s="698" t="s">
        <v>10</v>
      </c>
      <c r="AN34" s="699" t="s">
        <v>1</v>
      </c>
      <c r="AO34" s="699">
        <v>160655.6525</v>
      </c>
      <c r="AP34" s="703">
        <f t="shared" si="6"/>
        <v>253.751</v>
      </c>
      <c r="AQ34" s="703">
        <f t="shared" si="4"/>
        <v>273.75099999999998</v>
      </c>
      <c r="AR34" s="697">
        <v>0</v>
      </c>
      <c r="AS34" s="697">
        <v>559</v>
      </c>
      <c r="AT34" s="697">
        <v>213</v>
      </c>
      <c r="AU34" s="697">
        <v>-30</v>
      </c>
      <c r="AV34" s="697">
        <v>0</v>
      </c>
      <c r="AW34" s="697">
        <v>0</v>
      </c>
      <c r="AX34" s="697">
        <v>24</v>
      </c>
      <c r="AY34" s="697">
        <v>0</v>
      </c>
      <c r="AZ34" s="697">
        <v>0</v>
      </c>
      <c r="BA34" s="697">
        <v>19</v>
      </c>
      <c r="BB34" s="697">
        <v>20</v>
      </c>
      <c r="BC34" s="697">
        <v>0</v>
      </c>
      <c r="BD34" s="697">
        <v>0</v>
      </c>
      <c r="BE34" s="697">
        <v>0</v>
      </c>
      <c r="BF34" s="697">
        <v>0</v>
      </c>
      <c r="BG34" s="697">
        <v>0</v>
      </c>
      <c r="BH34" s="697">
        <v>0</v>
      </c>
      <c r="BI34" s="697">
        <v>0</v>
      </c>
      <c r="BJ34" s="697">
        <v>0</v>
      </c>
      <c r="BK34" s="697">
        <v>0</v>
      </c>
      <c r="BL34" s="697">
        <v>0</v>
      </c>
      <c r="BM34" s="697">
        <v>0</v>
      </c>
      <c r="BN34" s="697">
        <v>0</v>
      </c>
      <c r="BO34" s="697">
        <v>467.51</v>
      </c>
    </row>
    <row r="35" spans="1:83" ht="15" customHeight="1" x14ac:dyDescent="0.2">
      <c r="A35" s="697">
        <v>8266</v>
      </c>
      <c r="B35" s="697"/>
      <c r="C35" s="698" t="s">
        <v>4</v>
      </c>
      <c r="D35" s="699" t="s">
        <v>4</v>
      </c>
      <c r="E35" s="700">
        <f t="shared" si="5"/>
        <v>57554.173599999995</v>
      </c>
      <c r="F35" s="700">
        <v>0</v>
      </c>
      <c r="G35" s="701">
        <f t="shared" si="7"/>
        <v>57554.173599999995</v>
      </c>
      <c r="H35" s="698" t="s">
        <v>10</v>
      </c>
      <c r="I35" s="699" t="s">
        <v>1512</v>
      </c>
      <c r="J35" s="699" t="s">
        <v>1417</v>
      </c>
      <c r="K35" s="699" t="s">
        <v>1605</v>
      </c>
      <c r="L35" s="699" t="s">
        <v>10</v>
      </c>
      <c r="M35" s="702">
        <v>0</v>
      </c>
      <c r="N35" s="702">
        <v>1</v>
      </c>
      <c r="O35" s="702">
        <v>1</v>
      </c>
      <c r="P35" s="702">
        <v>0.94299999999999995</v>
      </c>
      <c r="Q35" s="702">
        <v>0.97699999999999998</v>
      </c>
      <c r="R35" s="702">
        <v>0</v>
      </c>
      <c r="S35" s="702">
        <v>296824</v>
      </c>
      <c r="T35" s="7">
        <f t="shared" si="8"/>
        <v>57554.173599999995</v>
      </c>
      <c r="U35" s="702">
        <v>235962</v>
      </c>
      <c r="V35" s="702">
        <v>60862</v>
      </c>
      <c r="W35" s="702">
        <v>1500</v>
      </c>
      <c r="X35" s="702">
        <v>0</v>
      </c>
      <c r="Y35" s="702">
        <v>0</v>
      </c>
      <c r="Z35" s="702">
        <v>0</v>
      </c>
      <c r="AA35" s="702">
        <v>354378.17359999998</v>
      </c>
      <c r="AB35" s="702">
        <v>57554.173600000002</v>
      </c>
      <c r="AC35" s="702">
        <v>296824</v>
      </c>
      <c r="AD35" s="702">
        <v>0</v>
      </c>
      <c r="AE35" s="702">
        <v>0</v>
      </c>
      <c r="AF35" s="702">
        <v>0</v>
      </c>
      <c r="AG35" s="702">
        <v>296824</v>
      </c>
      <c r="AH35" s="702">
        <v>0</v>
      </c>
      <c r="AI35" s="702">
        <v>0</v>
      </c>
      <c r="AJ35" s="698" t="s">
        <v>900</v>
      </c>
      <c r="AK35" s="698" t="s">
        <v>905</v>
      </c>
      <c r="AL35" s="699" t="s">
        <v>1512</v>
      </c>
      <c r="AM35" s="698" t="s">
        <v>10</v>
      </c>
      <c r="AN35" s="699" t="s">
        <v>4</v>
      </c>
      <c r="AO35" s="699">
        <v>57554.173600000002</v>
      </c>
      <c r="AP35" s="703">
        <f t="shared" si="6"/>
        <v>27.717500000000001</v>
      </c>
      <c r="AQ35" s="703">
        <f t="shared" si="4"/>
        <v>23.717500000000001</v>
      </c>
      <c r="AR35" s="697">
        <v>0</v>
      </c>
      <c r="AS35" s="697">
        <v>0</v>
      </c>
      <c r="AT35" s="697">
        <v>21</v>
      </c>
      <c r="AU35" s="697">
        <v>0</v>
      </c>
      <c r="AV35" s="697">
        <v>0</v>
      </c>
      <c r="AW35" s="697">
        <v>0</v>
      </c>
      <c r="AX35" s="697">
        <v>0</v>
      </c>
      <c r="AY35" s="697">
        <v>0</v>
      </c>
      <c r="AZ35" s="697">
        <v>0</v>
      </c>
      <c r="BA35" s="697">
        <v>0</v>
      </c>
      <c r="BB35" s="697">
        <v>-4</v>
      </c>
      <c r="BC35" s="697">
        <v>0</v>
      </c>
      <c r="BD35" s="697">
        <v>0</v>
      </c>
      <c r="BE35" s="697">
        <v>0</v>
      </c>
      <c r="BF35" s="697">
        <v>0</v>
      </c>
      <c r="BG35" s="697">
        <v>0</v>
      </c>
      <c r="BH35" s="697">
        <v>0</v>
      </c>
      <c r="BI35" s="697">
        <v>0</v>
      </c>
      <c r="BJ35" s="697">
        <v>0</v>
      </c>
      <c r="BK35" s="697">
        <v>0</v>
      </c>
      <c r="BL35" s="697">
        <v>0</v>
      </c>
      <c r="BM35" s="697">
        <v>0</v>
      </c>
      <c r="BN35" s="697">
        <v>0</v>
      </c>
      <c r="BO35" s="697">
        <v>67.174999999999997</v>
      </c>
    </row>
    <row r="36" spans="1:83" ht="15" customHeight="1" x14ac:dyDescent="0.2">
      <c r="A36" s="697">
        <v>9888</v>
      </c>
      <c r="B36" s="697" t="s">
        <v>1412</v>
      </c>
      <c r="C36" s="698" t="s">
        <v>6</v>
      </c>
      <c r="D36" s="699" t="s">
        <v>6</v>
      </c>
      <c r="E36" s="700">
        <f t="shared" si="5"/>
        <v>245422.71519999998</v>
      </c>
      <c r="F36" s="700">
        <v>0</v>
      </c>
      <c r="G36" s="701">
        <f t="shared" si="7"/>
        <v>245422.71519999998</v>
      </c>
      <c r="H36" s="698" t="s">
        <v>1417</v>
      </c>
      <c r="I36" s="699" t="s">
        <v>1416</v>
      </c>
      <c r="J36" s="699" t="s">
        <v>1412</v>
      </c>
      <c r="K36" s="699" t="s">
        <v>1605</v>
      </c>
      <c r="L36" s="699" t="s">
        <v>10</v>
      </c>
      <c r="M36" s="702">
        <v>132</v>
      </c>
      <c r="N36" s="702">
        <v>0.85299999999999998</v>
      </c>
      <c r="O36" s="702">
        <v>0.85299999999999998</v>
      </c>
      <c r="P36" s="702">
        <v>0.83099999999999996</v>
      </c>
      <c r="Q36" s="702">
        <v>0.76100000000000001</v>
      </c>
      <c r="R36" s="702">
        <v>743297</v>
      </c>
      <c r="S36" s="702">
        <v>704428</v>
      </c>
      <c r="T36" s="7">
        <f t="shared" si="8"/>
        <v>221130.85749999998</v>
      </c>
      <c r="U36" s="702">
        <v>429463</v>
      </c>
      <c r="V36" s="702">
        <v>274965</v>
      </c>
      <c r="W36" s="702">
        <v>3525</v>
      </c>
      <c r="X36" s="702">
        <v>0</v>
      </c>
      <c r="Y36" s="702">
        <v>0</v>
      </c>
      <c r="Z36" s="702">
        <v>0</v>
      </c>
      <c r="AA36" s="702">
        <v>925558.85750000004</v>
      </c>
      <c r="AB36" s="702">
        <v>221130.85750000001</v>
      </c>
      <c r="AC36" s="702">
        <v>704428</v>
      </c>
      <c r="AD36" s="702">
        <v>0</v>
      </c>
      <c r="AE36" s="702">
        <v>0</v>
      </c>
      <c r="AF36" s="702">
        <v>704428</v>
      </c>
      <c r="AG36" s="702">
        <v>0</v>
      </c>
      <c r="AH36" s="702">
        <v>763000</v>
      </c>
      <c r="AI36" s="702">
        <v>589000</v>
      </c>
      <c r="AJ36" s="698" t="s">
        <v>900</v>
      </c>
      <c r="AK36" s="698" t="s">
        <v>905</v>
      </c>
      <c r="AL36" s="699" t="s">
        <v>1416</v>
      </c>
      <c r="AM36" s="698" t="s">
        <v>1417</v>
      </c>
      <c r="AN36" s="699" t="s">
        <v>6</v>
      </c>
      <c r="AO36" s="699">
        <v>221130.85750000001</v>
      </c>
      <c r="AP36" s="703">
        <f t="shared" si="6"/>
        <v>241.92830000000001</v>
      </c>
      <c r="AQ36" s="703">
        <f t="shared" si="4"/>
        <v>269.92830000000004</v>
      </c>
      <c r="AR36" s="697">
        <v>0</v>
      </c>
      <c r="AS36" s="697">
        <v>589</v>
      </c>
      <c r="AT36" s="697">
        <v>155</v>
      </c>
      <c r="AU36" s="697">
        <v>0</v>
      </c>
      <c r="AV36" s="697">
        <v>0</v>
      </c>
      <c r="AW36" s="697">
        <v>0</v>
      </c>
      <c r="AX36" s="697">
        <v>14</v>
      </c>
      <c r="AY36" s="697">
        <v>0</v>
      </c>
      <c r="AZ36" s="697">
        <v>0</v>
      </c>
      <c r="BA36" s="697">
        <v>0</v>
      </c>
      <c r="BB36" s="697">
        <v>28</v>
      </c>
      <c r="BC36" s="697">
        <v>0</v>
      </c>
      <c r="BD36" s="697">
        <v>0</v>
      </c>
      <c r="BE36" s="697">
        <v>0</v>
      </c>
      <c r="BF36" s="697">
        <v>0</v>
      </c>
      <c r="BG36" s="697">
        <v>0</v>
      </c>
      <c r="BH36" s="697">
        <v>0</v>
      </c>
      <c r="BI36" s="697">
        <v>0</v>
      </c>
      <c r="BJ36" s="697">
        <v>0</v>
      </c>
      <c r="BK36" s="697">
        <v>0</v>
      </c>
      <c r="BL36" s="697">
        <v>0</v>
      </c>
      <c r="BM36" s="697">
        <v>0</v>
      </c>
      <c r="BN36" s="697">
        <v>0</v>
      </c>
      <c r="BO36" s="697">
        <v>729.28300000000002</v>
      </c>
    </row>
    <row r="37" spans="1:83" ht="15" customHeight="1" x14ac:dyDescent="0.2">
      <c r="A37" s="697">
        <v>511</v>
      </c>
      <c r="B37" s="697" t="s">
        <v>1412</v>
      </c>
      <c r="C37" s="698" t="s">
        <v>7</v>
      </c>
      <c r="D37" s="699" t="s">
        <v>7</v>
      </c>
      <c r="E37" s="700">
        <f t="shared" si="5"/>
        <v>407128.74280000001</v>
      </c>
      <c r="F37" s="700">
        <v>561163</v>
      </c>
      <c r="G37" s="701">
        <f t="shared" si="7"/>
        <v>968291.74280000001</v>
      </c>
      <c r="H37" s="698" t="s">
        <v>10</v>
      </c>
      <c r="I37" s="699" t="s">
        <v>1416</v>
      </c>
      <c r="J37" s="699" t="s">
        <v>1412</v>
      </c>
      <c r="K37" s="699" t="s">
        <v>8</v>
      </c>
      <c r="L37" s="699" t="s">
        <v>1412</v>
      </c>
      <c r="M37" s="702">
        <v>146</v>
      </c>
      <c r="N37" s="702">
        <v>0.92400000000000004</v>
      </c>
      <c r="O37" s="702">
        <v>0.97199999999999998</v>
      </c>
      <c r="P37" s="702">
        <v>0.93300000000000005</v>
      </c>
      <c r="Q37" s="702">
        <v>0.89400000000000002</v>
      </c>
      <c r="R37" s="702">
        <v>1446933</v>
      </c>
      <c r="S37" s="702">
        <v>1168567</v>
      </c>
      <c r="T37" s="7">
        <f t="shared" si="8"/>
        <v>430462.5675</v>
      </c>
      <c r="U37" s="702">
        <v>793716</v>
      </c>
      <c r="V37" s="702">
        <v>374851</v>
      </c>
      <c r="W37" s="702">
        <v>6000</v>
      </c>
      <c r="X37" s="702">
        <v>991625.5675</v>
      </c>
      <c r="Y37" s="702">
        <v>430462.5675</v>
      </c>
      <c r="Z37" s="702">
        <v>561163</v>
      </c>
      <c r="AA37" s="702">
        <v>607404</v>
      </c>
      <c r="AB37" s="702">
        <v>0</v>
      </c>
      <c r="AC37" s="702">
        <v>607404</v>
      </c>
      <c r="AD37" s="702">
        <v>561163</v>
      </c>
      <c r="AE37" s="702">
        <v>0</v>
      </c>
      <c r="AF37" s="702">
        <v>607404</v>
      </c>
      <c r="AG37" s="702">
        <v>0</v>
      </c>
      <c r="AH37" s="702">
        <v>1182000</v>
      </c>
      <c r="AI37" s="702">
        <v>990000</v>
      </c>
      <c r="AJ37" s="698" t="s">
        <v>900</v>
      </c>
      <c r="AK37" s="698" t="s">
        <v>901</v>
      </c>
      <c r="AL37" s="699" t="s">
        <v>1416</v>
      </c>
      <c r="AM37" s="698" t="s">
        <v>10</v>
      </c>
      <c r="AN37" s="699" t="s">
        <v>7</v>
      </c>
      <c r="AO37" s="699">
        <v>991625.5675</v>
      </c>
      <c r="AP37" s="703">
        <f t="shared" si="6"/>
        <v>952.49189999999999</v>
      </c>
      <c r="AQ37" s="703">
        <f t="shared" si="4"/>
        <v>979.49189999999999</v>
      </c>
      <c r="AR37" s="697">
        <v>472</v>
      </c>
      <c r="AS37" s="697">
        <v>990</v>
      </c>
      <c r="AT37" s="697">
        <v>176</v>
      </c>
      <c r="AU37" s="697">
        <v>0</v>
      </c>
      <c r="AV37" s="697">
        <v>0</v>
      </c>
      <c r="AW37" s="697">
        <v>0</v>
      </c>
      <c r="AX37" s="697">
        <v>0</v>
      </c>
      <c r="AY37" s="697">
        <v>0</v>
      </c>
      <c r="AZ37" s="697">
        <v>13</v>
      </c>
      <c r="BA37" s="697">
        <v>37</v>
      </c>
      <c r="BB37" s="697">
        <v>27</v>
      </c>
      <c r="BC37" s="697">
        <v>0</v>
      </c>
      <c r="BD37" s="697">
        <v>73</v>
      </c>
      <c r="BE37" s="697">
        <v>0</v>
      </c>
      <c r="BF37" s="697">
        <v>0</v>
      </c>
      <c r="BG37" s="697">
        <v>0</v>
      </c>
      <c r="BH37" s="697">
        <v>35</v>
      </c>
      <c r="BI37" s="697">
        <v>3</v>
      </c>
      <c r="BJ37" s="697">
        <v>0</v>
      </c>
      <c r="BK37" s="697">
        <v>0</v>
      </c>
      <c r="BL37" s="697">
        <v>13964</v>
      </c>
      <c r="BM37" s="697">
        <v>72134</v>
      </c>
      <c r="BN37" s="697">
        <v>16000</v>
      </c>
      <c r="BO37" s="697">
        <v>813.93899999999996</v>
      </c>
    </row>
    <row r="38" spans="1:83" s="724" customFormat="1" ht="15" customHeight="1" x14ac:dyDescent="0.2">
      <c r="A38" s="697">
        <v>564</v>
      </c>
      <c r="B38" s="697" t="s">
        <v>1412</v>
      </c>
      <c r="C38" s="698" t="s">
        <v>9</v>
      </c>
      <c r="D38" s="699" t="s">
        <v>9</v>
      </c>
      <c r="E38" s="700">
        <f t="shared" si="5"/>
        <v>275212.65720000002</v>
      </c>
      <c r="F38" s="700">
        <v>0</v>
      </c>
      <c r="G38" s="701">
        <f t="shared" si="7"/>
        <v>275212.65720000002</v>
      </c>
      <c r="H38" s="698" t="s">
        <v>1417</v>
      </c>
      <c r="I38" s="699" t="s">
        <v>1416</v>
      </c>
      <c r="J38" s="699" t="s">
        <v>1412</v>
      </c>
      <c r="K38" s="699" t="s">
        <v>1565</v>
      </c>
      <c r="L38" s="699" t="s">
        <v>10</v>
      </c>
      <c r="M38" s="702">
        <v>90</v>
      </c>
      <c r="N38" s="702">
        <v>0.96099999999999997</v>
      </c>
      <c r="O38" s="702">
        <v>0.94599999999999995</v>
      </c>
      <c r="P38" s="702">
        <v>0.96199999999999997</v>
      </c>
      <c r="Q38" s="702">
        <v>0.94399999999999995</v>
      </c>
      <c r="R38" s="702">
        <v>1126844</v>
      </c>
      <c r="S38" s="702">
        <v>789933</v>
      </c>
      <c r="T38" s="7">
        <f t="shared" si="8"/>
        <v>335236.08999999997</v>
      </c>
      <c r="U38" s="702">
        <v>350000</v>
      </c>
      <c r="V38" s="702">
        <v>439933</v>
      </c>
      <c r="W38" s="702">
        <v>3000</v>
      </c>
      <c r="X38" s="702">
        <v>0</v>
      </c>
      <c r="Y38" s="702">
        <v>0</v>
      </c>
      <c r="Z38" s="702">
        <v>0</v>
      </c>
      <c r="AA38" s="702">
        <v>1125169.0900000001</v>
      </c>
      <c r="AB38" s="702">
        <v>335236.09000000003</v>
      </c>
      <c r="AC38" s="702">
        <v>789933</v>
      </c>
      <c r="AD38" s="702">
        <v>0</v>
      </c>
      <c r="AE38" s="702">
        <v>0</v>
      </c>
      <c r="AF38" s="702">
        <v>789933</v>
      </c>
      <c r="AG38" s="702">
        <v>0</v>
      </c>
      <c r="AH38" s="702">
        <v>794000</v>
      </c>
      <c r="AI38" s="702">
        <v>652000</v>
      </c>
      <c r="AJ38" s="698">
        <v>4</v>
      </c>
      <c r="AK38" s="698" t="s">
        <v>913</v>
      </c>
      <c r="AL38" s="699" t="s">
        <v>1416</v>
      </c>
      <c r="AM38" s="698" t="s">
        <v>1417</v>
      </c>
      <c r="AN38" s="699" t="s">
        <v>9</v>
      </c>
      <c r="AO38" s="699">
        <v>335236.09000000003</v>
      </c>
      <c r="AP38" s="703">
        <f t="shared" si="6"/>
        <v>1774</v>
      </c>
      <c r="AQ38" s="703">
        <f t="shared" si="4"/>
        <v>1815</v>
      </c>
      <c r="AR38" s="723">
        <v>344</v>
      </c>
      <c r="AS38" s="723">
        <v>652</v>
      </c>
      <c r="AT38" s="723">
        <v>164</v>
      </c>
      <c r="AU38" s="723">
        <v>0</v>
      </c>
      <c r="AV38" s="697">
        <v>0</v>
      </c>
      <c r="AW38" s="697">
        <v>0</v>
      </c>
      <c r="AX38" s="697">
        <v>1</v>
      </c>
      <c r="AY38" s="697">
        <v>0</v>
      </c>
      <c r="AZ38" s="723">
        <v>1107</v>
      </c>
      <c r="BA38" s="723">
        <v>52</v>
      </c>
      <c r="BB38" s="723">
        <v>41</v>
      </c>
      <c r="BC38" s="723">
        <v>0</v>
      </c>
      <c r="BD38" s="697">
        <v>46</v>
      </c>
      <c r="BE38" s="697">
        <v>0</v>
      </c>
      <c r="BF38" s="697">
        <v>0</v>
      </c>
      <c r="BG38" s="697">
        <v>0</v>
      </c>
      <c r="BH38" s="697">
        <v>112</v>
      </c>
      <c r="BI38" s="697">
        <v>1</v>
      </c>
      <c r="BJ38" s="697">
        <v>0</v>
      </c>
      <c r="BK38" s="697">
        <v>0</v>
      </c>
      <c r="BL38" s="697">
        <v>0</v>
      </c>
      <c r="BM38" s="697">
        <v>0</v>
      </c>
      <c r="BN38" s="697">
        <v>0</v>
      </c>
      <c r="BO38" s="697">
        <v>0</v>
      </c>
      <c r="BP38" s="392"/>
      <c r="BQ38" s="392"/>
      <c r="BR38" s="392"/>
      <c r="BS38" s="392"/>
      <c r="BT38" s="392"/>
      <c r="BU38" s="392"/>
      <c r="BV38" s="392"/>
      <c r="BW38" s="392"/>
      <c r="BX38" s="392"/>
      <c r="BY38" s="392"/>
      <c r="BZ38" s="392"/>
      <c r="CA38" s="392"/>
      <c r="CB38" s="392"/>
      <c r="CC38" s="392"/>
      <c r="CD38" s="392"/>
      <c r="CE38" s="392"/>
    </row>
    <row r="39" spans="1:83" ht="15" customHeight="1" x14ac:dyDescent="0.2">
      <c r="A39" s="722">
        <v>566</v>
      </c>
      <c r="B39" s="722"/>
      <c r="C39" s="725" t="s">
        <v>9</v>
      </c>
      <c r="D39" s="706" t="s">
        <v>9</v>
      </c>
      <c r="E39" s="700" t="e">
        <f t="shared" si="5"/>
        <v>#VALUE!</v>
      </c>
      <c r="F39" s="707" t="s">
        <v>10</v>
      </c>
      <c r="G39" s="701" t="e">
        <f t="shared" si="7"/>
        <v>#VALUE!</v>
      </c>
      <c r="H39" s="705" t="s">
        <v>1417</v>
      </c>
      <c r="I39" s="706" t="s">
        <v>911</v>
      </c>
      <c r="J39" s="706" t="s">
        <v>10</v>
      </c>
      <c r="K39" s="706" t="s">
        <v>10</v>
      </c>
      <c r="L39" s="706" t="s">
        <v>10</v>
      </c>
      <c r="M39" s="708" t="s">
        <v>10</v>
      </c>
      <c r="N39" s="708" t="s">
        <v>10</v>
      </c>
      <c r="O39" s="708" t="s">
        <v>10</v>
      </c>
      <c r="P39" s="708" t="s">
        <v>10</v>
      </c>
      <c r="Q39" s="708" t="s">
        <v>10</v>
      </c>
      <c r="R39" s="708" t="s">
        <v>10</v>
      </c>
      <c r="S39" s="708" t="s">
        <v>10</v>
      </c>
      <c r="T39" s="7" t="e">
        <f t="shared" si="8"/>
        <v>#VALUE!</v>
      </c>
      <c r="U39" s="708" t="s">
        <v>10</v>
      </c>
      <c r="V39" s="708" t="s">
        <v>10</v>
      </c>
      <c r="W39" s="708" t="s">
        <v>10</v>
      </c>
      <c r="X39" s="708" t="s">
        <v>10</v>
      </c>
      <c r="Y39" s="708" t="s">
        <v>10</v>
      </c>
      <c r="Z39" s="708" t="s">
        <v>10</v>
      </c>
      <c r="AA39" s="708" t="s">
        <v>10</v>
      </c>
      <c r="AB39" s="708" t="s">
        <v>10</v>
      </c>
      <c r="AC39" s="708" t="s">
        <v>10</v>
      </c>
      <c r="AD39" s="708" t="s">
        <v>10</v>
      </c>
      <c r="AE39" s="708" t="s">
        <v>10</v>
      </c>
      <c r="AF39" s="708" t="s">
        <v>10</v>
      </c>
      <c r="AG39" s="708" t="s">
        <v>10</v>
      </c>
      <c r="AH39" s="708" t="s">
        <v>10</v>
      </c>
      <c r="AI39" s="708" t="s">
        <v>10</v>
      </c>
      <c r="AJ39" s="705">
        <v>4</v>
      </c>
      <c r="AK39" s="705" t="s">
        <v>913</v>
      </c>
      <c r="AL39" s="726" t="s">
        <v>911</v>
      </c>
      <c r="AM39" s="705" t="s">
        <v>1417</v>
      </c>
      <c r="AN39" s="718" t="s">
        <v>918</v>
      </c>
      <c r="AO39" s="718">
        <v>0</v>
      </c>
      <c r="AP39" s="719">
        <v>0</v>
      </c>
      <c r="AQ39" s="703">
        <f t="shared" si="4"/>
        <v>77</v>
      </c>
      <c r="AR39" s="720">
        <v>44</v>
      </c>
      <c r="AS39" s="720">
        <v>0</v>
      </c>
      <c r="AT39" s="720">
        <v>24</v>
      </c>
      <c r="AU39" s="720">
        <v>0</v>
      </c>
      <c r="AV39" s="704">
        <v>0</v>
      </c>
      <c r="AW39" s="704">
        <v>0</v>
      </c>
      <c r="AX39" s="704">
        <v>0</v>
      </c>
      <c r="AY39" s="704">
        <v>0</v>
      </c>
      <c r="AZ39" s="720">
        <v>0</v>
      </c>
      <c r="BA39" s="720">
        <v>0</v>
      </c>
      <c r="BB39" s="720">
        <v>9</v>
      </c>
      <c r="BC39" s="720">
        <v>0</v>
      </c>
      <c r="BD39" s="704">
        <v>0</v>
      </c>
      <c r="BE39" s="704">
        <v>0</v>
      </c>
      <c r="BF39" s="704">
        <v>0</v>
      </c>
      <c r="BG39" s="704">
        <v>0</v>
      </c>
      <c r="BH39" s="704">
        <v>0</v>
      </c>
      <c r="BI39" s="704">
        <v>0</v>
      </c>
      <c r="BJ39" s="704">
        <v>0</v>
      </c>
      <c r="BK39" s="704">
        <v>0</v>
      </c>
      <c r="BL39" s="704">
        <v>0</v>
      </c>
      <c r="BM39" s="704">
        <v>0</v>
      </c>
      <c r="BN39" s="704">
        <v>0</v>
      </c>
      <c r="BO39" s="722">
        <v>0</v>
      </c>
      <c r="BS39" s="727"/>
      <c r="BT39" s="727"/>
      <c r="BU39" s="727"/>
      <c r="BV39" s="727"/>
      <c r="BW39" s="727"/>
      <c r="BX39" s="727"/>
      <c r="BY39" s="727"/>
      <c r="BZ39" s="727"/>
      <c r="CA39" s="727"/>
      <c r="CB39" s="727"/>
      <c r="CC39" s="727"/>
      <c r="CD39" s="727"/>
      <c r="CE39" s="727"/>
    </row>
    <row r="40" spans="1:83" ht="15" customHeight="1" x14ac:dyDescent="0.2">
      <c r="A40" s="697">
        <v>526</v>
      </c>
      <c r="B40" s="697" t="s">
        <v>1412</v>
      </c>
      <c r="C40" s="698" t="s">
        <v>919</v>
      </c>
      <c r="D40" s="699" t="s">
        <v>11</v>
      </c>
      <c r="E40" s="700" t="b">
        <f t="shared" si="5"/>
        <v>0</v>
      </c>
      <c r="F40" s="700">
        <v>137606</v>
      </c>
      <c r="G40" s="701">
        <f t="shared" si="7"/>
        <v>137606</v>
      </c>
      <c r="H40" s="698" t="s">
        <v>1417</v>
      </c>
      <c r="I40" s="699" t="s">
        <v>1416</v>
      </c>
      <c r="J40" s="699" t="s">
        <v>1412</v>
      </c>
      <c r="K40" s="699" t="s">
        <v>1565</v>
      </c>
      <c r="L40" s="699" t="s">
        <v>1412</v>
      </c>
      <c r="M40" s="702">
        <v>10</v>
      </c>
      <c r="N40" s="702">
        <v>0.55000000000000004</v>
      </c>
      <c r="O40" s="702">
        <v>0.55000000000000004</v>
      </c>
      <c r="P40" s="702">
        <v>0.53600000000000003</v>
      </c>
      <c r="Q40" s="702">
        <v>0.77700000000000002</v>
      </c>
      <c r="R40" s="702">
        <v>0</v>
      </c>
      <c r="S40" s="702">
        <v>69958</v>
      </c>
      <c r="T40" s="7">
        <f t="shared" si="8"/>
        <v>24373.367200000001</v>
      </c>
      <c r="U40" s="702">
        <v>0</v>
      </c>
      <c r="V40" s="702">
        <v>69958</v>
      </c>
      <c r="W40" s="702">
        <v>0</v>
      </c>
      <c r="X40" s="702">
        <v>161979.36720000001</v>
      </c>
      <c r="Y40" s="702">
        <v>24373.367200000001</v>
      </c>
      <c r="Z40" s="702">
        <v>137606</v>
      </c>
      <c r="AA40" s="702">
        <v>-67648</v>
      </c>
      <c r="AB40" s="702">
        <v>0</v>
      </c>
      <c r="AC40" s="702">
        <v>-67648</v>
      </c>
      <c r="AD40" s="702">
        <v>137606</v>
      </c>
      <c r="AE40" s="702">
        <v>0</v>
      </c>
      <c r="AF40" s="702">
        <v>-67648</v>
      </c>
      <c r="AG40" s="702">
        <v>0</v>
      </c>
      <c r="AH40" s="702">
        <v>47000</v>
      </c>
      <c r="AI40" s="702">
        <v>39000</v>
      </c>
      <c r="AJ40" s="698">
        <v>4</v>
      </c>
      <c r="AK40" s="698" t="s">
        <v>913</v>
      </c>
      <c r="AL40" s="699" t="s">
        <v>1416</v>
      </c>
      <c r="AM40" s="698" t="s">
        <v>1417</v>
      </c>
      <c r="AN40" s="699" t="s">
        <v>11</v>
      </c>
      <c r="AO40" s="699">
        <v>161979.36720000001</v>
      </c>
      <c r="AP40" s="703">
        <f t="shared" ref="AP40:AP72" si="9">AR40+AT40+AU40+AV40+AX40+AY40+AZ40+BD40+BF40+BG40+BH40+BJ40+BK40+(BL40+BM40+BN40)/1000+(0.1*BO40)</f>
        <v>415.49599999999998</v>
      </c>
      <c r="AQ40" s="703">
        <f t="shared" si="4"/>
        <v>426.49599999999998</v>
      </c>
      <c r="AR40" s="697">
        <v>206</v>
      </c>
      <c r="AS40" s="697">
        <v>39</v>
      </c>
      <c r="AT40" s="697">
        <v>46</v>
      </c>
      <c r="AU40" s="697">
        <v>0</v>
      </c>
      <c r="AV40" s="697">
        <v>0</v>
      </c>
      <c r="AW40" s="697">
        <v>0</v>
      </c>
      <c r="AX40" s="697">
        <v>0</v>
      </c>
      <c r="AY40" s="697">
        <v>0</v>
      </c>
      <c r="AZ40" s="697">
        <v>0</v>
      </c>
      <c r="BA40" s="697">
        <v>3</v>
      </c>
      <c r="BB40" s="697">
        <v>11</v>
      </c>
      <c r="BC40" s="697">
        <v>0</v>
      </c>
      <c r="BD40" s="697">
        <v>17</v>
      </c>
      <c r="BE40" s="697">
        <v>0</v>
      </c>
      <c r="BF40" s="697">
        <v>0</v>
      </c>
      <c r="BG40" s="697">
        <v>0</v>
      </c>
      <c r="BH40" s="697">
        <v>55</v>
      </c>
      <c r="BI40" s="697">
        <v>1</v>
      </c>
      <c r="BJ40" s="697">
        <v>0</v>
      </c>
      <c r="BK40" s="697">
        <v>0</v>
      </c>
      <c r="BL40" s="697">
        <v>20631</v>
      </c>
      <c r="BM40" s="697">
        <v>0</v>
      </c>
      <c r="BN40" s="697">
        <v>70865</v>
      </c>
      <c r="BO40" s="697">
        <v>0</v>
      </c>
    </row>
    <row r="41" spans="1:83" ht="15" customHeight="1" x14ac:dyDescent="0.2">
      <c r="A41" s="697">
        <v>548</v>
      </c>
      <c r="B41" s="697"/>
      <c r="C41" s="698" t="s">
        <v>12</v>
      </c>
      <c r="D41" s="699" t="s">
        <v>12</v>
      </c>
      <c r="E41" s="700">
        <f t="shared" si="5"/>
        <v>50647.843399999998</v>
      </c>
      <c r="F41" s="700">
        <v>0</v>
      </c>
      <c r="G41" s="701">
        <f t="shared" si="7"/>
        <v>50647.843399999998</v>
      </c>
      <c r="H41" s="698" t="s">
        <v>1417</v>
      </c>
      <c r="I41" s="699" t="s">
        <v>1512</v>
      </c>
      <c r="J41" s="699" t="s">
        <v>10</v>
      </c>
      <c r="K41" s="699" t="s">
        <v>14</v>
      </c>
      <c r="L41" s="699" t="s">
        <v>10</v>
      </c>
      <c r="M41" s="702">
        <v>0</v>
      </c>
      <c r="N41" s="702">
        <v>0.93799999999999994</v>
      </c>
      <c r="O41" s="702">
        <v>0.95199999999999996</v>
      </c>
      <c r="P41" s="702">
        <v>0.996</v>
      </c>
      <c r="Q41" s="702">
        <v>0.97299999999999998</v>
      </c>
      <c r="R41" s="702">
        <v>0</v>
      </c>
      <c r="S41" s="702">
        <v>261206</v>
      </c>
      <c r="T41" s="7">
        <f t="shared" si="8"/>
        <v>50647.843399999998</v>
      </c>
      <c r="U41" s="702">
        <v>206680</v>
      </c>
      <c r="V41" s="702">
        <v>54526</v>
      </c>
      <c r="W41" s="702">
        <v>1262</v>
      </c>
      <c r="X41" s="702">
        <v>0</v>
      </c>
      <c r="Y41" s="702">
        <v>0</v>
      </c>
      <c r="Z41" s="702">
        <v>0</v>
      </c>
      <c r="AA41" s="702">
        <v>311853.84340000001</v>
      </c>
      <c r="AB41" s="702">
        <v>50647.843399999998</v>
      </c>
      <c r="AC41" s="702">
        <v>261206</v>
      </c>
      <c r="AD41" s="702">
        <v>0</v>
      </c>
      <c r="AE41" s="702">
        <v>0</v>
      </c>
      <c r="AF41" s="702">
        <v>0</v>
      </c>
      <c r="AG41" s="702">
        <v>261206</v>
      </c>
      <c r="AH41" s="702">
        <v>0</v>
      </c>
      <c r="AI41" s="702">
        <v>0</v>
      </c>
      <c r="AJ41" s="698">
        <v>4</v>
      </c>
      <c r="AK41" s="698" t="s">
        <v>917</v>
      </c>
      <c r="AL41" s="699" t="s">
        <v>1512</v>
      </c>
      <c r="AM41" s="698" t="s">
        <v>1417</v>
      </c>
      <c r="AN41" s="699" t="s">
        <v>12</v>
      </c>
      <c r="AO41" s="699">
        <v>50647.843399999998</v>
      </c>
      <c r="AP41" s="703">
        <f t="shared" si="9"/>
        <v>32</v>
      </c>
      <c r="AQ41" s="703">
        <f t="shared" si="4"/>
        <v>32</v>
      </c>
      <c r="AR41" s="697">
        <v>0</v>
      </c>
      <c r="AS41" s="697">
        <v>0</v>
      </c>
      <c r="AT41" s="697">
        <v>32</v>
      </c>
      <c r="AU41" s="697">
        <v>0</v>
      </c>
      <c r="AV41" s="697">
        <v>0</v>
      </c>
      <c r="AW41" s="697">
        <v>0</v>
      </c>
      <c r="AX41" s="697">
        <v>0</v>
      </c>
      <c r="AY41" s="697">
        <v>0</v>
      </c>
      <c r="AZ41" s="697">
        <v>0</v>
      </c>
      <c r="BA41" s="697">
        <v>23</v>
      </c>
      <c r="BB41" s="697">
        <v>0</v>
      </c>
      <c r="BC41" s="697">
        <v>0</v>
      </c>
      <c r="BD41" s="697">
        <v>0</v>
      </c>
      <c r="BE41" s="697">
        <v>0</v>
      </c>
      <c r="BF41" s="697">
        <v>0</v>
      </c>
      <c r="BG41" s="697">
        <v>0</v>
      </c>
      <c r="BH41" s="697">
        <v>0</v>
      </c>
      <c r="BI41" s="697">
        <v>0</v>
      </c>
      <c r="BJ41" s="697">
        <v>0</v>
      </c>
      <c r="BK41" s="697">
        <v>0</v>
      </c>
      <c r="BL41" s="697">
        <v>0</v>
      </c>
      <c r="BM41" s="697">
        <v>0</v>
      </c>
      <c r="BN41" s="697">
        <v>0</v>
      </c>
      <c r="BO41" s="697">
        <v>0</v>
      </c>
    </row>
    <row r="42" spans="1:83" ht="15" customHeight="1" x14ac:dyDescent="0.2">
      <c r="A42" s="697">
        <v>540</v>
      </c>
      <c r="B42" s="697" t="s">
        <v>1412</v>
      </c>
      <c r="C42" s="698" t="s">
        <v>17</v>
      </c>
      <c r="D42" s="699" t="s">
        <v>17</v>
      </c>
      <c r="E42" s="700">
        <f t="shared" si="5"/>
        <v>242178.41439999998</v>
      </c>
      <c r="F42" s="700">
        <v>0</v>
      </c>
      <c r="G42" s="701">
        <f t="shared" si="7"/>
        <v>242178.41439999998</v>
      </c>
      <c r="H42" s="698" t="s">
        <v>10</v>
      </c>
      <c r="I42" s="699" t="s">
        <v>1416</v>
      </c>
      <c r="J42" s="699" t="s">
        <v>1412</v>
      </c>
      <c r="K42" s="699" t="s">
        <v>19</v>
      </c>
      <c r="L42" s="699" t="s">
        <v>10</v>
      </c>
      <c r="M42" s="702">
        <v>101</v>
      </c>
      <c r="N42" s="702">
        <v>0.91300000000000003</v>
      </c>
      <c r="O42" s="702">
        <v>0.91800000000000004</v>
      </c>
      <c r="P42" s="702">
        <v>0.85799999999999998</v>
      </c>
      <c r="Q42" s="702">
        <v>0.86099999999999999</v>
      </c>
      <c r="R42" s="702">
        <v>812507</v>
      </c>
      <c r="S42" s="702">
        <v>695116</v>
      </c>
      <c r="T42" s="7">
        <f t="shared" si="8"/>
        <v>241720.83249999999</v>
      </c>
      <c r="U42" s="702">
        <v>440253</v>
      </c>
      <c r="V42" s="702">
        <v>254863</v>
      </c>
      <c r="W42" s="702">
        <v>3568</v>
      </c>
      <c r="X42" s="702">
        <v>0</v>
      </c>
      <c r="Y42" s="702">
        <v>0</v>
      </c>
      <c r="Z42" s="702">
        <v>0</v>
      </c>
      <c r="AA42" s="702">
        <v>936836.83250000002</v>
      </c>
      <c r="AB42" s="702">
        <v>241720.83249999999</v>
      </c>
      <c r="AC42" s="702">
        <v>695116</v>
      </c>
      <c r="AD42" s="702">
        <v>0</v>
      </c>
      <c r="AE42" s="702">
        <v>0</v>
      </c>
      <c r="AF42" s="702">
        <v>695116</v>
      </c>
      <c r="AG42" s="702">
        <v>0</v>
      </c>
      <c r="AH42" s="702">
        <v>341000</v>
      </c>
      <c r="AI42" s="702">
        <v>282000</v>
      </c>
      <c r="AJ42" s="698">
        <v>4</v>
      </c>
      <c r="AK42" s="698" t="s">
        <v>913</v>
      </c>
      <c r="AL42" s="699" t="s">
        <v>1416</v>
      </c>
      <c r="AM42" s="698" t="s">
        <v>10</v>
      </c>
      <c r="AN42" s="699" t="s">
        <v>17</v>
      </c>
      <c r="AO42" s="699">
        <v>241720.83249999999</v>
      </c>
      <c r="AP42" s="703">
        <f t="shared" si="9"/>
        <v>129.26</v>
      </c>
      <c r="AQ42" s="703">
        <f t="shared" si="4"/>
        <v>144.26</v>
      </c>
      <c r="AR42" s="697">
        <v>29</v>
      </c>
      <c r="AS42" s="697">
        <v>282</v>
      </c>
      <c r="AT42" s="697">
        <v>63</v>
      </c>
      <c r="AU42" s="697">
        <v>13</v>
      </c>
      <c r="AV42" s="697">
        <v>0</v>
      </c>
      <c r="AW42" s="697">
        <v>0</v>
      </c>
      <c r="AX42" s="697">
        <v>4</v>
      </c>
      <c r="AY42" s="697">
        <v>5</v>
      </c>
      <c r="AZ42" s="697">
        <v>0</v>
      </c>
      <c r="BA42" s="697">
        <v>13</v>
      </c>
      <c r="BB42" s="697">
        <v>13</v>
      </c>
      <c r="BC42" s="697">
        <v>2</v>
      </c>
      <c r="BD42" s="697">
        <v>-2</v>
      </c>
      <c r="BE42" s="697">
        <v>0</v>
      </c>
      <c r="BF42" s="697">
        <v>0</v>
      </c>
      <c r="BG42" s="697">
        <v>0</v>
      </c>
      <c r="BH42" s="697">
        <v>0</v>
      </c>
      <c r="BI42" s="697">
        <v>1</v>
      </c>
      <c r="BJ42" s="697">
        <v>0</v>
      </c>
      <c r="BK42" s="697">
        <v>0</v>
      </c>
      <c r="BL42" s="697">
        <v>0</v>
      </c>
      <c r="BM42" s="697">
        <v>0</v>
      </c>
      <c r="BN42" s="697">
        <v>17260</v>
      </c>
      <c r="BO42" s="697">
        <v>0</v>
      </c>
    </row>
    <row r="43" spans="1:83" ht="15" customHeight="1" x14ac:dyDescent="0.2">
      <c r="A43" s="697">
        <v>8262</v>
      </c>
      <c r="B43" s="697"/>
      <c r="C43" s="698" t="s">
        <v>20</v>
      </c>
      <c r="D43" s="699" t="s">
        <v>20</v>
      </c>
      <c r="E43" s="700">
        <f t="shared" si="5"/>
        <v>262793.59080000001</v>
      </c>
      <c r="F43" s="700">
        <v>0</v>
      </c>
      <c r="G43" s="701">
        <f t="shared" si="7"/>
        <v>262793.59080000001</v>
      </c>
      <c r="H43" s="698" t="s">
        <v>10</v>
      </c>
      <c r="I43" s="699" t="s">
        <v>1416</v>
      </c>
      <c r="J43" s="699" t="s">
        <v>1417</v>
      </c>
      <c r="K43" s="699" t="s">
        <v>23</v>
      </c>
      <c r="L43" s="699" t="s">
        <v>10</v>
      </c>
      <c r="M43" s="702">
        <v>105</v>
      </c>
      <c r="N43" s="702">
        <v>0.96</v>
      </c>
      <c r="O43" s="702">
        <v>0.96</v>
      </c>
      <c r="P43" s="702">
        <v>0.88700000000000001</v>
      </c>
      <c r="Q43" s="702">
        <v>0.86599999999999999</v>
      </c>
      <c r="R43" s="702">
        <v>796952</v>
      </c>
      <c r="S43" s="702">
        <v>754287</v>
      </c>
      <c r="T43" s="7">
        <f t="shared" si="8"/>
        <v>237093.22</v>
      </c>
      <c r="U43" s="702">
        <v>431052</v>
      </c>
      <c r="V43" s="702">
        <v>323235</v>
      </c>
      <c r="W43" s="702">
        <v>4914</v>
      </c>
      <c r="X43" s="702">
        <v>0</v>
      </c>
      <c r="Y43" s="702">
        <v>0</v>
      </c>
      <c r="Z43" s="702">
        <v>0</v>
      </c>
      <c r="AA43" s="702">
        <v>991380.22</v>
      </c>
      <c r="AB43" s="702">
        <v>237093.22</v>
      </c>
      <c r="AC43" s="702">
        <v>754287</v>
      </c>
      <c r="AD43" s="702">
        <v>0</v>
      </c>
      <c r="AE43" s="702">
        <v>0</v>
      </c>
      <c r="AF43" s="702">
        <v>0</v>
      </c>
      <c r="AG43" s="702">
        <v>754287</v>
      </c>
      <c r="AH43" s="702">
        <v>0</v>
      </c>
      <c r="AI43" s="702">
        <v>0</v>
      </c>
      <c r="AJ43" s="698">
        <v>4</v>
      </c>
      <c r="AK43" s="698" t="s">
        <v>904</v>
      </c>
      <c r="AL43" s="699" t="s">
        <v>1416</v>
      </c>
      <c r="AM43" s="698" t="s">
        <v>10</v>
      </c>
      <c r="AN43" s="699" t="s">
        <v>20</v>
      </c>
      <c r="AO43" s="699">
        <v>237093.22</v>
      </c>
      <c r="AP43" s="703">
        <f t="shared" si="9"/>
        <v>141.91120000000001</v>
      </c>
      <c r="AQ43" s="703">
        <f t="shared" si="4"/>
        <v>170.91120000000001</v>
      </c>
      <c r="AR43" s="697">
        <v>0</v>
      </c>
      <c r="AS43" s="697">
        <v>0</v>
      </c>
      <c r="AT43" s="697">
        <v>84</v>
      </c>
      <c r="AU43" s="697">
        <v>-3</v>
      </c>
      <c r="AV43" s="697">
        <v>0</v>
      </c>
      <c r="AW43" s="697">
        <v>0</v>
      </c>
      <c r="AX43" s="697">
        <v>7</v>
      </c>
      <c r="AY43" s="697">
        <v>0</v>
      </c>
      <c r="AZ43" s="697">
        <v>0</v>
      </c>
      <c r="BA43" s="697">
        <v>0</v>
      </c>
      <c r="BB43" s="697">
        <v>29</v>
      </c>
      <c r="BC43" s="697">
        <v>0</v>
      </c>
      <c r="BD43" s="697">
        <v>0</v>
      </c>
      <c r="BE43" s="697">
        <v>0</v>
      </c>
      <c r="BF43" s="697">
        <v>0</v>
      </c>
      <c r="BG43" s="697">
        <v>0</v>
      </c>
      <c r="BH43" s="697">
        <v>0</v>
      </c>
      <c r="BI43" s="697">
        <v>0</v>
      </c>
      <c r="BJ43" s="697">
        <v>0</v>
      </c>
      <c r="BK43" s="697">
        <v>0</v>
      </c>
      <c r="BL43" s="697">
        <v>0</v>
      </c>
      <c r="BM43" s="697">
        <v>0</v>
      </c>
      <c r="BN43" s="697">
        <v>0</v>
      </c>
      <c r="BO43" s="697">
        <v>539.11199999999997</v>
      </c>
    </row>
    <row r="44" spans="1:83" ht="15" customHeight="1" x14ac:dyDescent="0.2">
      <c r="A44" s="697">
        <v>9862</v>
      </c>
      <c r="B44" s="697"/>
      <c r="C44" s="698" t="s">
        <v>24</v>
      </c>
      <c r="D44" s="699" t="s">
        <v>24</v>
      </c>
      <c r="E44" s="700">
        <f t="shared" si="5"/>
        <v>328388.94919999997</v>
      </c>
      <c r="F44" s="700">
        <v>0</v>
      </c>
      <c r="G44" s="701">
        <f t="shared" si="7"/>
        <v>328388.94919999997</v>
      </c>
      <c r="H44" s="698" t="s">
        <v>1417</v>
      </c>
      <c r="I44" s="699" t="s">
        <v>1416</v>
      </c>
      <c r="J44" s="699" t="s">
        <v>1417</v>
      </c>
      <c r="K44" s="699" t="s">
        <v>1552</v>
      </c>
      <c r="L44" s="699" t="s">
        <v>10</v>
      </c>
      <c r="M44" s="702">
        <v>149</v>
      </c>
      <c r="N44" s="702">
        <v>0.871</v>
      </c>
      <c r="O44" s="702">
        <v>0.9</v>
      </c>
      <c r="P44" s="702">
        <v>0.84399999999999997</v>
      </c>
      <c r="Q44" s="702">
        <v>0.86299999999999999</v>
      </c>
      <c r="R44" s="702">
        <v>1101419</v>
      </c>
      <c r="S44" s="702">
        <v>942563</v>
      </c>
      <c r="T44" s="7">
        <f t="shared" si="8"/>
        <v>327672.15249999997</v>
      </c>
      <c r="U44" s="702">
        <v>648144</v>
      </c>
      <c r="V44" s="702">
        <v>294419</v>
      </c>
      <c r="W44" s="702">
        <v>4683</v>
      </c>
      <c r="X44" s="702">
        <v>0</v>
      </c>
      <c r="Y44" s="702">
        <v>0</v>
      </c>
      <c r="Z44" s="702">
        <v>0</v>
      </c>
      <c r="AA44" s="702">
        <v>1270235.1529999999</v>
      </c>
      <c r="AB44" s="702">
        <v>327672.15250000003</v>
      </c>
      <c r="AC44" s="702">
        <v>942563</v>
      </c>
      <c r="AD44" s="702">
        <v>0</v>
      </c>
      <c r="AE44" s="702">
        <v>0</v>
      </c>
      <c r="AF44" s="702">
        <v>0</v>
      </c>
      <c r="AG44" s="702">
        <v>942563</v>
      </c>
      <c r="AH44" s="702">
        <v>0</v>
      </c>
      <c r="AI44" s="702">
        <v>0</v>
      </c>
      <c r="AJ44" s="698" t="s">
        <v>900</v>
      </c>
      <c r="AK44" s="698" t="s">
        <v>907</v>
      </c>
      <c r="AL44" s="699" t="s">
        <v>1416</v>
      </c>
      <c r="AM44" s="698" t="s">
        <v>1417</v>
      </c>
      <c r="AN44" s="699" t="s">
        <v>24</v>
      </c>
      <c r="AO44" s="699">
        <v>327672.15250000003</v>
      </c>
      <c r="AP44" s="703">
        <f t="shared" si="9"/>
        <v>335.15469999999999</v>
      </c>
      <c r="AQ44" s="703">
        <f t="shared" si="4"/>
        <v>352.15469999999999</v>
      </c>
      <c r="AR44" s="697">
        <v>0</v>
      </c>
      <c r="AS44" s="697">
        <v>0</v>
      </c>
      <c r="AT44" s="697">
        <v>234</v>
      </c>
      <c r="AU44" s="697">
        <v>2</v>
      </c>
      <c r="AV44" s="697">
        <v>0</v>
      </c>
      <c r="AW44" s="697">
        <v>0</v>
      </c>
      <c r="AX44" s="697">
        <v>0</v>
      </c>
      <c r="AY44" s="697">
        <v>0</v>
      </c>
      <c r="AZ44" s="697">
        <v>0</v>
      </c>
      <c r="BA44" s="697">
        <v>0</v>
      </c>
      <c r="BB44" s="697">
        <v>10</v>
      </c>
      <c r="BC44" s="697">
        <v>7</v>
      </c>
      <c r="BD44" s="697">
        <v>0</v>
      </c>
      <c r="BE44" s="697">
        <v>0</v>
      </c>
      <c r="BF44" s="697">
        <v>0</v>
      </c>
      <c r="BG44" s="697">
        <v>0</v>
      </c>
      <c r="BH44" s="697">
        <v>0</v>
      </c>
      <c r="BI44" s="697">
        <v>0</v>
      </c>
      <c r="BJ44" s="697">
        <v>0</v>
      </c>
      <c r="BK44" s="697">
        <v>0</v>
      </c>
      <c r="BL44" s="697">
        <v>12000</v>
      </c>
      <c r="BM44" s="697">
        <v>0</v>
      </c>
      <c r="BN44" s="697">
        <v>0</v>
      </c>
      <c r="BO44" s="697">
        <v>871.54700000000003</v>
      </c>
    </row>
    <row r="45" spans="1:83" ht="15" customHeight="1" x14ac:dyDescent="0.2">
      <c r="A45" s="697">
        <v>552</v>
      </c>
      <c r="B45" s="697"/>
      <c r="C45" s="698" t="s">
        <v>26</v>
      </c>
      <c r="D45" s="699" t="s">
        <v>26</v>
      </c>
      <c r="E45" s="700">
        <f t="shared" si="5"/>
        <v>297235.71799999999</v>
      </c>
      <c r="F45" s="700">
        <v>0</v>
      </c>
      <c r="G45" s="701">
        <f t="shared" si="7"/>
        <v>297235.71799999999</v>
      </c>
      <c r="H45" s="698" t="s">
        <v>10</v>
      </c>
      <c r="I45" s="699" t="s">
        <v>1416</v>
      </c>
      <c r="J45" s="699" t="s">
        <v>10</v>
      </c>
      <c r="K45" s="699" t="s">
        <v>28</v>
      </c>
      <c r="L45" s="699" t="s">
        <v>10</v>
      </c>
      <c r="M45" s="702">
        <v>0</v>
      </c>
      <c r="N45" s="702">
        <v>0.88600000000000001</v>
      </c>
      <c r="O45" s="702">
        <v>0.90900000000000003</v>
      </c>
      <c r="P45" s="702">
        <v>0.90300000000000002</v>
      </c>
      <c r="Q45" s="702">
        <v>0.90500000000000003</v>
      </c>
      <c r="R45" s="702">
        <v>988224</v>
      </c>
      <c r="S45" s="702">
        <v>853145</v>
      </c>
      <c r="T45" s="7">
        <f t="shared" si="8"/>
        <v>293996.64</v>
      </c>
      <c r="U45" s="702">
        <v>497632</v>
      </c>
      <c r="V45" s="702">
        <v>355513</v>
      </c>
      <c r="W45" s="702">
        <v>5500</v>
      </c>
      <c r="X45" s="702">
        <v>0</v>
      </c>
      <c r="Y45" s="702">
        <v>0</v>
      </c>
      <c r="Z45" s="702">
        <v>0</v>
      </c>
      <c r="AA45" s="702">
        <v>1147141.6399999999</v>
      </c>
      <c r="AB45" s="702">
        <v>293996.64</v>
      </c>
      <c r="AC45" s="702">
        <v>853145</v>
      </c>
      <c r="AD45" s="702">
        <v>0</v>
      </c>
      <c r="AE45" s="702">
        <v>0</v>
      </c>
      <c r="AF45" s="702">
        <v>0</v>
      </c>
      <c r="AG45" s="702">
        <v>853145</v>
      </c>
      <c r="AH45" s="702">
        <v>0</v>
      </c>
      <c r="AI45" s="702">
        <v>0</v>
      </c>
      <c r="AJ45" s="698" t="s">
        <v>900</v>
      </c>
      <c r="AK45" s="698" t="s">
        <v>907</v>
      </c>
      <c r="AL45" s="699" t="s">
        <v>1416</v>
      </c>
      <c r="AM45" s="698" t="s">
        <v>10</v>
      </c>
      <c r="AN45" s="699" t="s">
        <v>26</v>
      </c>
      <c r="AO45" s="699">
        <v>293996.64</v>
      </c>
      <c r="AP45" s="703">
        <f t="shared" si="9"/>
        <v>252.50659999999999</v>
      </c>
      <c r="AQ45" s="703">
        <f t="shared" si="4"/>
        <v>260.50659999999999</v>
      </c>
      <c r="AR45" s="697">
        <v>0</v>
      </c>
      <c r="AS45" s="697">
        <v>0</v>
      </c>
      <c r="AT45" s="697">
        <v>186</v>
      </c>
      <c r="AU45" s="697">
        <v>2</v>
      </c>
      <c r="AV45" s="697">
        <v>0</v>
      </c>
      <c r="AW45" s="697">
        <v>0</v>
      </c>
      <c r="AX45" s="697">
        <v>0</v>
      </c>
      <c r="AY45" s="697">
        <v>0</v>
      </c>
      <c r="AZ45" s="697">
        <v>0</v>
      </c>
      <c r="BA45" s="697">
        <v>0</v>
      </c>
      <c r="BB45" s="697">
        <v>8</v>
      </c>
      <c r="BC45" s="697">
        <v>0</v>
      </c>
      <c r="BD45" s="697">
        <v>0</v>
      </c>
      <c r="BE45" s="697">
        <v>0</v>
      </c>
      <c r="BF45" s="697">
        <v>0</v>
      </c>
      <c r="BG45" s="697">
        <v>0</v>
      </c>
      <c r="BH45" s="697">
        <v>0</v>
      </c>
      <c r="BI45" s="697">
        <v>0</v>
      </c>
      <c r="BJ45" s="697">
        <v>0</v>
      </c>
      <c r="BK45" s="697">
        <v>0</v>
      </c>
      <c r="BL45" s="697">
        <v>0</v>
      </c>
      <c r="BM45" s="697">
        <v>0</v>
      </c>
      <c r="BN45" s="697">
        <v>0</v>
      </c>
      <c r="BO45" s="697">
        <v>645.06600000000003</v>
      </c>
    </row>
    <row r="46" spans="1:83" ht="15" customHeight="1" x14ac:dyDescent="0.2">
      <c r="A46" s="697">
        <v>549</v>
      </c>
      <c r="B46" s="697" t="s">
        <v>1412</v>
      </c>
      <c r="C46" s="698" t="s">
        <v>29</v>
      </c>
      <c r="D46" s="699" t="s">
        <v>29</v>
      </c>
      <c r="E46" s="700">
        <f t="shared" si="5"/>
        <v>362238.44799999997</v>
      </c>
      <c r="F46" s="700">
        <v>392500</v>
      </c>
      <c r="G46" s="701">
        <f t="shared" si="7"/>
        <v>754738.44799999997</v>
      </c>
      <c r="H46" s="698" t="s">
        <v>10</v>
      </c>
      <c r="I46" s="699" t="s">
        <v>1416</v>
      </c>
      <c r="J46" s="699" t="s">
        <v>1412</v>
      </c>
      <c r="K46" s="699" t="s">
        <v>32</v>
      </c>
      <c r="L46" s="699" t="s">
        <v>1412</v>
      </c>
      <c r="M46" s="702">
        <v>120</v>
      </c>
      <c r="N46" s="702">
        <v>0.878</v>
      </c>
      <c r="O46" s="702">
        <v>0.878</v>
      </c>
      <c r="P46" s="702">
        <v>0.90300000000000002</v>
      </c>
      <c r="Q46" s="702">
        <v>0.90500000000000003</v>
      </c>
      <c r="R46" s="702">
        <v>1134980</v>
      </c>
      <c r="S46" s="702">
        <v>1039720</v>
      </c>
      <c r="T46" s="7">
        <f t="shared" si="8"/>
        <v>337656.55</v>
      </c>
      <c r="U46" s="702">
        <v>631556</v>
      </c>
      <c r="V46" s="702">
        <v>408164</v>
      </c>
      <c r="W46" s="702">
        <v>4800</v>
      </c>
      <c r="X46" s="702">
        <v>730156.55</v>
      </c>
      <c r="Y46" s="702">
        <v>337656.55</v>
      </c>
      <c r="Z46" s="702">
        <v>392500</v>
      </c>
      <c r="AA46" s="702">
        <v>647220</v>
      </c>
      <c r="AB46" s="702">
        <v>0</v>
      </c>
      <c r="AC46" s="702">
        <v>647220</v>
      </c>
      <c r="AD46" s="702">
        <v>392500</v>
      </c>
      <c r="AE46" s="702">
        <v>0</v>
      </c>
      <c r="AF46" s="702">
        <v>647220</v>
      </c>
      <c r="AG46" s="702">
        <v>0</v>
      </c>
      <c r="AH46" s="702">
        <v>1026000</v>
      </c>
      <c r="AI46" s="702">
        <v>475000</v>
      </c>
      <c r="AJ46" s="698" t="s">
        <v>914</v>
      </c>
      <c r="AK46" s="698" t="s">
        <v>920</v>
      </c>
      <c r="AL46" s="699" t="s">
        <v>1416</v>
      </c>
      <c r="AM46" s="698" t="s">
        <v>10</v>
      </c>
      <c r="AN46" s="699" t="s">
        <v>29</v>
      </c>
      <c r="AO46" s="699">
        <v>730156.55</v>
      </c>
      <c r="AP46" s="703">
        <f t="shared" si="9"/>
        <v>544.82719999999995</v>
      </c>
      <c r="AQ46" s="703">
        <f t="shared" si="4"/>
        <v>590.82719999999995</v>
      </c>
      <c r="AR46" s="697">
        <v>273</v>
      </c>
      <c r="AS46" s="697">
        <v>475</v>
      </c>
      <c r="AT46" s="697">
        <v>119</v>
      </c>
      <c r="AU46" s="697">
        <v>0</v>
      </c>
      <c r="AV46" s="697">
        <v>0</v>
      </c>
      <c r="AW46" s="697">
        <v>0</v>
      </c>
      <c r="AX46" s="697">
        <v>0</v>
      </c>
      <c r="AY46" s="697">
        <v>0</v>
      </c>
      <c r="AZ46" s="697">
        <v>8</v>
      </c>
      <c r="BA46" s="697">
        <v>23</v>
      </c>
      <c r="BB46" s="697">
        <v>46</v>
      </c>
      <c r="BC46" s="697">
        <v>0</v>
      </c>
      <c r="BD46" s="697">
        <v>19</v>
      </c>
      <c r="BE46" s="697">
        <v>0</v>
      </c>
      <c r="BF46" s="697">
        <v>0</v>
      </c>
      <c r="BG46" s="697">
        <v>0</v>
      </c>
      <c r="BH46" s="697">
        <v>40</v>
      </c>
      <c r="BI46" s="697">
        <v>1</v>
      </c>
      <c r="BJ46" s="697">
        <v>0</v>
      </c>
      <c r="BK46" s="697">
        <v>0</v>
      </c>
      <c r="BL46" s="697">
        <v>0</v>
      </c>
      <c r="BM46" s="697">
        <v>0</v>
      </c>
      <c r="BN46" s="697">
        <v>0</v>
      </c>
      <c r="BO46" s="697">
        <v>858.27200000000005</v>
      </c>
    </row>
    <row r="47" spans="1:83" ht="15" customHeight="1" x14ac:dyDescent="0.2">
      <c r="A47" s="697">
        <v>2315</v>
      </c>
      <c r="B47" s="697"/>
      <c r="C47" s="698" t="s">
        <v>34</v>
      </c>
      <c r="D47" s="699" t="s">
        <v>34</v>
      </c>
      <c r="E47" s="700">
        <f t="shared" si="5"/>
        <v>82122.660900000003</v>
      </c>
      <c r="F47" s="700">
        <v>525332</v>
      </c>
      <c r="G47" s="701">
        <f t="shared" si="7"/>
        <v>607454.66090000002</v>
      </c>
      <c r="H47" s="698" t="s">
        <v>10</v>
      </c>
      <c r="I47" s="699" t="s">
        <v>1512</v>
      </c>
      <c r="J47" s="699" t="s">
        <v>10</v>
      </c>
      <c r="K47" s="699" t="s">
        <v>36</v>
      </c>
      <c r="L47" s="699" t="s">
        <v>1412</v>
      </c>
      <c r="M47" s="702">
        <v>23</v>
      </c>
      <c r="N47" s="702">
        <v>0.79600000000000004</v>
      </c>
      <c r="O47" s="702">
        <v>0.77700000000000002</v>
      </c>
      <c r="P47" s="702">
        <v>0.80800000000000005</v>
      </c>
      <c r="Q47" s="702">
        <v>1</v>
      </c>
      <c r="R47" s="702">
        <v>0</v>
      </c>
      <c r="S47" s="702">
        <v>423531</v>
      </c>
      <c r="T47" s="7">
        <f t="shared" si="8"/>
        <v>82122.660900000003</v>
      </c>
      <c r="U47" s="702">
        <v>320402</v>
      </c>
      <c r="V47" s="702">
        <v>103129</v>
      </c>
      <c r="W47" s="702">
        <v>1487</v>
      </c>
      <c r="X47" s="702">
        <v>607454.66090000002</v>
      </c>
      <c r="Y47" s="702">
        <v>82122.660900000003</v>
      </c>
      <c r="Z47" s="702">
        <v>525332</v>
      </c>
      <c r="AA47" s="702">
        <v>-101801</v>
      </c>
      <c r="AB47" s="702">
        <v>0</v>
      </c>
      <c r="AC47" s="702">
        <v>-101801</v>
      </c>
      <c r="AD47" s="702">
        <v>0</v>
      </c>
      <c r="AE47" s="702">
        <v>525332</v>
      </c>
      <c r="AF47" s="702">
        <v>0</v>
      </c>
      <c r="AG47" s="702">
        <v>-101801</v>
      </c>
      <c r="AH47" s="702">
        <v>0</v>
      </c>
      <c r="AI47" s="702">
        <v>0</v>
      </c>
      <c r="AJ47" s="698">
        <v>4</v>
      </c>
      <c r="AK47" s="698" t="s">
        <v>899</v>
      </c>
      <c r="AL47" s="699" t="s">
        <v>1512</v>
      </c>
      <c r="AM47" s="698" t="s">
        <v>10</v>
      </c>
      <c r="AN47" s="699" t="s">
        <v>34</v>
      </c>
      <c r="AO47" s="699">
        <v>607454.66090000002</v>
      </c>
      <c r="AP47" s="703">
        <f t="shared" si="9"/>
        <v>33</v>
      </c>
      <c r="AQ47" s="703">
        <f t="shared" si="4"/>
        <v>35</v>
      </c>
      <c r="AR47" s="697">
        <v>0</v>
      </c>
      <c r="AS47" s="697">
        <v>0</v>
      </c>
      <c r="AT47" s="697">
        <v>20</v>
      </c>
      <c r="AU47" s="697">
        <v>9</v>
      </c>
      <c r="AV47" s="697">
        <v>0</v>
      </c>
      <c r="AW47" s="697">
        <v>0</v>
      </c>
      <c r="AX47" s="697">
        <v>0</v>
      </c>
      <c r="AY47" s="697">
        <v>4</v>
      </c>
      <c r="AZ47" s="697">
        <v>0</v>
      </c>
      <c r="BA47" s="697">
        <v>28</v>
      </c>
      <c r="BB47" s="697">
        <v>2</v>
      </c>
      <c r="BC47" s="697">
        <v>0</v>
      </c>
      <c r="BD47" s="697">
        <v>0</v>
      </c>
      <c r="BE47" s="697">
        <v>0</v>
      </c>
      <c r="BF47" s="697">
        <v>0</v>
      </c>
      <c r="BG47" s="697">
        <v>0</v>
      </c>
      <c r="BH47" s="697">
        <v>0</v>
      </c>
      <c r="BI47" s="697">
        <v>0</v>
      </c>
      <c r="BJ47" s="697">
        <v>0</v>
      </c>
      <c r="BK47" s="697">
        <v>0</v>
      </c>
      <c r="BL47" s="697">
        <v>0</v>
      </c>
      <c r="BM47" s="697">
        <v>0</v>
      </c>
      <c r="BN47" s="697">
        <v>0</v>
      </c>
      <c r="BO47" s="697">
        <v>0</v>
      </c>
    </row>
    <row r="48" spans="1:83" ht="15" customHeight="1" x14ac:dyDescent="0.2">
      <c r="A48" s="697">
        <v>582</v>
      </c>
      <c r="B48" s="697" t="s">
        <v>1412</v>
      </c>
      <c r="C48" s="698" t="s">
        <v>37</v>
      </c>
      <c r="D48" s="699" t="s">
        <v>37</v>
      </c>
      <c r="E48" s="700">
        <f t="shared" si="5"/>
        <v>303619.45120000001</v>
      </c>
      <c r="F48" s="700">
        <v>570437</v>
      </c>
      <c r="G48" s="701">
        <f t="shared" si="7"/>
        <v>874056.45120000001</v>
      </c>
      <c r="H48" s="698" t="s">
        <v>10</v>
      </c>
      <c r="I48" s="699" t="s">
        <v>1416</v>
      </c>
      <c r="J48" s="699" t="s">
        <v>1412</v>
      </c>
      <c r="K48" s="699" t="s">
        <v>40</v>
      </c>
      <c r="L48" s="699" t="s">
        <v>1412</v>
      </c>
      <c r="M48" s="702">
        <v>110</v>
      </c>
      <c r="N48" s="702">
        <v>0.81299999999999994</v>
      </c>
      <c r="O48" s="702">
        <v>0.90600000000000003</v>
      </c>
      <c r="P48" s="702">
        <v>0.90600000000000003</v>
      </c>
      <c r="Q48" s="702">
        <v>0.90500000000000003</v>
      </c>
      <c r="R48" s="702">
        <v>1132740</v>
      </c>
      <c r="S48" s="702">
        <v>871468</v>
      </c>
      <c r="T48" s="7">
        <f t="shared" si="8"/>
        <v>336990.14999999997</v>
      </c>
      <c r="U48" s="702">
        <v>609669</v>
      </c>
      <c r="V48" s="702">
        <v>261799</v>
      </c>
      <c r="W48" s="702">
        <v>3500</v>
      </c>
      <c r="X48" s="702">
        <v>907427.15</v>
      </c>
      <c r="Y48" s="702">
        <v>336990.15</v>
      </c>
      <c r="Z48" s="702">
        <v>570437</v>
      </c>
      <c r="AA48" s="702">
        <v>301031</v>
      </c>
      <c r="AB48" s="702">
        <v>0</v>
      </c>
      <c r="AC48" s="702">
        <v>301031</v>
      </c>
      <c r="AD48" s="702">
        <v>570437</v>
      </c>
      <c r="AE48" s="702">
        <v>0</v>
      </c>
      <c r="AF48" s="702">
        <v>301031</v>
      </c>
      <c r="AG48" s="702">
        <v>0</v>
      </c>
      <c r="AH48" s="702">
        <v>435000</v>
      </c>
      <c r="AI48" s="702">
        <v>367000</v>
      </c>
      <c r="AJ48" s="698">
        <v>4</v>
      </c>
      <c r="AK48" s="698" t="s">
        <v>921</v>
      </c>
      <c r="AL48" s="699" t="s">
        <v>1416</v>
      </c>
      <c r="AM48" s="698" t="s">
        <v>10</v>
      </c>
      <c r="AN48" s="699" t="s">
        <v>37</v>
      </c>
      <c r="AO48" s="699">
        <v>907427.15</v>
      </c>
      <c r="AP48" s="703">
        <f t="shared" si="9"/>
        <v>490.274</v>
      </c>
      <c r="AQ48" s="703">
        <f t="shared" si="4"/>
        <v>510.274</v>
      </c>
      <c r="AR48" s="697">
        <v>168</v>
      </c>
      <c r="AS48" s="697">
        <v>367</v>
      </c>
      <c r="AT48" s="697">
        <v>103</v>
      </c>
      <c r="AU48" s="697">
        <v>0</v>
      </c>
      <c r="AV48" s="697">
        <v>9</v>
      </c>
      <c r="AW48" s="697">
        <v>15</v>
      </c>
      <c r="AX48" s="697">
        <v>0</v>
      </c>
      <c r="AY48" s="697">
        <v>0</v>
      </c>
      <c r="AZ48" s="697">
        <v>14</v>
      </c>
      <c r="BA48" s="697">
        <v>5</v>
      </c>
      <c r="BB48" s="697">
        <v>20</v>
      </c>
      <c r="BC48" s="697">
        <v>0</v>
      </c>
      <c r="BD48" s="697">
        <v>92</v>
      </c>
      <c r="BE48" s="697">
        <v>0</v>
      </c>
      <c r="BF48" s="697">
        <v>0</v>
      </c>
      <c r="BG48" s="697">
        <v>0</v>
      </c>
      <c r="BH48" s="697">
        <v>94</v>
      </c>
      <c r="BI48" s="697">
        <v>0</v>
      </c>
      <c r="BJ48" s="697">
        <v>0</v>
      </c>
      <c r="BK48" s="697">
        <v>0</v>
      </c>
      <c r="BL48" s="697">
        <v>10274</v>
      </c>
      <c r="BM48" s="697">
        <v>0</v>
      </c>
      <c r="BN48" s="697">
        <v>0</v>
      </c>
      <c r="BO48" s="697">
        <v>0</v>
      </c>
    </row>
    <row r="49" spans="1:203" ht="15" customHeight="1" x14ac:dyDescent="0.2">
      <c r="A49" s="697">
        <v>584</v>
      </c>
      <c r="B49" s="697"/>
      <c r="C49" s="698" t="s">
        <v>669</v>
      </c>
      <c r="D49" s="699" t="s">
        <v>669</v>
      </c>
      <c r="E49" s="700">
        <f t="shared" si="5"/>
        <v>53042.702299999997</v>
      </c>
      <c r="F49" s="700">
        <v>0</v>
      </c>
      <c r="G49" s="701">
        <f t="shared" si="7"/>
        <v>53042.702299999997</v>
      </c>
      <c r="H49" s="698" t="s">
        <v>1417</v>
      </c>
      <c r="I49" s="699" t="s">
        <v>1512</v>
      </c>
      <c r="J49" s="699" t="s">
        <v>10</v>
      </c>
      <c r="K49" s="699" t="s">
        <v>1545</v>
      </c>
      <c r="L49" s="699" t="s">
        <v>10</v>
      </c>
      <c r="M49" s="702">
        <v>15</v>
      </c>
      <c r="N49" s="702">
        <v>0.59399999999999997</v>
      </c>
      <c r="O49" s="702">
        <v>0.57599999999999996</v>
      </c>
      <c r="P49" s="702">
        <v>0.501</v>
      </c>
      <c r="Q49" s="702">
        <v>0.62</v>
      </c>
      <c r="R49" s="702">
        <v>0</v>
      </c>
      <c r="S49" s="702">
        <v>273557</v>
      </c>
      <c r="T49" s="7">
        <f t="shared" si="8"/>
        <v>53042.702299999997</v>
      </c>
      <c r="U49" s="702">
        <v>229188</v>
      </c>
      <c r="V49" s="702">
        <v>44369</v>
      </c>
      <c r="W49" s="702">
        <v>1400</v>
      </c>
      <c r="X49" s="702">
        <v>0</v>
      </c>
      <c r="Y49" s="702">
        <v>0</v>
      </c>
      <c r="Z49" s="702">
        <v>0</v>
      </c>
      <c r="AA49" s="702">
        <v>326599.7023</v>
      </c>
      <c r="AB49" s="702">
        <v>53042.702299999997</v>
      </c>
      <c r="AC49" s="702">
        <v>273557</v>
      </c>
      <c r="AD49" s="702">
        <v>0</v>
      </c>
      <c r="AE49" s="702">
        <v>0</v>
      </c>
      <c r="AF49" s="702">
        <v>0</v>
      </c>
      <c r="AG49" s="702">
        <v>273557</v>
      </c>
      <c r="AH49" s="702">
        <v>0</v>
      </c>
      <c r="AI49" s="702">
        <v>0</v>
      </c>
      <c r="AJ49" s="698">
        <v>4</v>
      </c>
      <c r="AK49" s="698" t="s">
        <v>899</v>
      </c>
      <c r="AL49" s="699" t="s">
        <v>1512</v>
      </c>
      <c r="AM49" s="698" t="s">
        <v>1417</v>
      </c>
      <c r="AN49" s="699" t="s">
        <v>669</v>
      </c>
      <c r="AO49" s="699">
        <v>53042.702299999997</v>
      </c>
      <c r="AP49" s="703">
        <f t="shared" si="9"/>
        <v>26</v>
      </c>
      <c r="AQ49" s="703">
        <f t="shared" si="4"/>
        <v>28</v>
      </c>
      <c r="AR49" s="697">
        <v>0</v>
      </c>
      <c r="AS49" s="697">
        <v>0</v>
      </c>
      <c r="AT49" s="697">
        <v>11</v>
      </c>
      <c r="AU49" s="697">
        <v>11</v>
      </c>
      <c r="AV49" s="697">
        <v>0</v>
      </c>
      <c r="AW49" s="697">
        <v>0</v>
      </c>
      <c r="AX49" s="697">
        <v>0</v>
      </c>
      <c r="AY49" s="697">
        <v>4</v>
      </c>
      <c r="AZ49" s="697">
        <v>0</v>
      </c>
      <c r="BA49" s="697">
        <v>5</v>
      </c>
      <c r="BB49" s="697">
        <v>2</v>
      </c>
      <c r="BC49" s="697">
        <v>0</v>
      </c>
      <c r="BD49" s="697">
        <v>0</v>
      </c>
      <c r="BE49" s="697">
        <v>0</v>
      </c>
      <c r="BF49" s="697">
        <v>0</v>
      </c>
      <c r="BG49" s="697">
        <v>0</v>
      </c>
      <c r="BH49" s="697">
        <v>0</v>
      </c>
      <c r="BI49" s="697">
        <v>0</v>
      </c>
      <c r="BJ49" s="697">
        <v>0</v>
      </c>
      <c r="BK49" s="697">
        <v>0</v>
      </c>
      <c r="BL49" s="697">
        <v>0</v>
      </c>
      <c r="BM49" s="697">
        <v>0</v>
      </c>
      <c r="BN49" s="697">
        <v>0</v>
      </c>
      <c r="BO49" s="697">
        <v>0</v>
      </c>
    </row>
    <row r="50" spans="1:203" ht="15" customHeight="1" x14ac:dyDescent="0.2">
      <c r="A50" s="697">
        <v>8287</v>
      </c>
      <c r="B50" s="697"/>
      <c r="C50" s="698" t="s">
        <v>43</v>
      </c>
      <c r="D50" s="699" t="s">
        <v>43</v>
      </c>
      <c r="E50" s="700">
        <f t="shared" si="5"/>
        <v>148151.17720000001</v>
      </c>
      <c r="F50" s="700">
        <v>172758</v>
      </c>
      <c r="G50" s="701">
        <f t="shared" si="7"/>
        <v>320909.17720000003</v>
      </c>
      <c r="H50" s="698" t="s">
        <v>10</v>
      </c>
      <c r="I50" s="699" t="s">
        <v>1416</v>
      </c>
      <c r="J50" s="699" t="s">
        <v>1417</v>
      </c>
      <c r="K50" s="699" t="s">
        <v>45</v>
      </c>
      <c r="L50" s="699" t="s">
        <v>1412</v>
      </c>
      <c r="M50" s="702">
        <v>66</v>
      </c>
      <c r="N50" s="702">
        <v>0.77800000000000002</v>
      </c>
      <c r="O50" s="702">
        <v>0.77100000000000002</v>
      </c>
      <c r="P50" s="702">
        <v>0.71</v>
      </c>
      <c r="Q50" s="702">
        <v>0.745</v>
      </c>
      <c r="R50" s="702">
        <v>537158</v>
      </c>
      <c r="S50" s="702">
        <v>425233</v>
      </c>
      <c r="T50" s="7">
        <f t="shared" si="8"/>
        <v>159804.505</v>
      </c>
      <c r="U50" s="702">
        <v>302495</v>
      </c>
      <c r="V50" s="702">
        <v>122738</v>
      </c>
      <c r="W50" s="702">
        <v>2275</v>
      </c>
      <c r="X50" s="702">
        <v>332562.505</v>
      </c>
      <c r="Y50" s="702">
        <v>159804.505</v>
      </c>
      <c r="Z50" s="702">
        <v>172758</v>
      </c>
      <c r="AA50" s="702">
        <v>252475</v>
      </c>
      <c r="AB50" s="702">
        <v>0</v>
      </c>
      <c r="AC50" s="702">
        <v>252475</v>
      </c>
      <c r="AD50" s="702">
        <v>0</v>
      </c>
      <c r="AE50" s="702">
        <v>172758</v>
      </c>
      <c r="AF50" s="702">
        <v>0</v>
      </c>
      <c r="AG50" s="702">
        <v>252475</v>
      </c>
      <c r="AH50" s="702">
        <v>0</v>
      </c>
      <c r="AI50" s="702">
        <v>0</v>
      </c>
      <c r="AJ50" s="698" t="s">
        <v>900</v>
      </c>
      <c r="AK50" s="698" t="s">
        <v>907</v>
      </c>
      <c r="AL50" s="699" t="s">
        <v>1416</v>
      </c>
      <c r="AM50" s="698" t="s">
        <v>10</v>
      </c>
      <c r="AN50" s="699" t="s">
        <v>43</v>
      </c>
      <c r="AO50" s="699">
        <v>332562.505</v>
      </c>
      <c r="AP50" s="703">
        <f t="shared" si="9"/>
        <v>273.56049999999999</v>
      </c>
      <c r="AQ50" s="703">
        <f t="shared" si="4"/>
        <v>330.56049999999999</v>
      </c>
      <c r="AR50" s="697">
        <v>147</v>
      </c>
      <c r="AS50" s="697">
        <v>0</v>
      </c>
      <c r="AT50" s="697">
        <v>35</v>
      </c>
      <c r="AU50" s="697">
        <v>4</v>
      </c>
      <c r="AV50" s="697">
        <v>0</v>
      </c>
      <c r="AW50" s="697">
        <v>0</v>
      </c>
      <c r="AX50" s="697">
        <v>0</v>
      </c>
      <c r="AY50" s="697">
        <v>0</v>
      </c>
      <c r="AZ50" s="697">
        <v>0</v>
      </c>
      <c r="BA50" s="697">
        <v>0</v>
      </c>
      <c r="BB50" s="697">
        <v>57</v>
      </c>
      <c r="BC50" s="697">
        <v>0</v>
      </c>
      <c r="BD50" s="697">
        <v>11</v>
      </c>
      <c r="BE50" s="697">
        <v>1</v>
      </c>
      <c r="BF50" s="697">
        <v>0</v>
      </c>
      <c r="BG50" s="697">
        <v>0</v>
      </c>
      <c r="BH50" s="697">
        <v>3</v>
      </c>
      <c r="BI50" s="697">
        <v>0</v>
      </c>
      <c r="BJ50" s="697">
        <v>0</v>
      </c>
      <c r="BK50" s="697">
        <v>0</v>
      </c>
      <c r="BL50" s="697">
        <v>0</v>
      </c>
      <c r="BM50" s="697">
        <v>37550</v>
      </c>
      <c r="BN50" s="697">
        <v>0</v>
      </c>
      <c r="BO50" s="697">
        <v>360.10500000000002</v>
      </c>
    </row>
    <row r="51" spans="1:203" ht="15" customHeight="1" x14ac:dyDescent="0.2">
      <c r="A51" s="697">
        <v>735</v>
      </c>
      <c r="B51" s="697" t="s">
        <v>1412</v>
      </c>
      <c r="C51" s="698" t="s">
        <v>46</v>
      </c>
      <c r="D51" s="699" t="s">
        <v>46</v>
      </c>
      <c r="E51" s="700">
        <f t="shared" si="5"/>
        <v>486219.02679999999</v>
      </c>
      <c r="F51" s="700">
        <v>0</v>
      </c>
      <c r="G51" s="701">
        <f t="shared" si="7"/>
        <v>486219.02679999999</v>
      </c>
      <c r="H51" s="698" t="s">
        <v>1417</v>
      </c>
      <c r="I51" s="699" t="s">
        <v>1416</v>
      </c>
      <c r="J51" s="699" t="s">
        <v>1417</v>
      </c>
      <c r="K51" s="699" t="s">
        <v>1552</v>
      </c>
      <c r="L51" s="699" t="s">
        <v>10</v>
      </c>
      <c r="M51" s="702">
        <v>0</v>
      </c>
      <c r="N51" s="702">
        <v>0.91400000000000003</v>
      </c>
      <c r="O51" s="702">
        <v>0.92400000000000004</v>
      </c>
      <c r="P51" s="702">
        <v>0.89900000000000002</v>
      </c>
      <c r="Q51" s="702">
        <v>0.91</v>
      </c>
      <c r="R51" s="702">
        <v>1461040</v>
      </c>
      <c r="S51" s="702">
        <v>1395577</v>
      </c>
      <c r="T51" s="7">
        <f t="shared" si="8"/>
        <v>434659.39999999997</v>
      </c>
      <c r="U51" s="702">
        <v>1062072</v>
      </c>
      <c r="V51" s="702">
        <v>333505</v>
      </c>
      <c r="W51" s="702">
        <v>7800</v>
      </c>
      <c r="X51" s="702">
        <v>0</v>
      </c>
      <c r="Y51" s="702">
        <v>0</v>
      </c>
      <c r="Z51" s="702">
        <v>0</v>
      </c>
      <c r="AA51" s="702">
        <v>1830236.4</v>
      </c>
      <c r="AB51" s="702">
        <v>434659.4</v>
      </c>
      <c r="AC51" s="702">
        <v>1395577</v>
      </c>
      <c r="AD51" s="702">
        <v>0</v>
      </c>
      <c r="AE51" s="702">
        <v>0</v>
      </c>
      <c r="AF51" s="702">
        <v>0</v>
      </c>
      <c r="AG51" s="702">
        <v>1395577</v>
      </c>
      <c r="AH51" s="702">
        <v>0</v>
      </c>
      <c r="AI51" s="702">
        <v>0</v>
      </c>
      <c r="AJ51" s="698" t="s">
        <v>900</v>
      </c>
      <c r="AK51" s="698" t="s">
        <v>907</v>
      </c>
      <c r="AL51" s="699" t="s">
        <v>1416</v>
      </c>
      <c r="AM51" s="698" t="s">
        <v>1417</v>
      </c>
      <c r="AN51" s="699" t="s">
        <v>46</v>
      </c>
      <c r="AO51" s="699">
        <v>434659.4</v>
      </c>
      <c r="AP51" s="703">
        <f t="shared" si="9"/>
        <v>555.72</v>
      </c>
      <c r="AQ51" s="703">
        <f t="shared" si="4"/>
        <v>588.72</v>
      </c>
      <c r="AR51" s="697">
        <v>0</v>
      </c>
      <c r="AS51" s="697">
        <v>0</v>
      </c>
      <c r="AT51" s="697">
        <v>469</v>
      </c>
      <c r="AU51" s="697">
        <v>0</v>
      </c>
      <c r="AV51" s="697">
        <v>0</v>
      </c>
      <c r="AW51" s="697">
        <v>0</v>
      </c>
      <c r="AX51" s="697">
        <v>0</v>
      </c>
      <c r="AY51" s="697">
        <v>0</v>
      </c>
      <c r="AZ51" s="697">
        <v>0</v>
      </c>
      <c r="BA51" s="697">
        <v>0</v>
      </c>
      <c r="BB51" s="697">
        <v>33</v>
      </c>
      <c r="BC51" s="697">
        <v>0</v>
      </c>
      <c r="BD51" s="697">
        <v>0</v>
      </c>
      <c r="BE51" s="697">
        <v>0</v>
      </c>
      <c r="BF51" s="697">
        <v>0</v>
      </c>
      <c r="BG51" s="697">
        <v>0</v>
      </c>
      <c r="BH51" s="697">
        <v>0</v>
      </c>
      <c r="BI51" s="697">
        <v>0</v>
      </c>
      <c r="BJ51" s="697">
        <v>0</v>
      </c>
      <c r="BK51" s="697">
        <v>0</v>
      </c>
      <c r="BL51" s="697">
        <v>0</v>
      </c>
      <c r="BM51" s="697">
        <v>0</v>
      </c>
      <c r="BN51" s="697">
        <v>0</v>
      </c>
      <c r="BO51" s="697">
        <v>867.2</v>
      </c>
    </row>
    <row r="52" spans="1:203" ht="15" customHeight="1" x14ac:dyDescent="0.2">
      <c r="A52" s="697">
        <v>8158</v>
      </c>
      <c r="B52" s="697"/>
      <c r="C52" s="698" t="s">
        <v>48</v>
      </c>
      <c r="D52" s="699" t="s">
        <v>48</v>
      </c>
      <c r="E52" s="700">
        <f t="shared" si="5"/>
        <v>232880.31519999998</v>
      </c>
      <c r="F52" s="700">
        <v>0</v>
      </c>
      <c r="G52" s="701">
        <f t="shared" si="7"/>
        <v>232880.31519999998</v>
      </c>
      <c r="H52" s="698" t="s">
        <v>10</v>
      </c>
      <c r="I52" s="699" t="s">
        <v>1416</v>
      </c>
      <c r="J52" s="699" t="s">
        <v>1417</v>
      </c>
      <c r="K52" s="699" t="s">
        <v>1552</v>
      </c>
      <c r="L52" s="699" t="s">
        <v>10</v>
      </c>
      <c r="M52" s="702">
        <v>105</v>
      </c>
      <c r="N52" s="702">
        <v>0.82599999999999996</v>
      </c>
      <c r="O52" s="702">
        <v>0.84499999999999997</v>
      </c>
      <c r="P52" s="702">
        <v>0.85599999999999998</v>
      </c>
      <c r="Q52" s="702">
        <v>0.82199999999999995</v>
      </c>
      <c r="R52" s="702">
        <v>711794</v>
      </c>
      <c r="S52" s="702">
        <v>668428</v>
      </c>
      <c r="T52" s="7">
        <f t="shared" si="8"/>
        <v>211758.715</v>
      </c>
      <c r="U52" s="702">
        <v>435467</v>
      </c>
      <c r="V52" s="702">
        <v>232961</v>
      </c>
      <c r="W52" s="702">
        <v>3850</v>
      </c>
      <c r="X52" s="702">
        <v>0</v>
      </c>
      <c r="Y52" s="702">
        <v>0</v>
      </c>
      <c r="Z52" s="702">
        <v>0</v>
      </c>
      <c r="AA52" s="702">
        <v>880186.71499999997</v>
      </c>
      <c r="AB52" s="702">
        <v>211758.715</v>
      </c>
      <c r="AC52" s="702">
        <v>668428</v>
      </c>
      <c r="AD52" s="702">
        <v>0</v>
      </c>
      <c r="AE52" s="702">
        <v>0</v>
      </c>
      <c r="AF52" s="702">
        <v>0</v>
      </c>
      <c r="AG52" s="702">
        <v>668428</v>
      </c>
      <c r="AH52" s="702">
        <v>0</v>
      </c>
      <c r="AI52" s="702">
        <v>0</v>
      </c>
      <c r="AJ52" s="698" t="s">
        <v>900</v>
      </c>
      <c r="AK52" s="698" t="s">
        <v>907</v>
      </c>
      <c r="AL52" s="699" t="s">
        <v>1416</v>
      </c>
      <c r="AM52" s="698" t="s">
        <v>10</v>
      </c>
      <c r="AN52" s="699" t="s">
        <v>48</v>
      </c>
      <c r="AO52" s="699">
        <v>211758.715</v>
      </c>
      <c r="AP52" s="703">
        <f t="shared" si="9"/>
        <v>226.1508</v>
      </c>
      <c r="AQ52" s="703">
        <f t="shared" si="4"/>
        <v>243.1508</v>
      </c>
      <c r="AR52" s="697">
        <v>0</v>
      </c>
      <c r="AS52" s="697">
        <v>0</v>
      </c>
      <c r="AT52" s="697">
        <v>166</v>
      </c>
      <c r="AU52" s="697">
        <v>6</v>
      </c>
      <c r="AV52" s="697">
        <v>0</v>
      </c>
      <c r="AW52" s="697">
        <v>0</v>
      </c>
      <c r="AX52" s="697">
        <v>2</v>
      </c>
      <c r="AY52" s="697">
        <v>0</v>
      </c>
      <c r="AZ52" s="697">
        <v>0</v>
      </c>
      <c r="BA52" s="697">
        <v>0</v>
      </c>
      <c r="BB52" s="697">
        <v>14</v>
      </c>
      <c r="BC52" s="697">
        <v>3</v>
      </c>
      <c r="BD52" s="697">
        <v>0</v>
      </c>
      <c r="BE52" s="697">
        <v>0</v>
      </c>
      <c r="BF52" s="697">
        <v>0</v>
      </c>
      <c r="BG52" s="697">
        <v>0</v>
      </c>
      <c r="BH52" s="697">
        <v>0</v>
      </c>
      <c r="BI52" s="697">
        <v>0</v>
      </c>
      <c r="BJ52" s="697">
        <v>0</v>
      </c>
      <c r="BK52" s="697">
        <v>0</v>
      </c>
      <c r="BL52" s="697">
        <v>0</v>
      </c>
      <c r="BM52" s="697">
        <v>0</v>
      </c>
      <c r="BN52" s="697">
        <v>0</v>
      </c>
      <c r="BO52" s="697">
        <v>521.50800000000004</v>
      </c>
    </row>
    <row r="53" spans="1:203" ht="15" customHeight="1" x14ac:dyDescent="0.2">
      <c r="A53" s="697">
        <v>8185</v>
      </c>
      <c r="B53" s="697"/>
      <c r="C53" s="698" t="s">
        <v>50</v>
      </c>
      <c r="D53" s="699" t="s">
        <v>50</v>
      </c>
      <c r="E53" s="700">
        <f t="shared" si="5"/>
        <v>350101.23719999997</v>
      </c>
      <c r="F53" s="700">
        <v>0</v>
      </c>
      <c r="G53" s="701">
        <f t="shared" si="7"/>
        <v>350101.23719999997</v>
      </c>
      <c r="H53" s="698" t="s">
        <v>10</v>
      </c>
      <c r="I53" s="699" t="s">
        <v>1416</v>
      </c>
      <c r="J53" s="699" t="s">
        <v>1417</v>
      </c>
      <c r="K53" s="699" t="s">
        <v>52</v>
      </c>
      <c r="L53" s="699" t="s">
        <v>10</v>
      </c>
      <c r="M53" s="702">
        <v>114</v>
      </c>
      <c r="N53" s="702">
        <v>0.65900000000000003</v>
      </c>
      <c r="O53" s="702">
        <v>0.65400000000000003</v>
      </c>
      <c r="P53" s="702">
        <v>0.86</v>
      </c>
      <c r="Q53" s="702">
        <v>0.83799999999999997</v>
      </c>
      <c r="R53" s="702">
        <v>1106360</v>
      </c>
      <c r="S53" s="702">
        <v>1004883</v>
      </c>
      <c r="T53" s="7">
        <f t="shared" si="8"/>
        <v>329142.09999999998</v>
      </c>
      <c r="U53" s="702">
        <v>715584</v>
      </c>
      <c r="V53" s="702">
        <v>289299</v>
      </c>
      <c r="W53" s="702">
        <v>5946</v>
      </c>
      <c r="X53" s="702">
        <v>0</v>
      </c>
      <c r="Y53" s="702">
        <v>0</v>
      </c>
      <c r="Z53" s="702">
        <v>0</v>
      </c>
      <c r="AA53" s="702">
        <v>1334025.1000000001</v>
      </c>
      <c r="AB53" s="702">
        <v>329142.09999999998</v>
      </c>
      <c r="AC53" s="702">
        <v>1004883</v>
      </c>
      <c r="AD53" s="702">
        <v>0</v>
      </c>
      <c r="AE53" s="702">
        <v>0</v>
      </c>
      <c r="AF53" s="702">
        <v>0</v>
      </c>
      <c r="AG53" s="702">
        <v>1004883</v>
      </c>
      <c r="AH53" s="702">
        <v>0</v>
      </c>
      <c r="AI53" s="702">
        <v>0</v>
      </c>
      <c r="AJ53" s="698">
        <v>4</v>
      </c>
      <c r="AK53" s="698" t="s">
        <v>917</v>
      </c>
      <c r="AL53" s="699" t="s">
        <v>1416</v>
      </c>
      <c r="AM53" s="698" t="s">
        <v>10</v>
      </c>
      <c r="AN53" s="699" t="s">
        <v>50</v>
      </c>
      <c r="AO53" s="699">
        <v>329142.09999999998</v>
      </c>
      <c r="AP53" s="703">
        <f t="shared" si="9"/>
        <v>316</v>
      </c>
      <c r="AQ53" s="703">
        <f t="shared" si="4"/>
        <v>367</v>
      </c>
      <c r="AR53" s="697">
        <v>0</v>
      </c>
      <c r="AS53" s="697">
        <v>0</v>
      </c>
      <c r="AT53" s="697">
        <v>295</v>
      </c>
      <c r="AU53" s="697">
        <v>3</v>
      </c>
      <c r="AV53" s="697">
        <v>0</v>
      </c>
      <c r="AW53" s="697">
        <v>0</v>
      </c>
      <c r="AX53" s="697">
        <v>18</v>
      </c>
      <c r="AY53" s="697">
        <v>0</v>
      </c>
      <c r="AZ53" s="697">
        <v>0</v>
      </c>
      <c r="BA53" s="697">
        <v>0</v>
      </c>
      <c r="BB53" s="697">
        <v>51</v>
      </c>
      <c r="BC53" s="697">
        <v>0</v>
      </c>
      <c r="BD53" s="697">
        <v>0</v>
      </c>
      <c r="BE53" s="697">
        <v>0</v>
      </c>
      <c r="BF53" s="697">
        <v>0</v>
      </c>
      <c r="BG53" s="697">
        <v>0</v>
      </c>
      <c r="BH53" s="697">
        <v>0</v>
      </c>
      <c r="BI53" s="697">
        <v>0</v>
      </c>
      <c r="BJ53" s="697">
        <v>0</v>
      </c>
      <c r="BK53" s="697">
        <v>0</v>
      </c>
      <c r="BL53" s="697">
        <v>0</v>
      </c>
      <c r="BM53" s="697">
        <v>0</v>
      </c>
      <c r="BN53" s="697">
        <v>0</v>
      </c>
      <c r="BO53" s="697">
        <v>0</v>
      </c>
    </row>
    <row r="54" spans="1:203" ht="15" customHeight="1" x14ac:dyDescent="0.2">
      <c r="A54" s="697">
        <v>914</v>
      </c>
      <c r="B54" s="697"/>
      <c r="C54" s="698" t="s">
        <v>53</v>
      </c>
      <c r="D54" s="699" t="s">
        <v>53</v>
      </c>
      <c r="E54" s="700" t="b">
        <f t="shared" si="5"/>
        <v>0</v>
      </c>
      <c r="F54" s="700">
        <v>411697</v>
      </c>
      <c r="G54" s="701">
        <f t="shared" si="7"/>
        <v>411697</v>
      </c>
      <c r="H54" s="698" t="s">
        <v>10</v>
      </c>
      <c r="I54" s="699" t="s">
        <v>1416</v>
      </c>
      <c r="J54" s="699" t="s">
        <v>1417</v>
      </c>
      <c r="K54" s="699" t="s">
        <v>54</v>
      </c>
      <c r="L54" s="699" t="s">
        <v>1412</v>
      </c>
      <c r="M54" s="702">
        <v>63</v>
      </c>
      <c r="N54" s="702">
        <v>0.74</v>
      </c>
      <c r="O54" s="702">
        <v>0.74299999999999999</v>
      </c>
      <c r="P54" s="702">
        <v>0.78300000000000003</v>
      </c>
      <c r="Q54" s="702">
        <v>0.83499999999999996</v>
      </c>
      <c r="R54" s="702">
        <v>0</v>
      </c>
      <c r="S54" s="702">
        <v>452535</v>
      </c>
      <c r="T54" s="7">
        <f t="shared" si="8"/>
        <v>157663.19399999999</v>
      </c>
      <c r="U54" s="702">
        <v>242442</v>
      </c>
      <c r="V54" s="702">
        <v>210093</v>
      </c>
      <c r="W54" s="702">
        <v>2500</v>
      </c>
      <c r="X54" s="702">
        <v>569360.19400000002</v>
      </c>
      <c r="Y54" s="702">
        <v>157663.19399999999</v>
      </c>
      <c r="Z54" s="702">
        <v>411697</v>
      </c>
      <c r="AA54" s="702">
        <v>40838</v>
      </c>
      <c r="AB54" s="702">
        <v>0</v>
      </c>
      <c r="AC54" s="702">
        <v>40838</v>
      </c>
      <c r="AD54" s="702">
        <v>0</v>
      </c>
      <c r="AE54" s="702">
        <v>411697</v>
      </c>
      <c r="AF54" s="702">
        <v>0</v>
      </c>
      <c r="AG54" s="702">
        <v>40838</v>
      </c>
      <c r="AH54" s="702">
        <v>0</v>
      </c>
      <c r="AI54" s="702">
        <v>0</v>
      </c>
      <c r="AJ54" s="698">
        <v>4</v>
      </c>
      <c r="AK54" s="698" t="s">
        <v>913</v>
      </c>
      <c r="AL54" s="699" t="s">
        <v>1512</v>
      </c>
      <c r="AM54" s="698" t="s">
        <v>10</v>
      </c>
      <c r="AN54" s="699" t="s">
        <v>53</v>
      </c>
      <c r="AO54" s="699">
        <v>569360.19400000002</v>
      </c>
      <c r="AP54" s="703">
        <f t="shared" si="9"/>
        <v>371</v>
      </c>
      <c r="AQ54" s="703">
        <f t="shared" si="4"/>
        <v>383</v>
      </c>
      <c r="AR54" s="697">
        <v>120</v>
      </c>
      <c r="AS54" s="697">
        <v>0</v>
      </c>
      <c r="AT54" s="697">
        <v>47</v>
      </c>
      <c r="AU54" s="697">
        <v>26</v>
      </c>
      <c r="AV54" s="697">
        <v>32</v>
      </c>
      <c r="AW54" s="697">
        <v>4</v>
      </c>
      <c r="AX54" s="697">
        <v>0</v>
      </c>
      <c r="AY54" s="697">
        <v>0</v>
      </c>
      <c r="AZ54" s="697">
        <v>6</v>
      </c>
      <c r="BA54" s="697">
        <v>0</v>
      </c>
      <c r="BB54" s="697">
        <v>9</v>
      </c>
      <c r="BC54" s="697">
        <v>3</v>
      </c>
      <c r="BD54" s="697">
        <v>35</v>
      </c>
      <c r="BE54" s="697">
        <v>0</v>
      </c>
      <c r="BF54" s="697">
        <v>0</v>
      </c>
      <c r="BG54" s="697">
        <v>0</v>
      </c>
      <c r="BH54" s="697">
        <v>105</v>
      </c>
      <c r="BI54" s="697">
        <v>0</v>
      </c>
      <c r="BJ54" s="697">
        <v>0</v>
      </c>
      <c r="BK54" s="697">
        <v>0</v>
      </c>
      <c r="BL54" s="697">
        <v>0</v>
      </c>
      <c r="BM54" s="697">
        <v>0</v>
      </c>
      <c r="BN54" s="697">
        <v>0</v>
      </c>
      <c r="BO54" s="697">
        <v>0</v>
      </c>
    </row>
    <row r="55" spans="1:203" ht="15" customHeight="1" x14ac:dyDescent="0.2">
      <c r="A55" s="697">
        <v>3937</v>
      </c>
      <c r="B55" s="697" t="s">
        <v>1412</v>
      </c>
      <c r="C55" s="698" t="s">
        <v>55</v>
      </c>
      <c r="D55" s="699" t="s">
        <v>55</v>
      </c>
      <c r="E55" s="700">
        <f t="shared" si="5"/>
        <v>241887.84879999998</v>
      </c>
      <c r="F55" s="700">
        <v>488909</v>
      </c>
      <c r="G55" s="701">
        <f t="shared" si="7"/>
        <v>730796.84880000004</v>
      </c>
      <c r="H55" s="698"/>
      <c r="I55" s="699" t="s">
        <v>1416</v>
      </c>
      <c r="J55" s="699" t="s">
        <v>1412</v>
      </c>
      <c r="K55" s="699" t="s">
        <v>58</v>
      </c>
      <c r="L55" s="699" t="s">
        <v>1412</v>
      </c>
      <c r="M55" s="702">
        <v>106</v>
      </c>
      <c r="N55" s="702">
        <v>0.73099999999999998</v>
      </c>
      <c r="O55" s="702">
        <v>0.748</v>
      </c>
      <c r="P55" s="702">
        <v>0.73299999999999998</v>
      </c>
      <c r="Q55" s="702">
        <v>0.84899999999999998</v>
      </c>
      <c r="R55" s="702">
        <v>929007</v>
      </c>
      <c r="S55" s="702">
        <v>694282</v>
      </c>
      <c r="T55" s="7">
        <f t="shared" si="8"/>
        <v>276379.58249999996</v>
      </c>
      <c r="U55" s="702">
        <v>452877</v>
      </c>
      <c r="V55" s="702">
        <v>241405</v>
      </c>
      <c r="W55" s="702">
        <v>5000</v>
      </c>
      <c r="X55" s="702">
        <v>765288.58250000002</v>
      </c>
      <c r="Y55" s="702">
        <v>276379.58250000002</v>
      </c>
      <c r="Z55" s="702">
        <v>488909</v>
      </c>
      <c r="AA55" s="702">
        <v>205373</v>
      </c>
      <c r="AB55" s="702">
        <v>0</v>
      </c>
      <c r="AC55" s="702">
        <v>205373</v>
      </c>
      <c r="AD55" s="702">
        <v>488909</v>
      </c>
      <c r="AE55" s="702">
        <v>0</v>
      </c>
      <c r="AF55" s="702">
        <v>205373</v>
      </c>
      <c r="AG55" s="702">
        <v>0</v>
      </c>
      <c r="AH55" s="702">
        <v>193000</v>
      </c>
      <c r="AI55" s="702">
        <v>181000</v>
      </c>
      <c r="AJ55" s="698" t="s">
        <v>900</v>
      </c>
      <c r="AK55" s="698" t="s">
        <v>922</v>
      </c>
      <c r="AL55" s="699" t="s">
        <v>1416</v>
      </c>
      <c r="AM55" s="698"/>
      <c r="AN55" s="699" t="s">
        <v>55</v>
      </c>
      <c r="AO55" s="699">
        <v>765288.58250000002</v>
      </c>
      <c r="AP55" s="703">
        <f t="shared" si="9"/>
        <v>605.47799399999997</v>
      </c>
      <c r="AQ55" s="703">
        <f t="shared" si="4"/>
        <v>723.47799399999997</v>
      </c>
      <c r="AR55" s="697">
        <v>121</v>
      </c>
      <c r="AS55" s="697">
        <v>181</v>
      </c>
      <c r="AT55" s="697">
        <v>81</v>
      </c>
      <c r="AU55" s="697">
        <v>6</v>
      </c>
      <c r="AV55" s="697">
        <v>202</v>
      </c>
      <c r="AW55" s="697">
        <v>7</v>
      </c>
      <c r="AX55" s="697">
        <v>0</v>
      </c>
      <c r="AY55" s="697">
        <v>0</v>
      </c>
      <c r="AZ55" s="697">
        <v>18</v>
      </c>
      <c r="BA55" s="697">
        <v>27</v>
      </c>
      <c r="BB55" s="697">
        <v>118</v>
      </c>
      <c r="BC55" s="697">
        <v>0</v>
      </c>
      <c r="BD55" s="697">
        <v>54</v>
      </c>
      <c r="BE55" s="697">
        <v>0</v>
      </c>
      <c r="BF55" s="697">
        <v>0</v>
      </c>
      <c r="BG55" s="697">
        <v>0</v>
      </c>
      <c r="BH55" s="697">
        <v>114</v>
      </c>
      <c r="BI55" s="697">
        <v>0</v>
      </c>
      <c r="BJ55" s="697">
        <v>0</v>
      </c>
      <c r="BK55" s="697">
        <v>0</v>
      </c>
      <c r="BL55" s="697">
        <v>0</v>
      </c>
      <c r="BM55" s="697">
        <v>0</v>
      </c>
      <c r="BN55" s="697">
        <v>0</v>
      </c>
      <c r="BO55" s="697">
        <v>94.779939999999996</v>
      </c>
    </row>
    <row r="56" spans="1:203" ht="15" customHeight="1" x14ac:dyDescent="0.2">
      <c r="A56" s="697">
        <v>4773</v>
      </c>
      <c r="B56" s="697" t="s">
        <v>1412</v>
      </c>
      <c r="C56" s="698" t="s">
        <v>59</v>
      </c>
      <c r="D56" s="699" t="s">
        <v>59</v>
      </c>
      <c r="E56" s="700">
        <f t="shared" si="5"/>
        <v>338518.67920000001</v>
      </c>
      <c r="F56" s="700">
        <v>0</v>
      </c>
      <c r="G56" s="701">
        <f t="shared" si="7"/>
        <v>338518.67920000001</v>
      </c>
      <c r="H56" s="698" t="s">
        <v>1417</v>
      </c>
      <c r="I56" s="699" t="s">
        <v>1416</v>
      </c>
      <c r="J56" s="699" t="s">
        <v>1412</v>
      </c>
      <c r="K56" s="699" t="s">
        <v>61</v>
      </c>
      <c r="L56" s="699" t="s">
        <v>10</v>
      </c>
      <c r="M56" s="702">
        <v>125</v>
      </c>
      <c r="N56" s="702">
        <v>0.88100000000000001</v>
      </c>
      <c r="O56" s="702">
        <v>0.89100000000000001</v>
      </c>
      <c r="P56" s="702">
        <v>0.92500000000000004</v>
      </c>
      <c r="Q56" s="702">
        <v>0.95199999999999996</v>
      </c>
      <c r="R56" s="702">
        <v>1011912</v>
      </c>
      <c r="S56" s="702">
        <v>971638</v>
      </c>
      <c r="T56" s="7">
        <f t="shared" si="8"/>
        <v>301043.82</v>
      </c>
      <c r="U56" s="702">
        <v>541264</v>
      </c>
      <c r="V56" s="702">
        <v>430374</v>
      </c>
      <c r="W56" s="702">
        <v>5075</v>
      </c>
      <c r="X56" s="702">
        <v>0</v>
      </c>
      <c r="Y56" s="702">
        <v>0</v>
      </c>
      <c r="Z56" s="702">
        <v>0</v>
      </c>
      <c r="AA56" s="702">
        <v>1272681.82</v>
      </c>
      <c r="AB56" s="702">
        <v>301043.82</v>
      </c>
      <c r="AC56" s="702">
        <v>971638</v>
      </c>
      <c r="AD56" s="702">
        <v>0</v>
      </c>
      <c r="AE56" s="702">
        <v>0</v>
      </c>
      <c r="AF56" s="702">
        <v>971638</v>
      </c>
      <c r="AG56" s="702">
        <v>0</v>
      </c>
      <c r="AH56" s="702">
        <v>634000</v>
      </c>
      <c r="AI56" s="702">
        <v>453000</v>
      </c>
      <c r="AJ56" s="698">
        <v>4</v>
      </c>
      <c r="AK56" s="698" t="s">
        <v>913</v>
      </c>
      <c r="AL56" s="699" t="s">
        <v>1416</v>
      </c>
      <c r="AM56" s="698" t="s">
        <v>1417</v>
      </c>
      <c r="AN56" s="699" t="s">
        <v>59</v>
      </c>
      <c r="AO56" s="699">
        <v>301043.82</v>
      </c>
      <c r="AP56" s="703">
        <f t="shared" si="9"/>
        <v>298.64800000000002</v>
      </c>
      <c r="AQ56" s="703">
        <f t="shared" si="4"/>
        <v>311.64800000000002</v>
      </c>
      <c r="AR56" s="697">
        <v>71</v>
      </c>
      <c r="AS56" s="697">
        <v>453</v>
      </c>
      <c r="AT56" s="697">
        <v>133</v>
      </c>
      <c r="AU56" s="697">
        <v>0</v>
      </c>
      <c r="AV56" s="697">
        <v>0</v>
      </c>
      <c r="AW56" s="697">
        <v>23</v>
      </c>
      <c r="AX56" s="697">
        <v>5</v>
      </c>
      <c r="AY56" s="697">
        <v>0</v>
      </c>
      <c r="AZ56" s="697">
        <v>0</v>
      </c>
      <c r="BA56" s="697">
        <v>26</v>
      </c>
      <c r="BB56" s="697">
        <v>13</v>
      </c>
      <c r="BC56" s="697">
        <v>0</v>
      </c>
      <c r="BD56" s="697">
        <v>0</v>
      </c>
      <c r="BE56" s="697">
        <v>0</v>
      </c>
      <c r="BF56" s="697">
        <v>0</v>
      </c>
      <c r="BG56" s="697">
        <v>0</v>
      </c>
      <c r="BH56" s="697">
        <v>0</v>
      </c>
      <c r="BI56" s="697">
        <v>3</v>
      </c>
      <c r="BJ56" s="697">
        <v>0</v>
      </c>
      <c r="BK56" s="697">
        <v>0</v>
      </c>
      <c r="BL56" s="697">
        <v>44824</v>
      </c>
      <c r="BM56" s="697">
        <v>0</v>
      </c>
      <c r="BN56" s="697">
        <v>44824</v>
      </c>
      <c r="BO56" s="697">
        <v>0</v>
      </c>
      <c r="CC56" s="727"/>
      <c r="CD56" s="727"/>
      <c r="CE56" s="727"/>
      <c r="CF56" s="727"/>
      <c r="CG56" s="727"/>
      <c r="CH56" s="727"/>
      <c r="CI56" s="727"/>
      <c r="CJ56" s="727"/>
      <c r="CK56" s="727"/>
      <c r="CL56" s="727"/>
      <c r="CM56" s="727"/>
      <c r="CN56" s="727"/>
      <c r="CO56" s="727"/>
      <c r="CP56" s="727"/>
      <c r="CQ56" s="727"/>
      <c r="CR56" s="727"/>
      <c r="CS56" s="727"/>
      <c r="CT56" s="727"/>
      <c r="CU56" s="727"/>
      <c r="CV56" s="727"/>
      <c r="CW56" s="727"/>
      <c r="CX56" s="727"/>
      <c r="CY56" s="727"/>
      <c r="CZ56" s="727"/>
      <c r="DA56" s="727"/>
      <c r="DB56" s="727"/>
      <c r="DC56" s="727"/>
      <c r="DD56" s="727"/>
      <c r="DE56" s="727"/>
      <c r="DF56" s="727"/>
      <c r="DG56" s="727"/>
      <c r="DH56" s="727"/>
      <c r="DI56" s="727"/>
      <c r="DJ56" s="727"/>
      <c r="DK56" s="727"/>
      <c r="DL56" s="727"/>
      <c r="DM56" s="727"/>
      <c r="DN56" s="727"/>
      <c r="DO56" s="727"/>
      <c r="DP56" s="727"/>
      <c r="DQ56" s="727"/>
      <c r="DR56" s="727"/>
      <c r="DS56" s="727"/>
      <c r="DT56" s="727"/>
      <c r="DU56" s="727"/>
      <c r="DV56" s="727"/>
      <c r="DW56" s="727"/>
      <c r="DX56" s="727"/>
      <c r="DY56" s="727"/>
      <c r="DZ56" s="727"/>
      <c r="EA56" s="727"/>
      <c r="EB56" s="727"/>
      <c r="EC56" s="727"/>
      <c r="ED56" s="727"/>
      <c r="EE56" s="727"/>
      <c r="EF56" s="727"/>
      <c r="EG56" s="727"/>
      <c r="EH56" s="727"/>
      <c r="EI56" s="727"/>
      <c r="EJ56" s="727"/>
      <c r="EK56" s="727"/>
      <c r="EL56" s="727"/>
      <c r="EM56" s="727"/>
      <c r="EN56" s="727"/>
      <c r="EO56" s="727"/>
      <c r="EP56" s="727"/>
      <c r="EQ56" s="727"/>
      <c r="ER56" s="727"/>
      <c r="ES56" s="727"/>
      <c r="ET56" s="727"/>
      <c r="EU56" s="727"/>
      <c r="EV56" s="727"/>
      <c r="EW56" s="727"/>
      <c r="EX56" s="727"/>
      <c r="EY56" s="727"/>
      <c r="EZ56" s="727"/>
      <c r="FA56" s="727"/>
      <c r="FB56" s="727"/>
      <c r="FC56" s="727"/>
      <c r="FD56" s="727"/>
      <c r="FE56" s="727"/>
      <c r="FF56" s="727"/>
      <c r="FG56" s="727"/>
      <c r="FH56" s="727"/>
      <c r="FI56" s="727"/>
      <c r="FJ56" s="727"/>
      <c r="FK56" s="727"/>
      <c r="FL56" s="727"/>
      <c r="FM56" s="727"/>
      <c r="FN56" s="727"/>
      <c r="FO56" s="727"/>
      <c r="FP56" s="727"/>
      <c r="FQ56" s="727"/>
      <c r="FR56" s="727"/>
      <c r="FS56" s="727"/>
      <c r="FT56" s="727"/>
      <c r="FU56" s="727"/>
      <c r="FV56" s="727"/>
      <c r="FW56" s="727"/>
      <c r="FX56" s="727"/>
      <c r="FY56" s="727"/>
      <c r="FZ56" s="727"/>
      <c r="GA56" s="727"/>
      <c r="GB56" s="727"/>
      <c r="GC56" s="727"/>
      <c r="GD56" s="727"/>
      <c r="GE56" s="727"/>
      <c r="GF56" s="727"/>
      <c r="GG56" s="727"/>
      <c r="GH56" s="727"/>
      <c r="GI56" s="727"/>
      <c r="GJ56" s="727"/>
      <c r="GK56" s="727"/>
      <c r="GL56" s="727"/>
      <c r="GM56" s="727"/>
      <c r="GN56" s="727"/>
      <c r="GO56" s="727"/>
      <c r="GP56" s="727"/>
      <c r="GQ56" s="727"/>
      <c r="GR56" s="727"/>
      <c r="GS56" s="727"/>
      <c r="GT56" s="727"/>
      <c r="GU56" s="727"/>
    </row>
    <row r="57" spans="1:203" ht="15" customHeight="1" x14ac:dyDescent="0.2">
      <c r="A57" s="697">
        <v>918</v>
      </c>
      <c r="B57" s="697"/>
      <c r="C57" s="698" t="s">
        <v>62</v>
      </c>
      <c r="D57" s="699" t="s">
        <v>62</v>
      </c>
      <c r="E57" s="700">
        <f t="shared" si="5"/>
        <v>36891.607899999995</v>
      </c>
      <c r="F57" s="700">
        <v>0</v>
      </c>
      <c r="G57" s="701">
        <f t="shared" si="7"/>
        <v>36891.607899999995</v>
      </c>
      <c r="H57" s="698" t="s">
        <v>10</v>
      </c>
      <c r="I57" s="699" t="s">
        <v>1512</v>
      </c>
      <c r="J57" s="699" t="s">
        <v>10</v>
      </c>
      <c r="K57" s="699" t="s">
        <v>63</v>
      </c>
      <c r="L57" s="699" t="s">
        <v>10</v>
      </c>
      <c r="M57" s="702">
        <v>8</v>
      </c>
      <c r="N57" s="702">
        <v>0.93500000000000005</v>
      </c>
      <c r="O57" s="702">
        <v>0.93500000000000005</v>
      </c>
      <c r="P57" s="702">
        <v>0.93500000000000005</v>
      </c>
      <c r="Q57" s="702">
        <v>0.85599999999999998</v>
      </c>
      <c r="R57" s="702">
        <v>0</v>
      </c>
      <c r="S57" s="702">
        <v>190261</v>
      </c>
      <c r="T57" s="7">
        <f t="shared" si="8"/>
        <v>36891.607899999995</v>
      </c>
      <c r="U57" s="702">
        <v>152451</v>
      </c>
      <c r="V57" s="702">
        <v>37810</v>
      </c>
      <c r="W57" s="702">
        <v>950</v>
      </c>
      <c r="X57" s="702">
        <v>0</v>
      </c>
      <c r="Y57" s="702">
        <v>0</v>
      </c>
      <c r="Z57" s="702">
        <v>0</v>
      </c>
      <c r="AA57" s="702">
        <v>227152.6079</v>
      </c>
      <c r="AB57" s="702">
        <v>36891.607900000003</v>
      </c>
      <c r="AC57" s="702">
        <v>190261</v>
      </c>
      <c r="AD57" s="702">
        <v>0</v>
      </c>
      <c r="AE57" s="702">
        <v>0</v>
      </c>
      <c r="AF57" s="702">
        <v>0</v>
      </c>
      <c r="AG57" s="702">
        <v>190261</v>
      </c>
      <c r="AH57" s="702">
        <v>0</v>
      </c>
      <c r="AI57" s="702">
        <v>0</v>
      </c>
      <c r="AJ57" s="698" t="s">
        <v>900</v>
      </c>
      <c r="AK57" s="698" t="s">
        <v>922</v>
      </c>
      <c r="AL57" s="699" t="s">
        <v>1512</v>
      </c>
      <c r="AM57" s="698" t="s">
        <v>10</v>
      </c>
      <c r="AN57" s="699" t="s">
        <v>62</v>
      </c>
      <c r="AO57" s="699">
        <v>36891.607900000003</v>
      </c>
      <c r="AP57" s="703">
        <f t="shared" si="9"/>
        <v>6</v>
      </c>
      <c r="AQ57" s="703">
        <f t="shared" si="4"/>
        <v>8</v>
      </c>
      <c r="AR57" s="697">
        <v>0</v>
      </c>
      <c r="AS57" s="697">
        <v>0</v>
      </c>
      <c r="AT57" s="697">
        <v>6</v>
      </c>
      <c r="AU57" s="697">
        <v>0</v>
      </c>
      <c r="AV57" s="697">
        <v>0</v>
      </c>
      <c r="AW57" s="697">
        <v>0</v>
      </c>
      <c r="AX57" s="697">
        <v>0</v>
      </c>
      <c r="AY57" s="697">
        <v>0</v>
      </c>
      <c r="AZ57" s="697">
        <v>0</v>
      </c>
      <c r="BA57" s="697">
        <v>11</v>
      </c>
      <c r="BB57" s="697">
        <v>2</v>
      </c>
      <c r="BC57" s="697">
        <v>0</v>
      </c>
      <c r="BD57" s="697">
        <v>0</v>
      </c>
      <c r="BE57" s="697">
        <v>0</v>
      </c>
      <c r="BF57" s="697">
        <v>0</v>
      </c>
      <c r="BG57" s="697">
        <v>0</v>
      </c>
      <c r="BH57" s="697">
        <v>0</v>
      </c>
      <c r="BI57" s="697">
        <v>0</v>
      </c>
      <c r="BJ57" s="697">
        <v>0</v>
      </c>
      <c r="BK57" s="697">
        <v>0</v>
      </c>
      <c r="BL57" s="697">
        <v>0</v>
      </c>
      <c r="BM57" s="697">
        <v>0</v>
      </c>
      <c r="BN57" s="697">
        <v>0</v>
      </c>
      <c r="BO57" s="697">
        <v>0</v>
      </c>
      <c r="CC57" s="727"/>
      <c r="CD57" s="727"/>
      <c r="CE57" s="727"/>
      <c r="CF57" s="727"/>
      <c r="CG57" s="727"/>
      <c r="CH57" s="727"/>
      <c r="CI57" s="727"/>
      <c r="CJ57" s="727"/>
      <c r="CK57" s="727"/>
      <c r="CL57" s="727"/>
      <c r="CM57" s="727"/>
      <c r="CN57" s="727"/>
      <c r="CO57" s="727"/>
      <c r="CP57" s="727"/>
      <c r="CQ57" s="727"/>
      <c r="CR57" s="727"/>
      <c r="CS57" s="727"/>
      <c r="CT57" s="727"/>
      <c r="CU57" s="727"/>
      <c r="CV57" s="727"/>
      <c r="CW57" s="727"/>
      <c r="CX57" s="727"/>
      <c r="CY57" s="727"/>
      <c r="CZ57" s="727"/>
      <c r="DA57" s="727"/>
      <c r="DB57" s="727"/>
      <c r="DC57" s="727"/>
      <c r="DD57" s="727"/>
      <c r="DE57" s="727"/>
      <c r="DF57" s="727"/>
      <c r="DG57" s="727"/>
      <c r="DH57" s="727"/>
      <c r="DI57" s="727"/>
      <c r="DJ57" s="727"/>
      <c r="DK57" s="727"/>
      <c r="DL57" s="727"/>
      <c r="DM57" s="727"/>
      <c r="DN57" s="727"/>
      <c r="DO57" s="727"/>
      <c r="DP57" s="727"/>
      <c r="DQ57" s="727"/>
      <c r="DR57" s="727"/>
      <c r="DS57" s="727"/>
      <c r="DT57" s="727"/>
      <c r="DU57" s="727"/>
      <c r="DV57" s="727"/>
      <c r="DW57" s="727"/>
      <c r="DX57" s="727"/>
      <c r="DY57" s="727"/>
      <c r="DZ57" s="727"/>
      <c r="EA57" s="727"/>
      <c r="EB57" s="727"/>
      <c r="EC57" s="727"/>
      <c r="ED57" s="727"/>
      <c r="EE57" s="727"/>
      <c r="EF57" s="727"/>
      <c r="EG57" s="727"/>
      <c r="EH57" s="727"/>
      <c r="EI57" s="727"/>
      <c r="EJ57" s="727"/>
      <c r="EK57" s="727"/>
      <c r="EL57" s="727"/>
      <c r="EM57" s="727"/>
      <c r="EN57" s="727"/>
      <c r="EO57" s="727"/>
      <c r="EP57" s="727"/>
      <c r="EQ57" s="727"/>
      <c r="ER57" s="727"/>
      <c r="ES57" s="727"/>
      <c r="ET57" s="727"/>
      <c r="EU57" s="727"/>
      <c r="EV57" s="727"/>
      <c r="EW57" s="727"/>
      <c r="EX57" s="727"/>
      <c r="EY57" s="727"/>
      <c r="EZ57" s="727"/>
      <c r="FA57" s="727"/>
      <c r="FB57" s="727"/>
      <c r="FC57" s="727"/>
      <c r="FD57" s="727"/>
      <c r="FE57" s="727"/>
      <c r="FF57" s="727"/>
      <c r="FG57" s="727"/>
      <c r="FH57" s="727"/>
      <c r="FI57" s="727"/>
      <c r="FJ57" s="727"/>
      <c r="FK57" s="727"/>
      <c r="FL57" s="727"/>
      <c r="FM57" s="727"/>
      <c r="FN57" s="727"/>
      <c r="FO57" s="727"/>
      <c r="FP57" s="727"/>
      <c r="FQ57" s="727"/>
      <c r="FR57" s="727"/>
      <c r="FS57" s="727"/>
      <c r="FT57" s="727"/>
      <c r="FU57" s="727"/>
      <c r="FV57" s="727"/>
      <c r="FW57" s="727"/>
      <c r="FX57" s="727"/>
      <c r="FY57" s="727"/>
      <c r="FZ57" s="727"/>
      <c r="GA57" s="727"/>
      <c r="GB57" s="727"/>
      <c r="GC57" s="727"/>
      <c r="GD57" s="727"/>
      <c r="GE57" s="727"/>
      <c r="GF57" s="727"/>
      <c r="GG57" s="727"/>
      <c r="GH57" s="727"/>
      <c r="GI57" s="727"/>
      <c r="GJ57" s="727"/>
      <c r="GK57" s="727"/>
      <c r="GL57" s="727"/>
      <c r="GM57" s="727"/>
      <c r="GN57" s="727"/>
      <c r="GO57" s="727"/>
      <c r="GP57" s="727"/>
      <c r="GQ57" s="727"/>
      <c r="GR57" s="727"/>
      <c r="GS57" s="727"/>
      <c r="GT57" s="727"/>
      <c r="GU57" s="727"/>
    </row>
    <row r="58" spans="1:203" ht="15" customHeight="1" x14ac:dyDescent="0.2">
      <c r="A58" s="697">
        <v>4662</v>
      </c>
      <c r="B58" s="697"/>
      <c r="C58" s="698" t="s">
        <v>64</v>
      </c>
      <c r="D58" s="699" t="s">
        <v>64</v>
      </c>
      <c r="E58" s="700">
        <f t="shared" si="5"/>
        <v>340902.43199999997</v>
      </c>
      <c r="F58" s="700">
        <v>0</v>
      </c>
      <c r="G58" s="701">
        <f t="shared" si="7"/>
        <v>340902.43199999997</v>
      </c>
      <c r="H58" s="698" t="s">
        <v>10</v>
      </c>
      <c r="I58" s="699" t="s">
        <v>1416</v>
      </c>
      <c r="J58" s="699" t="s">
        <v>1417</v>
      </c>
      <c r="K58" s="699" t="s">
        <v>1552</v>
      </c>
      <c r="L58" s="699" t="s">
        <v>10</v>
      </c>
      <c r="M58" s="702">
        <v>134</v>
      </c>
      <c r="N58" s="702">
        <v>0.93300000000000005</v>
      </c>
      <c r="O58" s="702">
        <v>0.93300000000000005</v>
      </c>
      <c r="P58" s="702">
        <v>0.86799999999999999</v>
      </c>
      <c r="Q58" s="702">
        <v>0.95199999999999996</v>
      </c>
      <c r="R58" s="702">
        <v>1024679</v>
      </c>
      <c r="S58" s="702">
        <v>978480</v>
      </c>
      <c r="T58" s="7">
        <f t="shared" si="8"/>
        <v>304842.0025</v>
      </c>
      <c r="U58" s="702">
        <v>685167</v>
      </c>
      <c r="V58" s="702">
        <v>293313</v>
      </c>
      <c r="W58" s="702">
        <v>6030</v>
      </c>
      <c r="X58" s="702">
        <v>0</v>
      </c>
      <c r="Y58" s="702">
        <v>0</v>
      </c>
      <c r="Z58" s="702">
        <v>0</v>
      </c>
      <c r="AA58" s="702">
        <v>1283322.003</v>
      </c>
      <c r="AB58" s="702">
        <v>304842.0025</v>
      </c>
      <c r="AC58" s="702">
        <v>978480</v>
      </c>
      <c r="AD58" s="702">
        <v>0</v>
      </c>
      <c r="AE58" s="702">
        <v>0</v>
      </c>
      <c r="AF58" s="702">
        <v>0</v>
      </c>
      <c r="AG58" s="702">
        <v>978480</v>
      </c>
      <c r="AH58" s="702">
        <v>0</v>
      </c>
      <c r="AI58" s="702">
        <v>0</v>
      </c>
      <c r="AJ58" s="698" t="s">
        <v>900</v>
      </c>
      <c r="AK58" s="698" t="s">
        <v>907</v>
      </c>
      <c r="AL58" s="699" t="s">
        <v>1416</v>
      </c>
      <c r="AM58" s="698" t="s">
        <v>10</v>
      </c>
      <c r="AN58" s="699" t="s">
        <v>64</v>
      </c>
      <c r="AO58" s="699">
        <v>304842.0025</v>
      </c>
      <c r="AP58" s="703">
        <f t="shared" si="9"/>
        <v>231.2799</v>
      </c>
      <c r="AQ58" s="703">
        <f t="shared" si="4"/>
        <v>257.2799</v>
      </c>
      <c r="AR58" s="697">
        <v>0</v>
      </c>
      <c r="AS58" s="697">
        <v>0</v>
      </c>
      <c r="AT58" s="697">
        <v>155</v>
      </c>
      <c r="AU58" s="697">
        <v>1</v>
      </c>
      <c r="AV58" s="697">
        <v>0</v>
      </c>
      <c r="AW58" s="697">
        <v>0</v>
      </c>
      <c r="AX58" s="697">
        <v>0</v>
      </c>
      <c r="AY58" s="697">
        <v>0</v>
      </c>
      <c r="AZ58" s="697">
        <v>0</v>
      </c>
      <c r="BA58" s="697">
        <v>0</v>
      </c>
      <c r="BB58" s="697">
        <v>26</v>
      </c>
      <c r="BC58" s="697">
        <v>0</v>
      </c>
      <c r="BD58" s="697">
        <v>0</v>
      </c>
      <c r="BE58" s="697">
        <v>0</v>
      </c>
      <c r="BF58" s="697">
        <v>0</v>
      </c>
      <c r="BG58" s="697">
        <v>0</v>
      </c>
      <c r="BH58" s="697">
        <v>0</v>
      </c>
      <c r="BI58" s="697">
        <v>0</v>
      </c>
      <c r="BJ58" s="697">
        <v>0</v>
      </c>
      <c r="BK58" s="697">
        <v>0</v>
      </c>
      <c r="BL58" s="697">
        <v>36252</v>
      </c>
      <c r="BM58" s="697">
        <v>0</v>
      </c>
      <c r="BN58" s="697">
        <v>0</v>
      </c>
      <c r="BO58" s="697">
        <v>390.279</v>
      </c>
      <c r="CC58" s="727"/>
      <c r="CD58" s="727"/>
      <c r="CE58" s="727"/>
      <c r="CF58" s="727"/>
      <c r="CG58" s="727"/>
      <c r="CH58" s="727"/>
      <c r="CI58" s="727"/>
      <c r="CJ58" s="727"/>
      <c r="CK58" s="727"/>
      <c r="CL58" s="727"/>
      <c r="CM58" s="727"/>
      <c r="CN58" s="727"/>
      <c r="CO58" s="727"/>
      <c r="CP58" s="727"/>
      <c r="CQ58" s="727"/>
      <c r="CR58" s="727"/>
      <c r="CS58" s="727"/>
      <c r="CT58" s="727"/>
      <c r="CU58" s="727"/>
      <c r="CV58" s="727"/>
      <c r="CW58" s="727"/>
      <c r="CX58" s="727"/>
      <c r="CY58" s="727"/>
      <c r="CZ58" s="727"/>
      <c r="DA58" s="727"/>
      <c r="DB58" s="727"/>
      <c r="DC58" s="727"/>
      <c r="DD58" s="727"/>
      <c r="DE58" s="727"/>
      <c r="DF58" s="727"/>
      <c r="DG58" s="727"/>
      <c r="DH58" s="727"/>
      <c r="DI58" s="727"/>
      <c r="DJ58" s="727"/>
      <c r="DK58" s="727"/>
      <c r="DL58" s="727"/>
      <c r="DM58" s="727"/>
      <c r="DN58" s="727"/>
      <c r="DO58" s="727"/>
      <c r="DP58" s="727"/>
      <c r="DQ58" s="727"/>
      <c r="DR58" s="727"/>
      <c r="DS58" s="727"/>
      <c r="DT58" s="727"/>
      <c r="DU58" s="727"/>
      <c r="DV58" s="727"/>
      <c r="DW58" s="727"/>
      <c r="DX58" s="727"/>
      <c r="DY58" s="727"/>
      <c r="DZ58" s="727"/>
      <c r="EA58" s="727"/>
      <c r="EB58" s="727"/>
      <c r="EC58" s="727"/>
      <c r="ED58" s="727"/>
      <c r="EE58" s="727"/>
      <c r="EF58" s="727"/>
      <c r="EG58" s="727"/>
      <c r="EH58" s="727"/>
      <c r="EI58" s="727"/>
      <c r="EJ58" s="727"/>
      <c r="EK58" s="727"/>
      <c r="EL58" s="727"/>
      <c r="EM58" s="727"/>
      <c r="EN58" s="727"/>
      <c r="EO58" s="727"/>
      <c r="EP58" s="727"/>
      <c r="EQ58" s="727"/>
      <c r="ER58" s="727"/>
      <c r="ES58" s="727"/>
      <c r="ET58" s="727"/>
      <c r="EU58" s="727"/>
      <c r="EV58" s="727"/>
      <c r="EW58" s="727"/>
      <c r="EX58" s="727"/>
      <c r="EY58" s="727"/>
      <c r="EZ58" s="727"/>
      <c r="FA58" s="727"/>
      <c r="FB58" s="727"/>
      <c r="FC58" s="727"/>
      <c r="FD58" s="727"/>
      <c r="FE58" s="727"/>
      <c r="FF58" s="727"/>
      <c r="FG58" s="727"/>
      <c r="FH58" s="727"/>
      <c r="FI58" s="727"/>
      <c r="FJ58" s="727"/>
      <c r="FK58" s="727"/>
      <c r="FL58" s="727"/>
      <c r="FM58" s="727"/>
      <c r="FN58" s="727"/>
      <c r="FO58" s="727"/>
      <c r="FP58" s="727"/>
      <c r="FQ58" s="727"/>
      <c r="FR58" s="727"/>
      <c r="FS58" s="727"/>
      <c r="FT58" s="727"/>
      <c r="FU58" s="727"/>
      <c r="FV58" s="727"/>
      <c r="FW58" s="727"/>
      <c r="FX58" s="727"/>
      <c r="FY58" s="727"/>
      <c r="FZ58" s="727"/>
      <c r="GA58" s="727"/>
      <c r="GB58" s="727"/>
      <c r="GC58" s="727"/>
      <c r="GD58" s="727"/>
      <c r="GE58" s="727"/>
      <c r="GF58" s="727"/>
      <c r="GG58" s="727"/>
      <c r="GH58" s="727"/>
      <c r="GI58" s="727"/>
      <c r="GJ58" s="727"/>
      <c r="GK58" s="727"/>
      <c r="GL58" s="727"/>
      <c r="GM58" s="727"/>
      <c r="GN58" s="727"/>
      <c r="GO58" s="727"/>
      <c r="GP58" s="727"/>
      <c r="GQ58" s="727"/>
      <c r="GR58" s="727"/>
      <c r="GS58" s="727"/>
      <c r="GT58" s="727"/>
      <c r="GU58" s="727"/>
    </row>
    <row r="59" spans="1:203" ht="15" customHeight="1" x14ac:dyDescent="0.2">
      <c r="A59" s="697">
        <v>1101</v>
      </c>
      <c r="B59" s="697"/>
      <c r="C59" s="698" t="s">
        <v>670</v>
      </c>
      <c r="D59" s="699" t="s">
        <v>670</v>
      </c>
      <c r="E59" s="700">
        <f t="shared" si="5"/>
        <v>46396.392</v>
      </c>
      <c r="F59" s="700">
        <v>0</v>
      </c>
      <c r="G59" s="701">
        <f t="shared" si="7"/>
        <v>46396.392</v>
      </c>
      <c r="H59" s="698" t="s">
        <v>1417</v>
      </c>
      <c r="I59" s="699" t="s">
        <v>1512</v>
      </c>
      <c r="J59" s="699" t="s">
        <v>10</v>
      </c>
      <c r="K59" s="699" t="s">
        <v>1605</v>
      </c>
      <c r="L59" s="699" t="s">
        <v>10</v>
      </c>
      <c r="M59" s="702">
        <v>20</v>
      </c>
      <c r="N59" s="702">
        <v>0.95499999999999996</v>
      </c>
      <c r="O59" s="702">
        <v>0.95499999999999996</v>
      </c>
      <c r="P59" s="702">
        <v>0.94099999999999995</v>
      </c>
      <c r="Q59" s="702">
        <v>0.92400000000000004</v>
      </c>
      <c r="R59" s="702">
        <v>0</v>
      </c>
      <c r="S59" s="702">
        <v>239280</v>
      </c>
      <c r="T59" s="7">
        <f t="shared" si="8"/>
        <v>46396.392</v>
      </c>
      <c r="U59" s="702">
        <v>178124</v>
      </c>
      <c r="V59" s="702">
        <v>61156</v>
      </c>
      <c r="W59" s="702">
        <v>1210</v>
      </c>
      <c r="X59" s="702">
        <v>0</v>
      </c>
      <c r="Y59" s="702">
        <v>0</v>
      </c>
      <c r="Z59" s="702">
        <v>0</v>
      </c>
      <c r="AA59" s="702">
        <v>285676.39199999999</v>
      </c>
      <c r="AB59" s="702">
        <v>46396.392</v>
      </c>
      <c r="AC59" s="702">
        <v>239280</v>
      </c>
      <c r="AD59" s="702">
        <v>0</v>
      </c>
      <c r="AE59" s="702">
        <v>0</v>
      </c>
      <c r="AF59" s="702">
        <v>0</v>
      </c>
      <c r="AG59" s="702">
        <v>239280</v>
      </c>
      <c r="AH59" s="702">
        <v>0</v>
      </c>
      <c r="AI59" s="702">
        <v>0</v>
      </c>
      <c r="AJ59" s="698" t="s">
        <v>900</v>
      </c>
      <c r="AK59" s="698" t="s">
        <v>905</v>
      </c>
      <c r="AL59" s="699" t="s">
        <v>1512</v>
      </c>
      <c r="AM59" s="698" t="s">
        <v>1417</v>
      </c>
      <c r="AN59" s="699" t="s">
        <v>670</v>
      </c>
      <c r="AO59" s="699">
        <v>46396.392</v>
      </c>
      <c r="AP59" s="703">
        <f t="shared" si="9"/>
        <v>13</v>
      </c>
      <c r="AQ59" s="703">
        <f t="shared" si="4"/>
        <v>29</v>
      </c>
      <c r="AR59" s="697">
        <v>0</v>
      </c>
      <c r="AS59" s="697">
        <v>0</v>
      </c>
      <c r="AT59" s="697">
        <v>12</v>
      </c>
      <c r="AU59" s="697">
        <v>0</v>
      </c>
      <c r="AV59" s="697">
        <v>0</v>
      </c>
      <c r="AW59" s="697">
        <v>0</v>
      </c>
      <c r="AX59" s="697">
        <v>0</v>
      </c>
      <c r="AY59" s="697">
        <v>1</v>
      </c>
      <c r="AZ59" s="697">
        <v>0</v>
      </c>
      <c r="BA59" s="697">
        <v>6</v>
      </c>
      <c r="BB59" s="697">
        <v>16</v>
      </c>
      <c r="BC59" s="697">
        <v>0</v>
      </c>
      <c r="BD59" s="697">
        <v>0</v>
      </c>
      <c r="BE59" s="697">
        <v>0</v>
      </c>
      <c r="BF59" s="697">
        <v>0</v>
      </c>
      <c r="BG59" s="697">
        <v>0</v>
      </c>
      <c r="BH59" s="697">
        <v>0</v>
      </c>
      <c r="BI59" s="697">
        <v>0</v>
      </c>
      <c r="BJ59" s="697">
        <v>0</v>
      </c>
      <c r="BK59" s="697">
        <v>0</v>
      </c>
      <c r="BL59" s="697">
        <v>0</v>
      </c>
      <c r="BM59" s="697">
        <v>0</v>
      </c>
      <c r="BN59" s="697">
        <v>0</v>
      </c>
      <c r="BO59" s="697">
        <v>0</v>
      </c>
      <c r="CC59" s="727"/>
      <c r="CD59" s="727"/>
      <c r="CE59" s="727"/>
      <c r="CF59" s="727"/>
      <c r="CG59" s="727"/>
      <c r="CH59" s="727"/>
      <c r="CI59" s="727"/>
      <c r="CJ59" s="727"/>
      <c r="CK59" s="727"/>
      <c r="CL59" s="727"/>
      <c r="CM59" s="727"/>
      <c r="CN59" s="727"/>
      <c r="CO59" s="727"/>
      <c r="CP59" s="727"/>
      <c r="CQ59" s="727"/>
      <c r="CR59" s="727"/>
      <c r="CS59" s="727"/>
      <c r="CT59" s="727"/>
      <c r="CU59" s="727"/>
      <c r="CV59" s="727"/>
      <c r="CW59" s="727"/>
      <c r="CX59" s="727"/>
      <c r="CY59" s="727"/>
      <c r="CZ59" s="727"/>
      <c r="DA59" s="727"/>
      <c r="DB59" s="727"/>
      <c r="DC59" s="727"/>
      <c r="DD59" s="727"/>
      <c r="DE59" s="727"/>
      <c r="DF59" s="727"/>
      <c r="DG59" s="727"/>
      <c r="DH59" s="727"/>
      <c r="DI59" s="727"/>
      <c r="DJ59" s="727"/>
      <c r="DK59" s="727"/>
      <c r="DL59" s="727"/>
      <c r="DM59" s="727"/>
      <c r="DN59" s="727"/>
      <c r="DO59" s="727"/>
      <c r="DP59" s="727"/>
      <c r="DQ59" s="727"/>
      <c r="DR59" s="727"/>
      <c r="DS59" s="727"/>
      <c r="DT59" s="727"/>
      <c r="DU59" s="727"/>
      <c r="DV59" s="727"/>
      <c r="DW59" s="727"/>
      <c r="DX59" s="727"/>
      <c r="DY59" s="727"/>
      <c r="DZ59" s="727"/>
      <c r="EA59" s="727"/>
      <c r="EB59" s="727"/>
      <c r="EC59" s="727"/>
      <c r="ED59" s="727"/>
      <c r="EE59" s="727"/>
      <c r="EF59" s="727"/>
      <c r="EG59" s="727"/>
      <c r="EH59" s="727"/>
      <c r="EI59" s="727"/>
      <c r="EJ59" s="727"/>
      <c r="EK59" s="727"/>
      <c r="EL59" s="727"/>
      <c r="EM59" s="727"/>
      <c r="EN59" s="727"/>
      <c r="EO59" s="727"/>
      <c r="EP59" s="727"/>
      <c r="EQ59" s="727"/>
      <c r="ER59" s="727"/>
      <c r="ES59" s="727"/>
      <c r="ET59" s="727"/>
      <c r="EU59" s="727"/>
      <c r="EV59" s="727"/>
      <c r="EW59" s="727"/>
      <c r="EX59" s="727"/>
      <c r="EY59" s="727"/>
      <c r="EZ59" s="727"/>
      <c r="FA59" s="727"/>
      <c r="FB59" s="727"/>
      <c r="FC59" s="727"/>
      <c r="FD59" s="727"/>
      <c r="FE59" s="727"/>
      <c r="FF59" s="727"/>
      <c r="FG59" s="727"/>
      <c r="FH59" s="727"/>
      <c r="FI59" s="727"/>
      <c r="FJ59" s="727"/>
      <c r="FK59" s="727"/>
      <c r="FL59" s="727"/>
      <c r="FM59" s="727"/>
      <c r="FN59" s="727"/>
      <c r="FO59" s="727"/>
      <c r="FP59" s="727"/>
      <c r="FQ59" s="727"/>
      <c r="FR59" s="727"/>
      <c r="FS59" s="727"/>
      <c r="FT59" s="727"/>
      <c r="FU59" s="727"/>
      <c r="FV59" s="727"/>
      <c r="FW59" s="727"/>
      <c r="FX59" s="727"/>
      <c r="FY59" s="727"/>
      <c r="FZ59" s="727"/>
      <c r="GA59" s="727"/>
      <c r="GB59" s="727"/>
      <c r="GC59" s="727"/>
      <c r="GD59" s="727"/>
      <c r="GE59" s="727"/>
      <c r="GF59" s="727"/>
      <c r="GG59" s="727"/>
      <c r="GH59" s="727"/>
      <c r="GI59" s="727"/>
      <c r="GJ59" s="727"/>
      <c r="GK59" s="727"/>
      <c r="GL59" s="727"/>
      <c r="GM59" s="727"/>
      <c r="GN59" s="727"/>
      <c r="GO59" s="727"/>
      <c r="GP59" s="727"/>
      <c r="GQ59" s="727"/>
      <c r="GR59" s="727"/>
      <c r="GS59" s="727"/>
      <c r="GT59" s="727"/>
      <c r="GU59" s="727"/>
    </row>
    <row r="60" spans="1:203" ht="15" customHeight="1" x14ac:dyDescent="0.2">
      <c r="A60" s="697">
        <v>1116</v>
      </c>
      <c r="B60" s="697" t="s">
        <v>1412</v>
      </c>
      <c r="C60" s="698" t="s">
        <v>70</v>
      </c>
      <c r="D60" s="699" t="s">
        <v>70</v>
      </c>
      <c r="E60" s="700">
        <f t="shared" si="5"/>
        <v>286174.71480000002</v>
      </c>
      <c r="F60" s="700">
        <v>647222</v>
      </c>
      <c r="G60" s="701">
        <f t="shared" si="7"/>
        <v>933396.71479999996</v>
      </c>
      <c r="H60" s="698" t="s">
        <v>1417</v>
      </c>
      <c r="I60" s="699" t="s">
        <v>1416</v>
      </c>
      <c r="J60" s="699" t="s">
        <v>1412</v>
      </c>
      <c r="K60" s="699" t="s">
        <v>72</v>
      </c>
      <c r="L60" s="699" t="s">
        <v>1412</v>
      </c>
      <c r="M60" s="702">
        <v>162</v>
      </c>
      <c r="N60" s="702">
        <v>0.99199999999999999</v>
      </c>
      <c r="O60" s="702">
        <v>0.996</v>
      </c>
      <c r="P60" s="702">
        <v>0.995</v>
      </c>
      <c r="Q60" s="702">
        <v>0.98499999999999999</v>
      </c>
      <c r="R60" s="702">
        <v>1272159</v>
      </c>
      <c r="S60" s="702">
        <v>821397</v>
      </c>
      <c r="T60" s="7">
        <f t="shared" si="8"/>
        <v>378467.30249999999</v>
      </c>
      <c r="U60" s="702">
        <v>472729</v>
      </c>
      <c r="V60" s="702">
        <v>348668</v>
      </c>
      <c r="W60" s="702">
        <v>4110</v>
      </c>
      <c r="X60" s="702">
        <v>1025689.303</v>
      </c>
      <c r="Y60" s="702">
        <v>378467.30249999999</v>
      </c>
      <c r="Z60" s="702">
        <v>647222</v>
      </c>
      <c r="AA60" s="702">
        <v>174175</v>
      </c>
      <c r="AB60" s="702">
        <v>0</v>
      </c>
      <c r="AC60" s="702">
        <v>174175</v>
      </c>
      <c r="AD60" s="702">
        <v>647222</v>
      </c>
      <c r="AE60" s="702">
        <v>0</v>
      </c>
      <c r="AF60" s="702">
        <v>174175</v>
      </c>
      <c r="AG60" s="702">
        <v>0</v>
      </c>
      <c r="AH60" s="702">
        <v>857000</v>
      </c>
      <c r="AI60" s="702">
        <v>518000</v>
      </c>
      <c r="AJ60" s="698" t="s">
        <v>900</v>
      </c>
      <c r="AK60" s="698" t="s">
        <v>905</v>
      </c>
      <c r="AL60" s="699" t="s">
        <v>1416</v>
      </c>
      <c r="AM60" s="698" t="s">
        <v>1417</v>
      </c>
      <c r="AN60" s="699" t="s">
        <v>70</v>
      </c>
      <c r="AO60" s="699">
        <v>1025689.3025</v>
      </c>
      <c r="AP60" s="703">
        <f t="shared" si="9"/>
        <v>1051.5844999999999</v>
      </c>
      <c r="AQ60" s="703">
        <f t="shared" si="4"/>
        <v>1196.5844999999999</v>
      </c>
      <c r="AR60" s="697">
        <v>364</v>
      </c>
      <c r="AS60" s="697">
        <v>518</v>
      </c>
      <c r="AT60" s="697">
        <v>235</v>
      </c>
      <c r="AU60" s="697">
        <v>0</v>
      </c>
      <c r="AV60" s="697">
        <v>5</v>
      </c>
      <c r="AW60" s="697">
        <v>86</v>
      </c>
      <c r="AX60" s="697">
        <v>0</v>
      </c>
      <c r="AY60" s="697">
        <v>0</v>
      </c>
      <c r="AZ60" s="697">
        <v>9</v>
      </c>
      <c r="BA60" s="697">
        <v>66</v>
      </c>
      <c r="BB60" s="697">
        <v>145</v>
      </c>
      <c r="BC60" s="697">
        <v>0</v>
      </c>
      <c r="BD60" s="697">
        <v>102</v>
      </c>
      <c r="BE60" s="697">
        <v>0</v>
      </c>
      <c r="BF60" s="697">
        <v>0</v>
      </c>
      <c r="BG60" s="697">
        <v>0</v>
      </c>
      <c r="BH60" s="697">
        <v>140</v>
      </c>
      <c r="BI60" s="697">
        <v>0</v>
      </c>
      <c r="BJ60" s="697">
        <v>0</v>
      </c>
      <c r="BK60" s="697">
        <v>0</v>
      </c>
      <c r="BL60" s="697">
        <v>2010</v>
      </c>
      <c r="BM60" s="697">
        <v>25000</v>
      </c>
      <c r="BN60" s="697">
        <v>0</v>
      </c>
      <c r="BO60" s="697">
        <v>1695.7449999999999</v>
      </c>
      <c r="CC60" s="727"/>
      <c r="CD60" s="727"/>
      <c r="CE60" s="727"/>
      <c r="CF60" s="727"/>
      <c r="CG60" s="727"/>
      <c r="CH60" s="727"/>
      <c r="CI60" s="727"/>
      <c r="CJ60" s="727"/>
      <c r="CK60" s="727"/>
      <c r="CL60" s="727"/>
      <c r="CM60" s="727"/>
      <c r="CN60" s="727"/>
      <c r="CO60" s="727"/>
      <c r="CP60" s="727"/>
      <c r="CQ60" s="727"/>
      <c r="CR60" s="727"/>
      <c r="CS60" s="727"/>
      <c r="CT60" s="727"/>
      <c r="CU60" s="727"/>
      <c r="CV60" s="727"/>
      <c r="CW60" s="727"/>
      <c r="CX60" s="727"/>
      <c r="CY60" s="727"/>
      <c r="CZ60" s="727"/>
      <c r="DA60" s="727"/>
      <c r="DB60" s="727"/>
      <c r="DC60" s="727"/>
      <c r="DD60" s="727"/>
      <c r="DE60" s="727"/>
      <c r="DF60" s="727"/>
      <c r="DG60" s="727"/>
      <c r="DH60" s="727"/>
      <c r="DI60" s="727"/>
      <c r="DJ60" s="727"/>
      <c r="DK60" s="727"/>
      <c r="DL60" s="727"/>
      <c r="DM60" s="727"/>
      <c r="DN60" s="727"/>
      <c r="DO60" s="727"/>
      <c r="DP60" s="727"/>
      <c r="DQ60" s="727"/>
      <c r="DR60" s="727"/>
      <c r="DS60" s="727"/>
      <c r="DT60" s="727"/>
      <c r="DU60" s="727"/>
      <c r="DV60" s="727"/>
      <c r="DW60" s="727"/>
      <c r="DX60" s="727"/>
      <c r="DY60" s="727"/>
      <c r="DZ60" s="727"/>
      <c r="EA60" s="727"/>
      <c r="EB60" s="727"/>
      <c r="EC60" s="727"/>
      <c r="ED60" s="727"/>
      <c r="EE60" s="727"/>
      <c r="EF60" s="727"/>
      <c r="EG60" s="727"/>
      <c r="EH60" s="727"/>
      <c r="EI60" s="727"/>
      <c r="EJ60" s="727"/>
      <c r="EK60" s="727"/>
      <c r="EL60" s="727"/>
      <c r="EM60" s="727"/>
      <c r="EN60" s="727"/>
      <c r="EO60" s="727"/>
      <c r="EP60" s="727"/>
      <c r="EQ60" s="727"/>
      <c r="ER60" s="727"/>
      <c r="ES60" s="727"/>
      <c r="ET60" s="727"/>
      <c r="EU60" s="727"/>
      <c r="EV60" s="727"/>
      <c r="EW60" s="727"/>
      <c r="EX60" s="727"/>
      <c r="EY60" s="727"/>
      <c r="EZ60" s="727"/>
      <c r="FA60" s="727"/>
      <c r="FB60" s="727"/>
      <c r="FC60" s="727"/>
      <c r="FD60" s="727"/>
      <c r="FE60" s="727"/>
      <c r="FF60" s="727"/>
      <c r="FG60" s="727"/>
      <c r="FH60" s="727"/>
      <c r="FI60" s="727"/>
      <c r="FJ60" s="727"/>
      <c r="FK60" s="727"/>
      <c r="FL60" s="727"/>
      <c r="FM60" s="727"/>
      <c r="FN60" s="727"/>
      <c r="FO60" s="727"/>
      <c r="FP60" s="727"/>
      <c r="FQ60" s="727"/>
      <c r="FR60" s="727"/>
      <c r="FS60" s="727"/>
      <c r="FT60" s="727"/>
      <c r="FU60" s="727"/>
      <c r="FV60" s="727"/>
      <c r="FW60" s="727"/>
      <c r="FX60" s="727"/>
      <c r="FY60" s="727"/>
      <c r="FZ60" s="727"/>
      <c r="GA60" s="727"/>
      <c r="GB60" s="727"/>
      <c r="GC60" s="727"/>
      <c r="GD60" s="727"/>
      <c r="GE60" s="727"/>
      <c r="GF60" s="727"/>
      <c r="GG60" s="727"/>
      <c r="GH60" s="727"/>
      <c r="GI60" s="727"/>
      <c r="GJ60" s="727"/>
      <c r="GK60" s="727"/>
      <c r="GL60" s="727"/>
      <c r="GM60" s="727"/>
      <c r="GN60" s="727"/>
      <c r="GO60" s="727"/>
      <c r="GP60" s="727"/>
      <c r="GQ60" s="727"/>
      <c r="GR60" s="727"/>
      <c r="GS60" s="727"/>
      <c r="GT60" s="727"/>
      <c r="GU60" s="727"/>
    </row>
    <row r="61" spans="1:203" ht="15" customHeight="1" x14ac:dyDescent="0.2">
      <c r="A61" s="697">
        <v>2110</v>
      </c>
      <c r="B61" s="697"/>
      <c r="C61" s="698" t="s">
        <v>75</v>
      </c>
      <c r="D61" s="699" t="s">
        <v>75</v>
      </c>
      <c r="E61" s="700">
        <f t="shared" si="5"/>
        <v>208009.08439999999</v>
      </c>
      <c r="F61" s="700">
        <v>0</v>
      </c>
      <c r="G61" s="701">
        <f t="shared" si="7"/>
        <v>208009.08439999999</v>
      </c>
      <c r="H61" s="698" t="s">
        <v>10</v>
      </c>
      <c r="I61" s="699" t="s">
        <v>1416</v>
      </c>
      <c r="J61" s="699" t="s">
        <v>10</v>
      </c>
      <c r="K61" s="699" t="s">
        <v>10</v>
      </c>
      <c r="L61" s="699" t="s">
        <v>10</v>
      </c>
      <c r="M61" s="702">
        <v>100</v>
      </c>
      <c r="N61" s="702">
        <v>0.70499999999999996</v>
      </c>
      <c r="O61" s="702">
        <v>0.71699999999999997</v>
      </c>
      <c r="P61" s="702">
        <v>0.746</v>
      </c>
      <c r="Q61" s="702">
        <v>0.73599999999999999</v>
      </c>
      <c r="R61" s="702">
        <v>774371</v>
      </c>
      <c r="S61" s="702">
        <v>597041</v>
      </c>
      <c r="T61" s="7">
        <f t="shared" si="8"/>
        <v>230375.3725</v>
      </c>
      <c r="U61" s="702">
        <v>249721</v>
      </c>
      <c r="V61" s="702">
        <v>347320</v>
      </c>
      <c r="W61" s="702">
        <v>3559</v>
      </c>
      <c r="X61" s="702">
        <v>0</v>
      </c>
      <c r="Y61" s="702">
        <v>0</v>
      </c>
      <c r="Z61" s="702">
        <v>0</v>
      </c>
      <c r="AA61" s="702">
        <v>827416.37250000006</v>
      </c>
      <c r="AB61" s="702">
        <v>230375.3725</v>
      </c>
      <c r="AC61" s="702">
        <v>597041</v>
      </c>
      <c r="AD61" s="702">
        <v>0</v>
      </c>
      <c r="AE61" s="702">
        <v>0</v>
      </c>
      <c r="AF61" s="702">
        <v>0</v>
      </c>
      <c r="AG61" s="702">
        <v>597041</v>
      </c>
      <c r="AH61" s="702">
        <v>0</v>
      </c>
      <c r="AI61" s="702">
        <v>0</v>
      </c>
      <c r="AJ61" s="698">
        <v>4</v>
      </c>
      <c r="AK61" s="698" t="s">
        <v>913</v>
      </c>
      <c r="AL61" s="699" t="s">
        <v>1416</v>
      </c>
      <c r="AM61" s="698" t="s">
        <v>10</v>
      </c>
      <c r="AN61" s="699" t="s">
        <v>75</v>
      </c>
      <c r="AO61" s="699">
        <v>230375.3725</v>
      </c>
      <c r="AP61" s="703">
        <f t="shared" si="9"/>
        <v>114</v>
      </c>
      <c r="AQ61" s="703">
        <f t="shared" si="4"/>
        <v>124</v>
      </c>
      <c r="AR61" s="740">
        <v>0</v>
      </c>
      <c r="AS61" s="740">
        <v>0</v>
      </c>
      <c r="AT61" s="740">
        <v>107</v>
      </c>
      <c r="AU61" s="740">
        <v>7</v>
      </c>
      <c r="AV61" s="697">
        <v>0</v>
      </c>
      <c r="AW61" s="697">
        <v>0</v>
      </c>
      <c r="AX61" s="697">
        <v>0</v>
      </c>
      <c r="AY61" s="697">
        <v>0</v>
      </c>
      <c r="AZ61" s="747">
        <v>0</v>
      </c>
      <c r="BA61" s="747">
        <v>0</v>
      </c>
      <c r="BB61" s="747">
        <v>8</v>
      </c>
      <c r="BC61" s="747">
        <v>2</v>
      </c>
      <c r="BD61" s="697">
        <v>0</v>
      </c>
      <c r="BE61" s="697">
        <v>0</v>
      </c>
      <c r="BF61" s="697">
        <v>0</v>
      </c>
      <c r="BG61" s="697">
        <v>0</v>
      </c>
      <c r="BH61" s="697">
        <v>0</v>
      </c>
      <c r="BI61" s="697">
        <v>0</v>
      </c>
      <c r="BJ61" s="697">
        <v>0</v>
      </c>
      <c r="BK61" s="697">
        <v>0</v>
      </c>
      <c r="BL61" s="697">
        <v>0</v>
      </c>
      <c r="BM61" s="697">
        <v>0</v>
      </c>
      <c r="BN61" s="697">
        <v>0</v>
      </c>
      <c r="BO61" s="697">
        <v>0</v>
      </c>
      <c r="CC61" s="727"/>
      <c r="CD61" s="727"/>
      <c r="CE61" s="727"/>
      <c r="CF61" s="727"/>
      <c r="CG61" s="727"/>
      <c r="CH61" s="727"/>
      <c r="CI61" s="727"/>
      <c r="CJ61" s="727"/>
      <c r="CK61" s="727"/>
      <c r="CL61" s="727"/>
      <c r="CM61" s="727"/>
      <c r="CN61" s="727"/>
      <c r="CO61" s="727"/>
      <c r="CP61" s="727"/>
      <c r="CQ61" s="727"/>
      <c r="CR61" s="727"/>
      <c r="CS61" s="727"/>
      <c r="CT61" s="727"/>
      <c r="CU61" s="727"/>
      <c r="CV61" s="727"/>
      <c r="CW61" s="727"/>
      <c r="CX61" s="727"/>
      <c r="CY61" s="727"/>
      <c r="CZ61" s="727"/>
      <c r="DA61" s="727"/>
      <c r="DB61" s="727"/>
      <c r="DC61" s="727"/>
      <c r="DD61" s="727"/>
      <c r="DE61" s="727"/>
      <c r="DF61" s="727"/>
      <c r="DG61" s="727"/>
      <c r="DH61" s="727"/>
      <c r="DI61" s="727"/>
      <c r="DJ61" s="727"/>
      <c r="DK61" s="727"/>
      <c r="DL61" s="727"/>
      <c r="DM61" s="727"/>
      <c r="DN61" s="727"/>
      <c r="DO61" s="727"/>
      <c r="DP61" s="727"/>
      <c r="DQ61" s="727"/>
      <c r="DR61" s="727"/>
      <c r="DS61" s="727"/>
      <c r="DT61" s="727"/>
      <c r="DU61" s="727"/>
      <c r="DV61" s="727"/>
      <c r="DW61" s="727"/>
      <c r="DX61" s="727"/>
      <c r="DY61" s="727"/>
      <c r="DZ61" s="727"/>
      <c r="EA61" s="727"/>
      <c r="EB61" s="727"/>
      <c r="EC61" s="727"/>
      <c r="ED61" s="727"/>
      <c r="EE61" s="727"/>
      <c r="EF61" s="727"/>
      <c r="EG61" s="727"/>
      <c r="EH61" s="727"/>
      <c r="EI61" s="727"/>
      <c r="EJ61" s="727"/>
      <c r="EK61" s="727"/>
      <c r="EL61" s="727"/>
      <c r="EM61" s="727"/>
      <c r="EN61" s="727"/>
      <c r="EO61" s="727"/>
      <c r="EP61" s="727"/>
      <c r="EQ61" s="727"/>
      <c r="ER61" s="727"/>
      <c r="ES61" s="727"/>
      <c r="ET61" s="727"/>
      <c r="EU61" s="727"/>
      <c r="EV61" s="727"/>
      <c r="EW61" s="727"/>
      <c r="EX61" s="727"/>
      <c r="EY61" s="727"/>
      <c r="EZ61" s="727"/>
      <c r="FA61" s="727"/>
      <c r="FB61" s="727"/>
      <c r="FC61" s="727"/>
      <c r="FD61" s="727"/>
      <c r="FE61" s="727"/>
      <c r="FF61" s="727"/>
      <c r="FG61" s="727"/>
      <c r="FH61" s="727"/>
      <c r="FI61" s="727"/>
      <c r="FJ61" s="727"/>
      <c r="FK61" s="727"/>
      <c r="FL61" s="727"/>
      <c r="FM61" s="727"/>
      <c r="FN61" s="727"/>
      <c r="FO61" s="727"/>
      <c r="FP61" s="727"/>
      <c r="FQ61" s="727"/>
      <c r="FR61" s="727"/>
      <c r="FS61" s="727"/>
      <c r="FT61" s="727"/>
      <c r="FU61" s="727"/>
      <c r="FV61" s="727"/>
      <c r="FW61" s="727"/>
      <c r="FX61" s="727"/>
      <c r="FY61" s="727"/>
      <c r="FZ61" s="727"/>
      <c r="GA61" s="727"/>
      <c r="GB61" s="727"/>
      <c r="GC61" s="727"/>
      <c r="GD61" s="727"/>
      <c r="GE61" s="727"/>
      <c r="GF61" s="727"/>
      <c r="GG61" s="727"/>
      <c r="GH61" s="727"/>
      <c r="GI61" s="727"/>
      <c r="GJ61" s="727"/>
      <c r="GK61" s="727"/>
      <c r="GL61" s="727"/>
      <c r="GM61" s="727"/>
      <c r="GN61" s="727"/>
      <c r="GO61" s="727"/>
      <c r="GP61" s="727"/>
      <c r="GQ61" s="727"/>
      <c r="GR61" s="727"/>
      <c r="GS61" s="727"/>
      <c r="GT61" s="727"/>
      <c r="GU61" s="727"/>
    </row>
    <row r="62" spans="1:203" ht="15" customHeight="1" x14ac:dyDescent="0.2">
      <c r="A62" s="697">
        <v>8544</v>
      </c>
      <c r="B62" s="697"/>
      <c r="C62" s="698" t="s">
        <v>76</v>
      </c>
      <c r="D62" s="699" t="s">
        <v>76</v>
      </c>
      <c r="E62" s="700">
        <f t="shared" si="5"/>
        <v>390092.33120000002</v>
      </c>
      <c r="F62" s="700">
        <v>0</v>
      </c>
      <c r="G62" s="701">
        <f t="shared" si="7"/>
        <v>390092.33120000002</v>
      </c>
      <c r="H62" s="698" t="s">
        <v>1417</v>
      </c>
      <c r="I62" s="699" t="s">
        <v>1416</v>
      </c>
      <c r="J62" s="699" t="s">
        <v>10</v>
      </c>
      <c r="K62" s="699" t="s">
        <v>78</v>
      </c>
      <c r="L62" s="699" t="s">
        <v>10</v>
      </c>
      <c r="M62" s="702">
        <v>177</v>
      </c>
      <c r="N62" s="702">
        <v>0.94099999999999995</v>
      </c>
      <c r="O62" s="702">
        <v>0.95499999999999996</v>
      </c>
      <c r="P62" s="702">
        <v>0.97299999999999998</v>
      </c>
      <c r="Q62" s="702">
        <v>0.96199999999999997</v>
      </c>
      <c r="R62" s="702">
        <v>1160738</v>
      </c>
      <c r="S62" s="702">
        <v>1119668</v>
      </c>
      <c r="T62" s="7">
        <f t="shared" si="8"/>
        <v>345319.55499999999</v>
      </c>
      <c r="U62" s="702">
        <v>741368</v>
      </c>
      <c r="V62" s="702">
        <v>378300</v>
      </c>
      <c r="W62" s="702">
        <v>5600</v>
      </c>
      <c r="X62" s="702">
        <v>0</v>
      </c>
      <c r="Y62" s="702">
        <v>0</v>
      </c>
      <c r="Z62" s="702">
        <v>0</v>
      </c>
      <c r="AA62" s="702">
        <v>1464987.5549999999</v>
      </c>
      <c r="AB62" s="702">
        <v>345319.55499999999</v>
      </c>
      <c r="AC62" s="702">
        <v>1119668</v>
      </c>
      <c r="AD62" s="702">
        <v>0</v>
      </c>
      <c r="AE62" s="702">
        <v>0</v>
      </c>
      <c r="AF62" s="702">
        <v>0</v>
      </c>
      <c r="AG62" s="702">
        <v>1119668</v>
      </c>
      <c r="AH62" s="702">
        <v>0</v>
      </c>
      <c r="AI62" s="702">
        <v>0</v>
      </c>
      <c r="AJ62" s="698" t="s">
        <v>900</v>
      </c>
      <c r="AK62" s="698" t="s">
        <v>907</v>
      </c>
      <c r="AL62" s="699" t="s">
        <v>1416</v>
      </c>
      <c r="AM62" s="698" t="s">
        <v>1417</v>
      </c>
      <c r="AN62" s="699" t="s">
        <v>76</v>
      </c>
      <c r="AO62" s="699">
        <v>345319.55499999999</v>
      </c>
      <c r="AP62" s="703">
        <f t="shared" si="9"/>
        <v>472.1234</v>
      </c>
      <c r="AQ62" s="703">
        <f t="shared" si="4"/>
        <v>514.12339999999995</v>
      </c>
      <c r="AR62" s="697">
        <v>0</v>
      </c>
      <c r="AS62" s="697">
        <v>0</v>
      </c>
      <c r="AT62" s="697">
        <v>344</v>
      </c>
      <c r="AU62" s="697">
        <v>0</v>
      </c>
      <c r="AV62" s="697">
        <v>0</v>
      </c>
      <c r="AW62" s="697">
        <v>0</v>
      </c>
      <c r="AX62" s="697">
        <v>0</v>
      </c>
      <c r="AY62" s="697">
        <v>0</v>
      </c>
      <c r="AZ62" s="697">
        <v>0</v>
      </c>
      <c r="BA62" s="697">
        <v>0</v>
      </c>
      <c r="BB62" s="697">
        <v>42</v>
      </c>
      <c r="BC62" s="697">
        <v>0</v>
      </c>
      <c r="BD62" s="697">
        <v>0</v>
      </c>
      <c r="BE62" s="697">
        <v>0</v>
      </c>
      <c r="BF62" s="697">
        <v>0</v>
      </c>
      <c r="BG62" s="697">
        <v>0</v>
      </c>
      <c r="BH62" s="697">
        <v>0</v>
      </c>
      <c r="BI62" s="697">
        <v>0</v>
      </c>
      <c r="BJ62" s="697">
        <v>0</v>
      </c>
      <c r="BK62" s="697">
        <v>0</v>
      </c>
      <c r="BL62" s="697">
        <v>0</v>
      </c>
      <c r="BM62" s="697">
        <v>0</v>
      </c>
      <c r="BN62" s="697">
        <v>0</v>
      </c>
      <c r="BO62" s="697">
        <v>1281.2339999999999</v>
      </c>
      <c r="CC62" s="727"/>
      <c r="CD62" s="727"/>
      <c r="CE62" s="727"/>
      <c r="CF62" s="727"/>
      <c r="CG62" s="727"/>
      <c r="CH62" s="727"/>
      <c r="CI62" s="727"/>
      <c r="CJ62" s="727"/>
      <c r="CK62" s="727"/>
      <c r="CL62" s="727"/>
      <c r="CM62" s="727"/>
      <c r="CN62" s="727"/>
      <c r="CO62" s="727"/>
      <c r="CP62" s="727"/>
      <c r="CQ62" s="727"/>
      <c r="CR62" s="727"/>
      <c r="CS62" s="727"/>
      <c r="CT62" s="727"/>
      <c r="CU62" s="727"/>
      <c r="CV62" s="727"/>
      <c r="CW62" s="727"/>
      <c r="CX62" s="727"/>
      <c r="CY62" s="727"/>
      <c r="CZ62" s="727"/>
      <c r="DA62" s="727"/>
      <c r="DB62" s="727"/>
      <c r="DC62" s="727"/>
      <c r="DD62" s="727"/>
      <c r="DE62" s="727"/>
      <c r="DF62" s="727"/>
      <c r="DG62" s="727"/>
      <c r="DH62" s="727"/>
      <c r="DI62" s="727"/>
      <c r="DJ62" s="727"/>
      <c r="DK62" s="727"/>
      <c r="DL62" s="727"/>
      <c r="DM62" s="727"/>
      <c r="DN62" s="727"/>
      <c r="DO62" s="727"/>
      <c r="DP62" s="727"/>
      <c r="DQ62" s="727"/>
      <c r="DR62" s="727"/>
      <c r="DS62" s="727"/>
      <c r="DT62" s="727"/>
      <c r="DU62" s="727"/>
      <c r="DV62" s="727"/>
      <c r="DW62" s="727"/>
      <c r="DX62" s="727"/>
      <c r="DY62" s="727"/>
      <c r="DZ62" s="727"/>
      <c r="EA62" s="727"/>
      <c r="EB62" s="727"/>
      <c r="EC62" s="727"/>
      <c r="ED62" s="727"/>
      <c r="EE62" s="727"/>
      <c r="EF62" s="727"/>
      <c r="EG62" s="727"/>
      <c r="EH62" s="727"/>
      <c r="EI62" s="727"/>
      <c r="EJ62" s="727"/>
      <c r="EK62" s="727"/>
      <c r="EL62" s="727"/>
      <c r="EM62" s="727"/>
      <c r="EN62" s="727"/>
      <c r="EO62" s="727"/>
      <c r="EP62" s="727"/>
      <c r="EQ62" s="727"/>
      <c r="ER62" s="727"/>
      <c r="ES62" s="727"/>
      <c r="ET62" s="727"/>
      <c r="EU62" s="727"/>
      <c r="EV62" s="727"/>
      <c r="EW62" s="727"/>
      <c r="EX62" s="727"/>
      <c r="EY62" s="727"/>
      <c r="EZ62" s="727"/>
      <c r="FA62" s="727"/>
      <c r="FB62" s="727"/>
      <c r="FC62" s="727"/>
      <c r="FD62" s="727"/>
      <c r="FE62" s="727"/>
      <c r="FF62" s="727"/>
      <c r="FG62" s="727"/>
      <c r="FH62" s="727"/>
      <c r="FI62" s="727"/>
      <c r="FJ62" s="727"/>
      <c r="FK62" s="727"/>
      <c r="FL62" s="727"/>
      <c r="FM62" s="727"/>
      <c r="FN62" s="727"/>
      <c r="FO62" s="727"/>
      <c r="FP62" s="727"/>
      <c r="FQ62" s="727"/>
      <c r="FR62" s="727"/>
      <c r="FS62" s="727"/>
      <c r="FT62" s="727"/>
      <c r="FU62" s="727"/>
      <c r="FV62" s="727"/>
      <c r="FW62" s="727"/>
      <c r="FX62" s="727"/>
      <c r="FY62" s="727"/>
      <c r="FZ62" s="727"/>
      <c r="GA62" s="727"/>
      <c r="GB62" s="727"/>
      <c r="GC62" s="727"/>
      <c r="GD62" s="727"/>
      <c r="GE62" s="727"/>
      <c r="GF62" s="727"/>
      <c r="GG62" s="727"/>
      <c r="GH62" s="727"/>
      <c r="GI62" s="727"/>
      <c r="GJ62" s="727"/>
      <c r="GK62" s="727"/>
      <c r="GL62" s="727"/>
      <c r="GM62" s="727"/>
      <c r="GN62" s="727"/>
      <c r="GO62" s="727"/>
      <c r="GP62" s="727"/>
      <c r="GQ62" s="727"/>
      <c r="GR62" s="727"/>
      <c r="GS62" s="727"/>
      <c r="GT62" s="727"/>
      <c r="GU62" s="727"/>
    </row>
    <row r="63" spans="1:203" ht="15" customHeight="1" x14ac:dyDescent="0.2">
      <c r="A63" s="697">
        <v>1118</v>
      </c>
      <c r="B63" s="697"/>
      <c r="C63" s="698" t="s">
        <v>79</v>
      </c>
      <c r="D63" s="699" t="s">
        <v>79</v>
      </c>
      <c r="E63" s="700">
        <f t="shared" si="5"/>
        <v>167289.83439999999</v>
      </c>
      <c r="F63" s="700">
        <v>0</v>
      </c>
      <c r="G63" s="701">
        <f t="shared" si="7"/>
        <v>167289.83439999999</v>
      </c>
      <c r="H63" s="698" t="s">
        <v>10</v>
      </c>
      <c r="I63" s="699" t="s">
        <v>1416</v>
      </c>
      <c r="J63" s="699" t="s">
        <v>1417</v>
      </c>
      <c r="K63" s="699" t="s">
        <v>81</v>
      </c>
      <c r="L63" s="699" t="s">
        <v>10</v>
      </c>
      <c r="M63" s="702">
        <v>58</v>
      </c>
      <c r="N63" s="702">
        <v>0.88600000000000001</v>
      </c>
      <c r="O63" s="702">
        <v>0.93</v>
      </c>
      <c r="P63" s="702">
        <v>0.92</v>
      </c>
      <c r="Q63" s="702">
        <v>0.83299999999999996</v>
      </c>
      <c r="R63" s="702">
        <v>553329</v>
      </c>
      <c r="S63" s="702">
        <v>480166</v>
      </c>
      <c r="T63" s="7">
        <f t="shared" si="8"/>
        <v>164615.3775</v>
      </c>
      <c r="U63" s="702">
        <v>299960</v>
      </c>
      <c r="V63" s="702">
        <v>180206</v>
      </c>
      <c r="W63" s="702">
        <v>2794</v>
      </c>
      <c r="X63" s="702">
        <v>0</v>
      </c>
      <c r="Y63" s="702">
        <v>0</v>
      </c>
      <c r="Z63" s="702">
        <v>0</v>
      </c>
      <c r="AA63" s="702">
        <v>644781.37749999994</v>
      </c>
      <c r="AB63" s="702">
        <v>164615.3775</v>
      </c>
      <c r="AC63" s="702">
        <v>480166</v>
      </c>
      <c r="AD63" s="702">
        <v>0</v>
      </c>
      <c r="AE63" s="702">
        <v>0</v>
      </c>
      <c r="AF63" s="702">
        <v>0</v>
      </c>
      <c r="AG63" s="702">
        <v>480166</v>
      </c>
      <c r="AH63" s="702">
        <v>0</v>
      </c>
      <c r="AI63" s="702">
        <v>0</v>
      </c>
      <c r="AJ63" s="698">
        <v>4</v>
      </c>
      <c r="AK63" s="698" t="s">
        <v>899</v>
      </c>
      <c r="AL63" s="699" t="s">
        <v>1416</v>
      </c>
      <c r="AM63" s="698" t="s">
        <v>10</v>
      </c>
      <c r="AN63" s="699" t="s">
        <v>79</v>
      </c>
      <c r="AO63" s="699">
        <v>164615.3775</v>
      </c>
      <c r="AP63" s="703">
        <f t="shared" si="9"/>
        <v>73.215575999999999</v>
      </c>
      <c r="AQ63" s="703">
        <f t="shared" si="4"/>
        <v>74.215575999999999</v>
      </c>
      <c r="AR63" s="697">
        <v>26</v>
      </c>
      <c r="AS63" s="697">
        <v>0</v>
      </c>
      <c r="AT63" s="697">
        <v>23</v>
      </c>
      <c r="AU63" s="697">
        <v>5</v>
      </c>
      <c r="AV63" s="697">
        <v>0</v>
      </c>
      <c r="AW63" s="697">
        <v>0</v>
      </c>
      <c r="AX63" s="697">
        <v>11</v>
      </c>
      <c r="AY63" s="697">
        <v>1</v>
      </c>
      <c r="AZ63" s="697">
        <v>0</v>
      </c>
      <c r="BA63" s="697">
        <v>7</v>
      </c>
      <c r="BB63" s="697">
        <v>0</v>
      </c>
      <c r="BC63" s="697">
        <v>1</v>
      </c>
      <c r="BD63" s="697">
        <v>0</v>
      </c>
      <c r="BE63" s="697">
        <v>0</v>
      </c>
      <c r="BF63" s="697">
        <v>0</v>
      </c>
      <c r="BG63" s="697">
        <v>0</v>
      </c>
      <c r="BH63" s="697">
        <v>0</v>
      </c>
      <c r="BI63" s="697">
        <v>0</v>
      </c>
      <c r="BJ63" s="697">
        <v>0</v>
      </c>
      <c r="BK63" s="697">
        <v>0</v>
      </c>
      <c r="BL63" s="697">
        <v>0</v>
      </c>
      <c r="BM63" s="697">
        <v>0</v>
      </c>
      <c r="BN63" s="697">
        <v>0</v>
      </c>
      <c r="BO63" s="898">
        <v>72.155760000000001</v>
      </c>
      <c r="CC63" s="727"/>
      <c r="CD63" s="727"/>
      <c r="CE63" s="727"/>
      <c r="CF63" s="727"/>
      <c r="CG63" s="727"/>
      <c r="CH63" s="727"/>
      <c r="CI63" s="727"/>
      <c r="CJ63" s="727"/>
      <c r="CK63" s="727"/>
      <c r="CL63" s="727"/>
      <c r="CM63" s="727"/>
      <c r="CN63" s="727"/>
      <c r="CO63" s="727"/>
      <c r="CP63" s="727"/>
      <c r="CQ63" s="727"/>
      <c r="CR63" s="727"/>
      <c r="CS63" s="727"/>
      <c r="CT63" s="727"/>
      <c r="CU63" s="727"/>
      <c r="CV63" s="727"/>
      <c r="CW63" s="727"/>
      <c r="CX63" s="727"/>
      <c r="CY63" s="727"/>
      <c r="CZ63" s="727"/>
      <c r="DA63" s="727"/>
      <c r="DB63" s="727"/>
      <c r="DC63" s="727"/>
      <c r="DD63" s="727"/>
      <c r="DE63" s="727"/>
      <c r="DF63" s="727"/>
      <c r="DG63" s="727"/>
      <c r="DH63" s="727"/>
      <c r="DI63" s="727"/>
      <c r="DJ63" s="727"/>
      <c r="DK63" s="727"/>
      <c r="DL63" s="727"/>
      <c r="DM63" s="727"/>
      <c r="DN63" s="727"/>
      <c r="DO63" s="727"/>
      <c r="DP63" s="727"/>
      <c r="DQ63" s="727"/>
      <c r="DR63" s="727"/>
      <c r="DS63" s="727"/>
      <c r="DT63" s="727"/>
      <c r="DU63" s="727"/>
      <c r="DV63" s="727"/>
      <c r="DW63" s="727"/>
      <c r="DX63" s="727"/>
      <c r="DY63" s="727"/>
      <c r="DZ63" s="727"/>
      <c r="EA63" s="727"/>
      <c r="EB63" s="727"/>
      <c r="EC63" s="727"/>
      <c r="ED63" s="727"/>
      <c r="EE63" s="727"/>
      <c r="EF63" s="727"/>
      <c r="EG63" s="727"/>
      <c r="EH63" s="727"/>
      <c r="EI63" s="727"/>
      <c r="EJ63" s="727"/>
      <c r="EK63" s="727"/>
      <c r="EL63" s="727"/>
      <c r="EM63" s="727"/>
      <c r="EN63" s="727"/>
      <c r="EO63" s="727"/>
      <c r="EP63" s="727"/>
      <c r="EQ63" s="727"/>
      <c r="ER63" s="727"/>
      <c r="ES63" s="727"/>
      <c r="ET63" s="727"/>
      <c r="EU63" s="727"/>
      <c r="EV63" s="727"/>
      <c r="EW63" s="727"/>
      <c r="EX63" s="727"/>
      <c r="EY63" s="727"/>
      <c r="EZ63" s="727"/>
      <c r="FA63" s="727"/>
      <c r="FB63" s="727"/>
      <c r="FC63" s="727"/>
      <c r="FD63" s="727"/>
      <c r="FE63" s="727"/>
      <c r="FF63" s="727"/>
      <c r="FG63" s="727"/>
      <c r="FH63" s="727"/>
      <c r="FI63" s="727"/>
      <c r="FJ63" s="727"/>
      <c r="FK63" s="727"/>
      <c r="FL63" s="727"/>
      <c r="FM63" s="727"/>
      <c r="FN63" s="727"/>
      <c r="FO63" s="727"/>
      <c r="FP63" s="727"/>
      <c r="FQ63" s="727"/>
      <c r="FR63" s="727"/>
      <c r="FS63" s="727"/>
      <c r="FT63" s="727"/>
      <c r="FU63" s="727"/>
      <c r="FV63" s="727"/>
      <c r="FW63" s="727"/>
      <c r="FX63" s="727"/>
      <c r="FY63" s="727"/>
      <c r="FZ63" s="727"/>
      <c r="GA63" s="727"/>
      <c r="GB63" s="727"/>
      <c r="GC63" s="727"/>
      <c r="GD63" s="727"/>
      <c r="GE63" s="727"/>
      <c r="GF63" s="727"/>
      <c r="GG63" s="727"/>
      <c r="GH63" s="727"/>
      <c r="GI63" s="727"/>
      <c r="GJ63" s="727"/>
      <c r="GK63" s="727"/>
      <c r="GL63" s="727"/>
      <c r="GM63" s="727"/>
      <c r="GN63" s="727"/>
      <c r="GO63" s="727"/>
      <c r="GP63" s="727"/>
      <c r="GQ63" s="727"/>
      <c r="GR63" s="727"/>
      <c r="GS63" s="727"/>
      <c r="GT63" s="727"/>
      <c r="GU63" s="727"/>
    </row>
    <row r="64" spans="1:203" ht="15" customHeight="1" x14ac:dyDescent="0.2">
      <c r="A64" s="697">
        <v>3555</v>
      </c>
      <c r="B64" s="697"/>
      <c r="C64" s="698" t="s">
        <v>82</v>
      </c>
      <c r="D64" s="699" t="s">
        <v>82</v>
      </c>
      <c r="E64" s="700">
        <f t="shared" si="5"/>
        <v>79394.100099999996</v>
      </c>
      <c r="F64" s="700">
        <v>0</v>
      </c>
      <c r="G64" s="701">
        <f t="shared" si="7"/>
        <v>79394.100099999996</v>
      </c>
      <c r="H64" s="698" t="s">
        <v>10</v>
      </c>
      <c r="I64" s="699" t="s">
        <v>1512</v>
      </c>
      <c r="J64" s="699" t="s">
        <v>10</v>
      </c>
      <c r="K64" s="699" t="s">
        <v>1545</v>
      </c>
      <c r="L64" s="699" t="s">
        <v>10</v>
      </c>
      <c r="M64" s="702">
        <v>18</v>
      </c>
      <c r="N64" s="702">
        <v>0.995</v>
      </c>
      <c r="O64" s="702">
        <v>0.995</v>
      </c>
      <c r="P64" s="702">
        <v>0.97799999999999998</v>
      </c>
      <c r="Q64" s="702">
        <v>0.99099999999999999</v>
      </c>
      <c r="R64" s="702">
        <v>0</v>
      </c>
      <c r="S64" s="702">
        <v>409459</v>
      </c>
      <c r="T64" s="7">
        <f t="shared" si="8"/>
        <v>79394.100099999996</v>
      </c>
      <c r="U64" s="702">
        <v>309802</v>
      </c>
      <c r="V64" s="702">
        <v>99657</v>
      </c>
      <c r="W64" s="702">
        <v>1111</v>
      </c>
      <c r="X64" s="702">
        <v>0</v>
      </c>
      <c r="Y64" s="702">
        <v>0</v>
      </c>
      <c r="Z64" s="702">
        <v>0</v>
      </c>
      <c r="AA64" s="702">
        <v>488853.10009999998</v>
      </c>
      <c r="AB64" s="702">
        <v>79394.100099999996</v>
      </c>
      <c r="AC64" s="702">
        <v>409459</v>
      </c>
      <c r="AD64" s="702">
        <v>0</v>
      </c>
      <c r="AE64" s="702">
        <v>0</v>
      </c>
      <c r="AF64" s="702">
        <v>0</v>
      </c>
      <c r="AG64" s="702">
        <v>409459</v>
      </c>
      <c r="AH64" s="702">
        <v>0</v>
      </c>
      <c r="AI64" s="702">
        <v>0</v>
      </c>
      <c r="AJ64" s="698">
        <v>4</v>
      </c>
      <c r="AK64" s="698" t="s">
        <v>899</v>
      </c>
      <c r="AL64" s="699" t="s">
        <v>1512</v>
      </c>
      <c r="AM64" s="698" t="s">
        <v>10</v>
      </c>
      <c r="AN64" s="699" t="s">
        <v>82</v>
      </c>
      <c r="AO64" s="699">
        <v>79394.100099999996</v>
      </c>
      <c r="AP64" s="703">
        <f t="shared" si="9"/>
        <v>21</v>
      </c>
      <c r="AQ64" s="703">
        <f t="shared" si="4"/>
        <v>25</v>
      </c>
      <c r="AR64" s="697">
        <v>0</v>
      </c>
      <c r="AS64" s="697">
        <v>0</v>
      </c>
      <c r="AT64" s="697">
        <v>20</v>
      </c>
      <c r="AU64" s="697">
        <v>0</v>
      </c>
      <c r="AV64" s="697">
        <v>0</v>
      </c>
      <c r="AW64" s="697">
        <v>0</v>
      </c>
      <c r="AX64" s="697">
        <v>0</v>
      </c>
      <c r="AY64" s="697">
        <v>1</v>
      </c>
      <c r="AZ64" s="697">
        <v>0</v>
      </c>
      <c r="BA64" s="697">
        <v>0</v>
      </c>
      <c r="BB64" s="697">
        <v>0</v>
      </c>
      <c r="BC64" s="697">
        <v>4</v>
      </c>
      <c r="BD64" s="697">
        <v>0</v>
      </c>
      <c r="BE64" s="697">
        <v>0</v>
      </c>
      <c r="BF64" s="697">
        <v>0</v>
      </c>
      <c r="BG64" s="697">
        <v>0</v>
      </c>
      <c r="BH64" s="697">
        <v>0</v>
      </c>
      <c r="BI64" s="697">
        <v>0</v>
      </c>
      <c r="BJ64" s="697">
        <v>0</v>
      </c>
      <c r="BK64" s="697">
        <v>0</v>
      </c>
      <c r="BL64" s="697">
        <v>0</v>
      </c>
      <c r="BM64" s="697">
        <v>0</v>
      </c>
      <c r="BN64" s="697">
        <v>0</v>
      </c>
      <c r="BO64" s="697">
        <v>0</v>
      </c>
      <c r="CC64" s="727"/>
      <c r="CD64" s="727"/>
      <c r="CE64" s="727"/>
      <c r="CF64" s="727"/>
      <c r="CG64" s="727"/>
      <c r="CH64" s="727"/>
      <c r="CI64" s="727"/>
      <c r="CJ64" s="727"/>
      <c r="CK64" s="727"/>
      <c r="CL64" s="727"/>
      <c r="CM64" s="727"/>
      <c r="CN64" s="727"/>
      <c r="CO64" s="727"/>
      <c r="CP64" s="727"/>
      <c r="CQ64" s="727"/>
      <c r="CR64" s="727"/>
      <c r="CS64" s="727"/>
      <c r="CT64" s="727"/>
      <c r="CU64" s="727"/>
      <c r="CV64" s="727"/>
      <c r="CW64" s="727"/>
      <c r="CX64" s="727"/>
      <c r="CY64" s="727"/>
      <c r="CZ64" s="727"/>
      <c r="DA64" s="727"/>
      <c r="DB64" s="727"/>
      <c r="DC64" s="727"/>
      <c r="DD64" s="727"/>
      <c r="DE64" s="727"/>
      <c r="DF64" s="727"/>
      <c r="DG64" s="727"/>
      <c r="DH64" s="727"/>
      <c r="DI64" s="727"/>
      <c r="DJ64" s="727"/>
      <c r="DK64" s="727"/>
      <c r="DL64" s="727"/>
      <c r="DM64" s="727"/>
      <c r="DN64" s="727"/>
      <c r="DO64" s="727"/>
      <c r="DP64" s="727"/>
      <c r="DQ64" s="727"/>
      <c r="DR64" s="727"/>
      <c r="DS64" s="727"/>
      <c r="DT64" s="727"/>
      <c r="DU64" s="727"/>
      <c r="DV64" s="727"/>
      <c r="DW64" s="727"/>
      <c r="DX64" s="727"/>
      <c r="DY64" s="727"/>
      <c r="DZ64" s="727"/>
      <c r="EA64" s="727"/>
      <c r="EB64" s="727"/>
      <c r="EC64" s="727"/>
      <c r="ED64" s="727"/>
      <c r="EE64" s="727"/>
      <c r="EF64" s="727"/>
      <c r="EG64" s="727"/>
      <c r="EH64" s="727"/>
      <c r="EI64" s="727"/>
      <c r="EJ64" s="727"/>
      <c r="EK64" s="727"/>
      <c r="EL64" s="727"/>
      <c r="EM64" s="727"/>
      <c r="EN64" s="727"/>
      <c r="EO64" s="727"/>
      <c r="EP64" s="727"/>
      <c r="EQ64" s="727"/>
      <c r="ER64" s="727"/>
      <c r="ES64" s="727"/>
      <c r="ET64" s="727"/>
      <c r="EU64" s="727"/>
      <c r="EV64" s="727"/>
      <c r="EW64" s="727"/>
      <c r="EX64" s="727"/>
      <c r="EY64" s="727"/>
      <c r="EZ64" s="727"/>
      <c r="FA64" s="727"/>
      <c r="FB64" s="727"/>
      <c r="FC64" s="727"/>
      <c r="FD64" s="727"/>
      <c r="FE64" s="727"/>
      <c r="FF64" s="727"/>
      <c r="FG64" s="727"/>
      <c r="FH64" s="727"/>
      <c r="FI64" s="727"/>
      <c r="FJ64" s="727"/>
      <c r="FK64" s="727"/>
      <c r="FL64" s="727"/>
      <c r="FM64" s="727"/>
      <c r="FN64" s="727"/>
      <c r="FO64" s="727"/>
      <c r="FP64" s="727"/>
      <c r="FQ64" s="727"/>
      <c r="FR64" s="727"/>
      <c r="FS64" s="727"/>
      <c r="FT64" s="727"/>
      <c r="FU64" s="727"/>
      <c r="FV64" s="727"/>
      <c r="FW64" s="727"/>
      <c r="FX64" s="727"/>
      <c r="FY64" s="727"/>
      <c r="FZ64" s="727"/>
      <c r="GA64" s="727"/>
      <c r="GB64" s="727"/>
      <c r="GC64" s="727"/>
      <c r="GD64" s="727"/>
      <c r="GE64" s="727"/>
      <c r="GF64" s="727"/>
      <c r="GG64" s="727"/>
      <c r="GH64" s="727"/>
      <c r="GI64" s="727"/>
      <c r="GJ64" s="727"/>
      <c r="GK64" s="727"/>
      <c r="GL64" s="727"/>
      <c r="GM64" s="727"/>
      <c r="GN64" s="727"/>
      <c r="GO64" s="727"/>
      <c r="GP64" s="727"/>
      <c r="GQ64" s="727"/>
      <c r="GR64" s="727"/>
      <c r="GS64" s="727"/>
      <c r="GT64" s="727"/>
      <c r="GU64" s="727"/>
    </row>
    <row r="65" spans="1:203" ht="15" customHeight="1" x14ac:dyDescent="0.2">
      <c r="A65" s="697">
        <v>1125</v>
      </c>
      <c r="B65" s="697" t="s">
        <v>1412</v>
      </c>
      <c r="C65" s="698" t="s">
        <v>84</v>
      </c>
      <c r="D65" s="699" t="s">
        <v>84</v>
      </c>
      <c r="E65" s="700">
        <f t="shared" si="5"/>
        <v>156408.25719999999</v>
      </c>
      <c r="F65" s="700">
        <v>0</v>
      </c>
      <c r="G65" s="701">
        <f t="shared" si="7"/>
        <v>156408.25719999999</v>
      </c>
      <c r="H65" s="698" t="s">
        <v>10</v>
      </c>
      <c r="I65" s="699" t="s">
        <v>1416</v>
      </c>
      <c r="J65" s="699" t="s">
        <v>1412</v>
      </c>
      <c r="K65" s="699" t="s">
        <v>87</v>
      </c>
      <c r="L65" s="699" t="s">
        <v>10</v>
      </c>
      <c r="M65" s="702">
        <v>75</v>
      </c>
      <c r="N65" s="702">
        <v>0.74399999999999999</v>
      </c>
      <c r="O65" s="702">
        <v>0.78700000000000003</v>
      </c>
      <c r="P65" s="702">
        <v>0.76700000000000002</v>
      </c>
      <c r="Q65" s="702">
        <v>0.82</v>
      </c>
      <c r="R65" s="702">
        <v>520231</v>
      </c>
      <c r="S65" s="702">
        <v>448933</v>
      </c>
      <c r="T65" s="7">
        <f t="shared" si="8"/>
        <v>154768.7225</v>
      </c>
      <c r="U65" s="702">
        <v>242666</v>
      </c>
      <c r="V65" s="702">
        <v>206267</v>
      </c>
      <c r="W65" s="702">
        <v>2090</v>
      </c>
      <c r="X65" s="702">
        <v>0</v>
      </c>
      <c r="Y65" s="702">
        <v>0</v>
      </c>
      <c r="Z65" s="702">
        <v>0</v>
      </c>
      <c r="AA65" s="702">
        <v>603701.72250000003</v>
      </c>
      <c r="AB65" s="702">
        <v>154768.7225</v>
      </c>
      <c r="AC65" s="702">
        <v>448933</v>
      </c>
      <c r="AD65" s="702">
        <v>0</v>
      </c>
      <c r="AE65" s="702">
        <v>0</v>
      </c>
      <c r="AF65" s="702">
        <v>448933</v>
      </c>
      <c r="AG65" s="702">
        <v>0</v>
      </c>
      <c r="AH65" s="702">
        <v>338000</v>
      </c>
      <c r="AI65" s="702">
        <v>392000</v>
      </c>
      <c r="AJ65" s="698" t="s">
        <v>908</v>
      </c>
      <c r="AK65" s="698" t="s">
        <v>909</v>
      </c>
      <c r="AL65" s="699" t="s">
        <v>1416</v>
      </c>
      <c r="AM65" s="698" t="s">
        <v>10</v>
      </c>
      <c r="AN65" s="699" t="s">
        <v>84</v>
      </c>
      <c r="AO65" s="699">
        <v>154768.7225</v>
      </c>
      <c r="AP65" s="703">
        <f t="shared" si="9"/>
        <v>91.834300000000013</v>
      </c>
      <c r="AQ65" s="703">
        <f t="shared" si="4"/>
        <v>98.834300000000013</v>
      </c>
      <c r="AR65" s="697">
        <v>17</v>
      </c>
      <c r="AS65" s="697">
        <v>392</v>
      </c>
      <c r="AT65" s="697">
        <v>37</v>
      </c>
      <c r="AU65" s="697">
        <v>0</v>
      </c>
      <c r="AV65" s="697">
        <v>0</v>
      </c>
      <c r="AW65" s="697">
        <v>0</v>
      </c>
      <c r="AX65" s="697">
        <v>0</v>
      </c>
      <c r="AY65" s="697">
        <v>0</v>
      </c>
      <c r="AZ65" s="697">
        <v>0</v>
      </c>
      <c r="BA65" s="697">
        <v>0</v>
      </c>
      <c r="BB65" s="697">
        <v>5</v>
      </c>
      <c r="BC65" s="697">
        <v>2</v>
      </c>
      <c r="BD65" s="697">
        <v>0</v>
      </c>
      <c r="BE65" s="697">
        <v>0</v>
      </c>
      <c r="BF65" s="697">
        <v>0</v>
      </c>
      <c r="BG65" s="697">
        <v>0</v>
      </c>
      <c r="BH65" s="697">
        <v>0</v>
      </c>
      <c r="BI65" s="697">
        <v>0</v>
      </c>
      <c r="BJ65" s="697">
        <v>0</v>
      </c>
      <c r="BK65" s="697">
        <v>0</v>
      </c>
      <c r="BL65" s="697">
        <v>0</v>
      </c>
      <c r="BM65" s="697">
        <v>0</v>
      </c>
      <c r="BN65" s="697">
        <v>0</v>
      </c>
      <c r="BO65" s="697">
        <v>378.34300000000002</v>
      </c>
      <c r="CC65" s="727"/>
      <c r="CD65" s="727"/>
      <c r="CE65" s="727"/>
      <c r="CF65" s="727"/>
      <c r="CG65" s="727"/>
      <c r="CH65" s="727"/>
      <c r="CI65" s="727"/>
      <c r="CJ65" s="727"/>
      <c r="CK65" s="727"/>
      <c r="CL65" s="727"/>
      <c r="CM65" s="727"/>
      <c r="CN65" s="727"/>
      <c r="CO65" s="727"/>
      <c r="CP65" s="727"/>
      <c r="CQ65" s="727"/>
      <c r="CR65" s="727"/>
      <c r="CS65" s="727"/>
      <c r="CT65" s="727"/>
      <c r="CU65" s="727"/>
      <c r="CV65" s="727"/>
      <c r="CW65" s="727"/>
      <c r="CX65" s="727"/>
      <c r="CY65" s="727"/>
      <c r="CZ65" s="727"/>
      <c r="DA65" s="727"/>
      <c r="DB65" s="727"/>
      <c r="DC65" s="727"/>
      <c r="DD65" s="727"/>
      <c r="DE65" s="727"/>
      <c r="DF65" s="727"/>
      <c r="DG65" s="727"/>
      <c r="DH65" s="727"/>
      <c r="DI65" s="727"/>
      <c r="DJ65" s="727"/>
      <c r="DK65" s="727"/>
      <c r="DL65" s="727"/>
      <c r="DM65" s="727"/>
      <c r="DN65" s="727"/>
      <c r="DO65" s="727"/>
      <c r="DP65" s="727"/>
      <c r="DQ65" s="727"/>
      <c r="DR65" s="727"/>
      <c r="DS65" s="727"/>
      <c r="DT65" s="727"/>
      <c r="DU65" s="727"/>
      <c r="DV65" s="727"/>
      <c r="DW65" s="727"/>
      <c r="DX65" s="727"/>
      <c r="DY65" s="727"/>
      <c r="DZ65" s="727"/>
      <c r="EA65" s="727"/>
      <c r="EB65" s="727"/>
      <c r="EC65" s="727"/>
      <c r="ED65" s="727"/>
      <c r="EE65" s="727"/>
      <c r="EF65" s="727"/>
      <c r="EG65" s="727"/>
      <c r="EH65" s="727"/>
      <c r="EI65" s="727"/>
      <c r="EJ65" s="727"/>
      <c r="EK65" s="727"/>
      <c r="EL65" s="727"/>
      <c r="EM65" s="727"/>
      <c r="EN65" s="727"/>
      <c r="EO65" s="727"/>
      <c r="EP65" s="727"/>
      <c r="EQ65" s="727"/>
      <c r="ER65" s="727"/>
      <c r="ES65" s="727"/>
      <c r="ET65" s="727"/>
      <c r="EU65" s="727"/>
      <c r="EV65" s="727"/>
      <c r="EW65" s="727"/>
      <c r="EX65" s="727"/>
      <c r="EY65" s="727"/>
      <c r="EZ65" s="727"/>
      <c r="FA65" s="727"/>
      <c r="FB65" s="727"/>
      <c r="FC65" s="727"/>
      <c r="FD65" s="727"/>
      <c r="FE65" s="727"/>
      <c r="FF65" s="727"/>
      <c r="FG65" s="727"/>
      <c r="FH65" s="727"/>
      <c r="FI65" s="727"/>
      <c r="FJ65" s="727"/>
      <c r="FK65" s="727"/>
      <c r="FL65" s="727"/>
      <c r="FM65" s="727"/>
      <c r="FN65" s="727"/>
      <c r="FO65" s="727"/>
      <c r="FP65" s="727"/>
      <c r="FQ65" s="727"/>
      <c r="FR65" s="727"/>
      <c r="FS65" s="727"/>
      <c r="FT65" s="727"/>
      <c r="FU65" s="727"/>
      <c r="FV65" s="727"/>
      <c r="FW65" s="727"/>
      <c r="FX65" s="727"/>
      <c r="FY65" s="727"/>
      <c r="FZ65" s="727"/>
      <c r="GA65" s="727"/>
      <c r="GB65" s="727"/>
      <c r="GC65" s="727"/>
      <c r="GD65" s="727"/>
      <c r="GE65" s="727"/>
      <c r="GF65" s="727"/>
      <c r="GG65" s="727"/>
      <c r="GH65" s="727"/>
      <c r="GI65" s="727"/>
      <c r="GJ65" s="727"/>
      <c r="GK65" s="727"/>
      <c r="GL65" s="727"/>
      <c r="GM65" s="727"/>
      <c r="GN65" s="727"/>
      <c r="GO65" s="727"/>
      <c r="GP65" s="727"/>
      <c r="GQ65" s="727"/>
      <c r="GR65" s="727"/>
      <c r="GS65" s="727"/>
      <c r="GT65" s="727"/>
      <c r="GU65" s="727"/>
    </row>
    <row r="66" spans="1:203" s="728" customFormat="1" ht="15" customHeight="1" x14ac:dyDescent="0.2">
      <c r="A66" s="697">
        <v>1145</v>
      </c>
      <c r="B66" s="697" t="s">
        <v>1412</v>
      </c>
      <c r="C66" s="698" t="s">
        <v>88</v>
      </c>
      <c r="D66" s="699" t="s">
        <v>88</v>
      </c>
      <c r="E66" s="700">
        <f t="shared" si="5"/>
        <v>161965.93400000001</v>
      </c>
      <c r="F66" s="700">
        <v>0</v>
      </c>
      <c r="G66" s="701">
        <f t="shared" ref="G66:G97" si="10">E66+F66</f>
        <v>161965.93400000001</v>
      </c>
      <c r="H66" s="698" t="s">
        <v>1417</v>
      </c>
      <c r="I66" s="699" t="s">
        <v>1416</v>
      </c>
      <c r="J66" s="699" t="s">
        <v>1412</v>
      </c>
      <c r="K66" s="699" t="s">
        <v>91</v>
      </c>
      <c r="L66" s="699" t="s">
        <v>10</v>
      </c>
      <c r="M66" s="702">
        <v>72</v>
      </c>
      <c r="N66" s="702">
        <v>0.96199999999999997</v>
      </c>
      <c r="O66" s="702">
        <v>0.96199999999999997</v>
      </c>
      <c r="P66" s="702">
        <v>0.98899999999999999</v>
      </c>
      <c r="Q66" s="702">
        <v>1</v>
      </c>
      <c r="R66" s="702">
        <v>1043979</v>
      </c>
      <c r="S66" s="702">
        <v>464885</v>
      </c>
      <c r="T66" s="7">
        <f>IF(I66="regional",IF(R66&gt;0,R66*0.2975,S66*0.3484),S66*0.1939)</f>
        <v>310583.7525</v>
      </c>
      <c r="U66" s="702">
        <v>0</v>
      </c>
      <c r="V66" s="702">
        <v>464885</v>
      </c>
      <c r="W66" s="702">
        <v>5500</v>
      </c>
      <c r="X66" s="702">
        <v>0</v>
      </c>
      <c r="Y66" s="702">
        <v>0</v>
      </c>
      <c r="Z66" s="702">
        <v>0</v>
      </c>
      <c r="AA66" s="702">
        <v>775468.75249999994</v>
      </c>
      <c r="AB66" s="702">
        <v>310583.7525</v>
      </c>
      <c r="AC66" s="702">
        <v>464885</v>
      </c>
      <c r="AD66" s="702">
        <v>0</v>
      </c>
      <c r="AE66" s="702">
        <v>0</v>
      </c>
      <c r="AF66" s="702">
        <v>464885</v>
      </c>
      <c r="AG66" s="702">
        <v>0</v>
      </c>
      <c r="AH66" s="702">
        <v>1044000</v>
      </c>
      <c r="AI66" s="702">
        <v>1045000</v>
      </c>
      <c r="AJ66" s="698" t="s">
        <v>914</v>
      </c>
      <c r="AK66" s="698" t="s">
        <v>920</v>
      </c>
      <c r="AL66" s="699" t="s">
        <v>1416</v>
      </c>
      <c r="AM66" s="698" t="s">
        <v>1417</v>
      </c>
      <c r="AN66" s="699" t="s">
        <v>88</v>
      </c>
      <c r="AO66" s="699">
        <v>310583.7525</v>
      </c>
      <c r="AP66" s="703">
        <f t="shared" si="9"/>
        <v>349.06700000000001</v>
      </c>
      <c r="AQ66" s="703">
        <f t="shared" si="4"/>
        <v>399.06700000000001</v>
      </c>
      <c r="AR66" s="723">
        <v>133</v>
      </c>
      <c r="AS66" s="723">
        <v>1045</v>
      </c>
      <c r="AT66" s="723">
        <v>80</v>
      </c>
      <c r="AU66" s="723">
        <v>0</v>
      </c>
      <c r="AV66" s="723">
        <v>0</v>
      </c>
      <c r="AW66" s="723">
        <v>122</v>
      </c>
      <c r="AX66" s="723">
        <v>0</v>
      </c>
      <c r="AY66" s="723">
        <v>0</v>
      </c>
      <c r="AZ66" s="723">
        <v>22</v>
      </c>
      <c r="BA66" s="723">
        <v>133</v>
      </c>
      <c r="BB66" s="723">
        <v>50</v>
      </c>
      <c r="BC66" s="723">
        <v>0</v>
      </c>
      <c r="BD66" s="723">
        <v>31</v>
      </c>
      <c r="BE66" s="723">
        <v>0</v>
      </c>
      <c r="BF66" s="723">
        <v>0</v>
      </c>
      <c r="BG66" s="723">
        <v>0</v>
      </c>
      <c r="BH66" s="723">
        <v>78</v>
      </c>
      <c r="BI66" s="723">
        <v>6</v>
      </c>
      <c r="BJ66" s="723">
        <v>0</v>
      </c>
      <c r="BK66" s="723">
        <v>0</v>
      </c>
      <c r="BL66" s="723">
        <v>5067</v>
      </c>
      <c r="BM66" s="723">
        <v>0</v>
      </c>
      <c r="BN66" s="723">
        <v>0</v>
      </c>
      <c r="BO66" s="723">
        <v>0</v>
      </c>
      <c r="BP66" s="392"/>
      <c r="BQ66" s="392"/>
      <c r="BR66" s="392"/>
      <c r="BS66" s="392"/>
      <c r="BT66" s="392"/>
      <c r="BU66" s="392"/>
      <c r="BV66" s="392"/>
      <c r="BW66" s="392"/>
      <c r="BX66" s="392"/>
      <c r="BY66" s="392"/>
      <c r="BZ66" s="392"/>
      <c r="CA66" s="392"/>
      <c r="CB66" s="392"/>
      <c r="CC66" s="392"/>
      <c r="CD66" s="392"/>
      <c r="CE66" s="392"/>
      <c r="CF66" s="392"/>
      <c r="CG66" s="392"/>
      <c r="CH66" s="392"/>
      <c r="CI66" s="392"/>
      <c r="CJ66" s="392"/>
      <c r="CK66" s="392"/>
      <c r="CL66" s="392"/>
      <c r="CM66" s="392"/>
      <c r="CN66" s="392"/>
      <c r="CO66" s="392"/>
      <c r="CP66" s="392"/>
      <c r="CQ66" s="392"/>
      <c r="CR66" s="392"/>
      <c r="CS66" s="392"/>
      <c r="CT66" s="392"/>
      <c r="CU66" s="392"/>
      <c r="CV66" s="392"/>
      <c r="CW66" s="392"/>
      <c r="CX66" s="392"/>
      <c r="CY66" s="392"/>
      <c r="CZ66" s="392"/>
      <c r="DA66" s="392"/>
      <c r="DB66" s="392"/>
      <c r="DC66" s="392"/>
      <c r="DD66" s="392"/>
      <c r="DE66" s="392"/>
      <c r="DF66" s="392"/>
      <c r="DG66" s="392"/>
      <c r="DH66" s="392"/>
      <c r="DI66" s="392"/>
      <c r="DJ66" s="392"/>
      <c r="DK66" s="392"/>
      <c r="DL66" s="392"/>
      <c r="DM66" s="392"/>
      <c r="DN66" s="392"/>
      <c r="DO66" s="392"/>
      <c r="DP66" s="392"/>
      <c r="DQ66" s="392"/>
      <c r="DR66" s="392"/>
      <c r="DS66" s="392"/>
      <c r="DT66" s="392"/>
      <c r="DU66" s="392"/>
      <c r="DV66" s="392"/>
      <c r="DW66" s="392"/>
      <c r="DX66" s="392"/>
      <c r="DY66" s="392"/>
      <c r="DZ66" s="392"/>
      <c r="EA66" s="392"/>
      <c r="EB66" s="392"/>
      <c r="EC66" s="392"/>
      <c r="ED66" s="392"/>
      <c r="EE66" s="392"/>
      <c r="EF66" s="392"/>
      <c r="EG66" s="392"/>
      <c r="EH66" s="392"/>
      <c r="EI66" s="392"/>
      <c r="EJ66" s="392"/>
      <c r="EK66" s="392"/>
      <c r="EL66" s="392"/>
      <c r="EM66" s="392"/>
      <c r="EN66" s="392"/>
      <c r="EO66" s="392"/>
      <c r="EP66" s="392"/>
      <c r="EQ66" s="392"/>
      <c r="ER66" s="392"/>
      <c r="ES66" s="392"/>
      <c r="ET66" s="392"/>
      <c r="EU66" s="392"/>
      <c r="EV66" s="392"/>
      <c r="EW66" s="392"/>
      <c r="EX66" s="392"/>
      <c r="EY66" s="392"/>
      <c r="EZ66" s="392"/>
      <c r="FA66" s="392"/>
      <c r="FB66" s="392"/>
      <c r="FC66" s="392"/>
      <c r="FD66" s="392"/>
      <c r="FE66" s="392"/>
      <c r="FF66" s="392"/>
      <c r="FG66" s="392"/>
      <c r="FH66" s="392"/>
      <c r="FI66" s="392"/>
      <c r="FJ66" s="392"/>
      <c r="FK66" s="392"/>
      <c r="FL66" s="392"/>
      <c r="FM66" s="392"/>
      <c r="FN66" s="392"/>
      <c r="FO66" s="392"/>
      <c r="FP66" s="392"/>
      <c r="FQ66" s="392"/>
      <c r="FR66" s="392"/>
      <c r="FS66" s="392"/>
      <c r="FT66" s="392"/>
      <c r="FU66" s="392"/>
      <c r="FV66" s="392"/>
      <c r="FW66" s="392"/>
      <c r="FX66" s="392"/>
      <c r="FY66" s="392"/>
      <c r="FZ66" s="392"/>
      <c r="GA66" s="392"/>
      <c r="GB66" s="392"/>
      <c r="GC66" s="392"/>
      <c r="GD66" s="392"/>
      <c r="GE66" s="392"/>
      <c r="GF66" s="392"/>
      <c r="GG66" s="392"/>
      <c r="GH66" s="392"/>
      <c r="GI66" s="392"/>
      <c r="GJ66" s="392"/>
      <c r="GK66" s="392"/>
      <c r="GL66" s="392"/>
      <c r="GM66" s="392"/>
      <c r="GN66" s="392"/>
      <c r="GO66" s="392"/>
      <c r="GP66" s="392"/>
      <c r="GQ66" s="392"/>
      <c r="GR66" s="392"/>
      <c r="GS66" s="392"/>
      <c r="GT66" s="392"/>
      <c r="GU66" s="392"/>
    </row>
    <row r="67" spans="1:203" ht="15" customHeight="1" x14ac:dyDescent="0.2">
      <c r="A67" s="722">
        <v>1148</v>
      </c>
      <c r="B67" s="722" t="s">
        <v>1412</v>
      </c>
      <c r="C67" s="725" t="s">
        <v>923</v>
      </c>
      <c r="D67" s="706" t="s">
        <v>923</v>
      </c>
      <c r="E67" s="700" t="e">
        <f t="shared" si="5"/>
        <v>#VALUE!</v>
      </c>
      <c r="F67" s="707" t="s">
        <v>10</v>
      </c>
      <c r="G67" s="701" t="e">
        <f t="shared" si="10"/>
        <v>#VALUE!</v>
      </c>
      <c r="H67" s="705" t="s">
        <v>1417</v>
      </c>
      <c r="I67" s="706" t="s">
        <v>1416</v>
      </c>
      <c r="J67" s="706" t="s">
        <v>10</v>
      </c>
      <c r="K67" s="706" t="s">
        <v>10</v>
      </c>
      <c r="L67" s="706" t="s">
        <v>10</v>
      </c>
      <c r="M67" s="708" t="s">
        <v>10</v>
      </c>
      <c r="N67" s="708" t="s">
        <v>10</v>
      </c>
      <c r="O67" s="708" t="s">
        <v>10</v>
      </c>
      <c r="P67" s="708" t="s">
        <v>10</v>
      </c>
      <c r="Q67" s="708" t="s">
        <v>10</v>
      </c>
      <c r="R67" s="708" t="s">
        <v>10</v>
      </c>
      <c r="S67" s="708" t="s">
        <v>10</v>
      </c>
      <c r="T67" s="7" t="e">
        <f t="shared" ref="T67:T130" si="11">IF(I67="regional",IF(R67&gt;0,R67*0.2975,S67*0.3484),S67*0.1939)</f>
        <v>#VALUE!</v>
      </c>
      <c r="U67" s="708" t="s">
        <v>10</v>
      </c>
      <c r="V67" s="708" t="s">
        <v>10</v>
      </c>
      <c r="W67" s="708" t="s">
        <v>10</v>
      </c>
      <c r="X67" s="708" t="s">
        <v>10</v>
      </c>
      <c r="Y67" s="708" t="s">
        <v>10</v>
      </c>
      <c r="Z67" s="708" t="s">
        <v>10</v>
      </c>
      <c r="AA67" s="708" t="s">
        <v>10</v>
      </c>
      <c r="AB67" s="708" t="s">
        <v>10</v>
      </c>
      <c r="AC67" s="708" t="s">
        <v>10</v>
      </c>
      <c r="AD67" s="708" t="s">
        <v>10</v>
      </c>
      <c r="AE67" s="708" t="s">
        <v>10</v>
      </c>
      <c r="AF67" s="708" t="s">
        <v>10</v>
      </c>
      <c r="AG67" s="708" t="s">
        <v>10</v>
      </c>
      <c r="AH67" s="708" t="s">
        <v>10</v>
      </c>
      <c r="AI67" s="708" t="s">
        <v>10</v>
      </c>
      <c r="AJ67" s="705" t="s">
        <v>914</v>
      </c>
      <c r="AK67" s="705" t="s">
        <v>920</v>
      </c>
      <c r="AL67" s="718" t="s">
        <v>1578</v>
      </c>
      <c r="AM67" s="705" t="s">
        <v>1417</v>
      </c>
      <c r="AN67" s="718" t="s">
        <v>923</v>
      </c>
      <c r="AO67" s="718">
        <v>0</v>
      </c>
      <c r="AP67" s="719">
        <f t="shared" si="9"/>
        <v>437</v>
      </c>
      <c r="AQ67" s="703">
        <f t="shared" ref="AQ67:AQ130" si="12">AR67+AT67+AU67+AV67+AX67+AY67+AZ67+BB67+BC67+BD67+BF67+BG67+BH67+BJ67+BK67+(BL67+BM67+BN67)/1000+(0.1*BO67)</f>
        <v>503</v>
      </c>
      <c r="AR67" s="729">
        <v>32</v>
      </c>
      <c r="AS67" s="729">
        <v>567</v>
      </c>
      <c r="AT67" s="729">
        <v>270</v>
      </c>
      <c r="AU67" s="729">
        <v>0</v>
      </c>
      <c r="AV67" s="729">
        <v>0</v>
      </c>
      <c r="AW67" s="729">
        <v>0</v>
      </c>
      <c r="AX67" s="729">
        <v>26</v>
      </c>
      <c r="AY67" s="729">
        <v>0</v>
      </c>
      <c r="AZ67" s="729">
        <v>13</v>
      </c>
      <c r="BA67" s="729">
        <v>27</v>
      </c>
      <c r="BB67" s="729">
        <v>66</v>
      </c>
      <c r="BC67" s="729">
        <v>0</v>
      </c>
      <c r="BD67" s="729">
        <v>27</v>
      </c>
      <c r="BE67" s="729">
        <v>0</v>
      </c>
      <c r="BF67" s="729">
        <v>0</v>
      </c>
      <c r="BG67" s="729">
        <v>0</v>
      </c>
      <c r="BH67" s="729">
        <v>67</v>
      </c>
      <c r="BI67" s="729">
        <v>6</v>
      </c>
      <c r="BJ67" s="729">
        <v>0</v>
      </c>
      <c r="BK67" s="729">
        <v>0</v>
      </c>
      <c r="BL67" s="729">
        <v>0</v>
      </c>
      <c r="BM67" s="729">
        <v>2000</v>
      </c>
      <c r="BN67" s="729">
        <v>0</v>
      </c>
      <c r="BO67" s="730"/>
      <c r="CC67" s="727"/>
      <c r="CD67" s="727"/>
      <c r="CE67" s="727"/>
      <c r="CF67" s="727"/>
      <c r="CG67" s="727"/>
      <c r="CH67" s="727"/>
      <c r="CI67" s="727"/>
      <c r="CJ67" s="727"/>
      <c r="CK67" s="727"/>
      <c r="CL67" s="727"/>
      <c r="CM67" s="727"/>
      <c r="CN67" s="727"/>
      <c r="CO67" s="727"/>
      <c r="CP67" s="727"/>
      <c r="CQ67" s="727"/>
      <c r="CR67" s="727"/>
      <c r="CS67" s="727"/>
      <c r="CT67" s="727"/>
      <c r="CU67" s="727"/>
      <c r="CV67" s="727"/>
      <c r="CW67" s="727"/>
      <c r="CX67" s="727"/>
      <c r="CY67" s="727"/>
      <c r="CZ67" s="727"/>
      <c r="DA67" s="727"/>
      <c r="DB67" s="727"/>
      <c r="DC67" s="727"/>
      <c r="DD67" s="727"/>
      <c r="DE67" s="727"/>
      <c r="DF67" s="727"/>
      <c r="DG67" s="727"/>
      <c r="DH67" s="727"/>
      <c r="DI67" s="727"/>
      <c r="DJ67" s="727"/>
      <c r="DK67" s="727"/>
      <c r="DL67" s="727"/>
      <c r="DM67" s="727"/>
      <c r="DN67" s="727"/>
      <c r="DO67" s="727"/>
      <c r="DP67" s="727"/>
      <c r="DQ67" s="727"/>
      <c r="DR67" s="727"/>
      <c r="DS67" s="727"/>
      <c r="DT67" s="727"/>
      <c r="DU67" s="727"/>
      <c r="DV67" s="727"/>
      <c r="DW67" s="727"/>
      <c r="DX67" s="727"/>
      <c r="DY67" s="727"/>
      <c r="DZ67" s="727"/>
      <c r="EA67" s="727"/>
      <c r="EB67" s="727"/>
      <c r="EC67" s="727"/>
      <c r="ED67" s="727"/>
      <c r="EE67" s="727"/>
      <c r="EF67" s="727"/>
      <c r="EG67" s="727"/>
      <c r="EH67" s="727"/>
      <c r="EI67" s="727"/>
      <c r="EJ67" s="727"/>
      <c r="EK67" s="727"/>
      <c r="EL67" s="727"/>
      <c r="EM67" s="727"/>
      <c r="EN67" s="727"/>
      <c r="EO67" s="727"/>
      <c r="EP67" s="727"/>
      <c r="EQ67" s="727"/>
      <c r="ER67" s="727"/>
      <c r="ES67" s="727"/>
      <c r="ET67" s="727"/>
      <c r="EU67" s="727"/>
      <c r="EV67" s="727"/>
      <c r="EW67" s="727"/>
      <c r="EX67" s="727"/>
      <c r="EY67" s="727"/>
      <c r="EZ67" s="727"/>
      <c r="FA67" s="727"/>
      <c r="FB67" s="727"/>
      <c r="FC67" s="727"/>
      <c r="FD67" s="727"/>
      <c r="FE67" s="727"/>
      <c r="FF67" s="727"/>
      <c r="FG67" s="727"/>
      <c r="FH67" s="727"/>
      <c r="FI67" s="727"/>
      <c r="FJ67" s="727"/>
      <c r="FK67" s="727"/>
      <c r="FL67" s="727"/>
      <c r="FM67" s="727"/>
      <c r="FN67" s="727"/>
      <c r="FO67" s="727"/>
      <c r="FP67" s="727"/>
      <c r="FQ67" s="727"/>
      <c r="FR67" s="727"/>
      <c r="FS67" s="727"/>
      <c r="FT67" s="727"/>
      <c r="FU67" s="727"/>
      <c r="FV67" s="727"/>
      <c r="FW67" s="727"/>
      <c r="FX67" s="727"/>
      <c r="FY67" s="727"/>
      <c r="FZ67" s="727"/>
      <c r="GA67" s="727"/>
      <c r="GB67" s="727"/>
      <c r="GC67" s="727"/>
      <c r="GD67" s="727"/>
      <c r="GE67" s="727"/>
      <c r="GF67" s="727"/>
      <c r="GG67" s="727"/>
      <c r="GH67" s="727"/>
      <c r="GI67" s="727"/>
      <c r="GJ67" s="727"/>
      <c r="GK67" s="727"/>
      <c r="GL67" s="727"/>
      <c r="GM67" s="727"/>
      <c r="GN67" s="727"/>
      <c r="GO67" s="727"/>
      <c r="GP67" s="727"/>
      <c r="GQ67" s="727"/>
      <c r="GR67" s="727"/>
      <c r="GS67" s="727"/>
      <c r="GT67" s="727"/>
      <c r="GU67" s="727"/>
    </row>
    <row r="68" spans="1:203" ht="15" customHeight="1" x14ac:dyDescent="0.2">
      <c r="A68" s="697">
        <v>941</v>
      </c>
      <c r="B68" s="697"/>
      <c r="C68" s="698" t="s">
        <v>92</v>
      </c>
      <c r="D68" s="699" t="s">
        <v>92</v>
      </c>
      <c r="E68" s="700">
        <f t="shared" si="5"/>
        <v>62413.889299999995</v>
      </c>
      <c r="F68" s="700">
        <v>0</v>
      </c>
      <c r="G68" s="701">
        <f t="shared" si="10"/>
        <v>62413.889299999995</v>
      </c>
      <c r="H68" s="698" t="s">
        <v>10</v>
      </c>
      <c r="I68" s="699" t="s">
        <v>1512</v>
      </c>
      <c r="J68" s="699" t="s">
        <v>10</v>
      </c>
      <c r="K68" s="699" t="s">
        <v>1545</v>
      </c>
      <c r="L68" s="699" t="s">
        <v>10</v>
      </c>
      <c r="M68" s="702">
        <v>17</v>
      </c>
      <c r="N68" s="702">
        <v>0.84</v>
      </c>
      <c r="O68" s="702">
        <v>0.86599999999999999</v>
      </c>
      <c r="P68" s="702">
        <v>0.751</v>
      </c>
      <c r="Q68" s="702">
        <v>0.80100000000000005</v>
      </c>
      <c r="R68" s="702">
        <v>0</v>
      </c>
      <c r="S68" s="702">
        <v>321887</v>
      </c>
      <c r="T68" s="7">
        <f t="shared" si="11"/>
        <v>62413.889299999995</v>
      </c>
      <c r="U68" s="702">
        <v>278489</v>
      </c>
      <c r="V68" s="702">
        <v>43398</v>
      </c>
      <c r="W68" s="702">
        <v>1618</v>
      </c>
      <c r="X68" s="702">
        <v>0</v>
      </c>
      <c r="Y68" s="702">
        <v>0</v>
      </c>
      <c r="Z68" s="702">
        <v>0</v>
      </c>
      <c r="AA68" s="702">
        <v>384300.88929999998</v>
      </c>
      <c r="AB68" s="702">
        <v>62413.889300000003</v>
      </c>
      <c r="AC68" s="702">
        <v>321887</v>
      </c>
      <c r="AD68" s="702">
        <v>0</v>
      </c>
      <c r="AE68" s="702">
        <v>0</v>
      </c>
      <c r="AF68" s="702">
        <v>0</v>
      </c>
      <c r="AG68" s="702">
        <v>321887</v>
      </c>
      <c r="AH68" s="702">
        <v>0</v>
      </c>
      <c r="AI68" s="702">
        <v>0</v>
      </c>
      <c r="AJ68" s="698">
        <v>4</v>
      </c>
      <c r="AK68" s="698" t="s">
        <v>899</v>
      </c>
      <c r="AL68" s="699" t="s">
        <v>1512</v>
      </c>
      <c r="AM68" s="698" t="s">
        <v>10</v>
      </c>
      <c r="AN68" s="699" t="s">
        <v>92</v>
      </c>
      <c r="AO68" s="699">
        <v>62413.889300000003</v>
      </c>
      <c r="AP68" s="703">
        <f t="shared" si="9"/>
        <v>50</v>
      </c>
      <c r="AQ68" s="703">
        <f t="shared" si="12"/>
        <v>53</v>
      </c>
      <c r="AR68" s="697">
        <v>0</v>
      </c>
      <c r="AS68" s="697">
        <v>0</v>
      </c>
      <c r="AT68" s="697">
        <v>16</v>
      </c>
      <c r="AU68" s="697">
        <v>34</v>
      </c>
      <c r="AV68" s="697">
        <v>0</v>
      </c>
      <c r="AW68" s="697">
        <v>0</v>
      </c>
      <c r="AX68" s="697">
        <v>0</v>
      </c>
      <c r="AY68" s="697">
        <v>0</v>
      </c>
      <c r="AZ68" s="697">
        <v>0</v>
      </c>
      <c r="BA68" s="697">
        <v>0</v>
      </c>
      <c r="BB68" s="697">
        <v>2</v>
      </c>
      <c r="BC68" s="697">
        <v>1</v>
      </c>
      <c r="BD68" s="697">
        <v>0</v>
      </c>
      <c r="BE68" s="697">
        <v>0</v>
      </c>
      <c r="BF68" s="697">
        <v>0</v>
      </c>
      <c r="BG68" s="697">
        <v>0</v>
      </c>
      <c r="BH68" s="697">
        <v>0</v>
      </c>
      <c r="BI68" s="697">
        <v>0</v>
      </c>
      <c r="BJ68" s="697">
        <v>0</v>
      </c>
      <c r="BK68" s="697">
        <v>0</v>
      </c>
      <c r="BL68" s="731">
        <v>0</v>
      </c>
      <c r="BM68" s="731">
        <v>0</v>
      </c>
      <c r="BN68" s="731">
        <v>0</v>
      </c>
      <c r="BO68" s="697">
        <v>0</v>
      </c>
      <c r="CC68" s="727"/>
      <c r="CD68" s="727"/>
      <c r="CE68" s="727"/>
      <c r="CF68" s="727"/>
      <c r="CG68" s="727"/>
      <c r="CH68" s="727"/>
      <c r="CI68" s="727"/>
      <c r="CJ68" s="727"/>
      <c r="CK68" s="727"/>
      <c r="CL68" s="727"/>
      <c r="CM68" s="727"/>
      <c r="CN68" s="727"/>
      <c r="CO68" s="727"/>
      <c r="CP68" s="727"/>
      <c r="CQ68" s="727"/>
      <c r="CR68" s="727"/>
      <c r="CS68" s="727"/>
      <c r="CT68" s="727"/>
      <c r="CU68" s="727"/>
      <c r="CV68" s="727"/>
      <c r="CW68" s="727"/>
      <c r="CX68" s="727"/>
      <c r="CY68" s="727"/>
      <c r="CZ68" s="727"/>
      <c r="DA68" s="727"/>
      <c r="DB68" s="727"/>
      <c r="DC68" s="727"/>
      <c r="DD68" s="727"/>
      <c r="DE68" s="727"/>
      <c r="DF68" s="727"/>
      <c r="DG68" s="727"/>
      <c r="DH68" s="727"/>
      <c r="DI68" s="727"/>
      <c r="DJ68" s="727"/>
      <c r="DK68" s="727"/>
      <c r="DL68" s="727"/>
      <c r="DM68" s="727"/>
      <c r="DN68" s="727"/>
      <c r="DO68" s="727"/>
      <c r="DP68" s="727"/>
      <c r="DQ68" s="727"/>
      <c r="DR68" s="727"/>
      <c r="DS68" s="727"/>
      <c r="DT68" s="727"/>
      <c r="DU68" s="727"/>
      <c r="DV68" s="727"/>
      <c r="DW68" s="727"/>
      <c r="DX68" s="727"/>
      <c r="DY68" s="727"/>
      <c r="DZ68" s="727"/>
      <c r="EA68" s="727"/>
      <c r="EB68" s="727"/>
      <c r="EC68" s="727"/>
      <c r="ED68" s="727"/>
      <c r="EE68" s="727"/>
      <c r="EF68" s="727"/>
      <c r="EG68" s="727"/>
      <c r="EH68" s="727"/>
      <c r="EI68" s="727"/>
      <c r="EJ68" s="727"/>
      <c r="EK68" s="727"/>
      <c r="EL68" s="727"/>
      <c r="EM68" s="727"/>
      <c r="EN68" s="727"/>
      <c r="EO68" s="727"/>
      <c r="EP68" s="727"/>
      <c r="EQ68" s="727"/>
      <c r="ER68" s="727"/>
      <c r="ES68" s="727"/>
      <c r="ET68" s="727"/>
      <c r="EU68" s="727"/>
      <c r="EV68" s="727"/>
      <c r="EW68" s="727"/>
      <c r="EX68" s="727"/>
      <c r="EY68" s="727"/>
      <c r="EZ68" s="727"/>
      <c r="FA68" s="727"/>
      <c r="FB68" s="727"/>
      <c r="FC68" s="727"/>
      <c r="FD68" s="727"/>
      <c r="FE68" s="727"/>
      <c r="FF68" s="727"/>
      <c r="FG68" s="727"/>
      <c r="FH68" s="727"/>
      <c r="FI68" s="727"/>
      <c r="FJ68" s="727"/>
      <c r="FK68" s="727"/>
      <c r="FL68" s="727"/>
      <c r="FM68" s="727"/>
      <c r="FN68" s="727"/>
      <c r="FO68" s="727"/>
      <c r="FP68" s="727"/>
      <c r="FQ68" s="727"/>
      <c r="FR68" s="727"/>
      <c r="FS68" s="727"/>
      <c r="FT68" s="727"/>
      <c r="FU68" s="727"/>
      <c r="FV68" s="727"/>
      <c r="FW68" s="727"/>
      <c r="FX68" s="727"/>
      <c r="FY68" s="727"/>
      <c r="FZ68" s="727"/>
      <c r="GA68" s="727"/>
      <c r="GB68" s="727"/>
      <c r="GC68" s="727"/>
      <c r="GD68" s="727"/>
      <c r="GE68" s="727"/>
      <c r="GF68" s="727"/>
      <c r="GG68" s="727"/>
      <c r="GH68" s="727"/>
      <c r="GI68" s="727"/>
      <c r="GJ68" s="727"/>
      <c r="GK68" s="727"/>
      <c r="GL68" s="727"/>
      <c r="GM68" s="727"/>
      <c r="GN68" s="727"/>
      <c r="GO68" s="727"/>
      <c r="GP68" s="727"/>
      <c r="GQ68" s="727"/>
      <c r="GR68" s="727"/>
      <c r="GS68" s="727"/>
      <c r="GT68" s="727"/>
      <c r="GU68" s="727"/>
    </row>
    <row r="69" spans="1:203" ht="15" customHeight="1" x14ac:dyDescent="0.2">
      <c r="A69" s="697">
        <v>1504</v>
      </c>
      <c r="B69" s="697"/>
      <c r="C69" s="698" t="s">
        <v>94</v>
      </c>
      <c r="D69" s="699" t="s">
        <v>94</v>
      </c>
      <c r="E69" s="700">
        <f t="shared" si="5"/>
        <v>64294.432799999995</v>
      </c>
      <c r="F69" s="700">
        <v>0</v>
      </c>
      <c r="G69" s="701">
        <f t="shared" si="10"/>
        <v>64294.432799999995</v>
      </c>
      <c r="H69" s="698" t="s">
        <v>10</v>
      </c>
      <c r="I69" s="699" t="s">
        <v>1416</v>
      </c>
      <c r="J69" s="699" t="s">
        <v>1417</v>
      </c>
      <c r="K69" s="699" t="s">
        <v>96</v>
      </c>
      <c r="L69" s="699" t="s">
        <v>10</v>
      </c>
      <c r="M69" s="702">
        <v>23</v>
      </c>
      <c r="N69" s="702">
        <v>0.91900000000000004</v>
      </c>
      <c r="O69" s="702">
        <v>0.91900000000000004</v>
      </c>
      <c r="P69" s="702">
        <v>0.83699999999999997</v>
      </c>
      <c r="Q69" s="702">
        <v>0.93500000000000005</v>
      </c>
      <c r="R69" s="702">
        <v>197674</v>
      </c>
      <c r="S69" s="702">
        <v>184542</v>
      </c>
      <c r="T69" s="7">
        <f t="shared" si="11"/>
        <v>58808.014999999999</v>
      </c>
      <c r="U69" s="702">
        <v>92191</v>
      </c>
      <c r="V69" s="702">
        <v>92351</v>
      </c>
      <c r="W69" s="702">
        <v>970</v>
      </c>
      <c r="X69" s="702">
        <v>0</v>
      </c>
      <c r="Y69" s="702">
        <v>0</v>
      </c>
      <c r="Z69" s="702">
        <v>0</v>
      </c>
      <c r="AA69" s="702">
        <v>243350.01500000001</v>
      </c>
      <c r="AB69" s="702">
        <v>58808.014999999999</v>
      </c>
      <c r="AC69" s="702">
        <v>184542</v>
      </c>
      <c r="AD69" s="702">
        <v>0</v>
      </c>
      <c r="AE69" s="702">
        <v>0</v>
      </c>
      <c r="AF69" s="702">
        <v>0</v>
      </c>
      <c r="AG69" s="702">
        <v>184542</v>
      </c>
      <c r="AH69" s="702">
        <v>0</v>
      </c>
      <c r="AI69" s="702">
        <v>0</v>
      </c>
      <c r="AJ69" s="698">
        <v>4</v>
      </c>
      <c r="AK69" s="698" t="s">
        <v>921</v>
      </c>
      <c r="AL69" s="699" t="s">
        <v>1416</v>
      </c>
      <c r="AM69" s="698" t="s">
        <v>10</v>
      </c>
      <c r="AN69" s="699" t="s">
        <v>94</v>
      </c>
      <c r="AO69" s="699">
        <v>58808.014999999999</v>
      </c>
      <c r="AP69" s="703">
        <f t="shared" si="9"/>
        <v>29</v>
      </c>
      <c r="AQ69" s="703">
        <f t="shared" si="12"/>
        <v>31</v>
      </c>
      <c r="AR69" s="697">
        <v>0</v>
      </c>
      <c r="AS69" s="697">
        <v>0</v>
      </c>
      <c r="AT69" s="697">
        <v>16</v>
      </c>
      <c r="AU69" s="697">
        <v>6</v>
      </c>
      <c r="AV69" s="697">
        <v>0</v>
      </c>
      <c r="AW69" s="697">
        <v>0</v>
      </c>
      <c r="AX69" s="697">
        <v>6</v>
      </c>
      <c r="AY69" s="697">
        <v>1</v>
      </c>
      <c r="AZ69" s="697">
        <v>0</v>
      </c>
      <c r="BA69" s="697">
        <v>0</v>
      </c>
      <c r="BB69" s="697">
        <v>1</v>
      </c>
      <c r="BC69" s="697">
        <v>1</v>
      </c>
      <c r="BD69" s="697">
        <v>0</v>
      </c>
      <c r="BE69" s="697">
        <v>0</v>
      </c>
      <c r="BF69" s="697">
        <v>0</v>
      </c>
      <c r="BG69" s="697">
        <v>0</v>
      </c>
      <c r="BH69" s="697">
        <v>0</v>
      </c>
      <c r="BI69" s="697">
        <v>0</v>
      </c>
      <c r="BJ69" s="697">
        <v>0</v>
      </c>
      <c r="BK69" s="697">
        <v>0</v>
      </c>
      <c r="BL69" s="697">
        <v>0</v>
      </c>
      <c r="BM69" s="697">
        <v>0</v>
      </c>
      <c r="BN69" s="697">
        <v>0</v>
      </c>
      <c r="BO69" s="697">
        <v>0</v>
      </c>
      <c r="CC69" s="727"/>
      <c r="CD69" s="727"/>
      <c r="CE69" s="727"/>
      <c r="CF69" s="727"/>
      <c r="CG69" s="727"/>
      <c r="CH69" s="727"/>
      <c r="CI69" s="727"/>
      <c r="CJ69" s="727"/>
      <c r="CK69" s="727"/>
      <c r="CL69" s="727"/>
      <c r="CM69" s="727"/>
      <c r="CN69" s="727"/>
      <c r="CO69" s="727"/>
      <c r="CP69" s="727"/>
      <c r="CQ69" s="727"/>
      <c r="CR69" s="727"/>
      <c r="CS69" s="727"/>
      <c r="CT69" s="727"/>
      <c r="CU69" s="727"/>
      <c r="CV69" s="727"/>
      <c r="CW69" s="727"/>
      <c r="CX69" s="727"/>
      <c r="CY69" s="727"/>
      <c r="CZ69" s="727"/>
      <c r="DA69" s="727"/>
      <c r="DB69" s="727"/>
      <c r="DC69" s="727"/>
      <c r="DD69" s="727"/>
      <c r="DE69" s="727"/>
      <c r="DF69" s="727"/>
      <c r="DG69" s="727"/>
      <c r="DH69" s="727"/>
      <c r="DI69" s="727"/>
      <c r="DJ69" s="727"/>
      <c r="DK69" s="727"/>
      <c r="DL69" s="727"/>
      <c r="DM69" s="727"/>
      <c r="DN69" s="727"/>
      <c r="DO69" s="727"/>
      <c r="DP69" s="727"/>
      <c r="DQ69" s="727"/>
      <c r="DR69" s="727"/>
      <c r="DS69" s="727"/>
      <c r="DT69" s="727"/>
      <c r="DU69" s="727"/>
      <c r="DV69" s="727"/>
      <c r="DW69" s="727"/>
      <c r="DX69" s="727"/>
      <c r="DY69" s="727"/>
      <c r="DZ69" s="727"/>
      <c r="EA69" s="727"/>
      <c r="EB69" s="727"/>
      <c r="EC69" s="727"/>
      <c r="ED69" s="727"/>
      <c r="EE69" s="727"/>
      <c r="EF69" s="727"/>
      <c r="EG69" s="727"/>
      <c r="EH69" s="727"/>
      <c r="EI69" s="727"/>
      <c r="EJ69" s="727"/>
      <c r="EK69" s="727"/>
      <c r="EL69" s="727"/>
      <c r="EM69" s="727"/>
      <c r="EN69" s="727"/>
      <c r="EO69" s="727"/>
      <c r="EP69" s="727"/>
      <c r="EQ69" s="727"/>
      <c r="ER69" s="727"/>
      <c r="ES69" s="727"/>
      <c r="ET69" s="727"/>
      <c r="EU69" s="727"/>
      <c r="EV69" s="727"/>
      <c r="EW69" s="727"/>
      <c r="EX69" s="727"/>
      <c r="EY69" s="727"/>
      <c r="EZ69" s="727"/>
      <c r="FA69" s="727"/>
      <c r="FB69" s="727"/>
      <c r="FC69" s="727"/>
      <c r="FD69" s="727"/>
      <c r="FE69" s="727"/>
      <c r="FF69" s="727"/>
      <c r="FG69" s="727"/>
      <c r="FH69" s="727"/>
      <c r="FI69" s="727"/>
      <c r="FJ69" s="727"/>
      <c r="FK69" s="727"/>
      <c r="FL69" s="727"/>
      <c r="FM69" s="727"/>
      <c r="FN69" s="727"/>
      <c r="FO69" s="727"/>
      <c r="FP69" s="727"/>
      <c r="FQ69" s="727"/>
      <c r="FR69" s="727"/>
      <c r="FS69" s="727"/>
      <c r="FT69" s="727"/>
      <c r="FU69" s="727"/>
      <c r="FV69" s="727"/>
      <c r="FW69" s="727"/>
      <c r="FX69" s="727"/>
      <c r="FY69" s="727"/>
      <c r="FZ69" s="727"/>
      <c r="GA69" s="727"/>
      <c r="GB69" s="727"/>
      <c r="GC69" s="727"/>
      <c r="GD69" s="727"/>
      <c r="GE69" s="727"/>
      <c r="GF69" s="727"/>
      <c r="GG69" s="727"/>
      <c r="GH69" s="727"/>
      <c r="GI69" s="727"/>
      <c r="GJ69" s="727"/>
      <c r="GK69" s="727"/>
      <c r="GL69" s="727"/>
      <c r="GM69" s="727"/>
      <c r="GN69" s="727"/>
      <c r="GO69" s="727"/>
      <c r="GP69" s="727"/>
      <c r="GQ69" s="727"/>
      <c r="GR69" s="727"/>
      <c r="GS69" s="727"/>
      <c r="GT69" s="727"/>
      <c r="GU69" s="727"/>
    </row>
    <row r="70" spans="1:203" ht="15" customHeight="1" x14ac:dyDescent="0.2">
      <c r="A70" s="697">
        <v>509</v>
      </c>
      <c r="B70" s="697"/>
      <c r="C70" s="698" t="s">
        <v>97</v>
      </c>
      <c r="D70" s="699" t="s">
        <v>97</v>
      </c>
      <c r="E70" s="700">
        <f t="shared" si="5"/>
        <v>43498.3626</v>
      </c>
      <c r="F70" s="700">
        <v>0</v>
      </c>
      <c r="G70" s="701">
        <f t="shared" si="10"/>
        <v>43498.3626</v>
      </c>
      <c r="H70" s="698" t="s">
        <v>1417</v>
      </c>
      <c r="I70" s="699" t="s">
        <v>1512</v>
      </c>
      <c r="J70" s="699" t="s">
        <v>10</v>
      </c>
      <c r="K70" s="699" t="s">
        <v>99</v>
      </c>
      <c r="L70" s="699" t="s">
        <v>10</v>
      </c>
      <c r="M70" s="702">
        <v>30</v>
      </c>
      <c r="N70" s="702">
        <v>0.98699999999999999</v>
      </c>
      <c r="O70" s="702">
        <v>0.98699999999999999</v>
      </c>
      <c r="P70" s="702">
        <v>0.98</v>
      </c>
      <c r="Q70" s="702">
        <v>0.98</v>
      </c>
      <c r="R70" s="702">
        <v>0</v>
      </c>
      <c r="S70" s="702">
        <v>224334</v>
      </c>
      <c r="T70" s="7">
        <f t="shared" si="11"/>
        <v>43498.3626</v>
      </c>
      <c r="U70" s="702">
        <v>163611</v>
      </c>
      <c r="V70" s="702">
        <v>60723</v>
      </c>
      <c r="W70" s="702">
        <v>1113</v>
      </c>
      <c r="X70" s="702">
        <v>0</v>
      </c>
      <c r="Y70" s="702">
        <v>0</v>
      </c>
      <c r="Z70" s="702">
        <v>0</v>
      </c>
      <c r="AA70" s="702">
        <v>267832.36259999999</v>
      </c>
      <c r="AB70" s="702">
        <v>43498.3626</v>
      </c>
      <c r="AC70" s="702">
        <v>224334</v>
      </c>
      <c r="AD70" s="702">
        <v>0</v>
      </c>
      <c r="AE70" s="702">
        <v>0</v>
      </c>
      <c r="AF70" s="702">
        <v>0</v>
      </c>
      <c r="AG70" s="702">
        <v>224334</v>
      </c>
      <c r="AH70" s="702">
        <v>0</v>
      </c>
      <c r="AI70" s="702">
        <v>0</v>
      </c>
      <c r="AJ70" s="698" t="s">
        <v>900</v>
      </c>
      <c r="AK70" s="698" t="s">
        <v>907</v>
      </c>
      <c r="AL70" s="699" t="s">
        <v>1512</v>
      </c>
      <c r="AM70" s="698" t="s">
        <v>1417</v>
      </c>
      <c r="AN70" s="699" t="s">
        <v>97</v>
      </c>
      <c r="AO70" s="699">
        <v>43498.3626</v>
      </c>
      <c r="AP70" s="703">
        <f t="shared" si="9"/>
        <v>30.946882000000002</v>
      </c>
      <c r="AQ70" s="703">
        <f t="shared" si="12"/>
        <v>30.946882000000002</v>
      </c>
      <c r="AR70" s="697">
        <v>0</v>
      </c>
      <c r="AS70" s="697">
        <v>0</v>
      </c>
      <c r="AT70" s="697">
        <v>25</v>
      </c>
      <c r="AU70" s="697">
        <v>0</v>
      </c>
      <c r="AV70" s="697">
        <v>0</v>
      </c>
      <c r="AW70" s="697">
        <v>0</v>
      </c>
      <c r="AX70" s="697">
        <v>0</v>
      </c>
      <c r="AY70" s="697">
        <v>0</v>
      </c>
      <c r="AZ70" s="697">
        <v>0</v>
      </c>
      <c r="BA70" s="697">
        <v>14</v>
      </c>
      <c r="BB70" s="697">
        <v>0</v>
      </c>
      <c r="BC70" s="697">
        <v>0</v>
      </c>
      <c r="BD70" s="697">
        <v>0</v>
      </c>
      <c r="BE70" s="697">
        <v>0</v>
      </c>
      <c r="BF70" s="697">
        <v>0</v>
      </c>
      <c r="BG70" s="697">
        <v>0</v>
      </c>
      <c r="BH70" s="697">
        <v>0</v>
      </c>
      <c r="BI70" s="697">
        <v>0</v>
      </c>
      <c r="BJ70" s="697">
        <v>0</v>
      </c>
      <c r="BK70" s="697">
        <v>0</v>
      </c>
      <c r="BL70" s="697">
        <v>0</v>
      </c>
      <c r="BM70" s="697">
        <v>0</v>
      </c>
      <c r="BN70" s="697">
        <v>0</v>
      </c>
      <c r="BO70" s="697">
        <v>59.468820000000001</v>
      </c>
      <c r="CC70" s="727"/>
      <c r="CD70" s="727"/>
      <c r="CE70" s="727"/>
      <c r="CF70" s="727"/>
      <c r="CG70" s="727"/>
      <c r="CH70" s="727"/>
      <c r="CI70" s="727"/>
      <c r="CJ70" s="727"/>
      <c r="CK70" s="727"/>
      <c r="CL70" s="727"/>
      <c r="CM70" s="727"/>
      <c r="CN70" s="727"/>
      <c r="CO70" s="727"/>
      <c r="CP70" s="727"/>
      <c r="CQ70" s="727"/>
      <c r="CR70" s="727"/>
      <c r="CS70" s="727"/>
      <c r="CT70" s="727"/>
      <c r="CU70" s="727"/>
      <c r="CV70" s="727"/>
      <c r="CW70" s="727"/>
      <c r="CX70" s="727"/>
      <c r="CY70" s="727"/>
      <c r="CZ70" s="727"/>
      <c r="DA70" s="727"/>
      <c r="DB70" s="727"/>
      <c r="DC70" s="727"/>
      <c r="DD70" s="727"/>
      <c r="DE70" s="727"/>
      <c r="DF70" s="727"/>
      <c r="DG70" s="727"/>
      <c r="DH70" s="727"/>
      <c r="DI70" s="727"/>
      <c r="DJ70" s="727"/>
      <c r="DK70" s="727"/>
      <c r="DL70" s="727"/>
      <c r="DM70" s="727"/>
      <c r="DN70" s="727"/>
      <c r="DO70" s="727"/>
      <c r="DP70" s="727"/>
      <c r="DQ70" s="727"/>
      <c r="DR70" s="727"/>
      <c r="DS70" s="727"/>
      <c r="DT70" s="727"/>
      <c r="DU70" s="727"/>
      <c r="DV70" s="727"/>
      <c r="DW70" s="727"/>
      <c r="DX70" s="727"/>
      <c r="DY70" s="727"/>
      <c r="DZ70" s="727"/>
      <c r="EA70" s="727"/>
      <c r="EB70" s="727"/>
      <c r="EC70" s="727"/>
      <c r="ED70" s="727"/>
      <c r="EE70" s="727"/>
      <c r="EF70" s="727"/>
      <c r="EG70" s="727"/>
      <c r="EH70" s="727"/>
      <c r="EI70" s="727"/>
      <c r="EJ70" s="727"/>
      <c r="EK70" s="727"/>
      <c r="EL70" s="727"/>
      <c r="EM70" s="727"/>
      <c r="EN70" s="727"/>
      <c r="EO70" s="727"/>
      <c r="EP70" s="727"/>
      <c r="EQ70" s="727"/>
      <c r="ER70" s="727"/>
      <c r="ES70" s="727"/>
      <c r="ET70" s="727"/>
      <c r="EU70" s="727"/>
      <c r="EV70" s="727"/>
      <c r="EW70" s="727"/>
      <c r="EX70" s="727"/>
      <c r="EY70" s="727"/>
      <c r="EZ70" s="727"/>
      <c r="FA70" s="727"/>
      <c r="FB70" s="727"/>
      <c r="FC70" s="727"/>
      <c r="FD70" s="727"/>
      <c r="FE70" s="727"/>
      <c r="FF70" s="727"/>
      <c r="FG70" s="727"/>
      <c r="FH70" s="727"/>
      <c r="FI70" s="727"/>
      <c r="FJ70" s="727"/>
      <c r="FK70" s="727"/>
      <c r="FL70" s="727"/>
      <c r="FM70" s="727"/>
      <c r="FN70" s="727"/>
      <c r="FO70" s="727"/>
      <c r="FP70" s="727"/>
      <c r="FQ70" s="727"/>
      <c r="FR70" s="727"/>
      <c r="FS70" s="727"/>
      <c r="FT70" s="727"/>
      <c r="FU70" s="727"/>
      <c r="FV70" s="727"/>
      <c r="FW70" s="727"/>
      <c r="FX70" s="727"/>
      <c r="FY70" s="727"/>
      <c r="FZ70" s="727"/>
      <c r="GA70" s="727"/>
      <c r="GB70" s="727"/>
      <c r="GC70" s="727"/>
      <c r="GD70" s="727"/>
      <c r="GE70" s="727"/>
      <c r="GF70" s="727"/>
      <c r="GG70" s="727"/>
      <c r="GH70" s="727"/>
      <c r="GI70" s="727"/>
      <c r="GJ70" s="727"/>
      <c r="GK70" s="727"/>
      <c r="GL70" s="727"/>
      <c r="GM70" s="727"/>
      <c r="GN70" s="727"/>
      <c r="GO70" s="727"/>
      <c r="GP70" s="727"/>
      <c r="GQ70" s="727"/>
      <c r="GR70" s="727"/>
      <c r="GS70" s="727"/>
      <c r="GT70" s="727"/>
      <c r="GU70" s="727"/>
    </row>
    <row r="71" spans="1:203" ht="15" customHeight="1" x14ac:dyDescent="0.2">
      <c r="A71" s="697">
        <v>8638</v>
      </c>
      <c r="B71" s="697"/>
      <c r="C71" s="698" t="s">
        <v>100</v>
      </c>
      <c r="D71" s="699" t="s">
        <v>100</v>
      </c>
      <c r="E71" s="700">
        <f t="shared" si="5"/>
        <v>216351.8708</v>
      </c>
      <c r="F71" s="700">
        <v>0</v>
      </c>
      <c r="G71" s="701">
        <f t="shared" si="10"/>
        <v>216351.8708</v>
      </c>
      <c r="H71" s="698" t="s">
        <v>10</v>
      </c>
      <c r="I71" s="699" t="s">
        <v>1416</v>
      </c>
      <c r="J71" s="699" t="s">
        <v>1417</v>
      </c>
      <c r="K71" s="699" t="s">
        <v>102</v>
      </c>
      <c r="L71" s="699" t="s">
        <v>10</v>
      </c>
      <c r="M71" s="702">
        <v>36</v>
      </c>
      <c r="N71" s="702">
        <v>0.95399999999999996</v>
      </c>
      <c r="O71" s="702">
        <v>0.97099999999999997</v>
      </c>
      <c r="P71" s="702">
        <v>0.96699999999999997</v>
      </c>
      <c r="Q71" s="702">
        <v>0.92300000000000004</v>
      </c>
      <c r="R71" s="702">
        <v>517657</v>
      </c>
      <c r="S71" s="702">
        <v>620987</v>
      </c>
      <c r="T71" s="7">
        <f t="shared" si="11"/>
        <v>154002.95749999999</v>
      </c>
      <c r="U71" s="702">
        <v>347591</v>
      </c>
      <c r="V71" s="702">
        <v>273396</v>
      </c>
      <c r="W71" s="702">
        <v>2258</v>
      </c>
      <c r="X71" s="702">
        <v>0</v>
      </c>
      <c r="Y71" s="702">
        <v>0</v>
      </c>
      <c r="Z71" s="702">
        <v>0</v>
      </c>
      <c r="AA71" s="702">
        <v>774989.95750000002</v>
      </c>
      <c r="AB71" s="702">
        <v>154002.95749999999</v>
      </c>
      <c r="AC71" s="702">
        <v>620987</v>
      </c>
      <c r="AD71" s="702">
        <v>0</v>
      </c>
      <c r="AE71" s="702">
        <v>0</v>
      </c>
      <c r="AF71" s="702">
        <v>0</v>
      </c>
      <c r="AG71" s="702">
        <v>620987</v>
      </c>
      <c r="AH71" s="702">
        <v>0</v>
      </c>
      <c r="AI71" s="702">
        <v>0</v>
      </c>
      <c r="AJ71" s="698" t="s">
        <v>908</v>
      </c>
      <c r="AK71" s="698" t="s">
        <v>909</v>
      </c>
      <c r="AL71" s="699" t="s">
        <v>1512</v>
      </c>
      <c r="AM71" s="698" t="s">
        <v>10</v>
      </c>
      <c r="AN71" s="699" t="s">
        <v>100</v>
      </c>
      <c r="AO71" s="699">
        <v>154002.95749999999</v>
      </c>
      <c r="AP71" s="703">
        <f t="shared" si="9"/>
        <v>183.70409999999998</v>
      </c>
      <c r="AQ71" s="703">
        <f t="shared" si="12"/>
        <v>198.70409999999998</v>
      </c>
      <c r="AR71" s="697">
        <v>0</v>
      </c>
      <c r="AS71" s="697">
        <v>0</v>
      </c>
      <c r="AT71" s="697">
        <v>97</v>
      </c>
      <c r="AU71" s="697">
        <v>18</v>
      </c>
      <c r="AV71" s="697">
        <v>0</v>
      </c>
      <c r="AW71" s="697">
        <v>0</v>
      </c>
      <c r="AX71" s="697">
        <v>8</v>
      </c>
      <c r="AY71" s="697">
        <v>2</v>
      </c>
      <c r="AZ71" s="697">
        <v>0</v>
      </c>
      <c r="BA71" s="697">
        <v>0</v>
      </c>
      <c r="BB71" s="697">
        <v>13</v>
      </c>
      <c r="BC71" s="697">
        <v>2</v>
      </c>
      <c r="BD71" s="697">
        <v>0</v>
      </c>
      <c r="BE71" s="697">
        <v>0</v>
      </c>
      <c r="BF71" s="697">
        <v>0</v>
      </c>
      <c r="BG71" s="697">
        <v>0</v>
      </c>
      <c r="BH71" s="697">
        <v>0</v>
      </c>
      <c r="BI71" s="697">
        <v>0</v>
      </c>
      <c r="BJ71" s="697">
        <v>0</v>
      </c>
      <c r="BK71" s="697">
        <v>0</v>
      </c>
      <c r="BL71" s="697">
        <v>0</v>
      </c>
      <c r="BM71" s="697">
        <v>0</v>
      </c>
      <c r="BN71" s="697">
        <v>9130</v>
      </c>
      <c r="BO71" s="697">
        <v>495.74099999999999</v>
      </c>
      <c r="CC71" s="727"/>
      <c r="CD71" s="727"/>
      <c r="CE71" s="727"/>
      <c r="CF71" s="727"/>
      <c r="CG71" s="727"/>
      <c r="CH71" s="727"/>
      <c r="CI71" s="727"/>
      <c r="CJ71" s="727"/>
      <c r="CK71" s="727"/>
      <c r="CL71" s="727"/>
      <c r="CM71" s="727"/>
      <c r="CN71" s="727"/>
      <c r="CO71" s="727"/>
      <c r="CP71" s="727"/>
      <c r="CQ71" s="727"/>
      <c r="CR71" s="727"/>
      <c r="CS71" s="727"/>
      <c r="CT71" s="727"/>
      <c r="CU71" s="727"/>
      <c r="CV71" s="727"/>
      <c r="CW71" s="727"/>
      <c r="CX71" s="727"/>
      <c r="CY71" s="727"/>
      <c r="CZ71" s="727"/>
      <c r="DA71" s="727"/>
      <c r="DB71" s="727"/>
      <c r="DC71" s="727"/>
      <c r="DD71" s="727"/>
      <c r="DE71" s="727"/>
      <c r="DF71" s="727"/>
      <c r="DG71" s="727"/>
      <c r="DH71" s="727"/>
      <c r="DI71" s="727"/>
      <c r="DJ71" s="727"/>
      <c r="DK71" s="727"/>
      <c r="DL71" s="727"/>
      <c r="DM71" s="727"/>
      <c r="DN71" s="727"/>
      <c r="DO71" s="727"/>
      <c r="DP71" s="727"/>
      <c r="DQ71" s="727"/>
      <c r="DR71" s="727"/>
      <c r="DS71" s="727"/>
      <c r="DT71" s="727"/>
      <c r="DU71" s="727"/>
      <c r="DV71" s="727"/>
      <c r="DW71" s="727"/>
      <c r="DX71" s="727"/>
      <c r="DY71" s="727"/>
      <c r="DZ71" s="727"/>
      <c r="EA71" s="727"/>
      <c r="EB71" s="727"/>
      <c r="EC71" s="727"/>
      <c r="ED71" s="727"/>
      <c r="EE71" s="727"/>
      <c r="EF71" s="727"/>
      <c r="EG71" s="727"/>
      <c r="EH71" s="727"/>
      <c r="EI71" s="727"/>
      <c r="EJ71" s="727"/>
      <c r="EK71" s="727"/>
      <c r="EL71" s="727"/>
      <c r="EM71" s="727"/>
      <c r="EN71" s="727"/>
      <c r="EO71" s="727"/>
      <c r="EP71" s="727"/>
      <c r="EQ71" s="727"/>
      <c r="ER71" s="727"/>
      <c r="ES71" s="727"/>
      <c r="ET71" s="727"/>
      <c r="EU71" s="727"/>
      <c r="EV71" s="727"/>
      <c r="EW71" s="727"/>
      <c r="EX71" s="727"/>
      <c r="EY71" s="727"/>
      <c r="EZ71" s="727"/>
      <c r="FA71" s="727"/>
      <c r="FB71" s="727"/>
      <c r="FC71" s="727"/>
      <c r="FD71" s="727"/>
      <c r="FE71" s="727"/>
      <c r="FF71" s="727"/>
      <c r="FG71" s="727"/>
      <c r="FH71" s="727"/>
      <c r="FI71" s="727"/>
      <c r="FJ71" s="727"/>
      <c r="FK71" s="727"/>
      <c r="FL71" s="727"/>
      <c r="FM71" s="727"/>
      <c r="FN71" s="727"/>
      <c r="FO71" s="727"/>
      <c r="FP71" s="727"/>
      <c r="FQ71" s="727"/>
      <c r="FR71" s="727"/>
      <c r="FS71" s="727"/>
      <c r="FT71" s="727"/>
      <c r="FU71" s="727"/>
      <c r="FV71" s="727"/>
      <c r="FW71" s="727"/>
      <c r="FX71" s="727"/>
      <c r="FY71" s="727"/>
      <c r="FZ71" s="727"/>
      <c r="GA71" s="727"/>
      <c r="GB71" s="727"/>
      <c r="GC71" s="727"/>
      <c r="GD71" s="727"/>
      <c r="GE71" s="727"/>
      <c r="GF71" s="727"/>
      <c r="GG71" s="727"/>
      <c r="GH71" s="727"/>
      <c r="GI71" s="727"/>
      <c r="GJ71" s="727"/>
      <c r="GK71" s="727"/>
      <c r="GL71" s="727"/>
      <c r="GM71" s="727"/>
      <c r="GN71" s="727"/>
      <c r="GO71" s="727"/>
      <c r="GP71" s="727"/>
      <c r="GQ71" s="727"/>
      <c r="GR71" s="727"/>
      <c r="GS71" s="727"/>
      <c r="GT71" s="727"/>
      <c r="GU71" s="727"/>
    </row>
    <row r="72" spans="1:203" s="728" customFormat="1" ht="15" customHeight="1" x14ac:dyDescent="0.2">
      <c r="A72" s="697">
        <v>1313</v>
      </c>
      <c r="B72" s="697" t="s">
        <v>1412</v>
      </c>
      <c r="C72" s="698" t="s">
        <v>103</v>
      </c>
      <c r="D72" s="699" t="s">
        <v>103</v>
      </c>
      <c r="E72" s="700">
        <f t="shared" ref="E72:E135" si="13">IF(I72="regional",IF(R72*0.2975,S72*0.3484),S72*0.1939)</f>
        <v>248978.834</v>
      </c>
      <c r="F72" s="700">
        <v>357362</v>
      </c>
      <c r="G72" s="701">
        <f t="shared" si="10"/>
        <v>606340.83400000003</v>
      </c>
      <c r="H72" s="698" t="s">
        <v>10</v>
      </c>
      <c r="I72" s="699" t="s">
        <v>1416</v>
      </c>
      <c r="J72" s="699" t="s">
        <v>1412</v>
      </c>
      <c r="K72" s="699" t="s">
        <v>102</v>
      </c>
      <c r="L72" s="699" t="s">
        <v>1412</v>
      </c>
      <c r="M72" s="702">
        <v>89</v>
      </c>
      <c r="N72" s="702">
        <v>0.80800000000000005</v>
      </c>
      <c r="O72" s="702">
        <v>0.81</v>
      </c>
      <c r="P72" s="702">
        <v>0.86499999999999999</v>
      </c>
      <c r="Q72" s="702">
        <v>0.91400000000000003</v>
      </c>
      <c r="R72" s="702">
        <v>888884</v>
      </c>
      <c r="S72" s="702">
        <v>714635</v>
      </c>
      <c r="T72" s="7">
        <f t="shared" si="11"/>
        <v>264442.99</v>
      </c>
      <c r="U72" s="702">
        <v>462838</v>
      </c>
      <c r="V72" s="702">
        <v>251797</v>
      </c>
      <c r="W72" s="702">
        <v>4500</v>
      </c>
      <c r="X72" s="702">
        <v>621804.99</v>
      </c>
      <c r="Y72" s="702">
        <v>264442.99</v>
      </c>
      <c r="Z72" s="702">
        <v>357362</v>
      </c>
      <c r="AA72" s="702">
        <v>357273</v>
      </c>
      <c r="AB72" s="702">
        <v>0</v>
      </c>
      <c r="AC72" s="702">
        <v>357273</v>
      </c>
      <c r="AD72" s="702">
        <v>357362</v>
      </c>
      <c r="AE72" s="702">
        <v>0</v>
      </c>
      <c r="AF72" s="702">
        <v>357273</v>
      </c>
      <c r="AG72" s="702">
        <v>0</v>
      </c>
      <c r="AH72" s="702">
        <v>694000</v>
      </c>
      <c r="AI72" s="702">
        <v>454000</v>
      </c>
      <c r="AJ72" s="698" t="s">
        <v>908</v>
      </c>
      <c r="AK72" s="698" t="s">
        <v>909</v>
      </c>
      <c r="AL72" s="699" t="s">
        <v>1416</v>
      </c>
      <c r="AM72" s="698" t="s">
        <v>10</v>
      </c>
      <c r="AN72" s="699" t="s">
        <v>103</v>
      </c>
      <c r="AO72" s="699">
        <v>621804.99</v>
      </c>
      <c r="AP72" s="703">
        <f t="shared" si="9"/>
        <v>500.24850000000004</v>
      </c>
      <c r="AQ72" s="703">
        <f t="shared" si="12"/>
        <v>506.24850000000004</v>
      </c>
      <c r="AR72" s="723">
        <v>200</v>
      </c>
      <c r="AS72" s="723">
        <v>454</v>
      </c>
      <c r="AT72" s="723">
        <v>116</v>
      </c>
      <c r="AU72" s="723">
        <v>1</v>
      </c>
      <c r="AV72" s="697">
        <v>0</v>
      </c>
      <c r="AW72" s="697">
        <v>0</v>
      </c>
      <c r="AX72" s="697">
        <v>0</v>
      </c>
      <c r="AY72" s="697">
        <v>0</v>
      </c>
      <c r="AZ72" s="723">
        <v>3</v>
      </c>
      <c r="BA72" s="723">
        <v>6</v>
      </c>
      <c r="BB72" s="723">
        <v>6</v>
      </c>
      <c r="BC72" s="723">
        <v>0</v>
      </c>
      <c r="BD72" s="697">
        <v>13</v>
      </c>
      <c r="BE72" s="697">
        <v>0</v>
      </c>
      <c r="BF72" s="697">
        <v>0</v>
      </c>
      <c r="BG72" s="697">
        <v>0</v>
      </c>
      <c r="BH72" s="723">
        <v>41</v>
      </c>
      <c r="BI72" s="723">
        <v>0</v>
      </c>
      <c r="BJ72" s="723">
        <v>0</v>
      </c>
      <c r="BK72" s="723">
        <v>0</v>
      </c>
      <c r="BL72" s="697">
        <v>0</v>
      </c>
      <c r="BM72" s="697">
        <v>0</v>
      </c>
      <c r="BN72" s="697">
        <v>57720</v>
      </c>
      <c r="BO72" s="697">
        <v>685.28499999999997</v>
      </c>
      <c r="BP72" s="392"/>
      <c r="BQ72" s="392"/>
      <c r="BR72" s="392"/>
      <c r="BS72" s="392"/>
      <c r="BT72" s="392"/>
      <c r="BU72" s="392"/>
      <c r="BV72" s="392"/>
      <c r="BW72" s="392"/>
      <c r="BX72" s="392"/>
      <c r="BY72" s="392"/>
      <c r="BZ72" s="392"/>
      <c r="CA72" s="392"/>
      <c r="CB72" s="392"/>
      <c r="CC72" s="392"/>
      <c r="CD72" s="392"/>
      <c r="CE72" s="392"/>
      <c r="CF72" s="392"/>
      <c r="CG72" s="392"/>
      <c r="CH72" s="392"/>
      <c r="CI72" s="392"/>
      <c r="CJ72" s="392"/>
      <c r="CK72" s="392"/>
      <c r="CL72" s="392"/>
      <c r="CM72" s="392"/>
      <c r="CN72" s="392"/>
      <c r="CO72" s="392"/>
      <c r="CP72" s="392"/>
      <c r="CQ72" s="392"/>
      <c r="CR72" s="392"/>
      <c r="CS72" s="392"/>
      <c r="CT72" s="392"/>
      <c r="CU72" s="392"/>
      <c r="CV72" s="392"/>
      <c r="CW72" s="392"/>
      <c r="CX72" s="392"/>
      <c r="CY72" s="392"/>
      <c r="CZ72" s="392"/>
      <c r="DA72" s="392"/>
      <c r="DB72" s="392"/>
      <c r="DC72" s="392"/>
      <c r="DD72" s="392"/>
      <c r="DE72" s="392"/>
      <c r="DF72" s="392"/>
      <c r="DG72" s="392"/>
      <c r="DH72" s="392"/>
      <c r="DI72" s="392"/>
      <c r="DJ72" s="392"/>
      <c r="DK72" s="392"/>
      <c r="DL72" s="392"/>
      <c r="DM72" s="392"/>
      <c r="DN72" s="392"/>
      <c r="DO72" s="392"/>
      <c r="DP72" s="392"/>
      <c r="DQ72" s="392"/>
      <c r="DR72" s="392"/>
      <c r="DS72" s="392"/>
      <c r="DT72" s="392"/>
      <c r="DU72" s="392"/>
      <c r="DV72" s="392"/>
      <c r="DW72" s="392"/>
      <c r="DX72" s="392"/>
      <c r="DY72" s="392"/>
      <c r="DZ72" s="392"/>
      <c r="EA72" s="392"/>
      <c r="EB72" s="392"/>
      <c r="EC72" s="392"/>
      <c r="ED72" s="392"/>
      <c r="EE72" s="392"/>
      <c r="EF72" s="392"/>
      <c r="EG72" s="392"/>
      <c r="EH72" s="392"/>
      <c r="EI72" s="392"/>
      <c r="EJ72" s="392"/>
      <c r="EK72" s="392"/>
      <c r="EL72" s="392"/>
      <c r="EM72" s="392"/>
      <c r="EN72" s="392"/>
      <c r="EO72" s="392"/>
      <c r="EP72" s="392"/>
      <c r="EQ72" s="392"/>
      <c r="ER72" s="392"/>
      <c r="ES72" s="392"/>
      <c r="ET72" s="392"/>
      <c r="EU72" s="392"/>
      <c r="EV72" s="392"/>
      <c r="EW72" s="392"/>
      <c r="EX72" s="392"/>
      <c r="EY72" s="392"/>
      <c r="EZ72" s="392"/>
      <c r="FA72" s="392"/>
      <c r="FB72" s="392"/>
      <c r="FC72" s="392"/>
      <c r="FD72" s="392"/>
      <c r="FE72" s="392"/>
      <c r="FF72" s="392"/>
      <c r="FG72" s="392"/>
      <c r="FH72" s="392"/>
      <c r="FI72" s="392"/>
      <c r="FJ72" s="392"/>
      <c r="FK72" s="392"/>
      <c r="FL72" s="392"/>
      <c r="FM72" s="392"/>
      <c r="FN72" s="392"/>
      <c r="FO72" s="392"/>
      <c r="FP72" s="392"/>
      <c r="FQ72" s="392"/>
      <c r="FR72" s="392"/>
      <c r="FS72" s="392"/>
      <c r="FT72" s="392"/>
      <c r="FU72" s="392"/>
      <c r="FV72" s="392"/>
      <c r="FW72" s="392"/>
      <c r="FX72" s="392"/>
      <c r="FY72" s="392"/>
      <c r="FZ72" s="392"/>
      <c r="GA72" s="392"/>
      <c r="GB72" s="392"/>
      <c r="GC72" s="392"/>
      <c r="GD72" s="392"/>
      <c r="GE72" s="392"/>
      <c r="GF72" s="392"/>
      <c r="GG72" s="392"/>
      <c r="GH72" s="392"/>
      <c r="GI72" s="392"/>
      <c r="GJ72" s="392"/>
      <c r="GK72" s="392"/>
      <c r="GL72" s="392"/>
      <c r="GM72" s="392"/>
      <c r="GN72" s="392"/>
      <c r="GO72" s="392"/>
      <c r="GP72" s="392"/>
      <c r="GQ72" s="392"/>
      <c r="GR72" s="392"/>
      <c r="GS72" s="392"/>
      <c r="GT72" s="392"/>
      <c r="GU72" s="392"/>
    </row>
    <row r="73" spans="1:203" s="732" customFormat="1" ht="15" customHeight="1" x14ac:dyDescent="0.2">
      <c r="A73" s="722">
        <v>705</v>
      </c>
      <c r="B73" s="722" t="s">
        <v>1412</v>
      </c>
      <c r="C73" s="725" t="s">
        <v>924</v>
      </c>
      <c r="D73" s="699" t="s">
        <v>925</v>
      </c>
      <c r="E73" s="700">
        <f t="shared" si="13"/>
        <v>0</v>
      </c>
      <c r="F73" s="700">
        <v>0</v>
      </c>
      <c r="G73" s="701">
        <f t="shared" si="10"/>
        <v>0</v>
      </c>
      <c r="H73" s="705" t="s">
        <v>1417</v>
      </c>
      <c r="I73" s="699" t="s">
        <v>1416</v>
      </c>
      <c r="J73" s="699" t="s">
        <v>10</v>
      </c>
      <c r="K73" s="699" t="s">
        <v>10</v>
      </c>
      <c r="L73" s="699" t="s">
        <v>1412</v>
      </c>
      <c r="M73" s="702">
        <v>0</v>
      </c>
      <c r="N73" s="702">
        <v>0</v>
      </c>
      <c r="O73" s="702">
        <v>0</v>
      </c>
      <c r="P73" s="702">
        <v>0</v>
      </c>
      <c r="Q73" s="702">
        <v>0</v>
      </c>
      <c r="R73" s="708">
        <v>825041</v>
      </c>
      <c r="S73" s="702">
        <v>0</v>
      </c>
      <c r="T73" s="7">
        <f t="shared" si="11"/>
        <v>245449.69749999998</v>
      </c>
      <c r="U73" s="702">
        <v>0</v>
      </c>
      <c r="V73" s="702">
        <v>0</v>
      </c>
      <c r="W73" s="702">
        <v>0</v>
      </c>
      <c r="X73" s="702">
        <v>0</v>
      </c>
      <c r="Y73" s="702">
        <v>0</v>
      </c>
      <c r="Z73" s="702">
        <v>0</v>
      </c>
      <c r="AA73" s="702">
        <v>0</v>
      </c>
      <c r="AB73" s="702">
        <v>0</v>
      </c>
      <c r="AC73" s="702">
        <v>0</v>
      </c>
      <c r="AD73" s="702">
        <v>0</v>
      </c>
      <c r="AE73" s="702">
        <v>0</v>
      </c>
      <c r="AF73" s="702">
        <v>0</v>
      </c>
      <c r="AG73" s="702">
        <v>0</v>
      </c>
      <c r="AH73" s="702">
        <v>664000</v>
      </c>
      <c r="AI73" s="702">
        <v>463000</v>
      </c>
      <c r="AJ73" s="705" t="s">
        <v>900</v>
      </c>
      <c r="AK73" s="705" t="s">
        <v>901</v>
      </c>
      <c r="AL73" s="709" t="s">
        <v>1416</v>
      </c>
      <c r="AM73" s="705" t="s">
        <v>1417</v>
      </c>
      <c r="AN73" s="718" t="s">
        <v>925</v>
      </c>
      <c r="AO73" s="718">
        <v>0</v>
      </c>
      <c r="AP73" s="719">
        <v>0</v>
      </c>
      <c r="AQ73" s="703">
        <f t="shared" si="12"/>
        <v>332.79579999999999</v>
      </c>
      <c r="AR73" s="779">
        <v>66</v>
      </c>
      <c r="AS73" s="779">
        <v>463</v>
      </c>
      <c r="AT73" s="779">
        <v>85</v>
      </c>
      <c r="AU73" s="779">
        <v>51</v>
      </c>
      <c r="AV73" s="704">
        <v>0</v>
      </c>
      <c r="AW73" s="704">
        <v>0</v>
      </c>
      <c r="AX73" s="704">
        <v>0</v>
      </c>
      <c r="AY73" s="704">
        <v>0</v>
      </c>
      <c r="AZ73" s="720">
        <v>0</v>
      </c>
      <c r="BA73" s="720">
        <v>53</v>
      </c>
      <c r="BB73" s="720">
        <v>72</v>
      </c>
      <c r="BC73" s="720">
        <v>0</v>
      </c>
      <c r="BD73" s="704">
        <v>0</v>
      </c>
      <c r="BE73" s="704">
        <v>0</v>
      </c>
      <c r="BF73" s="704">
        <v>0</v>
      </c>
      <c r="BG73" s="704">
        <v>0</v>
      </c>
      <c r="BH73" s="720">
        <v>0</v>
      </c>
      <c r="BI73" s="720">
        <v>3</v>
      </c>
      <c r="BJ73" s="720">
        <v>0</v>
      </c>
      <c r="BK73" s="720">
        <v>0</v>
      </c>
      <c r="BL73" s="704">
        <v>6000</v>
      </c>
      <c r="BM73" s="704">
        <v>0</v>
      </c>
      <c r="BN73" s="704">
        <v>9000</v>
      </c>
      <c r="BO73" s="704">
        <v>437.95800000000003</v>
      </c>
      <c r="BP73" s="392"/>
      <c r="BQ73" s="392"/>
      <c r="BR73" s="392"/>
      <c r="BS73" s="392"/>
      <c r="BT73" s="392"/>
      <c r="BU73" s="392"/>
      <c r="BV73" s="392"/>
      <c r="BW73" s="392"/>
      <c r="BX73" s="392"/>
      <c r="BY73" s="392"/>
      <c r="BZ73" s="392"/>
      <c r="CA73" s="392"/>
      <c r="CB73" s="392"/>
      <c r="CC73" s="392"/>
      <c r="CD73" s="392"/>
      <c r="CE73" s="392"/>
      <c r="CF73" s="392"/>
      <c r="CG73" s="392"/>
      <c r="CH73" s="392"/>
      <c r="CI73" s="392"/>
      <c r="CJ73" s="392"/>
      <c r="CK73" s="392"/>
      <c r="CL73" s="392"/>
      <c r="CM73" s="392"/>
      <c r="CN73" s="392"/>
      <c r="CO73" s="392"/>
      <c r="CP73" s="392"/>
      <c r="CQ73" s="392"/>
      <c r="CR73" s="392"/>
      <c r="CS73" s="392"/>
      <c r="CT73" s="392"/>
      <c r="CU73" s="392"/>
      <c r="CV73" s="392"/>
      <c r="CW73" s="392"/>
      <c r="CX73" s="392"/>
      <c r="CY73" s="392"/>
      <c r="CZ73" s="392"/>
      <c r="DA73" s="392"/>
      <c r="DB73" s="392"/>
      <c r="DC73" s="392"/>
      <c r="DD73" s="392"/>
      <c r="DE73" s="392"/>
      <c r="DF73" s="392"/>
      <c r="DG73" s="392"/>
      <c r="DH73" s="392"/>
      <c r="DI73" s="392"/>
      <c r="DJ73" s="392"/>
      <c r="DK73" s="392"/>
      <c r="DL73" s="392"/>
      <c r="DM73" s="392"/>
      <c r="DN73" s="392"/>
      <c r="DO73" s="392"/>
      <c r="DP73" s="392"/>
      <c r="DQ73" s="392"/>
      <c r="DR73" s="392"/>
      <c r="DS73" s="392"/>
      <c r="DT73" s="392"/>
      <c r="DU73" s="392"/>
      <c r="DV73" s="392"/>
      <c r="DW73" s="392"/>
      <c r="DX73" s="392"/>
      <c r="DY73" s="392"/>
      <c r="DZ73" s="392"/>
      <c r="EA73" s="392"/>
      <c r="EB73" s="392"/>
      <c r="EC73" s="392"/>
      <c r="ED73" s="392"/>
      <c r="EE73" s="392"/>
      <c r="EF73" s="392"/>
      <c r="EG73" s="392"/>
      <c r="EH73" s="392"/>
      <c r="EI73" s="392"/>
      <c r="EJ73" s="392"/>
      <c r="EK73" s="392"/>
      <c r="EL73" s="392"/>
      <c r="EM73" s="392"/>
      <c r="EN73" s="392"/>
      <c r="EO73" s="392"/>
      <c r="EP73" s="392"/>
      <c r="EQ73" s="392"/>
      <c r="ER73" s="392"/>
      <c r="ES73" s="392"/>
      <c r="ET73" s="392"/>
      <c r="EU73" s="392"/>
      <c r="EV73" s="392"/>
      <c r="EW73" s="392"/>
      <c r="EX73" s="392"/>
      <c r="EY73" s="392"/>
      <c r="EZ73" s="392"/>
      <c r="FA73" s="392"/>
      <c r="FB73" s="392"/>
      <c r="FC73" s="392"/>
      <c r="FD73" s="392"/>
      <c r="FE73" s="392"/>
      <c r="FF73" s="392"/>
      <c r="FG73" s="392"/>
      <c r="FH73" s="392"/>
      <c r="FI73" s="392"/>
      <c r="FJ73" s="392"/>
      <c r="FK73" s="392"/>
      <c r="FL73" s="392"/>
      <c r="FM73" s="392"/>
      <c r="FN73" s="392"/>
      <c r="FO73" s="392"/>
      <c r="FP73" s="392"/>
      <c r="FQ73" s="392"/>
      <c r="FR73" s="392"/>
      <c r="FS73" s="392"/>
      <c r="FT73" s="392"/>
      <c r="FU73" s="392"/>
      <c r="FV73" s="392"/>
      <c r="FW73" s="392"/>
      <c r="FX73" s="392"/>
      <c r="FY73" s="392"/>
      <c r="FZ73" s="392"/>
      <c r="GA73" s="392"/>
      <c r="GB73" s="392"/>
      <c r="GC73" s="392"/>
      <c r="GD73" s="392"/>
      <c r="GE73" s="392"/>
      <c r="GF73" s="392"/>
      <c r="GG73" s="392"/>
      <c r="GH73" s="392"/>
      <c r="GI73" s="392"/>
      <c r="GJ73" s="392"/>
      <c r="GK73" s="392"/>
      <c r="GL73" s="392"/>
      <c r="GM73" s="392"/>
      <c r="GN73" s="392"/>
      <c r="GO73" s="392"/>
      <c r="GP73" s="392"/>
      <c r="GQ73" s="392"/>
      <c r="GR73" s="392"/>
      <c r="GS73" s="392"/>
      <c r="GT73" s="392"/>
      <c r="GU73" s="392"/>
    </row>
    <row r="74" spans="1:203" ht="15" customHeight="1" x14ac:dyDescent="0.2">
      <c r="A74" s="715">
        <v>4776</v>
      </c>
      <c r="B74" s="715" t="s">
        <v>1412</v>
      </c>
      <c r="C74" s="716" t="s">
        <v>106</v>
      </c>
      <c r="D74" s="699" t="s">
        <v>106</v>
      </c>
      <c r="E74" s="700" t="b">
        <f t="shared" si="13"/>
        <v>0</v>
      </c>
      <c r="F74" s="700">
        <v>0</v>
      </c>
      <c r="G74" s="701">
        <f t="shared" si="10"/>
        <v>0</v>
      </c>
      <c r="H74" s="705" t="s">
        <v>1417</v>
      </c>
      <c r="I74" s="699" t="s">
        <v>1416</v>
      </c>
      <c r="J74" s="699" t="s">
        <v>10</v>
      </c>
      <c r="K74" s="699" t="s">
        <v>10</v>
      </c>
      <c r="L74" s="699" t="s">
        <v>1412</v>
      </c>
      <c r="M74" s="702">
        <v>0</v>
      </c>
      <c r="N74" s="702">
        <v>0</v>
      </c>
      <c r="O74" s="702">
        <v>0</v>
      </c>
      <c r="P74" s="702">
        <v>0</v>
      </c>
      <c r="Q74" s="702">
        <v>0</v>
      </c>
      <c r="R74" s="702">
        <v>0</v>
      </c>
      <c r="S74" s="702">
        <v>0</v>
      </c>
      <c r="T74" s="7">
        <f t="shared" si="11"/>
        <v>0</v>
      </c>
      <c r="U74" s="702">
        <v>0</v>
      </c>
      <c r="V74" s="702">
        <v>0</v>
      </c>
      <c r="W74" s="702">
        <v>0</v>
      </c>
      <c r="X74" s="702">
        <v>0</v>
      </c>
      <c r="Y74" s="702">
        <v>0</v>
      </c>
      <c r="Z74" s="702">
        <v>0</v>
      </c>
      <c r="AA74" s="702">
        <v>0</v>
      </c>
      <c r="AB74" s="702">
        <v>0</v>
      </c>
      <c r="AC74" s="702">
        <v>0</v>
      </c>
      <c r="AD74" s="702">
        <v>0</v>
      </c>
      <c r="AE74" s="702">
        <v>0</v>
      </c>
      <c r="AF74" s="702">
        <v>0</v>
      </c>
      <c r="AG74" s="702">
        <v>0</v>
      </c>
      <c r="AH74" s="702">
        <v>1081000</v>
      </c>
      <c r="AI74" s="702">
        <v>951000</v>
      </c>
      <c r="AJ74" s="705" t="s">
        <v>908</v>
      </c>
      <c r="AK74" s="705" t="s">
        <v>909</v>
      </c>
      <c r="AL74" s="709" t="s">
        <v>1416</v>
      </c>
      <c r="AM74" s="705" t="s">
        <v>1417</v>
      </c>
      <c r="AN74" s="733" t="s">
        <v>106</v>
      </c>
      <c r="AO74" s="726">
        <v>0</v>
      </c>
      <c r="AP74" s="710">
        <f>AR74+AT74+AU74+AV74+AX74+AY74+AZ74+BD74+BF74+BG74+BH74+BJ74+BK74+(BL74+BM74+BN74)/1000+(0.1*BO74)</f>
        <v>589.95630000000006</v>
      </c>
      <c r="AQ74" s="703">
        <f t="shared" si="12"/>
        <v>600.95630000000006</v>
      </c>
      <c r="AR74" s="720">
        <v>84</v>
      </c>
      <c r="AS74" s="720">
        <v>951</v>
      </c>
      <c r="AT74" s="720">
        <v>385</v>
      </c>
      <c r="AU74" s="720">
        <v>14</v>
      </c>
      <c r="AV74" s="704">
        <v>0</v>
      </c>
      <c r="AW74" s="704">
        <v>32</v>
      </c>
      <c r="AX74" s="704">
        <v>19</v>
      </c>
      <c r="AY74" s="704">
        <v>0</v>
      </c>
      <c r="AZ74" s="704">
        <v>0</v>
      </c>
      <c r="BA74" s="704">
        <v>0</v>
      </c>
      <c r="BB74" s="704">
        <v>10</v>
      </c>
      <c r="BC74" s="704">
        <v>1</v>
      </c>
      <c r="BD74" s="704">
        <v>0</v>
      </c>
      <c r="BE74" s="704">
        <v>0</v>
      </c>
      <c r="BF74" s="704">
        <v>0</v>
      </c>
      <c r="BG74" s="704">
        <v>0</v>
      </c>
      <c r="BH74" s="704">
        <v>0</v>
      </c>
      <c r="BI74" s="704">
        <v>5</v>
      </c>
      <c r="BJ74" s="704">
        <v>0</v>
      </c>
      <c r="BK74" s="704">
        <v>0</v>
      </c>
      <c r="BL74" s="704">
        <v>0</v>
      </c>
      <c r="BM74" s="704">
        <v>0</v>
      </c>
      <c r="BN74" s="704">
        <v>0</v>
      </c>
      <c r="BO74" s="704">
        <v>879.56299999999999</v>
      </c>
      <c r="CC74" s="727"/>
      <c r="CD74" s="727"/>
      <c r="CE74" s="727"/>
      <c r="CF74" s="727"/>
      <c r="CG74" s="727"/>
      <c r="CH74" s="727"/>
      <c r="CI74" s="727"/>
      <c r="CJ74" s="727"/>
      <c r="CK74" s="727"/>
      <c r="CL74" s="727"/>
      <c r="CM74" s="727"/>
      <c r="CN74" s="727"/>
      <c r="CO74" s="727"/>
      <c r="CP74" s="727"/>
      <c r="CQ74" s="727"/>
      <c r="CR74" s="727"/>
      <c r="CS74" s="727"/>
      <c r="CT74" s="727"/>
      <c r="CU74" s="727"/>
      <c r="CV74" s="727"/>
      <c r="CW74" s="727"/>
      <c r="CX74" s="727"/>
      <c r="CY74" s="727"/>
      <c r="CZ74" s="727"/>
      <c r="DA74" s="727"/>
      <c r="DB74" s="727"/>
      <c r="DC74" s="727"/>
      <c r="DD74" s="727"/>
      <c r="DE74" s="727"/>
      <c r="DF74" s="727"/>
      <c r="DG74" s="727"/>
      <c r="DH74" s="727"/>
      <c r="DI74" s="727"/>
      <c r="DJ74" s="727"/>
      <c r="DK74" s="727"/>
      <c r="DL74" s="727"/>
      <c r="DM74" s="727"/>
      <c r="DN74" s="727"/>
      <c r="DO74" s="727"/>
      <c r="DP74" s="727"/>
      <c r="DQ74" s="727"/>
      <c r="DR74" s="727"/>
      <c r="DS74" s="727"/>
      <c r="DT74" s="727"/>
      <c r="DU74" s="727"/>
      <c r="DV74" s="727"/>
      <c r="DW74" s="727"/>
      <c r="DX74" s="727"/>
      <c r="DY74" s="727"/>
      <c r="DZ74" s="727"/>
      <c r="EA74" s="727"/>
      <c r="EB74" s="727"/>
      <c r="EC74" s="727"/>
      <c r="ED74" s="727"/>
      <c r="EE74" s="727"/>
      <c r="EF74" s="727"/>
      <c r="EG74" s="727"/>
      <c r="EH74" s="727"/>
      <c r="EI74" s="727"/>
      <c r="EJ74" s="727"/>
      <c r="EK74" s="727"/>
      <c r="EL74" s="727"/>
      <c r="EM74" s="727"/>
      <c r="EN74" s="727"/>
      <c r="EO74" s="727"/>
      <c r="EP74" s="727"/>
      <c r="EQ74" s="727"/>
      <c r="ER74" s="727"/>
      <c r="ES74" s="727"/>
      <c r="ET74" s="727"/>
      <c r="EU74" s="727"/>
      <c r="EV74" s="727"/>
      <c r="EW74" s="727"/>
      <c r="EX74" s="727"/>
      <c r="EY74" s="727"/>
      <c r="EZ74" s="727"/>
      <c r="FA74" s="727"/>
      <c r="FB74" s="727"/>
      <c r="FC74" s="727"/>
      <c r="FD74" s="727"/>
      <c r="FE74" s="727"/>
      <c r="FF74" s="727"/>
      <c r="FG74" s="727"/>
      <c r="FH74" s="727"/>
      <c r="FI74" s="727"/>
      <c r="FJ74" s="727"/>
      <c r="FK74" s="727"/>
      <c r="FL74" s="727"/>
      <c r="FM74" s="727"/>
      <c r="FN74" s="727"/>
      <c r="FO74" s="727"/>
      <c r="FP74" s="727"/>
      <c r="FQ74" s="727"/>
      <c r="FR74" s="727"/>
      <c r="FS74" s="727"/>
      <c r="FT74" s="727"/>
      <c r="FU74" s="727"/>
      <c r="FV74" s="727"/>
      <c r="FW74" s="727"/>
      <c r="FX74" s="727"/>
      <c r="FY74" s="727"/>
      <c r="FZ74" s="727"/>
      <c r="GA74" s="727"/>
      <c r="GB74" s="727"/>
      <c r="GC74" s="727"/>
      <c r="GD74" s="727"/>
      <c r="GE74" s="727"/>
      <c r="GF74" s="727"/>
      <c r="GG74" s="727"/>
      <c r="GH74" s="727"/>
      <c r="GI74" s="727"/>
      <c r="GJ74" s="727"/>
      <c r="GK74" s="727"/>
      <c r="GL74" s="727"/>
      <c r="GM74" s="727"/>
      <c r="GN74" s="727"/>
      <c r="GO74" s="727"/>
      <c r="GP74" s="727"/>
      <c r="GQ74" s="727"/>
      <c r="GR74" s="727"/>
      <c r="GS74" s="727"/>
      <c r="GT74" s="727"/>
      <c r="GU74" s="727"/>
    </row>
    <row r="75" spans="1:203" ht="15" customHeight="1" x14ac:dyDescent="0.2">
      <c r="A75" s="697">
        <v>8675</v>
      </c>
      <c r="B75" s="697"/>
      <c r="C75" s="698" t="s">
        <v>107</v>
      </c>
      <c r="D75" s="699" t="s">
        <v>107</v>
      </c>
      <c r="E75" s="700">
        <f t="shared" si="13"/>
        <v>438612.95399999997</v>
      </c>
      <c r="F75" s="700">
        <v>0</v>
      </c>
      <c r="G75" s="701">
        <f t="shared" si="10"/>
        <v>438612.95399999997</v>
      </c>
      <c r="H75" s="698" t="s">
        <v>10</v>
      </c>
      <c r="I75" s="699" t="s">
        <v>1416</v>
      </c>
      <c r="J75" s="699" t="s">
        <v>1417</v>
      </c>
      <c r="K75" s="699" t="s">
        <v>109</v>
      </c>
      <c r="L75" s="699" t="s">
        <v>10</v>
      </c>
      <c r="M75" s="702">
        <v>130</v>
      </c>
      <c r="N75" s="702">
        <v>0.98299999999999998</v>
      </c>
      <c r="O75" s="702">
        <v>0.98299999999999998</v>
      </c>
      <c r="P75" s="702">
        <v>0.98599999999999999</v>
      </c>
      <c r="Q75" s="702">
        <v>0.96499999999999997</v>
      </c>
      <c r="R75" s="702">
        <v>1425929</v>
      </c>
      <c r="S75" s="702">
        <v>1258935</v>
      </c>
      <c r="T75" s="7">
        <f t="shared" si="11"/>
        <v>424213.8775</v>
      </c>
      <c r="U75" s="702">
        <v>866300</v>
      </c>
      <c r="V75" s="702">
        <v>392635</v>
      </c>
      <c r="W75" s="702">
        <v>7500</v>
      </c>
      <c r="X75" s="702">
        <v>0</v>
      </c>
      <c r="Y75" s="702">
        <v>0</v>
      </c>
      <c r="Z75" s="702">
        <v>0</v>
      </c>
      <c r="AA75" s="702">
        <v>1683148.878</v>
      </c>
      <c r="AB75" s="702">
        <v>424213.8775</v>
      </c>
      <c r="AC75" s="702">
        <v>1258935</v>
      </c>
      <c r="AD75" s="702">
        <v>0</v>
      </c>
      <c r="AE75" s="702">
        <v>0</v>
      </c>
      <c r="AF75" s="702">
        <v>0</v>
      </c>
      <c r="AG75" s="702">
        <v>1258935</v>
      </c>
      <c r="AH75" s="702">
        <v>0</v>
      </c>
      <c r="AI75" s="702">
        <v>0</v>
      </c>
      <c r="AJ75" s="698">
        <v>4</v>
      </c>
      <c r="AK75" s="698" t="s">
        <v>913</v>
      </c>
      <c r="AL75" s="699" t="s">
        <v>1416</v>
      </c>
      <c r="AM75" s="698" t="s">
        <v>10</v>
      </c>
      <c r="AN75" s="699" t="s">
        <v>107</v>
      </c>
      <c r="AO75" s="699">
        <v>424213.8775</v>
      </c>
      <c r="AP75" s="703">
        <f>AR75+AT75+AU75+AV75+AX75+AY75+AZ75+BD75+BF75+BG75+BH75+BJ75+BK75+(BL75+BM75+BN75)/1000+(0.1*BO75)</f>
        <v>490.28840000000002</v>
      </c>
      <c r="AQ75" s="703">
        <f t="shared" si="12"/>
        <v>511.28840000000002</v>
      </c>
      <c r="AR75" s="697">
        <v>0</v>
      </c>
      <c r="AS75" s="697">
        <v>0</v>
      </c>
      <c r="AT75" s="697">
        <v>343</v>
      </c>
      <c r="AU75" s="697">
        <v>25</v>
      </c>
      <c r="AV75" s="697">
        <v>0</v>
      </c>
      <c r="AW75" s="697">
        <v>0</v>
      </c>
      <c r="AX75" s="697">
        <v>33</v>
      </c>
      <c r="AY75" s="697">
        <v>1</v>
      </c>
      <c r="AZ75" s="697">
        <v>0</v>
      </c>
      <c r="BA75" s="697">
        <v>3</v>
      </c>
      <c r="BB75" s="697">
        <v>19</v>
      </c>
      <c r="BC75" s="697">
        <v>2</v>
      </c>
      <c r="BD75" s="697">
        <v>0</v>
      </c>
      <c r="BE75" s="697">
        <v>0</v>
      </c>
      <c r="BF75" s="697">
        <v>0</v>
      </c>
      <c r="BG75" s="697">
        <v>0</v>
      </c>
      <c r="BH75" s="697">
        <v>0</v>
      </c>
      <c r="BI75" s="697">
        <v>0</v>
      </c>
      <c r="BJ75" s="697">
        <v>0</v>
      </c>
      <c r="BK75" s="697">
        <v>0</v>
      </c>
      <c r="BL75" s="697">
        <v>0</v>
      </c>
      <c r="BM75" s="697">
        <v>0</v>
      </c>
      <c r="BN75" s="697">
        <v>0</v>
      </c>
      <c r="BO75" s="697">
        <v>882.88400000000001</v>
      </c>
      <c r="CC75" s="727"/>
      <c r="CD75" s="727"/>
      <c r="CE75" s="727"/>
      <c r="CF75" s="727"/>
      <c r="CG75" s="727"/>
      <c r="CH75" s="727"/>
      <c r="CI75" s="727"/>
      <c r="CJ75" s="727"/>
      <c r="CK75" s="727"/>
      <c r="CL75" s="727"/>
      <c r="CM75" s="727"/>
      <c r="CN75" s="727"/>
      <c r="CO75" s="727"/>
      <c r="CP75" s="727"/>
      <c r="CQ75" s="727"/>
      <c r="CR75" s="727"/>
      <c r="CS75" s="727"/>
      <c r="CT75" s="727"/>
      <c r="CU75" s="727"/>
      <c r="CV75" s="727"/>
      <c r="CW75" s="727"/>
      <c r="CX75" s="727"/>
      <c r="CY75" s="727"/>
      <c r="CZ75" s="727"/>
      <c r="DA75" s="727"/>
      <c r="DB75" s="727"/>
      <c r="DC75" s="727"/>
      <c r="DD75" s="727"/>
      <c r="DE75" s="727"/>
      <c r="DF75" s="727"/>
      <c r="DG75" s="727"/>
      <c r="DH75" s="727"/>
      <c r="DI75" s="727"/>
      <c r="DJ75" s="727"/>
      <c r="DK75" s="727"/>
      <c r="DL75" s="727"/>
      <c r="DM75" s="727"/>
      <c r="DN75" s="727"/>
      <c r="DO75" s="727"/>
      <c r="DP75" s="727"/>
      <c r="DQ75" s="727"/>
      <c r="DR75" s="727"/>
      <c r="DS75" s="727"/>
      <c r="DT75" s="727"/>
      <c r="DU75" s="727"/>
      <c r="DV75" s="727"/>
      <c r="DW75" s="727"/>
      <c r="DX75" s="727"/>
      <c r="DY75" s="727"/>
      <c r="DZ75" s="727"/>
      <c r="EA75" s="727"/>
      <c r="EB75" s="727"/>
      <c r="EC75" s="727"/>
      <c r="ED75" s="727"/>
      <c r="EE75" s="727"/>
      <c r="EF75" s="727"/>
      <c r="EG75" s="727"/>
      <c r="EH75" s="727"/>
      <c r="EI75" s="727"/>
      <c r="EJ75" s="727"/>
      <c r="EK75" s="727"/>
      <c r="EL75" s="727"/>
      <c r="EM75" s="727"/>
      <c r="EN75" s="727"/>
      <c r="EO75" s="727"/>
      <c r="EP75" s="727"/>
      <c r="EQ75" s="727"/>
      <c r="ER75" s="727"/>
      <c r="ES75" s="727"/>
      <c r="ET75" s="727"/>
      <c r="EU75" s="727"/>
      <c r="EV75" s="727"/>
      <c r="EW75" s="727"/>
      <c r="EX75" s="727"/>
      <c r="EY75" s="727"/>
      <c r="EZ75" s="727"/>
      <c r="FA75" s="727"/>
      <c r="FB75" s="727"/>
      <c r="FC75" s="727"/>
      <c r="FD75" s="727"/>
      <c r="FE75" s="727"/>
      <c r="FF75" s="727"/>
      <c r="FG75" s="727"/>
      <c r="FH75" s="727"/>
      <c r="FI75" s="727"/>
      <c r="FJ75" s="727"/>
      <c r="FK75" s="727"/>
      <c r="FL75" s="727"/>
      <c r="FM75" s="727"/>
      <c r="FN75" s="727"/>
      <c r="FO75" s="727"/>
      <c r="FP75" s="727"/>
      <c r="FQ75" s="727"/>
      <c r="FR75" s="727"/>
      <c r="FS75" s="727"/>
      <c r="FT75" s="727"/>
      <c r="FU75" s="727"/>
      <c r="FV75" s="727"/>
      <c r="FW75" s="727"/>
      <c r="FX75" s="727"/>
      <c r="FY75" s="727"/>
      <c r="FZ75" s="727"/>
      <c r="GA75" s="727"/>
      <c r="GB75" s="727"/>
      <c r="GC75" s="727"/>
      <c r="GD75" s="727"/>
      <c r="GE75" s="727"/>
      <c r="GF75" s="727"/>
      <c r="GG75" s="727"/>
      <c r="GH75" s="727"/>
      <c r="GI75" s="727"/>
      <c r="GJ75" s="727"/>
      <c r="GK75" s="727"/>
      <c r="GL75" s="727"/>
      <c r="GM75" s="727"/>
      <c r="GN75" s="727"/>
      <c r="GO75" s="727"/>
      <c r="GP75" s="727"/>
      <c r="GQ75" s="727"/>
      <c r="GR75" s="727"/>
      <c r="GS75" s="727"/>
      <c r="GT75" s="727"/>
      <c r="GU75" s="727"/>
    </row>
    <row r="76" spans="1:203" s="734" customFormat="1" ht="15" customHeight="1" x14ac:dyDescent="0.2">
      <c r="A76" s="697">
        <v>8678</v>
      </c>
      <c r="B76" s="697"/>
      <c r="C76" s="698" t="s">
        <v>110</v>
      </c>
      <c r="D76" s="699" t="s">
        <v>110</v>
      </c>
      <c r="E76" s="700">
        <f t="shared" si="13"/>
        <v>31779.822199999999</v>
      </c>
      <c r="F76" s="700">
        <v>0</v>
      </c>
      <c r="G76" s="701">
        <f t="shared" si="10"/>
        <v>31779.822199999999</v>
      </c>
      <c r="H76" s="698" t="s">
        <v>10</v>
      </c>
      <c r="I76" s="699" t="s">
        <v>1512</v>
      </c>
      <c r="J76" s="699" t="s">
        <v>10</v>
      </c>
      <c r="K76" s="699" t="s">
        <v>109</v>
      </c>
      <c r="L76" s="699" t="s">
        <v>10</v>
      </c>
      <c r="M76" s="702">
        <v>12</v>
      </c>
      <c r="N76" s="702">
        <v>0.79300000000000004</v>
      </c>
      <c r="O76" s="702">
        <v>0.79300000000000004</v>
      </c>
      <c r="P76" s="702">
        <v>0.754</v>
      </c>
      <c r="Q76" s="702">
        <v>0.82699999999999996</v>
      </c>
      <c r="R76" s="702">
        <v>0</v>
      </c>
      <c r="S76" s="702">
        <v>163898</v>
      </c>
      <c r="T76" s="7">
        <f t="shared" si="11"/>
        <v>31779.822199999999</v>
      </c>
      <c r="U76" s="702">
        <v>142229</v>
      </c>
      <c r="V76" s="702">
        <v>21669</v>
      </c>
      <c r="W76" s="702">
        <v>900</v>
      </c>
      <c r="X76" s="702">
        <v>0</v>
      </c>
      <c r="Y76" s="702">
        <v>0</v>
      </c>
      <c r="Z76" s="702">
        <v>0</v>
      </c>
      <c r="AA76" s="702">
        <v>195677.8222</v>
      </c>
      <c r="AB76" s="702">
        <v>31779.822199999999</v>
      </c>
      <c r="AC76" s="702">
        <v>163898</v>
      </c>
      <c r="AD76" s="702">
        <v>0</v>
      </c>
      <c r="AE76" s="702">
        <v>0</v>
      </c>
      <c r="AF76" s="702">
        <v>0</v>
      </c>
      <c r="AG76" s="702">
        <v>163898</v>
      </c>
      <c r="AH76" s="702">
        <v>0</v>
      </c>
      <c r="AI76" s="702">
        <v>0</v>
      </c>
      <c r="AJ76" s="698">
        <v>4</v>
      </c>
      <c r="AK76" s="698" t="s">
        <v>913</v>
      </c>
      <c r="AL76" s="699" t="s">
        <v>1512</v>
      </c>
      <c r="AM76" s="698" t="s">
        <v>10</v>
      </c>
      <c r="AN76" s="699" t="s">
        <v>110</v>
      </c>
      <c r="AO76" s="699">
        <v>31779.822199999999</v>
      </c>
      <c r="AP76" s="703">
        <f>AR76+AT76+AU76+AV76+AX76+AY76+AZ76+BD76+BF76+BG76+BH76+BJ76+BK76+(BL76+BM76+BN76)/1000+(0.1*BO76)</f>
        <v>25.305800000000001</v>
      </c>
      <c r="AQ76" s="703">
        <f t="shared" si="12"/>
        <v>26.305800000000001</v>
      </c>
      <c r="AR76" s="723">
        <v>0</v>
      </c>
      <c r="AS76" s="723">
        <v>0</v>
      </c>
      <c r="AT76" s="723">
        <v>13</v>
      </c>
      <c r="AU76" s="723">
        <v>0</v>
      </c>
      <c r="AV76" s="723">
        <v>0</v>
      </c>
      <c r="AW76" s="723">
        <v>0</v>
      </c>
      <c r="AX76" s="723">
        <v>0</v>
      </c>
      <c r="AY76" s="723">
        <v>0</v>
      </c>
      <c r="AZ76" s="723">
        <v>0</v>
      </c>
      <c r="BA76" s="723">
        <v>0</v>
      </c>
      <c r="BB76" s="723">
        <v>0</v>
      </c>
      <c r="BC76" s="723">
        <v>1</v>
      </c>
      <c r="BD76" s="697">
        <v>0</v>
      </c>
      <c r="BE76" s="697">
        <v>0</v>
      </c>
      <c r="BF76" s="697">
        <v>0</v>
      </c>
      <c r="BG76" s="697">
        <v>0</v>
      </c>
      <c r="BH76" s="697">
        <v>0</v>
      </c>
      <c r="BI76" s="697">
        <v>0</v>
      </c>
      <c r="BJ76" s="697">
        <v>0</v>
      </c>
      <c r="BK76" s="697">
        <v>0</v>
      </c>
      <c r="BL76" s="723">
        <v>0</v>
      </c>
      <c r="BM76" s="723">
        <v>0</v>
      </c>
      <c r="BN76" s="723">
        <v>9880</v>
      </c>
      <c r="BO76" s="723">
        <v>24.257999999999999</v>
      </c>
      <c r="BP76" s="727"/>
      <c r="BQ76" s="727"/>
      <c r="BR76" s="727"/>
      <c r="BS76" s="727"/>
      <c r="BT76" s="727"/>
      <c r="BU76" s="727"/>
      <c r="BV76" s="727"/>
      <c r="BW76" s="727"/>
      <c r="BX76" s="727"/>
      <c r="BY76" s="727"/>
      <c r="BZ76" s="727"/>
      <c r="CA76" s="727"/>
      <c r="CB76" s="727"/>
      <c r="CC76" s="727"/>
      <c r="CD76" s="727"/>
      <c r="CE76" s="727"/>
      <c r="CF76" s="727"/>
      <c r="CG76" s="727"/>
      <c r="CH76" s="727"/>
      <c r="CI76" s="727"/>
      <c r="CJ76" s="727"/>
      <c r="CK76" s="727"/>
      <c r="CL76" s="727"/>
      <c r="CM76" s="727"/>
      <c r="CN76" s="727"/>
      <c r="CO76" s="727"/>
      <c r="CP76" s="727"/>
      <c r="CQ76" s="727"/>
      <c r="CR76" s="727"/>
      <c r="CS76" s="727"/>
      <c r="CT76" s="727"/>
      <c r="CU76" s="727"/>
      <c r="CV76" s="727"/>
      <c r="CW76" s="727"/>
      <c r="CX76" s="727"/>
      <c r="CY76" s="727"/>
      <c r="CZ76" s="727"/>
      <c r="DA76" s="727"/>
      <c r="DB76" s="727"/>
      <c r="DC76" s="727"/>
      <c r="DD76" s="727"/>
      <c r="DE76" s="727"/>
      <c r="DF76" s="727"/>
      <c r="DG76" s="727"/>
      <c r="DH76" s="727"/>
      <c r="DI76" s="727"/>
      <c r="DJ76" s="727"/>
      <c r="DK76" s="727"/>
      <c r="DL76" s="727"/>
      <c r="DM76" s="727"/>
      <c r="DN76" s="727"/>
      <c r="DO76" s="727"/>
      <c r="DP76" s="727"/>
      <c r="DQ76" s="727"/>
      <c r="DR76" s="727"/>
      <c r="DS76" s="727"/>
      <c r="DT76" s="727"/>
      <c r="DU76" s="727"/>
      <c r="DV76" s="727"/>
      <c r="DW76" s="727"/>
      <c r="DX76" s="727"/>
      <c r="DY76" s="727"/>
      <c r="DZ76" s="727"/>
      <c r="EA76" s="727"/>
      <c r="EB76" s="727"/>
      <c r="EC76" s="727"/>
      <c r="ED76" s="727"/>
      <c r="EE76" s="727"/>
      <c r="EF76" s="727"/>
      <c r="EG76" s="727"/>
      <c r="EH76" s="727"/>
      <c r="EI76" s="727"/>
      <c r="EJ76" s="727"/>
      <c r="EK76" s="727"/>
      <c r="EL76" s="727"/>
      <c r="EM76" s="727"/>
      <c r="EN76" s="727"/>
      <c r="EO76" s="727"/>
      <c r="EP76" s="727"/>
      <c r="EQ76" s="727"/>
      <c r="ER76" s="727"/>
      <c r="ES76" s="727"/>
      <c r="ET76" s="727"/>
      <c r="EU76" s="727"/>
      <c r="EV76" s="727"/>
      <c r="EW76" s="727"/>
      <c r="EX76" s="727"/>
      <c r="EY76" s="727"/>
      <c r="EZ76" s="727"/>
      <c r="FA76" s="727"/>
      <c r="FB76" s="727"/>
      <c r="FC76" s="727"/>
      <c r="FD76" s="727"/>
      <c r="FE76" s="727"/>
      <c r="FF76" s="727"/>
      <c r="FG76" s="727"/>
      <c r="FH76" s="727"/>
      <c r="FI76" s="727"/>
      <c r="FJ76" s="727"/>
      <c r="FK76" s="727"/>
      <c r="FL76" s="727"/>
      <c r="FM76" s="727"/>
      <c r="FN76" s="727"/>
      <c r="FO76" s="727"/>
      <c r="FP76" s="727"/>
      <c r="FQ76" s="727"/>
      <c r="FR76" s="727"/>
      <c r="FS76" s="727"/>
      <c r="FT76" s="727"/>
      <c r="FU76" s="727"/>
      <c r="FV76" s="727"/>
      <c r="FW76" s="727"/>
      <c r="FX76" s="727"/>
      <c r="FY76" s="727"/>
      <c r="FZ76" s="727"/>
      <c r="GA76" s="727"/>
      <c r="GB76" s="727"/>
      <c r="GC76" s="727"/>
      <c r="GD76" s="727"/>
      <c r="GE76" s="727"/>
      <c r="GF76" s="727"/>
      <c r="GG76" s="727"/>
      <c r="GH76" s="727"/>
      <c r="GI76" s="727"/>
      <c r="GJ76" s="727"/>
      <c r="GK76" s="727"/>
      <c r="GL76" s="727"/>
      <c r="GM76" s="727"/>
      <c r="GN76" s="727"/>
      <c r="GO76" s="727"/>
      <c r="GP76" s="727"/>
      <c r="GQ76" s="727"/>
      <c r="GR76" s="727"/>
      <c r="GS76" s="727"/>
      <c r="GT76" s="727"/>
      <c r="GU76" s="727"/>
    </row>
    <row r="77" spans="1:203" ht="15" customHeight="1" x14ac:dyDescent="0.2">
      <c r="A77" s="735">
        <v>9375</v>
      </c>
      <c r="B77" s="735" t="s">
        <v>1412</v>
      </c>
      <c r="C77" s="716" t="s">
        <v>111</v>
      </c>
      <c r="D77" s="699" t="s">
        <v>111</v>
      </c>
      <c r="E77" s="700">
        <f t="shared" si="13"/>
        <v>57829.123799999994</v>
      </c>
      <c r="F77" s="700">
        <v>0</v>
      </c>
      <c r="G77" s="701">
        <f t="shared" si="10"/>
        <v>57829.123799999994</v>
      </c>
      <c r="H77" s="698" t="s">
        <v>1417</v>
      </c>
      <c r="I77" s="699" t="s">
        <v>1512</v>
      </c>
      <c r="J77" s="699" t="s">
        <v>10</v>
      </c>
      <c r="K77" s="699" t="s">
        <v>3</v>
      </c>
      <c r="L77" s="699" t="s">
        <v>10</v>
      </c>
      <c r="M77" s="702">
        <v>15</v>
      </c>
      <c r="N77" s="702">
        <v>0.83199999999999996</v>
      </c>
      <c r="O77" s="702">
        <v>0.83199999999999996</v>
      </c>
      <c r="P77" s="702">
        <v>0.81299999999999994</v>
      </c>
      <c r="Q77" s="702">
        <v>0.76800000000000002</v>
      </c>
      <c r="R77" s="702">
        <v>0</v>
      </c>
      <c r="S77" s="700">
        <v>298242</v>
      </c>
      <c r="T77" s="7">
        <f t="shared" si="11"/>
        <v>57829.123799999994</v>
      </c>
      <c r="U77" s="702">
        <v>247025</v>
      </c>
      <c r="V77" s="702">
        <v>51217</v>
      </c>
      <c r="W77" s="702">
        <v>1500</v>
      </c>
      <c r="X77" s="702">
        <v>0</v>
      </c>
      <c r="Y77" s="702">
        <v>0</v>
      </c>
      <c r="Z77" s="702">
        <v>0</v>
      </c>
      <c r="AA77" s="702">
        <v>356071.1238</v>
      </c>
      <c r="AB77" s="702">
        <v>57829.123800000001</v>
      </c>
      <c r="AC77" s="702">
        <v>298242</v>
      </c>
      <c r="AD77" s="702">
        <v>0</v>
      </c>
      <c r="AE77" s="702">
        <v>0</v>
      </c>
      <c r="AF77" s="702">
        <v>0</v>
      </c>
      <c r="AG77" s="702">
        <v>298242</v>
      </c>
      <c r="AH77" s="702">
        <v>0</v>
      </c>
      <c r="AI77" s="702">
        <v>0</v>
      </c>
      <c r="AJ77" s="698" t="s">
        <v>908</v>
      </c>
      <c r="AK77" s="698" t="s">
        <v>909</v>
      </c>
      <c r="AL77" s="709" t="s">
        <v>1512</v>
      </c>
      <c r="AM77" s="698" t="s">
        <v>1417</v>
      </c>
      <c r="AN77" s="736" t="s">
        <v>926</v>
      </c>
      <c r="AO77" s="718">
        <v>0</v>
      </c>
      <c r="AP77" s="719">
        <v>0</v>
      </c>
      <c r="AQ77" s="703">
        <f t="shared" si="12"/>
        <v>22</v>
      </c>
      <c r="AR77" s="729">
        <v>0</v>
      </c>
      <c r="AS77" s="729">
        <v>671</v>
      </c>
      <c r="AT77" s="729">
        <v>0</v>
      </c>
      <c r="AU77" s="729">
        <v>1</v>
      </c>
      <c r="AV77" s="729">
        <v>0</v>
      </c>
      <c r="AW77" s="729">
        <v>6</v>
      </c>
      <c r="AX77" s="729">
        <v>0</v>
      </c>
      <c r="AY77" s="729">
        <v>0</v>
      </c>
      <c r="AZ77" s="729">
        <v>0</v>
      </c>
      <c r="BA77" s="729">
        <v>0</v>
      </c>
      <c r="BB77" s="729">
        <v>21</v>
      </c>
      <c r="BC77" s="729">
        <v>0</v>
      </c>
      <c r="BD77" s="697">
        <v>0</v>
      </c>
      <c r="BE77" s="697">
        <v>0</v>
      </c>
      <c r="BF77" s="697">
        <v>0</v>
      </c>
      <c r="BG77" s="697">
        <v>0</v>
      </c>
      <c r="BH77" s="697">
        <v>0</v>
      </c>
      <c r="BI77" s="697">
        <v>0</v>
      </c>
      <c r="BJ77" s="697">
        <v>0</v>
      </c>
      <c r="BK77" s="697">
        <v>0</v>
      </c>
      <c r="BL77" s="697">
        <v>0</v>
      </c>
      <c r="BM77" s="697">
        <v>0</v>
      </c>
      <c r="BN77" s="697">
        <v>0</v>
      </c>
      <c r="BO77" s="730"/>
      <c r="BP77" s="727"/>
      <c r="BQ77" s="727"/>
      <c r="BR77" s="727"/>
      <c r="BS77" s="727"/>
      <c r="BT77" s="727"/>
      <c r="BU77" s="727"/>
      <c r="BV77" s="727"/>
      <c r="BW77" s="727"/>
      <c r="BX77" s="727"/>
      <c r="BY77" s="727"/>
      <c r="BZ77" s="727"/>
      <c r="CA77" s="727"/>
      <c r="CB77" s="727"/>
      <c r="CC77" s="727"/>
      <c r="CD77" s="727"/>
      <c r="CE77" s="727"/>
      <c r="CF77" s="727"/>
      <c r="CG77" s="727"/>
      <c r="CH77" s="727"/>
      <c r="CI77" s="727"/>
      <c r="CJ77" s="727"/>
      <c r="CK77" s="727"/>
      <c r="CL77" s="727"/>
      <c r="CM77" s="727"/>
      <c r="CN77" s="727"/>
      <c r="CO77" s="727"/>
      <c r="CP77" s="727"/>
      <c r="CQ77" s="727"/>
      <c r="CR77" s="727"/>
      <c r="CS77" s="727"/>
      <c r="CT77" s="727"/>
      <c r="CU77" s="727"/>
      <c r="CV77" s="727"/>
      <c r="CW77" s="727"/>
      <c r="CX77" s="727"/>
      <c r="CY77" s="727"/>
      <c r="CZ77" s="727"/>
      <c r="DA77" s="727"/>
      <c r="DB77" s="727"/>
      <c r="DC77" s="727"/>
      <c r="DD77" s="727"/>
      <c r="DE77" s="727"/>
      <c r="DF77" s="727"/>
      <c r="DG77" s="727"/>
      <c r="DH77" s="727"/>
      <c r="DI77" s="727"/>
      <c r="DJ77" s="727"/>
      <c r="DK77" s="727"/>
      <c r="DL77" s="727"/>
      <c r="DM77" s="727"/>
      <c r="DN77" s="727"/>
      <c r="DO77" s="727"/>
      <c r="DP77" s="727"/>
      <c r="DQ77" s="727"/>
      <c r="DR77" s="727"/>
      <c r="DS77" s="727"/>
      <c r="DT77" s="727"/>
      <c r="DU77" s="727"/>
      <c r="DV77" s="727"/>
      <c r="DW77" s="727"/>
      <c r="DX77" s="727"/>
      <c r="DY77" s="727"/>
      <c r="DZ77" s="727"/>
      <c r="EA77" s="727"/>
      <c r="EB77" s="727"/>
      <c r="EC77" s="727"/>
      <c r="ED77" s="727"/>
      <c r="EE77" s="727"/>
      <c r="EF77" s="727"/>
      <c r="EG77" s="727"/>
      <c r="EH77" s="727"/>
      <c r="EI77" s="727"/>
      <c r="EJ77" s="727"/>
      <c r="EK77" s="727"/>
      <c r="EL77" s="727"/>
      <c r="EM77" s="727"/>
      <c r="EN77" s="727"/>
      <c r="EO77" s="727"/>
      <c r="EP77" s="727"/>
      <c r="EQ77" s="727"/>
      <c r="ER77" s="727"/>
      <c r="ES77" s="727"/>
      <c r="ET77" s="727"/>
      <c r="EU77" s="727"/>
      <c r="EV77" s="727"/>
      <c r="EW77" s="727"/>
      <c r="EX77" s="727"/>
      <c r="EY77" s="727"/>
      <c r="EZ77" s="727"/>
      <c r="FA77" s="727"/>
      <c r="FB77" s="727"/>
      <c r="FC77" s="727"/>
      <c r="FD77" s="727"/>
      <c r="FE77" s="727"/>
      <c r="FF77" s="727"/>
      <c r="FG77" s="727"/>
      <c r="FH77" s="727"/>
      <c r="FI77" s="727"/>
      <c r="FJ77" s="727"/>
      <c r="FK77" s="727"/>
      <c r="FL77" s="727"/>
      <c r="FM77" s="727"/>
      <c r="FN77" s="727"/>
      <c r="FO77" s="727"/>
      <c r="FP77" s="727"/>
      <c r="FQ77" s="727"/>
      <c r="FR77" s="727"/>
      <c r="FS77" s="727"/>
      <c r="FT77" s="727"/>
      <c r="FU77" s="727"/>
      <c r="FV77" s="727"/>
      <c r="FW77" s="727"/>
      <c r="FX77" s="727"/>
      <c r="FY77" s="727"/>
      <c r="FZ77" s="727"/>
      <c r="GA77" s="727"/>
      <c r="GB77" s="727"/>
      <c r="GC77" s="727"/>
      <c r="GD77" s="727"/>
      <c r="GE77" s="727"/>
      <c r="GF77" s="727"/>
      <c r="GG77" s="727"/>
      <c r="GH77" s="727"/>
      <c r="GI77" s="727"/>
      <c r="GJ77" s="727"/>
      <c r="GK77" s="727"/>
      <c r="GL77" s="727"/>
      <c r="GM77" s="727"/>
      <c r="GN77" s="727"/>
      <c r="GO77" s="727"/>
      <c r="GP77" s="727"/>
      <c r="GQ77" s="727"/>
      <c r="GR77" s="727"/>
      <c r="GS77" s="727"/>
      <c r="GT77" s="727"/>
      <c r="GU77" s="727"/>
    </row>
    <row r="78" spans="1:203" ht="15" customHeight="1" x14ac:dyDescent="0.2">
      <c r="A78" s="697">
        <v>1325</v>
      </c>
      <c r="B78" s="697" t="s">
        <v>1412</v>
      </c>
      <c r="C78" s="698" t="s">
        <v>113</v>
      </c>
      <c r="D78" s="699" t="s">
        <v>113</v>
      </c>
      <c r="E78" s="700">
        <f t="shared" si="13"/>
        <v>436277.62880000001</v>
      </c>
      <c r="F78" s="700">
        <v>0</v>
      </c>
      <c r="G78" s="701">
        <f t="shared" si="10"/>
        <v>436277.62880000001</v>
      </c>
      <c r="H78" s="698" t="s">
        <v>10</v>
      </c>
      <c r="I78" s="699" t="s">
        <v>1416</v>
      </c>
      <c r="J78" s="699" t="s">
        <v>1412</v>
      </c>
      <c r="K78" s="699" t="s">
        <v>19</v>
      </c>
      <c r="L78" s="699" t="s">
        <v>10</v>
      </c>
      <c r="M78" s="702">
        <v>144</v>
      </c>
      <c r="N78" s="702">
        <v>0.89800000000000002</v>
      </c>
      <c r="O78" s="702">
        <v>0.89600000000000002</v>
      </c>
      <c r="P78" s="702">
        <v>0.93799999999999994</v>
      </c>
      <c r="Q78" s="702">
        <v>0.93700000000000006</v>
      </c>
      <c r="R78" s="702">
        <v>1322843</v>
      </c>
      <c r="S78" s="702">
        <v>1252232</v>
      </c>
      <c r="T78" s="7">
        <f t="shared" si="11"/>
        <v>393545.79249999998</v>
      </c>
      <c r="U78" s="702">
        <v>898928</v>
      </c>
      <c r="V78" s="702">
        <v>353304</v>
      </c>
      <c r="W78" s="702">
        <v>6000</v>
      </c>
      <c r="X78" s="702">
        <v>0</v>
      </c>
      <c r="Y78" s="702">
        <v>0</v>
      </c>
      <c r="Z78" s="702">
        <v>0</v>
      </c>
      <c r="AA78" s="702">
        <v>1645777.7930000001</v>
      </c>
      <c r="AB78" s="702">
        <v>393545.79249999998</v>
      </c>
      <c r="AC78" s="702">
        <v>1252232</v>
      </c>
      <c r="AD78" s="702">
        <v>0</v>
      </c>
      <c r="AE78" s="702">
        <v>0</v>
      </c>
      <c r="AF78" s="702">
        <v>1252232</v>
      </c>
      <c r="AG78" s="702">
        <v>0</v>
      </c>
      <c r="AH78" s="702">
        <v>764000</v>
      </c>
      <c r="AI78" s="702">
        <v>598000</v>
      </c>
      <c r="AJ78" s="698">
        <v>4</v>
      </c>
      <c r="AK78" s="698" t="s">
        <v>913</v>
      </c>
      <c r="AL78" s="699" t="s">
        <v>1416</v>
      </c>
      <c r="AM78" s="698" t="s">
        <v>10</v>
      </c>
      <c r="AN78" s="699" t="s">
        <v>113</v>
      </c>
      <c r="AO78" s="699">
        <v>393545.79249999998</v>
      </c>
      <c r="AP78" s="710">
        <f t="shared" ref="AP78:AP94" si="14">AR78+AT78+AU78+AV78+AX78+AY78+AZ78+BD78+BF78+BG78+BH78+BJ78+BK78+(BL78+BM78+BN78)/1000+(0.1*BO78)</f>
        <v>313.60750000000002</v>
      </c>
      <c r="AQ78" s="703">
        <f t="shared" si="12"/>
        <v>338.60750000000002</v>
      </c>
      <c r="AR78" s="697">
        <v>72</v>
      </c>
      <c r="AS78" s="697">
        <v>598</v>
      </c>
      <c r="AT78" s="697">
        <v>101</v>
      </c>
      <c r="AU78" s="697">
        <v>3</v>
      </c>
      <c r="AV78" s="697">
        <v>0</v>
      </c>
      <c r="AW78" s="697">
        <v>0</v>
      </c>
      <c r="AX78" s="697">
        <v>5</v>
      </c>
      <c r="AY78" s="697">
        <v>1</v>
      </c>
      <c r="AZ78" s="697">
        <v>0</v>
      </c>
      <c r="BA78" s="697">
        <v>30</v>
      </c>
      <c r="BB78" s="697">
        <v>24</v>
      </c>
      <c r="BC78" s="697">
        <v>1</v>
      </c>
      <c r="BD78" s="697">
        <v>0</v>
      </c>
      <c r="BE78" s="697">
        <v>0</v>
      </c>
      <c r="BF78" s="697">
        <v>0</v>
      </c>
      <c r="BG78" s="697">
        <v>0</v>
      </c>
      <c r="BH78" s="697">
        <v>0</v>
      </c>
      <c r="BI78" s="697">
        <v>2</v>
      </c>
      <c r="BJ78" s="697">
        <v>0</v>
      </c>
      <c r="BK78" s="697">
        <v>0</v>
      </c>
      <c r="BL78" s="697">
        <v>17163</v>
      </c>
      <c r="BM78" s="697">
        <v>0</v>
      </c>
      <c r="BN78" s="697">
        <v>23122</v>
      </c>
      <c r="BO78" s="697">
        <v>913.22500000000002</v>
      </c>
      <c r="BP78" s="727"/>
      <c r="BQ78" s="727"/>
      <c r="BR78" s="727"/>
      <c r="BS78" s="727"/>
      <c r="BT78" s="727"/>
      <c r="BU78" s="727"/>
      <c r="BV78" s="727"/>
      <c r="BW78" s="727"/>
      <c r="BX78" s="727"/>
      <c r="BY78" s="727"/>
      <c r="BZ78" s="727"/>
      <c r="CA78" s="727"/>
      <c r="CB78" s="727"/>
      <c r="CC78" s="727"/>
      <c r="CD78" s="727"/>
      <c r="CE78" s="727"/>
      <c r="CF78" s="727"/>
      <c r="CG78" s="727"/>
      <c r="CH78" s="727"/>
      <c r="CI78" s="727"/>
      <c r="CJ78" s="727"/>
      <c r="CK78" s="727"/>
      <c r="CL78" s="727"/>
      <c r="CM78" s="727"/>
      <c r="CN78" s="727"/>
      <c r="CO78" s="727"/>
      <c r="CP78" s="727"/>
      <c r="CQ78" s="727"/>
      <c r="CR78" s="727"/>
      <c r="CS78" s="727"/>
      <c r="CT78" s="727"/>
      <c r="CU78" s="727"/>
      <c r="CV78" s="727"/>
      <c r="CW78" s="727"/>
      <c r="CX78" s="727"/>
      <c r="CY78" s="727"/>
      <c r="CZ78" s="727"/>
      <c r="DA78" s="727"/>
      <c r="DB78" s="727"/>
      <c r="DC78" s="727"/>
      <c r="DD78" s="727"/>
      <c r="DE78" s="727"/>
      <c r="DF78" s="727"/>
      <c r="DG78" s="727"/>
      <c r="DH78" s="727"/>
      <c r="DI78" s="727"/>
      <c r="DJ78" s="727"/>
      <c r="DK78" s="727"/>
      <c r="DL78" s="727"/>
      <c r="DM78" s="727"/>
      <c r="DN78" s="727"/>
      <c r="DO78" s="727"/>
      <c r="DP78" s="727"/>
      <c r="DQ78" s="727"/>
      <c r="DR78" s="727"/>
      <c r="DS78" s="727"/>
      <c r="DT78" s="727"/>
      <c r="DU78" s="727"/>
      <c r="DV78" s="727"/>
      <c r="DW78" s="727"/>
      <c r="DX78" s="727"/>
      <c r="DY78" s="727"/>
      <c r="DZ78" s="727"/>
      <c r="EA78" s="727"/>
      <c r="EB78" s="727"/>
      <c r="EC78" s="727"/>
      <c r="ED78" s="727"/>
      <c r="EE78" s="727"/>
      <c r="EF78" s="727"/>
      <c r="EG78" s="727"/>
      <c r="EH78" s="727"/>
      <c r="EI78" s="727"/>
      <c r="EJ78" s="727"/>
      <c r="EK78" s="727"/>
      <c r="EL78" s="727"/>
      <c r="EM78" s="727"/>
      <c r="EN78" s="727"/>
      <c r="EO78" s="727"/>
      <c r="EP78" s="727"/>
      <c r="EQ78" s="727"/>
      <c r="ER78" s="727"/>
      <c r="ES78" s="727"/>
      <c r="ET78" s="727"/>
      <c r="EU78" s="727"/>
      <c r="EV78" s="727"/>
      <c r="EW78" s="727"/>
      <c r="EX78" s="727"/>
      <c r="EY78" s="727"/>
      <c r="EZ78" s="727"/>
      <c r="FA78" s="727"/>
      <c r="FB78" s="727"/>
      <c r="FC78" s="727"/>
      <c r="FD78" s="727"/>
      <c r="FE78" s="727"/>
      <c r="FF78" s="727"/>
      <c r="FG78" s="727"/>
      <c r="FH78" s="727"/>
      <c r="FI78" s="727"/>
      <c r="FJ78" s="727"/>
      <c r="FK78" s="727"/>
      <c r="FL78" s="727"/>
      <c r="FM78" s="727"/>
      <c r="FN78" s="727"/>
      <c r="FO78" s="727"/>
      <c r="FP78" s="727"/>
      <c r="FQ78" s="727"/>
      <c r="FR78" s="727"/>
      <c r="FS78" s="727"/>
      <c r="FT78" s="727"/>
      <c r="FU78" s="727"/>
      <c r="FV78" s="727"/>
      <c r="FW78" s="727"/>
      <c r="FX78" s="727"/>
      <c r="FY78" s="727"/>
      <c r="FZ78" s="727"/>
      <c r="GA78" s="727"/>
      <c r="GB78" s="727"/>
      <c r="GC78" s="727"/>
      <c r="GD78" s="727"/>
      <c r="GE78" s="727"/>
      <c r="GF78" s="727"/>
      <c r="GG78" s="727"/>
      <c r="GH78" s="727"/>
      <c r="GI78" s="727"/>
      <c r="GJ78" s="727"/>
      <c r="GK78" s="727"/>
      <c r="GL78" s="727"/>
      <c r="GM78" s="727"/>
      <c r="GN78" s="727"/>
      <c r="GO78" s="727"/>
      <c r="GP78" s="727"/>
      <c r="GQ78" s="727"/>
      <c r="GR78" s="727"/>
      <c r="GS78" s="727"/>
      <c r="GT78" s="727"/>
      <c r="GU78" s="727"/>
    </row>
    <row r="79" spans="1:203" ht="15" customHeight="1" x14ac:dyDescent="0.2">
      <c r="A79" s="697">
        <v>1329</v>
      </c>
      <c r="B79" s="697"/>
      <c r="C79" s="698" t="s">
        <v>115</v>
      </c>
      <c r="D79" s="699" t="s">
        <v>115</v>
      </c>
      <c r="E79" s="700">
        <f t="shared" si="13"/>
        <v>28918.245999999999</v>
      </c>
      <c r="F79" s="700">
        <v>0</v>
      </c>
      <c r="G79" s="701">
        <f t="shared" si="10"/>
        <v>28918.245999999999</v>
      </c>
      <c r="H79" s="698" t="s">
        <v>10</v>
      </c>
      <c r="I79" s="699" t="s">
        <v>1512</v>
      </c>
      <c r="J79" s="699" t="s">
        <v>10</v>
      </c>
      <c r="K79" s="699" t="s">
        <v>19</v>
      </c>
      <c r="L79" s="699" t="s">
        <v>10</v>
      </c>
      <c r="M79" s="702">
        <v>0</v>
      </c>
      <c r="N79" s="702">
        <v>1</v>
      </c>
      <c r="O79" s="702">
        <v>1</v>
      </c>
      <c r="P79" s="702">
        <v>1</v>
      </c>
      <c r="Q79" s="702">
        <v>0.97499999999999998</v>
      </c>
      <c r="R79" s="702">
        <v>0</v>
      </c>
      <c r="S79" s="702">
        <v>149140</v>
      </c>
      <c r="T79" s="7">
        <f t="shared" si="11"/>
        <v>28918.245999999999</v>
      </c>
      <c r="U79" s="702">
        <v>149140</v>
      </c>
      <c r="V79" s="702">
        <v>0</v>
      </c>
      <c r="W79" s="702">
        <v>1660</v>
      </c>
      <c r="X79" s="702">
        <v>0</v>
      </c>
      <c r="Y79" s="702">
        <v>0</v>
      </c>
      <c r="Z79" s="702">
        <v>0</v>
      </c>
      <c r="AA79" s="702">
        <v>178058.24600000001</v>
      </c>
      <c r="AB79" s="702">
        <v>28918.245999999999</v>
      </c>
      <c r="AC79" s="702">
        <v>149140</v>
      </c>
      <c r="AD79" s="702">
        <v>0</v>
      </c>
      <c r="AE79" s="702">
        <v>0</v>
      </c>
      <c r="AF79" s="702">
        <v>0</v>
      </c>
      <c r="AG79" s="702">
        <v>149140</v>
      </c>
      <c r="AH79" s="702">
        <v>0</v>
      </c>
      <c r="AI79" s="702">
        <v>0</v>
      </c>
      <c r="AJ79" s="698">
        <v>4</v>
      </c>
      <c r="AK79" s="698" t="s">
        <v>913</v>
      </c>
      <c r="AL79" s="699" t="s">
        <v>1512</v>
      </c>
      <c r="AM79" s="698" t="s">
        <v>10</v>
      </c>
      <c r="AN79" s="699" t="s">
        <v>115</v>
      </c>
      <c r="AO79" s="699">
        <v>28918.245999999999</v>
      </c>
      <c r="AP79" s="710">
        <f t="shared" si="14"/>
        <v>0</v>
      </c>
      <c r="AQ79" s="703">
        <f t="shared" si="12"/>
        <v>0</v>
      </c>
      <c r="AR79" s="697">
        <v>0</v>
      </c>
      <c r="AS79" s="697">
        <v>0</v>
      </c>
      <c r="AT79" s="697">
        <v>0</v>
      </c>
      <c r="AU79" s="697">
        <v>0</v>
      </c>
      <c r="AV79" s="697">
        <v>0</v>
      </c>
      <c r="AW79" s="697">
        <v>0</v>
      </c>
      <c r="AX79" s="697">
        <v>0</v>
      </c>
      <c r="AY79" s="697">
        <v>0</v>
      </c>
      <c r="AZ79" s="697">
        <v>0</v>
      </c>
      <c r="BA79" s="697">
        <v>3</v>
      </c>
      <c r="BB79" s="697">
        <v>0</v>
      </c>
      <c r="BC79" s="697">
        <v>0</v>
      </c>
      <c r="BD79" s="697">
        <v>0</v>
      </c>
      <c r="BE79" s="697">
        <v>0</v>
      </c>
      <c r="BF79" s="697">
        <v>0</v>
      </c>
      <c r="BG79" s="697">
        <v>0</v>
      </c>
      <c r="BH79" s="697">
        <v>0</v>
      </c>
      <c r="BI79" s="697">
        <v>0</v>
      </c>
      <c r="BJ79" s="697">
        <v>0</v>
      </c>
      <c r="BK79" s="697">
        <v>0</v>
      </c>
      <c r="BL79" s="697">
        <v>0</v>
      </c>
      <c r="BM79" s="697">
        <v>0</v>
      </c>
      <c r="BN79" s="697">
        <v>0</v>
      </c>
      <c r="BO79" s="697">
        <v>0</v>
      </c>
      <c r="CC79" s="727"/>
      <c r="CD79" s="727"/>
      <c r="CE79" s="727"/>
      <c r="CF79" s="727"/>
      <c r="CG79" s="727"/>
      <c r="CH79" s="727"/>
      <c r="CI79" s="727"/>
      <c r="CJ79" s="727"/>
      <c r="CK79" s="727"/>
      <c r="CL79" s="727"/>
      <c r="CM79" s="727"/>
      <c r="CN79" s="727"/>
      <c r="CO79" s="727"/>
      <c r="CP79" s="727"/>
      <c r="CQ79" s="727"/>
      <c r="CR79" s="727"/>
      <c r="CS79" s="727"/>
      <c r="CT79" s="727"/>
      <c r="CU79" s="727"/>
      <c r="CV79" s="727"/>
      <c r="CW79" s="727"/>
      <c r="CX79" s="727"/>
      <c r="CY79" s="727"/>
      <c r="CZ79" s="727"/>
      <c r="DA79" s="727"/>
      <c r="DB79" s="727"/>
      <c r="DC79" s="727"/>
      <c r="DD79" s="727"/>
      <c r="DE79" s="727"/>
      <c r="DF79" s="727"/>
      <c r="DG79" s="727"/>
      <c r="DH79" s="727"/>
      <c r="DI79" s="727"/>
      <c r="DJ79" s="727"/>
      <c r="DK79" s="727"/>
      <c r="DL79" s="727"/>
      <c r="DM79" s="727"/>
      <c r="DN79" s="727"/>
      <c r="DO79" s="727"/>
      <c r="DP79" s="727"/>
      <c r="DQ79" s="727"/>
      <c r="DR79" s="727"/>
      <c r="DS79" s="727"/>
      <c r="DT79" s="727"/>
      <c r="DU79" s="727"/>
      <c r="DV79" s="727"/>
      <c r="DW79" s="727"/>
      <c r="DX79" s="727"/>
      <c r="DY79" s="727"/>
      <c r="DZ79" s="727"/>
      <c r="EA79" s="727"/>
      <c r="EB79" s="727"/>
      <c r="EC79" s="727"/>
      <c r="ED79" s="727"/>
      <c r="EE79" s="727"/>
      <c r="EF79" s="727"/>
      <c r="EG79" s="727"/>
      <c r="EH79" s="727"/>
      <c r="EI79" s="727"/>
      <c r="EJ79" s="727"/>
      <c r="EK79" s="727"/>
      <c r="EL79" s="727"/>
      <c r="EM79" s="727"/>
      <c r="EN79" s="727"/>
      <c r="EO79" s="727"/>
      <c r="EP79" s="727"/>
      <c r="EQ79" s="727"/>
      <c r="ER79" s="727"/>
      <c r="ES79" s="727"/>
      <c r="ET79" s="727"/>
      <c r="EU79" s="727"/>
      <c r="EV79" s="727"/>
      <c r="EW79" s="727"/>
      <c r="EX79" s="727"/>
      <c r="EY79" s="727"/>
      <c r="EZ79" s="727"/>
      <c r="FA79" s="727"/>
      <c r="FB79" s="727"/>
      <c r="FC79" s="727"/>
      <c r="FD79" s="727"/>
      <c r="FE79" s="727"/>
      <c r="FF79" s="727"/>
      <c r="FG79" s="727"/>
      <c r="FH79" s="727"/>
      <c r="FI79" s="727"/>
      <c r="FJ79" s="727"/>
      <c r="FK79" s="727"/>
      <c r="FL79" s="727"/>
      <c r="FM79" s="727"/>
      <c r="FN79" s="727"/>
      <c r="FO79" s="727"/>
      <c r="FP79" s="727"/>
      <c r="FQ79" s="727"/>
      <c r="FR79" s="727"/>
      <c r="FS79" s="727"/>
      <c r="FT79" s="727"/>
      <c r="FU79" s="727"/>
      <c r="FV79" s="727"/>
      <c r="FW79" s="727"/>
      <c r="FX79" s="727"/>
      <c r="FY79" s="727"/>
      <c r="FZ79" s="727"/>
      <c r="GA79" s="727"/>
      <c r="GB79" s="727"/>
      <c r="GC79" s="727"/>
      <c r="GD79" s="727"/>
      <c r="GE79" s="727"/>
      <c r="GF79" s="727"/>
      <c r="GG79" s="727"/>
      <c r="GH79" s="727"/>
      <c r="GI79" s="727"/>
      <c r="GJ79" s="727"/>
      <c r="GK79" s="727"/>
      <c r="GL79" s="727"/>
      <c r="GM79" s="727"/>
      <c r="GN79" s="727"/>
      <c r="GO79" s="727"/>
      <c r="GP79" s="727"/>
      <c r="GQ79" s="727"/>
      <c r="GR79" s="727"/>
      <c r="GS79" s="727"/>
      <c r="GT79" s="727"/>
      <c r="GU79" s="727"/>
    </row>
    <row r="80" spans="1:203" ht="15" customHeight="1" x14ac:dyDescent="0.2">
      <c r="A80" s="697">
        <v>1331</v>
      </c>
      <c r="B80" s="697"/>
      <c r="C80" s="698" t="s">
        <v>116</v>
      </c>
      <c r="D80" s="699" t="s">
        <v>116</v>
      </c>
      <c r="E80" s="700">
        <f t="shared" si="13"/>
        <v>50674.989399999999</v>
      </c>
      <c r="F80" s="700">
        <v>0</v>
      </c>
      <c r="G80" s="701">
        <f t="shared" si="10"/>
        <v>50674.989399999999</v>
      </c>
      <c r="H80" s="698" t="s">
        <v>10</v>
      </c>
      <c r="I80" s="699" t="s">
        <v>1512</v>
      </c>
      <c r="J80" s="699" t="s">
        <v>10</v>
      </c>
      <c r="K80" s="699" t="s">
        <v>1598</v>
      </c>
      <c r="L80" s="699" t="s">
        <v>10</v>
      </c>
      <c r="M80" s="702">
        <v>15</v>
      </c>
      <c r="N80" s="702">
        <v>0.73499999999999999</v>
      </c>
      <c r="O80" s="702">
        <v>0.88200000000000001</v>
      </c>
      <c r="P80" s="702">
        <v>0.97299999999999998</v>
      </c>
      <c r="Q80" s="702">
        <v>0.99199999999999999</v>
      </c>
      <c r="R80" s="702">
        <v>0</v>
      </c>
      <c r="S80" s="702">
        <v>261346</v>
      </c>
      <c r="T80" s="7">
        <f t="shared" si="11"/>
        <v>50674.989399999999</v>
      </c>
      <c r="U80" s="702">
        <v>205774</v>
      </c>
      <c r="V80" s="702">
        <v>55572</v>
      </c>
      <c r="W80" s="702">
        <v>1644</v>
      </c>
      <c r="X80" s="702">
        <v>0</v>
      </c>
      <c r="Y80" s="702">
        <v>0</v>
      </c>
      <c r="Z80" s="702">
        <v>0</v>
      </c>
      <c r="AA80" s="702">
        <v>312020.98940000002</v>
      </c>
      <c r="AB80" s="702">
        <v>50674.989399999999</v>
      </c>
      <c r="AC80" s="702">
        <v>261346</v>
      </c>
      <c r="AD80" s="702">
        <v>0</v>
      </c>
      <c r="AE80" s="702">
        <v>0</v>
      </c>
      <c r="AF80" s="702">
        <v>0</v>
      </c>
      <c r="AG80" s="702">
        <v>261346</v>
      </c>
      <c r="AH80" s="702">
        <v>0</v>
      </c>
      <c r="AI80" s="702">
        <v>0</v>
      </c>
      <c r="AJ80" s="698">
        <v>4</v>
      </c>
      <c r="AK80" s="698" t="s">
        <v>913</v>
      </c>
      <c r="AL80" s="699" t="s">
        <v>1512</v>
      </c>
      <c r="AM80" s="698" t="s">
        <v>10</v>
      </c>
      <c r="AN80" s="699" t="s">
        <v>116</v>
      </c>
      <c r="AO80" s="699">
        <v>50674.989399999999</v>
      </c>
      <c r="AP80" s="703">
        <f t="shared" si="14"/>
        <v>16</v>
      </c>
      <c r="AQ80" s="703">
        <f t="shared" si="12"/>
        <v>21</v>
      </c>
      <c r="AR80" s="697">
        <v>0</v>
      </c>
      <c r="AS80" s="697">
        <v>0</v>
      </c>
      <c r="AT80" s="697">
        <v>12</v>
      </c>
      <c r="AU80" s="697">
        <v>2</v>
      </c>
      <c r="AV80" s="697">
        <v>0</v>
      </c>
      <c r="AW80" s="697">
        <v>0</v>
      </c>
      <c r="AX80" s="697">
        <v>0</v>
      </c>
      <c r="AY80" s="697">
        <v>2</v>
      </c>
      <c r="AZ80" s="697">
        <v>0</v>
      </c>
      <c r="BA80" s="697">
        <v>0</v>
      </c>
      <c r="BB80" s="697">
        <v>4</v>
      </c>
      <c r="BC80" s="697">
        <v>1</v>
      </c>
      <c r="BD80" s="697">
        <v>0</v>
      </c>
      <c r="BE80" s="697">
        <v>0</v>
      </c>
      <c r="BF80" s="697">
        <v>0</v>
      </c>
      <c r="BG80" s="697">
        <v>0</v>
      </c>
      <c r="BH80" s="697">
        <v>0</v>
      </c>
      <c r="BI80" s="697">
        <v>0</v>
      </c>
      <c r="BJ80" s="697">
        <v>0</v>
      </c>
      <c r="BK80" s="697">
        <v>0</v>
      </c>
      <c r="BL80" s="697">
        <v>0</v>
      </c>
      <c r="BM80" s="697">
        <v>0</v>
      </c>
      <c r="BN80" s="697">
        <v>0</v>
      </c>
      <c r="BO80" s="697">
        <v>0</v>
      </c>
      <c r="CC80" s="727"/>
      <c r="CD80" s="727"/>
      <c r="CE80" s="727"/>
      <c r="CF80" s="727"/>
      <c r="CG80" s="727"/>
      <c r="CH80" s="727"/>
      <c r="CI80" s="727"/>
      <c r="CJ80" s="727"/>
      <c r="CK80" s="727"/>
      <c r="CL80" s="727"/>
      <c r="CM80" s="727"/>
      <c r="CN80" s="727"/>
      <c r="CO80" s="727"/>
      <c r="CP80" s="727"/>
      <c r="CQ80" s="727"/>
      <c r="CR80" s="727"/>
      <c r="CS80" s="727"/>
      <c r="CT80" s="727"/>
      <c r="CU80" s="727"/>
      <c r="CV80" s="727"/>
      <c r="CW80" s="727"/>
      <c r="CX80" s="727"/>
      <c r="CY80" s="727"/>
      <c r="CZ80" s="727"/>
      <c r="DA80" s="727"/>
      <c r="DB80" s="727"/>
      <c r="DC80" s="727"/>
      <c r="DD80" s="727"/>
      <c r="DE80" s="727"/>
      <c r="DF80" s="727"/>
      <c r="DG80" s="727"/>
      <c r="DH80" s="727"/>
      <c r="DI80" s="727"/>
      <c r="DJ80" s="727"/>
      <c r="DK80" s="727"/>
      <c r="DL80" s="727"/>
      <c r="DM80" s="727"/>
      <c r="DN80" s="727"/>
      <c r="DO80" s="727"/>
      <c r="DP80" s="727"/>
      <c r="DQ80" s="727"/>
      <c r="DR80" s="727"/>
      <c r="DS80" s="727"/>
      <c r="DT80" s="727"/>
      <c r="DU80" s="727"/>
      <c r="DV80" s="727"/>
      <c r="DW80" s="727"/>
      <c r="DX80" s="727"/>
      <c r="DY80" s="727"/>
      <c r="DZ80" s="727"/>
      <c r="EA80" s="727"/>
      <c r="EB80" s="727"/>
      <c r="EC80" s="727"/>
      <c r="ED80" s="727"/>
      <c r="EE80" s="727"/>
      <c r="EF80" s="727"/>
      <c r="EG80" s="727"/>
      <c r="EH80" s="727"/>
      <c r="EI80" s="727"/>
      <c r="EJ80" s="727"/>
      <c r="EK80" s="727"/>
      <c r="EL80" s="727"/>
      <c r="EM80" s="727"/>
      <c r="EN80" s="727"/>
      <c r="EO80" s="727"/>
      <c r="EP80" s="727"/>
      <c r="EQ80" s="727"/>
      <c r="ER80" s="727"/>
      <c r="ES80" s="727"/>
      <c r="ET80" s="727"/>
      <c r="EU80" s="727"/>
      <c r="EV80" s="727"/>
      <c r="EW80" s="727"/>
      <c r="EX80" s="727"/>
      <c r="EY80" s="727"/>
      <c r="EZ80" s="727"/>
      <c r="FA80" s="727"/>
      <c r="FB80" s="727"/>
      <c r="FC80" s="727"/>
      <c r="FD80" s="727"/>
      <c r="FE80" s="727"/>
      <c r="FF80" s="727"/>
      <c r="FG80" s="727"/>
      <c r="FH80" s="727"/>
      <c r="FI80" s="727"/>
      <c r="FJ80" s="727"/>
      <c r="FK80" s="727"/>
      <c r="FL80" s="727"/>
      <c r="FM80" s="727"/>
      <c r="FN80" s="727"/>
      <c r="FO80" s="727"/>
      <c r="FP80" s="727"/>
      <c r="FQ80" s="727"/>
      <c r="FR80" s="727"/>
      <c r="FS80" s="727"/>
      <c r="FT80" s="727"/>
      <c r="FU80" s="727"/>
      <c r="FV80" s="727"/>
      <c r="FW80" s="727"/>
      <c r="FX80" s="727"/>
      <c r="FY80" s="727"/>
      <c r="FZ80" s="727"/>
      <c r="GA80" s="727"/>
      <c r="GB80" s="727"/>
      <c r="GC80" s="727"/>
      <c r="GD80" s="727"/>
      <c r="GE80" s="727"/>
      <c r="GF80" s="727"/>
      <c r="GG80" s="727"/>
      <c r="GH80" s="727"/>
      <c r="GI80" s="727"/>
      <c r="GJ80" s="727"/>
      <c r="GK80" s="727"/>
      <c r="GL80" s="727"/>
      <c r="GM80" s="727"/>
      <c r="GN80" s="727"/>
      <c r="GO80" s="727"/>
      <c r="GP80" s="727"/>
      <c r="GQ80" s="727"/>
      <c r="GR80" s="727"/>
      <c r="GS80" s="727"/>
      <c r="GT80" s="727"/>
      <c r="GU80" s="727"/>
    </row>
    <row r="81" spans="1:203" ht="15" customHeight="1" x14ac:dyDescent="0.2">
      <c r="A81" s="697">
        <v>8682</v>
      </c>
      <c r="B81" s="697"/>
      <c r="C81" s="698" t="s">
        <v>118</v>
      </c>
      <c r="D81" s="699" t="s">
        <v>118</v>
      </c>
      <c r="E81" s="700">
        <f t="shared" si="13"/>
        <v>35678.181700000001</v>
      </c>
      <c r="F81" s="700">
        <v>0</v>
      </c>
      <c r="G81" s="701">
        <f t="shared" si="10"/>
        <v>35678.181700000001</v>
      </c>
      <c r="H81" s="698" t="s">
        <v>10</v>
      </c>
      <c r="I81" s="699" t="s">
        <v>1512</v>
      </c>
      <c r="J81" s="699" t="s">
        <v>10</v>
      </c>
      <c r="K81" s="699" t="s">
        <v>120</v>
      </c>
      <c r="L81" s="699" t="s">
        <v>10</v>
      </c>
      <c r="M81" s="702">
        <v>12</v>
      </c>
      <c r="N81" s="702">
        <v>1</v>
      </c>
      <c r="O81" s="702">
        <v>1</v>
      </c>
      <c r="P81" s="702">
        <v>1</v>
      </c>
      <c r="Q81" s="702">
        <v>0.96199999999999997</v>
      </c>
      <c r="R81" s="702">
        <v>0</v>
      </c>
      <c r="S81" s="702">
        <v>184003</v>
      </c>
      <c r="T81" s="7">
        <f t="shared" si="11"/>
        <v>35678.181700000001</v>
      </c>
      <c r="U81" s="702">
        <v>154723</v>
      </c>
      <c r="V81" s="702">
        <v>29280</v>
      </c>
      <c r="W81" s="702">
        <v>1100</v>
      </c>
      <c r="X81" s="702">
        <v>0</v>
      </c>
      <c r="Y81" s="702">
        <v>0</v>
      </c>
      <c r="Z81" s="702">
        <v>0</v>
      </c>
      <c r="AA81" s="702">
        <v>219681.18169999999</v>
      </c>
      <c r="AB81" s="702">
        <v>35678.181700000001</v>
      </c>
      <c r="AC81" s="702">
        <v>184003</v>
      </c>
      <c r="AD81" s="702">
        <v>0</v>
      </c>
      <c r="AE81" s="702">
        <v>0</v>
      </c>
      <c r="AF81" s="702">
        <v>0</v>
      </c>
      <c r="AG81" s="702">
        <v>184003</v>
      </c>
      <c r="AH81" s="702">
        <v>0</v>
      </c>
      <c r="AI81" s="702">
        <v>0</v>
      </c>
      <c r="AJ81" s="698" t="s">
        <v>900</v>
      </c>
      <c r="AK81" s="698" t="s">
        <v>907</v>
      </c>
      <c r="AL81" s="699" t="s">
        <v>1512</v>
      </c>
      <c r="AM81" s="698" t="s">
        <v>10</v>
      </c>
      <c r="AN81" s="699" t="s">
        <v>118</v>
      </c>
      <c r="AO81" s="699">
        <v>35678.181700000001</v>
      </c>
      <c r="AP81" s="703">
        <f t="shared" si="14"/>
        <v>7.7119</v>
      </c>
      <c r="AQ81" s="703">
        <f t="shared" si="12"/>
        <v>7.7119</v>
      </c>
      <c r="AR81" s="697">
        <v>0</v>
      </c>
      <c r="AS81" s="697">
        <v>0</v>
      </c>
      <c r="AT81" s="697">
        <v>5</v>
      </c>
      <c r="AU81" s="697">
        <v>0</v>
      </c>
      <c r="AV81" s="697">
        <v>0</v>
      </c>
      <c r="AW81" s="697">
        <v>0</v>
      </c>
      <c r="AX81" s="697">
        <v>0</v>
      </c>
      <c r="AY81" s="697">
        <v>0</v>
      </c>
      <c r="AZ81" s="697">
        <v>0</v>
      </c>
      <c r="BA81" s="697">
        <v>0</v>
      </c>
      <c r="BB81" s="697">
        <v>0</v>
      </c>
      <c r="BC81" s="697">
        <v>0</v>
      </c>
      <c r="BD81" s="697">
        <v>0</v>
      </c>
      <c r="BE81" s="697">
        <v>0</v>
      </c>
      <c r="BF81" s="697">
        <v>0</v>
      </c>
      <c r="BG81" s="697">
        <v>0</v>
      </c>
      <c r="BH81" s="697">
        <v>0</v>
      </c>
      <c r="BI81" s="697">
        <v>0</v>
      </c>
      <c r="BJ81" s="697">
        <v>0</v>
      </c>
      <c r="BK81" s="697">
        <v>0</v>
      </c>
      <c r="BL81" s="697">
        <v>0</v>
      </c>
      <c r="BM81" s="697">
        <v>0</v>
      </c>
      <c r="BN81" s="697">
        <v>0</v>
      </c>
      <c r="BO81" s="697">
        <v>27.119</v>
      </c>
      <c r="CC81" s="727"/>
      <c r="CD81" s="727"/>
      <c r="CE81" s="727"/>
      <c r="CF81" s="727"/>
      <c r="CG81" s="727"/>
      <c r="CH81" s="727"/>
      <c r="CI81" s="727"/>
      <c r="CJ81" s="727"/>
      <c r="CK81" s="727"/>
      <c r="CL81" s="727"/>
      <c r="CM81" s="727"/>
      <c r="CN81" s="727"/>
      <c r="CO81" s="727"/>
      <c r="CP81" s="727"/>
      <c r="CQ81" s="727"/>
      <c r="CR81" s="727"/>
      <c r="CS81" s="727"/>
      <c r="CT81" s="727"/>
      <c r="CU81" s="727"/>
      <c r="CV81" s="727"/>
      <c r="CW81" s="727"/>
      <c r="CX81" s="727"/>
      <c r="CY81" s="727"/>
      <c r="CZ81" s="727"/>
      <c r="DA81" s="727"/>
      <c r="DB81" s="727"/>
      <c r="DC81" s="727"/>
      <c r="DD81" s="727"/>
      <c r="DE81" s="727"/>
      <c r="DF81" s="727"/>
      <c r="DG81" s="727"/>
      <c r="DH81" s="727"/>
      <c r="DI81" s="727"/>
      <c r="DJ81" s="727"/>
      <c r="DK81" s="727"/>
      <c r="DL81" s="727"/>
      <c r="DM81" s="727"/>
      <c r="DN81" s="727"/>
      <c r="DO81" s="727"/>
      <c r="DP81" s="727"/>
      <c r="DQ81" s="727"/>
      <c r="DR81" s="727"/>
      <c r="DS81" s="727"/>
      <c r="DT81" s="727"/>
      <c r="DU81" s="727"/>
      <c r="DV81" s="727"/>
      <c r="DW81" s="727"/>
      <c r="DX81" s="727"/>
      <c r="DY81" s="727"/>
      <c r="DZ81" s="727"/>
      <c r="EA81" s="727"/>
      <c r="EB81" s="727"/>
      <c r="EC81" s="727"/>
      <c r="ED81" s="727"/>
      <c r="EE81" s="727"/>
      <c r="EF81" s="727"/>
      <c r="EG81" s="727"/>
      <c r="EH81" s="727"/>
      <c r="EI81" s="727"/>
      <c r="EJ81" s="727"/>
      <c r="EK81" s="727"/>
      <c r="EL81" s="727"/>
      <c r="EM81" s="727"/>
      <c r="EN81" s="727"/>
      <c r="EO81" s="727"/>
      <c r="EP81" s="727"/>
      <c r="EQ81" s="727"/>
      <c r="ER81" s="727"/>
      <c r="ES81" s="727"/>
      <c r="ET81" s="727"/>
      <c r="EU81" s="727"/>
      <c r="EV81" s="727"/>
      <c r="EW81" s="727"/>
      <c r="EX81" s="727"/>
      <c r="EY81" s="727"/>
      <c r="EZ81" s="727"/>
      <c r="FA81" s="727"/>
      <c r="FB81" s="727"/>
      <c r="FC81" s="727"/>
      <c r="FD81" s="727"/>
      <c r="FE81" s="727"/>
      <c r="FF81" s="727"/>
      <c r="FG81" s="727"/>
      <c r="FH81" s="727"/>
      <c r="FI81" s="727"/>
      <c r="FJ81" s="727"/>
      <c r="FK81" s="727"/>
      <c r="FL81" s="727"/>
      <c r="FM81" s="727"/>
      <c r="FN81" s="727"/>
      <c r="FO81" s="727"/>
      <c r="FP81" s="727"/>
      <c r="FQ81" s="727"/>
      <c r="FR81" s="727"/>
      <c r="FS81" s="727"/>
      <c r="FT81" s="727"/>
      <c r="FU81" s="727"/>
      <c r="FV81" s="727"/>
      <c r="FW81" s="727"/>
      <c r="FX81" s="727"/>
      <c r="FY81" s="727"/>
      <c r="FZ81" s="727"/>
      <c r="GA81" s="727"/>
      <c r="GB81" s="727"/>
      <c r="GC81" s="727"/>
      <c r="GD81" s="727"/>
      <c r="GE81" s="727"/>
      <c r="GF81" s="727"/>
      <c r="GG81" s="727"/>
      <c r="GH81" s="727"/>
      <c r="GI81" s="727"/>
      <c r="GJ81" s="727"/>
      <c r="GK81" s="727"/>
      <c r="GL81" s="727"/>
      <c r="GM81" s="727"/>
      <c r="GN81" s="727"/>
      <c r="GO81" s="727"/>
      <c r="GP81" s="727"/>
      <c r="GQ81" s="727"/>
      <c r="GR81" s="727"/>
      <c r="GS81" s="727"/>
      <c r="GT81" s="727"/>
      <c r="GU81" s="727"/>
    </row>
    <row r="82" spans="1:203" ht="15" customHeight="1" x14ac:dyDescent="0.2">
      <c r="A82" s="697">
        <v>8688</v>
      </c>
      <c r="B82" s="697"/>
      <c r="C82" s="698" t="s">
        <v>121</v>
      </c>
      <c r="D82" s="699" t="s">
        <v>121</v>
      </c>
      <c r="E82" s="700">
        <f t="shared" si="13"/>
        <v>280548.4032</v>
      </c>
      <c r="F82" s="700">
        <v>0</v>
      </c>
      <c r="G82" s="701">
        <f t="shared" si="10"/>
        <v>280548.4032</v>
      </c>
      <c r="H82" s="698" t="s">
        <v>10</v>
      </c>
      <c r="I82" s="699" t="s">
        <v>1416</v>
      </c>
      <c r="J82" s="699" t="s">
        <v>10</v>
      </c>
      <c r="K82" s="699" t="s">
        <v>78</v>
      </c>
      <c r="L82" s="699" t="s">
        <v>10</v>
      </c>
      <c r="M82" s="702">
        <v>112</v>
      </c>
      <c r="N82" s="702">
        <v>0.81599999999999995</v>
      </c>
      <c r="O82" s="702">
        <v>0.83099999999999996</v>
      </c>
      <c r="P82" s="702">
        <v>0.79600000000000004</v>
      </c>
      <c r="Q82" s="702">
        <v>0.83199999999999996</v>
      </c>
      <c r="R82" s="702">
        <v>829678</v>
      </c>
      <c r="S82" s="702">
        <v>805248</v>
      </c>
      <c r="T82" s="7">
        <f t="shared" si="11"/>
        <v>246829.20499999999</v>
      </c>
      <c r="U82" s="702">
        <v>568882</v>
      </c>
      <c r="V82" s="702">
        <v>236366</v>
      </c>
      <c r="W82" s="702">
        <v>4890</v>
      </c>
      <c r="X82" s="702">
        <v>0</v>
      </c>
      <c r="Y82" s="702">
        <v>0</v>
      </c>
      <c r="Z82" s="702">
        <v>0</v>
      </c>
      <c r="AA82" s="702">
        <v>1052077.2050000001</v>
      </c>
      <c r="AB82" s="702">
        <v>246829.20499999999</v>
      </c>
      <c r="AC82" s="702">
        <v>805248</v>
      </c>
      <c r="AD82" s="702">
        <v>0</v>
      </c>
      <c r="AE82" s="702">
        <v>0</v>
      </c>
      <c r="AF82" s="702">
        <v>0</v>
      </c>
      <c r="AG82" s="702">
        <v>805248</v>
      </c>
      <c r="AH82" s="702">
        <v>0</v>
      </c>
      <c r="AI82" s="702">
        <v>0</v>
      </c>
      <c r="AJ82" s="698" t="s">
        <v>900</v>
      </c>
      <c r="AK82" s="698" t="s">
        <v>907</v>
      </c>
      <c r="AL82" s="699" t="s">
        <v>1416</v>
      </c>
      <c r="AM82" s="698" t="s">
        <v>10</v>
      </c>
      <c r="AN82" s="699" t="s">
        <v>121</v>
      </c>
      <c r="AO82" s="699">
        <v>246829.20499999999</v>
      </c>
      <c r="AP82" s="703">
        <f t="shared" si="14"/>
        <v>179.1422</v>
      </c>
      <c r="AQ82" s="703">
        <f t="shared" si="12"/>
        <v>237.1422</v>
      </c>
      <c r="AR82" s="697">
        <v>0</v>
      </c>
      <c r="AS82" s="697">
        <v>0</v>
      </c>
      <c r="AT82" s="697">
        <v>131</v>
      </c>
      <c r="AU82" s="697">
        <v>3</v>
      </c>
      <c r="AV82" s="697">
        <v>0</v>
      </c>
      <c r="AW82" s="697">
        <v>0</v>
      </c>
      <c r="AX82" s="697">
        <v>0</v>
      </c>
      <c r="AY82" s="697">
        <v>0</v>
      </c>
      <c r="AZ82" s="697">
        <v>0</v>
      </c>
      <c r="BA82" s="697">
        <v>0</v>
      </c>
      <c r="BB82" s="697">
        <v>57</v>
      </c>
      <c r="BC82" s="697">
        <v>1</v>
      </c>
      <c r="BD82" s="697">
        <v>0</v>
      </c>
      <c r="BE82" s="697">
        <v>0</v>
      </c>
      <c r="BF82" s="697">
        <v>0</v>
      </c>
      <c r="BG82" s="697">
        <v>0</v>
      </c>
      <c r="BH82" s="697">
        <v>0</v>
      </c>
      <c r="BI82" s="697">
        <v>0</v>
      </c>
      <c r="BJ82" s="697">
        <v>0</v>
      </c>
      <c r="BK82" s="697">
        <v>0</v>
      </c>
      <c r="BL82" s="697">
        <v>0</v>
      </c>
      <c r="BM82" s="697">
        <v>20592</v>
      </c>
      <c r="BN82" s="697">
        <v>0</v>
      </c>
      <c r="BO82" s="697">
        <v>245.50200000000001</v>
      </c>
      <c r="CC82" s="727"/>
      <c r="CD82" s="727"/>
      <c r="CE82" s="727"/>
      <c r="CF82" s="727"/>
      <c r="CG82" s="727"/>
      <c r="CH82" s="727"/>
      <c r="CI82" s="727"/>
      <c r="CJ82" s="727"/>
      <c r="CK82" s="727"/>
      <c r="CL82" s="727"/>
      <c r="CM82" s="727"/>
      <c r="CN82" s="727"/>
      <c r="CO82" s="727"/>
      <c r="CP82" s="727"/>
      <c r="CQ82" s="727"/>
      <c r="CR82" s="727"/>
      <c r="CS82" s="727"/>
      <c r="CT82" s="727"/>
      <c r="CU82" s="727"/>
      <c r="CV82" s="727"/>
      <c r="CW82" s="727"/>
      <c r="CX82" s="727"/>
      <c r="CY82" s="727"/>
      <c r="CZ82" s="727"/>
      <c r="DA82" s="727"/>
      <c r="DB82" s="727"/>
      <c r="DC82" s="727"/>
      <c r="DD82" s="727"/>
      <c r="DE82" s="727"/>
      <c r="DF82" s="727"/>
      <c r="DG82" s="727"/>
      <c r="DH82" s="727"/>
      <c r="DI82" s="727"/>
      <c r="DJ82" s="727"/>
      <c r="DK82" s="727"/>
      <c r="DL82" s="727"/>
      <c r="DM82" s="727"/>
      <c r="DN82" s="727"/>
      <c r="DO82" s="727"/>
      <c r="DP82" s="727"/>
      <c r="DQ82" s="727"/>
      <c r="DR82" s="727"/>
      <c r="DS82" s="727"/>
      <c r="DT82" s="727"/>
      <c r="DU82" s="727"/>
      <c r="DV82" s="727"/>
      <c r="DW82" s="727"/>
      <c r="DX82" s="727"/>
      <c r="DY82" s="727"/>
      <c r="DZ82" s="727"/>
      <c r="EA82" s="727"/>
      <c r="EB82" s="727"/>
      <c r="EC82" s="727"/>
      <c r="ED82" s="727"/>
      <c r="EE82" s="727"/>
      <c r="EF82" s="727"/>
      <c r="EG82" s="727"/>
      <c r="EH82" s="727"/>
      <c r="EI82" s="727"/>
      <c r="EJ82" s="727"/>
      <c r="EK82" s="727"/>
      <c r="EL82" s="727"/>
      <c r="EM82" s="727"/>
      <c r="EN82" s="727"/>
      <c r="EO82" s="727"/>
      <c r="EP82" s="727"/>
      <c r="EQ82" s="727"/>
      <c r="ER82" s="727"/>
      <c r="ES82" s="727"/>
      <c r="ET82" s="727"/>
      <c r="EU82" s="727"/>
      <c r="EV82" s="727"/>
      <c r="EW82" s="727"/>
      <c r="EX82" s="727"/>
      <c r="EY82" s="727"/>
      <c r="EZ82" s="727"/>
      <c r="FA82" s="727"/>
      <c r="FB82" s="727"/>
      <c r="FC82" s="727"/>
      <c r="FD82" s="727"/>
      <c r="FE82" s="727"/>
      <c r="FF82" s="727"/>
      <c r="FG82" s="727"/>
      <c r="FH82" s="727"/>
      <c r="FI82" s="727"/>
      <c r="FJ82" s="727"/>
      <c r="FK82" s="727"/>
      <c r="FL82" s="727"/>
      <c r="FM82" s="727"/>
      <c r="FN82" s="727"/>
      <c r="FO82" s="727"/>
      <c r="FP82" s="727"/>
      <c r="FQ82" s="727"/>
      <c r="FR82" s="727"/>
      <c r="FS82" s="727"/>
      <c r="FT82" s="727"/>
      <c r="FU82" s="727"/>
      <c r="FV82" s="727"/>
      <c r="FW82" s="727"/>
      <c r="FX82" s="727"/>
      <c r="FY82" s="727"/>
      <c r="FZ82" s="727"/>
      <c r="GA82" s="727"/>
      <c r="GB82" s="727"/>
      <c r="GC82" s="727"/>
      <c r="GD82" s="727"/>
      <c r="GE82" s="727"/>
      <c r="GF82" s="727"/>
      <c r="GG82" s="727"/>
      <c r="GH82" s="727"/>
      <c r="GI82" s="727"/>
      <c r="GJ82" s="727"/>
      <c r="GK82" s="727"/>
      <c r="GL82" s="727"/>
      <c r="GM82" s="727"/>
      <c r="GN82" s="727"/>
      <c r="GO82" s="727"/>
      <c r="GP82" s="727"/>
      <c r="GQ82" s="727"/>
      <c r="GR82" s="727"/>
      <c r="GS82" s="727"/>
      <c r="GT82" s="727"/>
      <c r="GU82" s="727"/>
    </row>
    <row r="83" spans="1:203" ht="15" customHeight="1" x14ac:dyDescent="0.2">
      <c r="A83" s="697">
        <v>4824</v>
      </c>
      <c r="B83" s="697" t="s">
        <v>1412</v>
      </c>
      <c r="C83" s="698" t="s">
        <v>123</v>
      </c>
      <c r="D83" s="699" t="s">
        <v>123</v>
      </c>
      <c r="E83" s="700">
        <f t="shared" si="13"/>
        <v>432016</v>
      </c>
      <c r="F83" s="700">
        <v>0</v>
      </c>
      <c r="G83" s="701">
        <f t="shared" si="10"/>
        <v>432016</v>
      </c>
      <c r="H83" s="698" t="s">
        <v>1417</v>
      </c>
      <c r="I83" s="699" t="s">
        <v>1416</v>
      </c>
      <c r="J83" s="699" t="s">
        <v>1412</v>
      </c>
      <c r="K83" s="699" t="s">
        <v>126</v>
      </c>
      <c r="L83" s="699" t="s">
        <v>10</v>
      </c>
      <c r="M83" s="702">
        <v>198</v>
      </c>
      <c r="N83" s="702">
        <v>0.91400000000000003</v>
      </c>
      <c r="O83" s="702">
        <v>0.94</v>
      </c>
      <c r="P83" s="702">
        <v>0.92500000000000004</v>
      </c>
      <c r="Q83" s="702">
        <v>0.95199999999999996</v>
      </c>
      <c r="R83" s="702">
        <v>807096</v>
      </c>
      <c r="S83" s="702">
        <v>1240000</v>
      </c>
      <c r="T83" s="7">
        <f t="shared" si="11"/>
        <v>240111.06</v>
      </c>
      <c r="U83" s="702">
        <v>807096</v>
      </c>
      <c r="V83" s="702">
        <v>432904</v>
      </c>
      <c r="W83" s="702">
        <v>5900</v>
      </c>
      <c r="X83" s="702">
        <v>0</v>
      </c>
      <c r="Y83" s="702">
        <v>0</v>
      </c>
      <c r="Z83" s="702">
        <v>0</v>
      </c>
      <c r="AA83" s="702">
        <v>1480111.06</v>
      </c>
      <c r="AB83" s="702">
        <v>240111.06</v>
      </c>
      <c r="AC83" s="702">
        <v>1240000</v>
      </c>
      <c r="AD83" s="702">
        <v>0</v>
      </c>
      <c r="AE83" s="702">
        <v>0</v>
      </c>
      <c r="AF83" s="702">
        <v>1240000</v>
      </c>
      <c r="AG83" s="702">
        <v>0</v>
      </c>
      <c r="AH83" s="702">
        <v>1083000</v>
      </c>
      <c r="AI83" s="702">
        <v>965000</v>
      </c>
      <c r="AJ83" s="698" t="s">
        <v>900</v>
      </c>
      <c r="AK83" s="698" t="s">
        <v>905</v>
      </c>
      <c r="AL83" s="699" t="s">
        <v>1416</v>
      </c>
      <c r="AM83" s="698" t="s">
        <v>1417</v>
      </c>
      <c r="AN83" s="699" t="s">
        <v>123</v>
      </c>
      <c r="AO83" s="699">
        <v>240111.06</v>
      </c>
      <c r="AP83" s="703">
        <f t="shared" si="14"/>
        <v>828</v>
      </c>
      <c r="AQ83" s="703">
        <f t="shared" si="12"/>
        <v>877</v>
      </c>
      <c r="AR83" s="697">
        <v>483</v>
      </c>
      <c r="AS83" s="697">
        <v>965</v>
      </c>
      <c r="AT83" s="697">
        <v>313</v>
      </c>
      <c r="AU83" s="697">
        <v>0</v>
      </c>
      <c r="AV83" s="697">
        <v>0</v>
      </c>
      <c r="AW83" s="697">
        <v>0</v>
      </c>
      <c r="AX83" s="697">
        <v>0</v>
      </c>
      <c r="AY83" s="697">
        <v>0</v>
      </c>
      <c r="AZ83" s="697">
        <v>0</v>
      </c>
      <c r="BA83" s="697">
        <v>171</v>
      </c>
      <c r="BB83" s="697">
        <v>49</v>
      </c>
      <c r="BC83" s="697">
        <v>0</v>
      </c>
      <c r="BD83" s="697">
        <v>0</v>
      </c>
      <c r="BE83" s="697">
        <v>0</v>
      </c>
      <c r="BF83" s="697">
        <v>0</v>
      </c>
      <c r="BG83" s="697">
        <v>0</v>
      </c>
      <c r="BH83" s="697">
        <v>32</v>
      </c>
      <c r="BI83" s="697">
        <v>6</v>
      </c>
      <c r="BJ83" s="697">
        <v>0</v>
      </c>
      <c r="BK83" s="697">
        <v>0</v>
      </c>
      <c r="BL83" s="697">
        <v>0</v>
      </c>
      <c r="BM83" s="697">
        <v>0</v>
      </c>
      <c r="BN83" s="697">
        <v>0</v>
      </c>
      <c r="BO83" s="697">
        <v>0</v>
      </c>
      <c r="CC83" s="727"/>
      <c r="CD83" s="727"/>
      <c r="CE83" s="727"/>
      <c r="CF83" s="727"/>
      <c r="CG83" s="727"/>
      <c r="CH83" s="727"/>
      <c r="CI83" s="727"/>
      <c r="CJ83" s="727"/>
      <c r="CK83" s="727"/>
      <c r="CL83" s="727"/>
      <c r="CM83" s="727"/>
      <c r="CN83" s="727"/>
      <c r="CO83" s="727"/>
      <c r="CP83" s="727"/>
      <c r="CQ83" s="727"/>
      <c r="CR83" s="727"/>
      <c r="CS83" s="727"/>
      <c r="CT83" s="727"/>
      <c r="CU83" s="727"/>
      <c r="CV83" s="727"/>
      <c r="CW83" s="727"/>
      <c r="CX83" s="727"/>
      <c r="CY83" s="727"/>
      <c r="CZ83" s="727"/>
      <c r="DA83" s="727"/>
      <c r="DB83" s="727"/>
      <c r="DC83" s="727"/>
      <c r="DD83" s="727"/>
      <c r="DE83" s="727"/>
      <c r="DF83" s="727"/>
      <c r="DG83" s="727"/>
      <c r="DH83" s="727"/>
      <c r="DI83" s="727"/>
      <c r="DJ83" s="727"/>
      <c r="DK83" s="727"/>
      <c r="DL83" s="727"/>
      <c r="DM83" s="727"/>
      <c r="DN83" s="727"/>
      <c r="DO83" s="727"/>
      <c r="DP83" s="727"/>
      <c r="DQ83" s="727"/>
      <c r="DR83" s="727"/>
      <c r="DS83" s="727"/>
      <c r="DT83" s="727"/>
      <c r="DU83" s="727"/>
      <c r="DV83" s="727"/>
      <c r="DW83" s="727"/>
      <c r="DX83" s="727"/>
      <c r="DY83" s="727"/>
      <c r="DZ83" s="727"/>
      <c r="EA83" s="727"/>
      <c r="EB83" s="727"/>
      <c r="EC83" s="727"/>
      <c r="ED83" s="727"/>
      <c r="EE83" s="727"/>
      <c r="EF83" s="727"/>
      <c r="EG83" s="727"/>
      <c r="EH83" s="727"/>
      <c r="EI83" s="727"/>
      <c r="EJ83" s="727"/>
      <c r="EK83" s="727"/>
      <c r="EL83" s="727"/>
      <c r="EM83" s="727"/>
      <c r="EN83" s="727"/>
      <c r="EO83" s="727"/>
      <c r="EP83" s="727"/>
      <c r="EQ83" s="727"/>
      <c r="ER83" s="727"/>
      <c r="ES83" s="727"/>
      <c r="ET83" s="727"/>
      <c r="EU83" s="727"/>
      <c r="EV83" s="727"/>
      <c r="EW83" s="727"/>
      <c r="EX83" s="727"/>
      <c r="EY83" s="727"/>
      <c r="EZ83" s="727"/>
      <c r="FA83" s="727"/>
      <c r="FB83" s="727"/>
      <c r="FC83" s="727"/>
      <c r="FD83" s="727"/>
      <c r="FE83" s="727"/>
      <c r="FF83" s="727"/>
      <c r="FG83" s="727"/>
      <c r="FH83" s="727"/>
      <c r="FI83" s="727"/>
      <c r="FJ83" s="727"/>
      <c r="FK83" s="727"/>
      <c r="FL83" s="727"/>
      <c r="FM83" s="727"/>
      <c r="FN83" s="727"/>
      <c r="FO83" s="727"/>
      <c r="FP83" s="727"/>
      <c r="FQ83" s="727"/>
      <c r="FR83" s="727"/>
      <c r="FS83" s="727"/>
      <c r="FT83" s="727"/>
      <c r="FU83" s="727"/>
      <c r="FV83" s="727"/>
      <c r="FW83" s="727"/>
      <c r="FX83" s="727"/>
      <c r="FY83" s="727"/>
      <c r="FZ83" s="727"/>
      <c r="GA83" s="727"/>
      <c r="GB83" s="727"/>
      <c r="GC83" s="727"/>
      <c r="GD83" s="727"/>
      <c r="GE83" s="727"/>
      <c r="GF83" s="727"/>
      <c r="GG83" s="727"/>
      <c r="GH83" s="727"/>
      <c r="GI83" s="727"/>
      <c r="GJ83" s="727"/>
      <c r="GK83" s="727"/>
      <c r="GL83" s="727"/>
      <c r="GM83" s="727"/>
      <c r="GN83" s="727"/>
      <c r="GO83" s="727"/>
      <c r="GP83" s="727"/>
      <c r="GQ83" s="727"/>
      <c r="GR83" s="727"/>
      <c r="GS83" s="727"/>
      <c r="GT83" s="727"/>
      <c r="GU83" s="727"/>
    </row>
    <row r="84" spans="1:203" ht="15" customHeight="1" x14ac:dyDescent="0.2">
      <c r="A84" s="697">
        <v>4825</v>
      </c>
      <c r="B84" s="697" t="s">
        <v>1412</v>
      </c>
      <c r="C84" s="698" t="s">
        <v>927</v>
      </c>
      <c r="D84" s="699" t="s">
        <v>127</v>
      </c>
      <c r="E84" s="700">
        <f t="shared" si="13"/>
        <v>437242</v>
      </c>
      <c r="F84" s="700">
        <v>460000</v>
      </c>
      <c r="G84" s="701">
        <f t="shared" si="10"/>
        <v>897242</v>
      </c>
      <c r="H84" s="698" t="s">
        <v>10</v>
      </c>
      <c r="I84" s="699" t="s">
        <v>1416</v>
      </c>
      <c r="J84" s="699" t="s">
        <v>1412</v>
      </c>
      <c r="K84" s="699" t="s">
        <v>129</v>
      </c>
      <c r="L84" s="699" t="s">
        <v>1412</v>
      </c>
      <c r="M84" s="702">
        <v>138</v>
      </c>
      <c r="N84" s="702">
        <v>0.96299999999999997</v>
      </c>
      <c r="O84" s="702">
        <v>0.96299999999999997</v>
      </c>
      <c r="P84" s="702">
        <v>0.92500000000000004</v>
      </c>
      <c r="Q84" s="702">
        <v>0.95199999999999996</v>
      </c>
      <c r="R84" s="702">
        <v>1332847</v>
      </c>
      <c r="S84" s="702">
        <v>1255000</v>
      </c>
      <c r="T84" s="7">
        <f t="shared" si="11"/>
        <v>396521.98249999998</v>
      </c>
      <c r="U84" s="702">
        <v>887000</v>
      </c>
      <c r="V84" s="702">
        <v>368000</v>
      </c>
      <c r="W84" s="702">
        <v>7000</v>
      </c>
      <c r="X84" s="702">
        <v>856521.98250000004</v>
      </c>
      <c r="Y84" s="702">
        <v>396521.98249999998</v>
      </c>
      <c r="Z84" s="702">
        <v>460000</v>
      </c>
      <c r="AA84" s="702">
        <v>795000</v>
      </c>
      <c r="AB84" s="702">
        <v>0</v>
      </c>
      <c r="AC84" s="702">
        <v>795000</v>
      </c>
      <c r="AD84" s="702">
        <v>460000</v>
      </c>
      <c r="AE84" s="702">
        <v>0</v>
      </c>
      <c r="AF84" s="702">
        <v>795000</v>
      </c>
      <c r="AG84" s="702">
        <v>0</v>
      </c>
      <c r="AH84" s="702">
        <v>812000</v>
      </c>
      <c r="AI84" s="702">
        <v>477000</v>
      </c>
      <c r="AJ84" s="698" t="s">
        <v>900</v>
      </c>
      <c r="AK84" s="698" t="s">
        <v>905</v>
      </c>
      <c r="AL84" s="699" t="s">
        <v>1416</v>
      </c>
      <c r="AM84" s="698" t="s">
        <v>10</v>
      </c>
      <c r="AN84" s="699" t="s">
        <v>127</v>
      </c>
      <c r="AO84" s="699">
        <v>856521.98249999993</v>
      </c>
      <c r="AP84" s="703">
        <f t="shared" si="14"/>
        <v>590.63800000000003</v>
      </c>
      <c r="AQ84" s="703">
        <f t="shared" si="12"/>
        <v>618.63800000000003</v>
      </c>
      <c r="AR84" s="697">
        <v>248</v>
      </c>
      <c r="AS84" s="697">
        <v>477</v>
      </c>
      <c r="AT84" s="697">
        <v>151</v>
      </c>
      <c r="AU84" s="697">
        <v>0</v>
      </c>
      <c r="AV84" s="697">
        <v>0</v>
      </c>
      <c r="AW84" s="697">
        <v>0</v>
      </c>
      <c r="AX84" s="697">
        <v>0</v>
      </c>
      <c r="AY84" s="697">
        <v>0</v>
      </c>
      <c r="AZ84" s="697">
        <v>14</v>
      </c>
      <c r="BA84" s="697">
        <v>37</v>
      </c>
      <c r="BB84" s="697">
        <v>28</v>
      </c>
      <c r="BC84" s="697">
        <v>0</v>
      </c>
      <c r="BD84" s="697">
        <v>4</v>
      </c>
      <c r="BE84" s="697">
        <v>1</v>
      </c>
      <c r="BF84" s="697">
        <v>0</v>
      </c>
      <c r="BG84" s="697">
        <v>0</v>
      </c>
      <c r="BH84" s="697">
        <v>31</v>
      </c>
      <c r="BI84" s="697">
        <v>0</v>
      </c>
      <c r="BJ84" s="697">
        <v>0</v>
      </c>
      <c r="BK84" s="697">
        <v>0</v>
      </c>
      <c r="BL84" s="697">
        <v>0</v>
      </c>
      <c r="BM84" s="697">
        <v>0</v>
      </c>
      <c r="BN84" s="697">
        <v>142638</v>
      </c>
      <c r="BO84" s="697">
        <v>0</v>
      </c>
      <c r="CC84" s="727"/>
      <c r="CD84" s="727"/>
      <c r="CE84" s="727"/>
      <c r="CF84" s="727"/>
      <c r="CG84" s="727"/>
      <c r="CH84" s="727"/>
      <c r="CI84" s="727"/>
      <c r="CJ84" s="727"/>
      <c r="CK84" s="727"/>
      <c r="CL84" s="727"/>
      <c r="CM84" s="727"/>
      <c r="CN84" s="727"/>
      <c r="CO84" s="727"/>
      <c r="CP84" s="727"/>
      <c r="CQ84" s="727"/>
      <c r="CR84" s="727"/>
      <c r="CS84" s="727"/>
      <c r="CT84" s="727"/>
      <c r="CU84" s="727"/>
      <c r="CV84" s="727"/>
      <c r="CW84" s="727"/>
      <c r="CX84" s="727"/>
      <c r="CY84" s="727"/>
      <c r="CZ84" s="727"/>
      <c r="DA84" s="727"/>
      <c r="DB84" s="727"/>
      <c r="DC84" s="727"/>
      <c r="DD84" s="727"/>
      <c r="DE84" s="727"/>
      <c r="DF84" s="727"/>
      <c r="DG84" s="727"/>
      <c r="DH84" s="727"/>
      <c r="DI84" s="727"/>
      <c r="DJ84" s="727"/>
      <c r="DK84" s="727"/>
      <c r="DL84" s="727"/>
      <c r="DM84" s="727"/>
      <c r="DN84" s="727"/>
      <c r="DO84" s="727"/>
      <c r="DP84" s="727"/>
      <c r="DQ84" s="727"/>
      <c r="DR84" s="727"/>
      <c r="DS84" s="727"/>
      <c r="DT84" s="727"/>
      <c r="DU84" s="727"/>
      <c r="DV84" s="727"/>
      <c r="DW84" s="727"/>
      <c r="DX84" s="727"/>
      <c r="DY84" s="727"/>
      <c r="DZ84" s="727"/>
      <c r="EA84" s="727"/>
      <c r="EB84" s="727"/>
      <c r="EC84" s="727"/>
      <c r="ED84" s="727"/>
      <c r="EE84" s="727"/>
      <c r="EF84" s="727"/>
      <c r="EG84" s="727"/>
      <c r="EH84" s="727"/>
      <c r="EI84" s="727"/>
      <c r="EJ84" s="727"/>
      <c r="EK84" s="727"/>
      <c r="EL84" s="727"/>
      <c r="EM84" s="727"/>
      <c r="EN84" s="727"/>
      <c r="EO84" s="727"/>
      <c r="EP84" s="727"/>
      <c r="EQ84" s="727"/>
      <c r="ER84" s="727"/>
      <c r="ES84" s="727"/>
      <c r="ET84" s="727"/>
      <c r="EU84" s="727"/>
      <c r="EV84" s="727"/>
      <c r="EW84" s="727"/>
      <c r="EX84" s="727"/>
      <c r="EY84" s="727"/>
      <c r="EZ84" s="727"/>
      <c r="FA84" s="727"/>
      <c r="FB84" s="727"/>
      <c r="FC84" s="727"/>
      <c r="FD84" s="727"/>
      <c r="FE84" s="727"/>
      <c r="FF84" s="727"/>
      <c r="FG84" s="727"/>
      <c r="FH84" s="727"/>
      <c r="FI84" s="727"/>
      <c r="FJ84" s="727"/>
      <c r="FK84" s="727"/>
      <c r="FL84" s="727"/>
      <c r="FM84" s="727"/>
      <c r="FN84" s="727"/>
      <c r="FO84" s="727"/>
      <c r="FP84" s="727"/>
      <c r="FQ84" s="727"/>
      <c r="FR84" s="727"/>
      <c r="FS84" s="727"/>
      <c r="FT84" s="727"/>
      <c r="FU84" s="727"/>
      <c r="FV84" s="727"/>
      <c r="FW84" s="727"/>
      <c r="FX84" s="727"/>
      <c r="FY84" s="727"/>
      <c r="FZ84" s="727"/>
      <c r="GA84" s="727"/>
      <c r="GB84" s="727"/>
      <c r="GC84" s="727"/>
      <c r="GD84" s="727"/>
      <c r="GE84" s="727"/>
      <c r="GF84" s="727"/>
      <c r="GG84" s="727"/>
      <c r="GH84" s="727"/>
      <c r="GI84" s="727"/>
      <c r="GJ84" s="727"/>
      <c r="GK84" s="727"/>
      <c r="GL84" s="727"/>
      <c r="GM84" s="727"/>
      <c r="GN84" s="727"/>
      <c r="GO84" s="727"/>
      <c r="GP84" s="727"/>
      <c r="GQ84" s="727"/>
      <c r="GR84" s="727"/>
      <c r="GS84" s="727"/>
      <c r="GT84" s="727"/>
      <c r="GU84" s="727"/>
    </row>
    <row r="85" spans="1:203" ht="15" customHeight="1" x14ac:dyDescent="0.2">
      <c r="A85" s="697">
        <v>1518</v>
      </c>
      <c r="B85" s="697" t="s">
        <v>1412</v>
      </c>
      <c r="C85" s="698" t="s">
        <v>130</v>
      </c>
      <c r="D85" s="699" t="s">
        <v>130</v>
      </c>
      <c r="E85" s="700">
        <f t="shared" si="13"/>
        <v>218857.91199999998</v>
      </c>
      <c r="F85" s="700">
        <v>0</v>
      </c>
      <c r="G85" s="701">
        <f t="shared" si="10"/>
        <v>218857.91199999998</v>
      </c>
      <c r="H85" s="698" t="s">
        <v>10</v>
      </c>
      <c r="I85" s="699" t="s">
        <v>1416</v>
      </c>
      <c r="J85" s="699" t="s">
        <v>1412</v>
      </c>
      <c r="K85" s="699" t="s">
        <v>132</v>
      </c>
      <c r="L85" s="699" t="s">
        <v>10</v>
      </c>
      <c r="M85" s="702">
        <v>78</v>
      </c>
      <c r="N85" s="702">
        <v>0.82499999999999996</v>
      </c>
      <c r="O85" s="702">
        <v>0.86699999999999999</v>
      </c>
      <c r="P85" s="702">
        <v>0.82599999999999996</v>
      </c>
      <c r="Q85" s="702">
        <v>0.81299999999999994</v>
      </c>
      <c r="R85" s="702">
        <v>652086</v>
      </c>
      <c r="S85" s="702">
        <v>628180</v>
      </c>
      <c r="T85" s="7">
        <f t="shared" si="11"/>
        <v>193995.58499999999</v>
      </c>
      <c r="U85" s="702">
        <v>382700</v>
      </c>
      <c r="V85" s="702">
        <v>245480</v>
      </c>
      <c r="W85" s="702">
        <v>3500</v>
      </c>
      <c r="X85" s="702">
        <v>0</v>
      </c>
      <c r="Y85" s="702">
        <v>0</v>
      </c>
      <c r="Z85" s="702">
        <v>0</v>
      </c>
      <c r="AA85" s="702">
        <v>822175.58499999996</v>
      </c>
      <c r="AB85" s="702">
        <v>193995.58499999999</v>
      </c>
      <c r="AC85" s="702">
        <v>628180</v>
      </c>
      <c r="AD85" s="702">
        <v>0</v>
      </c>
      <c r="AE85" s="702">
        <v>0</v>
      </c>
      <c r="AF85" s="702">
        <v>628180</v>
      </c>
      <c r="AG85" s="702">
        <v>0</v>
      </c>
      <c r="AH85" s="702">
        <v>418000</v>
      </c>
      <c r="AI85" s="702">
        <v>378000</v>
      </c>
      <c r="AJ85" s="698" t="s">
        <v>900</v>
      </c>
      <c r="AK85" s="698" t="s">
        <v>922</v>
      </c>
      <c r="AL85" s="699" t="s">
        <v>1416</v>
      </c>
      <c r="AM85" s="698" t="s">
        <v>10</v>
      </c>
      <c r="AN85" s="699" t="s">
        <v>130</v>
      </c>
      <c r="AO85" s="699">
        <v>193995.58499999999</v>
      </c>
      <c r="AP85" s="703">
        <f t="shared" si="14"/>
        <v>142.274</v>
      </c>
      <c r="AQ85" s="703">
        <f t="shared" si="12"/>
        <v>161.274</v>
      </c>
      <c r="AR85" s="697">
        <v>66</v>
      </c>
      <c r="AS85" s="697">
        <v>378</v>
      </c>
      <c r="AT85" s="697">
        <v>32</v>
      </c>
      <c r="AU85" s="697">
        <v>1</v>
      </c>
      <c r="AV85" s="697">
        <v>0</v>
      </c>
      <c r="AW85" s="697">
        <v>0</v>
      </c>
      <c r="AX85" s="697">
        <v>0</v>
      </c>
      <c r="AY85" s="697">
        <v>0</v>
      </c>
      <c r="AZ85" s="697">
        <v>0</v>
      </c>
      <c r="BA85" s="697">
        <v>11</v>
      </c>
      <c r="BB85" s="697">
        <v>19</v>
      </c>
      <c r="BC85" s="697">
        <v>0</v>
      </c>
      <c r="BD85" s="697">
        <v>0</v>
      </c>
      <c r="BE85" s="697">
        <v>0</v>
      </c>
      <c r="BF85" s="697">
        <v>0</v>
      </c>
      <c r="BG85" s="697">
        <v>0</v>
      </c>
      <c r="BH85" s="697">
        <v>0</v>
      </c>
      <c r="BI85" s="697">
        <v>2</v>
      </c>
      <c r="BJ85" s="697">
        <v>0</v>
      </c>
      <c r="BK85" s="697">
        <v>0</v>
      </c>
      <c r="BL85" s="697">
        <v>12674</v>
      </c>
      <c r="BM85" s="697">
        <v>0</v>
      </c>
      <c r="BN85" s="697">
        <v>30600</v>
      </c>
      <c r="BO85" s="697">
        <v>0</v>
      </c>
      <c r="CC85" s="727"/>
      <c r="CD85" s="727"/>
      <c r="CE85" s="727"/>
      <c r="CF85" s="727"/>
      <c r="CG85" s="727"/>
      <c r="CH85" s="727"/>
      <c r="CI85" s="727"/>
      <c r="CJ85" s="727"/>
      <c r="CK85" s="727"/>
      <c r="CL85" s="727"/>
      <c r="CM85" s="727"/>
      <c r="CN85" s="727"/>
      <c r="CO85" s="727"/>
      <c r="CP85" s="727"/>
      <c r="CQ85" s="727"/>
      <c r="CR85" s="727"/>
      <c r="CS85" s="727"/>
      <c r="CT85" s="727"/>
      <c r="CU85" s="727"/>
      <c r="CV85" s="727"/>
      <c r="CW85" s="727"/>
      <c r="CX85" s="727"/>
      <c r="CY85" s="727"/>
      <c r="CZ85" s="727"/>
      <c r="DA85" s="727"/>
      <c r="DB85" s="727"/>
      <c r="DC85" s="727"/>
      <c r="DD85" s="727"/>
      <c r="DE85" s="727"/>
      <c r="DF85" s="727"/>
      <c r="DG85" s="727"/>
      <c r="DH85" s="727"/>
      <c r="DI85" s="727"/>
      <c r="DJ85" s="727"/>
      <c r="DK85" s="727"/>
      <c r="DL85" s="727"/>
      <c r="DM85" s="727"/>
      <c r="DN85" s="727"/>
      <c r="DO85" s="727"/>
      <c r="DP85" s="727"/>
      <c r="DQ85" s="727"/>
      <c r="DR85" s="727"/>
      <c r="DS85" s="727"/>
      <c r="DT85" s="727"/>
      <c r="DU85" s="727"/>
      <c r="DV85" s="727"/>
      <c r="DW85" s="727"/>
      <c r="DX85" s="727"/>
      <c r="DY85" s="727"/>
      <c r="DZ85" s="727"/>
      <c r="EA85" s="727"/>
      <c r="EB85" s="727"/>
      <c r="EC85" s="727"/>
      <c r="ED85" s="727"/>
      <c r="EE85" s="727"/>
      <c r="EF85" s="727"/>
      <c r="EG85" s="727"/>
      <c r="EH85" s="727"/>
      <c r="EI85" s="727"/>
      <c r="EJ85" s="727"/>
      <c r="EK85" s="727"/>
      <c r="EL85" s="727"/>
      <c r="EM85" s="727"/>
      <c r="EN85" s="727"/>
      <c r="EO85" s="727"/>
      <c r="EP85" s="727"/>
      <c r="EQ85" s="727"/>
      <c r="ER85" s="727"/>
      <c r="ES85" s="727"/>
      <c r="ET85" s="727"/>
      <c r="EU85" s="727"/>
      <c r="EV85" s="727"/>
      <c r="EW85" s="727"/>
      <c r="EX85" s="727"/>
      <c r="EY85" s="727"/>
      <c r="EZ85" s="727"/>
      <c r="FA85" s="727"/>
      <c r="FB85" s="727"/>
      <c r="FC85" s="727"/>
      <c r="FD85" s="727"/>
      <c r="FE85" s="727"/>
      <c r="FF85" s="727"/>
      <c r="FG85" s="727"/>
      <c r="FH85" s="727"/>
      <c r="FI85" s="727"/>
      <c r="FJ85" s="727"/>
      <c r="FK85" s="727"/>
      <c r="FL85" s="727"/>
      <c r="FM85" s="727"/>
      <c r="FN85" s="727"/>
      <c r="FO85" s="727"/>
      <c r="FP85" s="727"/>
      <c r="FQ85" s="727"/>
      <c r="FR85" s="727"/>
      <c r="FS85" s="727"/>
      <c r="FT85" s="727"/>
      <c r="FU85" s="727"/>
      <c r="FV85" s="727"/>
      <c r="FW85" s="727"/>
      <c r="FX85" s="727"/>
      <c r="FY85" s="727"/>
      <c r="FZ85" s="727"/>
      <c r="GA85" s="727"/>
      <c r="GB85" s="727"/>
      <c r="GC85" s="727"/>
      <c r="GD85" s="727"/>
      <c r="GE85" s="727"/>
      <c r="GF85" s="727"/>
      <c r="GG85" s="727"/>
      <c r="GH85" s="727"/>
      <c r="GI85" s="727"/>
      <c r="GJ85" s="727"/>
      <c r="GK85" s="727"/>
      <c r="GL85" s="727"/>
      <c r="GM85" s="727"/>
      <c r="GN85" s="727"/>
      <c r="GO85" s="727"/>
      <c r="GP85" s="727"/>
      <c r="GQ85" s="727"/>
      <c r="GR85" s="727"/>
      <c r="GS85" s="727"/>
      <c r="GT85" s="727"/>
      <c r="GU85" s="727"/>
    </row>
    <row r="86" spans="1:203" ht="15" customHeight="1" x14ac:dyDescent="0.2">
      <c r="A86" s="697">
        <v>8735</v>
      </c>
      <c r="B86" s="697"/>
      <c r="C86" s="698" t="s">
        <v>133</v>
      </c>
      <c r="D86" s="699" t="s">
        <v>133</v>
      </c>
      <c r="E86" s="700">
        <f t="shared" si="13"/>
        <v>83683.168099999995</v>
      </c>
      <c r="F86" s="700">
        <v>0</v>
      </c>
      <c r="G86" s="701">
        <f t="shared" si="10"/>
        <v>83683.168099999995</v>
      </c>
      <c r="H86" s="698" t="s">
        <v>10</v>
      </c>
      <c r="I86" s="699" t="s">
        <v>1512</v>
      </c>
      <c r="J86" s="699" t="s">
        <v>1417</v>
      </c>
      <c r="K86" s="699" t="s">
        <v>78</v>
      </c>
      <c r="L86" s="699" t="s">
        <v>10</v>
      </c>
      <c r="M86" s="702">
        <v>35</v>
      </c>
      <c r="N86" s="702">
        <v>0.996</v>
      </c>
      <c r="O86" s="702">
        <v>0.97599999999999998</v>
      </c>
      <c r="P86" s="702">
        <v>0.99199999999999999</v>
      </c>
      <c r="Q86" s="702">
        <v>0.82599999999999996</v>
      </c>
      <c r="R86" s="702">
        <v>0</v>
      </c>
      <c r="S86" s="702">
        <v>431579</v>
      </c>
      <c r="T86" s="7">
        <f t="shared" si="11"/>
        <v>83683.168099999995</v>
      </c>
      <c r="U86" s="702">
        <v>353962</v>
      </c>
      <c r="V86" s="702">
        <v>77617</v>
      </c>
      <c r="W86" s="702">
        <v>2400</v>
      </c>
      <c r="X86" s="702">
        <v>0</v>
      </c>
      <c r="Y86" s="702">
        <v>0</v>
      </c>
      <c r="Z86" s="702">
        <v>0</v>
      </c>
      <c r="AA86" s="702">
        <v>515262.16810000001</v>
      </c>
      <c r="AB86" s="702">
        <v>83683.168099999995</v>
      </c>
      <c r="AC86" s="702">
        <v>431579</v>
      </c>
      <c r="AD86" s="702">
        <v>0</v>
      </c>
      <c r="AE86" s="702">
        <v>0</v>
      </c>
      <c r="AF86" s="702">
        <v>0</v>
      </c>
      <c r="AG86" s="702">
        <v>431579</v>
      </c>
      <c r="AH86" s="702">
        <v>0</v>
      </c>
      <c r="AI86" s="702">
        <v>0</v>
      </c>
      <c r="AJ86" s="698" t="s">
        <v>900</v>
      </c>
      <c r="AK86" s="698" t="s">
        <v>907</v>
      </c>
      <c r="AL86" s="699" t="s">
        <v>1512</v>
      </c>
      <c r="AM86" s="698" t="s">
        <v>10</v>
      </c>
      <c r="AN86" s="699" t="s">
        <v>133</v>
      </c>
      <c r="AO86" s="699">
        <v>83683.168099999995</v>
      </c>
      <c r="AP86" s="703">
        <f t="shared" si="14"/>
        <v>34</v>
      </c>
      <c r="AQ86" s="703">
        <f t="shared" si="12"/>
        <v>185</v>
      </c>
      <c r="AR86" s="697">
        <v>0</v>
      </c>
      <c r="AS86" s="697">
        <v>0</v>
      </c>
      <c r="AT86" s="697">
        <v>33</v>
      </c>
      <c r="AU86" s="697">
        <v>1</v>
      </c>
      <c r="AV86" s="697">
        <v>0</v>
      </c>
      <c r="AW86" s="697">
        <v>0</v>
      </c>
      <c r="AX86" s="697">
        <v>0</v>
      </c>
      <c r="AY86" s="697">
        <v>0</v>
      </c>
      <c r="AZ86" s="697">
        <v>0</v>
      </c>
      <c r="BA86" s="697">
        <v>-11</v>
      </c>
      <c r="BB86" s="697">
        <v>151</v>
      </c>
      <c r="BC86" s="697">
        <v>0</v>
      </c>
      <c r="BD86" s="697">
        <v>0</v>
      </c>
      <c r="BE86" s="697">
        <v>0</v>
      </c>
      <c r="BF86" s="697">
        <v>0</v>
      </c>
      <c r="BG86" s="697">
        <v>0</v>
      </c>
      <c r="BH86" s="697">
        <v>0</v>
      </c>
      <c r="BI86" s="697">
        <v>0</v>
      </c>
      <c r="BJ86" s="697">
        <v>0</v>
      </c>
      <c r="BK86" s="697">
        <v>0</v>
      </c>
      <c r="BL86" s="697">
        <v>0</v>
      </c>
      <c r="BM86" s="697">
        <v>0</v>
      </c>
      <c r="BN86" s="697">
        <v>0</v>
      </c>
      <c r="BO86" s="697">
        <v>0</v>
      </c>
      <c r="CC86" s="727"/>
      <c r="CD86" s="727"/>
      <c r="CE86" s="727"/>
      <c r="CF86" s="727"/>
      <c r="CG86" s="727"/>
      <c r="CH86" s="727"/>
      <c r="CI86" s="727"/>
      <c r="CJ86" s="727"/>
      <c r="CK86" s="727"/>
      <c r="CL86" s="727"/>
      <c r="CM86" s="727"/>
      <c r="CN86" s="727"/>
      <c r="CO86" s="727"/>
      <c r="CP86" s="727"/>
      <c r="CQ86" s="727"/>
      <c r="CR86" s="727"/>
      <c r="CS86" s="727"/>
      <c r="CT86" s="727"/>
      <c r="CU86" s="727"/>
      <c r="CV86" s="727"/>
      <c r="CW86" s="727"/>
      <c r="CX86" s="727"/>
      <c r="CY86" s="727"/>
      <c r="CZ86" s="727"/>
      <c r="DA86" s="727"/>
      <c r="DB86" s="727"/>
      <c r="DC86" s="727"/>
      <c r="DD86" s="727"/>
      <c r="DE86" s="727"/>
      <c r="DF86" s="727"/>
      <c r="DG86" s="727"/>
      <c r="DH86" s="727"/>
      <c r="DI86" s="727"/>
      <c r="DJ86" s="727"/>
      <c r="DK86" s="727"/>
      <c r="DL86" s="727"/>
      <c r="DM86" s="727"/>
      <c r="DN86" s="727"/>
      <c r="DO86" s="727"/>
      <c r="DP86" s="727"/>
      <c r="DQ86" s="727"/>
      <c r="DR86" s="727"/>
      <c r="DS86" s="727"/>
      <c r="DT86" s="727"/>
      <c r="DU86" s="727"/>
      <c r="DV86" s="727"/>
      <c r="DW86" s="727"/>
      <c r="DX86" s="727"/>
      <c r="DY86" s="727"/>
      <c r="DZ86" s="727"/>
      <c r="EA86" s="727"/>
      <c r="EB86" s="727"/>
      <c r="EC86" s="727"/>
      <c r="ED86" s="727"/>
      <c r="EE86" s="727"/>
      <c r="EF86" s="727"/>
      <c r="EG86" s="727"/>
      <c r="EH86" s="727"/>
      <c r="EI86" s="727"/>
      <c r="EJ86" s="727"/>
      <c r="EK86" s="727"/>
      <c r="EL86" s="727"/>
      <c r="EM86" s="727"/>
      <c r="EN86" s="727"/>
      <c r="EO86" s="727"/>
      <c r="EP86" s="727"/>
      <c r="EQ86" s="727"/>
      <c r="ER86" s="727"/>
      <c r="ES86" s="727"/>
      <c r="ET86" s="727"/>
      <c r="EU86" s="727"/>
      <c r="EV86" s="727"/>
      <c r="EW86" s="727"/>
      <c r="EX86" s="727"/>
      <c r="EY86" s="727"/>
      <c r="EZ86" s="727"/>
      <c r="FA86" s="727"/>
      <c r="FB86" s="727"/>
      <c r="FC86" s="727"/>
      <c r="FD86" s="727"/>
      <c r="FE86" s="727"/>
      <c r="FF86" s="727"/>
      <c r="FG86" s="727"/>
      <c r="FH86" s="727"/>
      <c r="FI86" s="727"/>
      <c r="FJ86" s="727"/>
      <c r="FK86" s="727"/>
      <c r="FL86" s="727"/>
      <c r="FM86" s="727"/>
      <c r="FN86" s="727"/>
      <c r="FO86" s="727"/>
      <c r="FP86" s="727"/>
      <c r="FQ86" s="727"/>
      <c r="FR86" s="727"/>
      <c r="FS86" s="727"/>
      <c r="FT86" s="727"/>
      <c r="FU86" s="727"/>
      <c r="FV86" s="727"/>
      <c r="FW86" s="727"/>
      <c r="FX86" s="727"/>
      <c r="FY86" s="727"/>
      <c r="FZ86" s="727"/>
      <c r="GA86" s="727"/>
      <c r="GB86" s="727"/>
      <c r="GC86" s="727"/>
      <c r="GD86" s="727"/>
      <c r="GE86" s="727"/>
      <c r="GF86" s="727"/>
      <c r="GG86" s="727"/>
      <c r="GH86" s="727"/>
      <c r="GI86" s="727"/>
      <c r="GJ86" s="727"/>
      <c r="GK86" s="727"/>
      <c r="GL86" s="727"/>
      <c r="GM86" s="727"/>
      <c r="GN86" s="727"/>
      <c r="GO86" s="727"/>
      <c r="GP86" s="727"/>
      <c r="GQ86" s="727"/>
      <c r="GR86" s="727"/>
      <c r="GS86" s="727"/>
      <c r="GT86" s="727"/>
      <c r="GU86" s="727"/>
    </row>
    <row r="87" spans="1:203" ht="15" customHeight="1" x14ac:dyDescent="0.2">
      <c r="A87" s="697">
        <v>1552</v>
      </c>
      <c r="B87" s="697" t="s">
        <v>1412</v>
      </c>
      <c r="C87" s="698" t="s">
        <v>135</v>
      </c>
      <c r="D87" s="699" t="s">
        <v>135</v>
      </c>
      <c r="E87" s="700">
        <f t="shared" si="13"/>
        <v>183178.6164</v>
      </c>
      <c r="F87" s="700">
        <v>0</v>
      </c>
      <c r="G87" s="701">
        <f t="shared" si="10"/>
        <v>183178.6164</v>
      </c>
      <c r="H87" s="698" t="s">
        <v>10</v>
      </c>
      <c r="I87" s="699" t="s">
        <v>1416</v>
      </c>
      <c r="J87" s="699" t="s">
        <v>1412</v>
      </c>
      <c r="K87" s="699" t="s">
        <v>138</v>
      </c>
      <c r="L87" s="699" t="s">
        <v>10</v>
      </c>
      <c r="M87" s="702">
        <v>92</v>
      </c>
      <c r="N87" s="702">
        <v>0.73499999999999999</v>
      </c>
      <c r="O87" s="702">
        <v>0.71799999999999997</v>
      </c>
      <c r="P87" s="702">
        <v>0.70599999999999996</v>
      </c>
      <c r="Q87" s="702">
        <v>0.74299999999999999</v>
      </c>
      <c r="R87" s="702">
        <v>616089</v>
      </c>
      <c r="S87" s="702">
        <v>525771</v>
      </c>
      <c r="T87" s="7">
        <f t="shared" si="11"/>
        <v>183286.47749999998</v>
      </c>
      <c r="U87" s="702">
        <v>277665</v>
      </c>
      <c r="V87" s="702">
        <v>248106</v>
      </c>
      <c r="W87" s="702">
        <v>2472</v>
      </c>
      <c r="X87" s="702">
        <v>0</v>
      </c>
      <c r="Y87" s="702">
        <v>0</v>
      </c>
      <c r="Z87" s="702">
        <v>0</v>
      </c>
      <c r="AA87" s="702">
        <v>709057.47750000004</v>
      </c>
      <c r="AB87" s="702">
        <v>183286.47750000001</v>
      </c>
      <c r="AC87" s="702">
        <v>525771</v>
      </c>
      <c r="AD87" s="702">
        <v>0</v>
      </c>
      <c r="AE87" s="702">
        <v>0</v>
      </c>
      <c r="AF87" s="702">
        <v>525771</v>
      </c>
      <c r="AG87" s="702">
        <v>0</v>
      </c>
      <c r="AH87" s="702">
        <v>186000</v>
      </c>
      <c r="AI87" s="702">
        <v>221000</v>
      </c>
      <c r="AJ87" s="698" t="s">
        <v>900</v>
      </c>
      <c r="AK87" s="698" t="s">
        <v>922</v>
      </c>
      <c r="AL87" s="699" t="s">
        <v>1416</v>
      </c>
      <c r="AM87" s="698" t="s">
        <v>10</v>
      </c>
      <c r="AN87" s="699" t="s">
        <v>135</v>
      </c>
      <c r="AO87" s="699">
        <v>183286.47750000001</v>
      </c>
      <c r="AP87" s="703">
        <f t="shared" si="14"/>
        <v>102.846</v>
      </c>
      <c r="AQ87" s="703">
        <f t="shared" si="12"/>
        <v>109.846</v>
      </c>
      <c r="AR87" s="697">
        <v>56</v>
      </c>
      <c r="AS87" s="697">
        <v>221</v>
      </c>
      <c r="AT87" s="697">
        <v>43</v>
      </c>
      <c r="AU87" s="697">
        <v>0</v>
      </c>
      <c r="AV87" s="697">
        <v>0</v>
      </c>
      <c r="AW87" s="697">
        <v>0</v>
      </c>
      <c r="AX87" s="697">
        <v>0</v>
      </c>
      <c r="AY87" s="697">
        <v>0</v>
      </c>
      <c r="AZ87" s="697">
        <v>0</v>
      </c>
      <c r="BA87" s="697">
        <v>7</v>
      </c>
      <c r="BB87" s="697">
        <v>7</v>
      </c>
      <c r="BC87" s="697">
        <v>0</v>
      </c>
      <c r="BD87" s="697">
        <v>0</v>
      </c>
      <c r="BE87" s="697">
        <v>0</v>
      </c>
      <c r="BF87" s="697">
        <v>0</v>
      </c>
      <c r="BG87" s="697">
        <v>0</v>
      </c>
      <c r="BH87" s="697">
        <v>0</v>
      </c>
      <c r="BI87" s="697">
        <v>0</v>
      </c>
      <c r="BJ87" s="697">
        <v>0</v>
      </c>
      <c r="BK87" s="697">
        <v>0</v>
      </c>
      <c r="BL87" s="697">
        <v>3846</v>
      </c>
      <c r="BM87" s="697">
        <v>0</v>
      </c>
      <c r="BN87" s="697">
        <v>0</v>
      </c>
      <c r="BO87" s="697">
        <v>0</v>
      </c>
      <c r="CC87" s="727"/>
      <c r="CD87" s="727"/>
      <c r="CE87" s="727"/>
      <c r="CF87" s="727"/>
      <c r="CG87" s="727"/>
      <c r="CH87" s="727"/>
      <c r="CI87" s="727"/>
      <c r="CJ87" s="727"/>
      <c r="CK87" s="727"/>
      <c r="CL87" s="727"/>
      <c r="CM87" s="727"/>
      <c r="CN87" s="727"/>
      <c r="CO87" s="727"/>
      <c r="CP87" s="727"/>
      <c r="CQ87" s="727"/>
      <c r="CR87" s="727"/>
      <c r="CS87" s="727"/>
      <c r="CT87" s="727"/>
      <c r="CU87" s="727"/>
      <c r="CV87" s="727"/>
      <c r="CW87" s="727"/>
      <c r="CX87" s="727"/>
      <c r="CY87" s="727"/>
      <c r="CZ87" s="727"/>
      <c r="DA87" s="727"/>
      <c r="DB87" s="727"/>
      <c r="DC87" s="727"/>
      <c r="DD87" s="727"/>
      <c r="DE87" s="727"/>
      <c r="DF87" s="727"/>
      <c r="DG87" s="727"/>
      <c r="DH87" s="727"/>
      <c r="DI87" s="727"/>
      <c r="DJ87" s="727"/>
      <c r="DK87" s="727"/>
      <c r="DL87" s="727"/>
      <c r="DM87" s="727"/>
      <c r="DN87" s="727"/>
      <c r="DO87" s="727"/>
      <c r="DP87" s="727"/>
      <c r="DQ87" s="727"/>
      <c r="DR87" s="727"/>
      <c r="DS87" s="727"/>
      <c r="DT87" s="727"/>
      <c r="DU87" s="727"/>
      <c r="DV87" s="727"/>
      <c r="DW87" s="727"/>
      <c r="DX87" s="727"/>
      <c r="DY87" s="727"/>
      <c r="DZ87" s="727"/>
      <c r="EA87" s="727"/>
      <c r="EB87" s="727"/>
      <c r="EC87" s="727"/>
      <c r="ED87" s="727"/>
      <c r="EE87" s="727"/>
      <c r="EF87" s="727"/>
      <c r="EG87" s="727"/>
      <c r="EH87" s="727"/>
      <c r="EI87" s="727"/>
      <c r="EJ87" s="727"/>
      <c r="EK87" s="727"/>
      <c r="EL87" s="727"/>
      <c r="EM87" s="727"/>
      <c r="EN87" s="727"/>
      <c r="EO87" s="727"/>
      <c r="EP87" s="727"/>
      <c r="EQ87" s="727"/>
      <c r="ER87" s="727"/>
      <c r="ES87" s="727"/>
      <c r="ET87" s="727"/>
      <c r="EU87" s="727"/>
      <c r="EV87" s="727"/>
      <c r="EW87" s="727"/>
      <c r="EX87" s="727"/>
      <c r="EY87" s="727"/>
      <c r="EZ87" s="727"/>
      <c r="FA87" s="727"/>
      <c r="FB87" s="727"/>
      <c r="FC87" s="727"/>
      <c r="FD87" s="727"/>
      <c r="FE87" s="727"/>
      <c r="FF87" s="727"/>
      <c r="FG87" s="727"/>
      <c r="FH87" s="727"/>
      <c r="FI87" s="727"/>
      <c r="FJ87" s="727"/>
      <c r="FK87" s="727"/>
      <c r="FL87" s="727"/>
      <c r="FM87" s="727"/>
      <c r="FN87" s="727"/>
      <c r="FO87" s="727"/>
      <c r="FP87" s="727"/>
      <c r="FQ87" s="727"/>
      <c r="FR87" s="727"/>
      <c r="FS87" s="727"/>
      <c r="FT87" s="727"/>
      <c r="FU87" s="727"/>
      <c r="FV87" s="727"/>
      <c r="FW87" s="727"/>
      <c r="FX87" s="727"/>
      <c r="FY87" s="727"/>
      <c r="FZ87" s="727"/>
      <c r="GA87" s="727"/>
      <c r="GB87" s="727"/>
      <c r="GC87" s="727"/>
      <c r="GD87" s="727"/>
      <c r="GE87" s="727"/>
      <c r="GF87" s="727"/>
      <c r="GG87" s="727"/>
      <c r="GH87" s="727"/>
      <c r="GI87" s="727"/>
      <c r="GJ87" s="727"/>
      <c r="GK87" s="727"/>
      <c r="GL87" s="727"/>
      <c r="GM87" s="727"/>
      <c r="GN87" s="727"/>
      <c r="GO87" s="727"/>
      <c r="GP87" s="727"/>
      <c r="GQ87" s="727"/>
      <c r="GR87" s="727"/>
      <c r="GS87" s="727"/>
      <c r="GT87" s="727"/>
      <c r="GU87" s="727"/>
    </row>
    <row r="88" spans="1:203" ht="15" customHeight="1" x14ac:dyDescent="0.2">
      <c r="A88" s="697">
        <v>1704</v>
      </c>
      <c r="B88" s="697" t="s">
        <v>1412</v>
      </c>
      <c r="C88" s="698" t="s">
        <v>139</v>
      </c>
      <c r="D88" s="699" t="s">
        <v>139</v>
      </c>
      <c r="E88" s="700">
        <f t="shared" si="13"/>
        <v>300459.4632</v>
      </c>
      <c r="F88" s="700">
        <v>787736</v>
      </c>
      <c r="G88" s="701">
        <f t="shared" si="10"/>
        <v>1088195.4632000001</v>
      </c>
      <c r="H88" s="698" t="s">
        <v>10</v>
      </c>
      <c r="I88" s="699" t="s">
        <v>1416</v>
      </c>
      <c r="J88" s="699" t="s">
        <v>1412</v>
      </c>
      <c r="K88" s="699" t="s">
        <v>141</v>
      </c>
      <c r="L88" s="699" t="s">
        <v>1412</v>
      </c>
      <c r="M88" s="702">
        <v>100</v>
      </c>
      <c r="N88" s="702">
        <v>0.85599999999999998</v>
      </c>
      <c r="O88" s="702">
        <v>0.86299999999999999</v>
      </c>
      <c r="P88" s="702">
        <v>0.72399999999999998</v>
      </c>
      <c r="Q88" s="702">
        <v>0.76900000000000002</v>
      </c>
      <c r="R88" s="702">
        <v>1347605</v>
      </c>
      <c r="S88" s="702">
        <v>862398</v>
      </c>
      <c r="T88" s="7">
        <f t="shared" si="11"/>
        <v>400912.48749999999</v>
      </c>
      <c r="U88" s="702">
        <v>471463</v>
      </c>
      <c r="V88" s="702">
        <v>390935</v>
      </c>
      <c r="W88" s="702">
        <v>4350</v>
      </c>
      <c r="X88" s="702">
        <v>1188648.4879999999</v>
      </c>
      <c r="Y88" s="702">
        <v>400912.48749999999</v>
      </c>
      <c r="Z88" s="702">
        <v>787736</v>
      </c>
      <c r="AA88" s="702">
        <v>74662</v>
      </c>
      <c r="AB88" s="702">
        <v>0</v>
      </c>
      <c r="AC88" s="702">
        <v>74662</v>
      </c>
      <c r="AD88" s="702">
        <v>787736</v>
      </c>
      <c r="AE88" s="702">
        <v>0</v>
      </c>
      <c r="AF88" s="702">
        <v>74662</v>
      </c>
      <c r="AG88" s="702">
        <v>0</v>
      </c>
      <c r="AH88" s="702">
        <v>779000</v>
      </c>
      <c r="AI88" s="702">
        <v>461000</v>
      </c>
      <c r="AJ88" s="698">
        <v>4</v>
      </c>
      <c r="AK88" s="698" t="s">
        <v>899</v>
      </c>
      <c r="AL88" s="699" t="s">
        <v>1416</v>
      </c>
      <c r="AM88" s="698" t="s">
        <v>10</v>
      </c>
      <c r="AN88" s="699" t="s">
        <v>139</v>
      </c>
      <c r="AO88" s="699">
        <v>1188648.4875</v>
      </c>
      <c r="AP88" s="703">
        <f t="shared" si="14"/>
        <v>663.721</v>
      </c>
      <c r="AQ88" s="703">
        <f t="shared" si="12"/>
        <v>665.721</v>
      </c>
      <c r="AR88" s="697">
        <v>218</v>
      </c>
      <c r="AS88" s="697">
        <v>461</v>
      </c>
      <c r="AT88" s="697">
        <v>148</v>
      </c>
      <c r="AU88" s="697">
        <v>24</v>
      </c>
      <c r="AV88" s="697">
        <v>0</v>
      </c>
      <c r="AW88" s="697">
        <v>0</v>
      </c>
      <c r="AX88" s="697">
        <v>0</v>
      </c>
      <c r="AY88" s="697">
        <v>0</v>
      </c>
      <c r="AZ88" s="697">
        <v>16</v>
      </c>
      <c r="BA88" s="697">
        <v>74</v>
      </c>
      <c r="BB88" s="697">
        <v>2</v>
      </c>
      <c r="BC88" s="697">
        <v>0</v>
      </c>
      <c r="BD88" s="697">
        <v>12</v>
      </c>
      <c r="BE88" s="697">
        <v>0</v>
      </c>
      <c r="BF88" s="697">
        <v>0</v>
      </c>
      <c r="BG88" s="697">
        <v>0</v>
      </c>
      <c r="BH88" s="697">
        <v>154</v>
      </c>
      <c r="BI88" s="697">
        <v>0</v>
      </c>
      <c r="BJ88" s="697">
        <v>0</v>
      </c>
      <c r="BK88" s="697">
        <v>0</v>
      </c>
      <c r="BL88" s="697">
        <v>0</v>
      </c>
      <c r="BM88" s="697">
        <v>0</v>
      </c>
      <c r="BN88" s="697">
        <v>0</v>
      </c>
      <c r="BO88" s="697">
        <v>917.21</v>
      </c>
      <c r="CC88" s="727"/>
      <c r="CD88" s="727"/>
      <c r="CE88" s="727"/>
      <c r="CF88" s="727"/>
      <c r="CG88" s="727"/>
      <c r="CH88" s="727"/>
      <c r="CI88" s="727"/>
      <c r="CJ88" s="727"/>
      <c r="CK88" s="727"/>
      <c r="CL88" s="727"/>
      <c r="CM88" s="727"/>
      <c r="CN88" s="727"/>
      <c r="CO88" s="727"/>
      <c r="CP88" s="727"/>
      <c r="CQ88" s="727"/>
      <c r="CR88" s="727"/>
      <c r="CS88" s="727"/>
      <c r="CT88" s="727"/>
      <c r="CU88" s="727"/>
      <c r="CV88" s="727"/>
      <c r="CW88" s="727"/>
      <c r="CX88" s="727"/>
      <c r="CY88" s="727"/>
      <c r="CZ88" s="727"/>
      <c r="DA88" s="727"/>
      <c r="DB88" s="727"/>
      <c r="DC88" s="727"/>
      <c r="DD88" s="727"/>
      <c r="DE88" s="727"/>
      <c r="DF88" s="727"/>
      <c r="DG88" s="727"/>
      <c r="DH88" s="727"/>
      <c r="DI88" s="727"/>
      <c r="DJ88" s="727"/>
      <c r="DK88" s="727"/>
      <c r="DL88" s="727"/>
      <c r="DM88" s="727"/>
      <c r="DN88" s="727"/>
      <c r="DO88" s="727"/>
      <c r="DP88" s="727"/>
      <c r="DQ88" s="727"/>
      <c r="DR88" s="727"/>
      <c r="DS88" s="727"/>
      <c r="DT88" s="727"/>
      <c r="DU88" s="727"/>
      <c r="DV88" s="727"/>
      <c r="DW88" s="727"/>
      <c r="DX88" s="727"/>
      <c r="DY88" s="727"/>
      <c r="DZ88" s="727"/>
      <c r="EA88" s="727"/>
      <c r="EB88" s="727"/>
      <c r="EC88" s="727"/>
      <c r="ED88" s="727"/>
      <c r="EE88" s="727"/>
      <c r="EF88" s="727"/>
      <c r="EG88" s="727"/>
      <c r="EH88" s="727"/>
      <c r="EI88" s="727"/>
      <c r="EJ88" s="727"/>
      <c r="EK88" s="727"/>
      <c r="EL88" s="727"/>
      <c r="EM88" s="727"/>
      <c r="EN88" s="727"/>
      <c r="EO88" s="727"/>
      <c r="EP88" s="727"/>
      <c r="EQ88" s="727"/>
      <c r="ER88" s="727"/>
      <c r="ES88" s="727"/>
      <c r="ET88" s="727"/>
      <c r="EU88" s="727"/>
      <c r="EV88" s="727"/>
      <c r="EW88" s="727"/>
      <c r="EX88" s="727"/>
      <c r="EY88" s="727"/>
      <c r="EZ88" s="727"/>
      <c r="FA88" s="727"/>
      <c r="FB88" s="727"/>
      <c r="FC88" s="727"/>
      <c r="FD88" s="727"/>
      <c r="FE88" s="727"/>
      <c r="FF88" s="727"/>
      <c r="FG88" s="727"/>
      <c r="FH88" s="727"/>
      <c r="FI88" s="727"/>
      <c r="FJ88" s="727"/>
      <c r="FK88" s="727"/>
      <c r="FL88" s="727"/>
      <c r="FM88" s="727"/>
      <c r="FN88" s="727"/>
      <c r="FO88" s="727"/>
      <c r="FP88" s="727"/>
      <c r="FQ88" s="727"/>
      <c r="FR88" s="727"/>
      <c r="FS88" s="727"/>
      <c r="FT88" s="727"/>
      <c r="FU88" s="727"/>
      <c r="FV88" s="727"/>
      <c r="FW88" s="727"/>
      <c r="FX88" s="727"/>
      <c r="FY88" s="727"/>
      <c r="FZ88" s="727"/>
      <c r="GA88" s="727"/>
      <c r="GB88" s="727"/>
      <c r="GC88" s="727"/>
      <c r="GD88" s="727"/>
      <c r="GE88" s="727"/>
      <c r="GF88" s="727"/>
      <c r="GG88" s="727"/>
      <c r="GH88" s="727"/>
      <c r="GI88" s="727"/>
      <c r="GJ88" s="727"/>
      <c r="GK88" s="727"/>
      <c r="GL88" s="727"/>
      <c r="GM88" s="727"/>
      <c r="GN88" s="727"/>
      <c r="GO88" s="727"/>
      <c r="GP88" s="727"/>
      <c r="GQ88" s="727"/>
      <c r="GR88" s="727"/>
      <c r="GS88" s="727"/>
      <c r="GT88" s="727"/>
      <c r="GU88" s="727"/>
    </row>
    <row r="89" spans="1:203" ht="15" customHeight="1" x14ac:dyDescent="0.2">
      <c r="A89" s="697">
        <v>8807</v>
      </c>
      <c r="B89" s="697"/>
      <c r="C89" s="698" t="s">
        <v>142</v>
      </c>
      <c r="D89" s="699" t="s">
        <v>142</v>
      </c>
      <c r="E89" s="700">
        <f t="shared" si="13"/>
        <v>51102.344999999994</v>
      </c>
      <c r="F89" s="700">
        <v>0</v>
      </c>
      <c r="G89" s="701">
        <f t="shared" si="10"/>
        <v>51102.344999999994</v>
      </c>
      <c r="H89" s="698" t="s">
        <v>1417</v>
      </c>
      <c r="I89" s="699" t="s">
        <v>1512</v>
      </c>
      <c r="J89" s="699" t="s">
        <v>10</v>
      </c>
      <c r="K89" s="699" t="s">
        <v>144</v>
      </c>
      <c r="L89" s="699" t="s">
        <v>10</v>
      </c>
      <c r="M89" s="702">
        <v>0</v>
      </c>
      <c r="N89" s="702">
        <v>0.98399999999999999</v>
      </c>
      <c r="O89" s="702">
        <v>0.98399999999999999</v>
      </c>
      <c r="P89" s="702">
        <v>0.97</v>
      </c>
      <c r="Q89" s="702">
        <v>0.82599999999999996</v>
      </c>
      <c r="R89" s="702">
        <v>0</v>
      </c>
      <c r="S89" s="702">
        <v>263550</v>
      </c>
      <c r="T89" s="7">
        <f t="shared" si="11"/>
        <v>51102.344999999994</v>
      </c>
      <c r="U89" s="702">
        <v>253782</v>
      </c>
      <c r="V89" s="702">
        <v>9768</v>
      </c>
      <c r="W89" s="702">
        <v>0</v>
      </c>
      <c r="X89" s="702">
        <v>0</v>
      </c>
      <c r="Y89" s="702">
        <v>0</v>
      </c>
      <c r="Z89" s="702">
        <v>0</v>
      </c>
      <c r="AA89" s="702">
        <v>314652.34499999997</v>
      </c>
      <c r="AB89" s="702">
        <v>51102.345000000001</v>
      </c>
      <c r="AC89" s="702">
        <v>263550</v>
      </c>
      <c r="AD89" s="702">
        <v>0</v>
      </c>
      <c r="AE89" s="702">
        <v>0</v>
      </c>
      <c r="AF89" s="702">
        <v>0</v>
      </c>
      <c r="AG89" s="702">
        <v>263550</v>
      </c>
      <c r="AH89" s="702">
        <v>0</v>
      </c>
      <c r="AI89" s="702">
        <v>0</v>
      </c>
      <c r="AJ89" s="698" t="s">
        <v>900</v>
      </c>
      <c r="AK89" s="698" t="s">
        <v>907</v>
      </c>
      <c r="AL89" s="699" t="s">
        <v>1512</v>
      </c>
      <c r="AM89" s="698" t="s">
        <v>1417</v>
      </c>
      <c r="AN89" s="699" t="s">
        <v>142</v>
      </c>
      <c r="AO89" s="699">
        <v>51102.345000000001</v>
      </c>
      <c r="AP89" s="703">
        <f t="shared" si="14"/>
        <v>8</v>
      </c>
      <c r="AQ89" s="703">
        <f t="shared" si="12"/>
        <v>8</v>
      </c>
      <c r="AR89" s="697">
        <v>0</v>
      </c>
      <c r="AS89" s="697">
        <v>0</v>
      </c>
      <c r="AT89" s="697">
        <v>8</v>
      </c>
      <c r="AU89" s="697">
        <v>0</v>
      </c>
      <c r="AV89" s="697">
        <v>0</v>
      </c>
      <c r="AW89" s="697">
        <v>0</v>
      </c>
      <c r="AX89" s="697">
        <v>0</v>
      </c>
      <c r="AY89" s="697">
        <v>0</v>
      </c>
      <c r="AZ89" s="697">
        <v>0</v>
      </c>
      <c r="BA89" s="697">
        <v>0</v>
      </c>
      <c r="BB89" s="697">
        <v>0</v>
      </c>
      <c r="BC89" s="697">
        <v>0</v>
      </c>
      <c r="BD89" s="697">
        <v>0</v>
      </c>
      <c r="BE89" s="697">
        <v>0</v>
      </c>
      <c r="BF89" s="697">
        <v>0</v>
      </c>
      <c r="BG89" s="697">
        <v>0</v>
      </c>
      <c r="BH89" s="697">
        <v>0</v>
      </c>
      <c r="BI89" s="697">
        <v>0</v>
      </c>
      <c r="BJ89" s="697">
        <v>0</v>
      </c>
      <c r="BK89" s="697">
        <v>0</v>
      </c>
      <c r="BL89" s="697">
        <v>0</v>
      </c>
      <c r="BM89" s="697">
        <v>0</v>
      </c>
      <c r="BN89" s="697">
        <v>0</v>
      </c>
      <c r="BO89" s="697">
        <v>0</v>
      </c>
      <c r="CC89" s="727"/>
      <c r="CD89" s="727"/>
      <c r="CE89" s="727"/>
      <c r="CF89" s="727"/>
      <c r="CG89" s="727"/>
      <c r="CH89" s="727"/>
      <c r="CI89" s="727"/>
      <c r="CJ89" s="727"/>
      <c r="CK89" s="727"/>
      <c r="CL89" s="727"/>
      <c r="CM89" s="727"/>
      <c r="CN89" s="727"/>
      <c r="CO89" s="727"/>
      <c r="CP89" s="727"/>
      <c r="CQ89" s="727"/>
      <c r="CR89" s="727"/>
      <c r="CS89" s="727"/>
      <c r="CT89" s="727"/>
      <c r="CU89" s="727"/>
      <c r="CV89" s="727"/>
      <c r="CW89" s="727"/>
      <c r="CX89" s="727"/>
      <c r="CY89" s="727"/>
      <c r="CZ89" s="727"/>
      <c r="DA89" s="727"/>
      <c r="DB89" s="727"/>
      <c r="DC89" s="727"/>
      <c r="DD89" s="727"/>
      <c r="DE89" s="727"/>
      <c r="DF89" s="727"/>
      <c r="DG89" s="727"/>
      <c r="DH89" s="727"/>
      <c r="DI89" s="727"/>
      <c r="DJ89" s="727"/>
      <c r="DK89" s="727"/>
      <c r="DL89" s="727"/>
      <c r="DM89" s="727"/>
      <c r="DN89" s="727"/>
      <c r="DO89" s="727"/>
      <c r="DP89" s="727"/>
      <c r="DQ89" s="727"/>
      <c r="DR89" s="727"/>
      <c r="DS89" s="727"/>
      <c r="DT89" s="727"/>
      <c r="DU89" s="727"/>
      <c r="DV89" s="727"/>
      <c r="DW89" s="727"/>
      <c r="DX89" s="727"/>
      <c r="DY89" s="727"/>
      <c r="DZ89" s="727"/>
      <c r="EA89" s="727"/>
      <c r="EB89" s="727"/>
      <c r="EC89" s="727"/>
      <c r="ED89" s="727"/>
      <c r="EE89" s="727"/>
      <c r="EF89" s="727"/>
      <c r="EG89" s="727"/>
      <c r="EH89" s="727"/>
      <c r="EI89" s="727"/>
      <c r="EJ89" s="727"/>
      <c r="EK89" s="727"/>
      <c r="EL89" s="727"/>
      <c r="EM89" s="727"/>
      <c r="EN89" s="727"/>
      <c r="EO89" s="727"/>
      <c r="EP89" s="727"/>
      <c r="EQ89" s="727"/>
      <c r="ER89" s="727"/>
      <c r="ES89" s="727"/>
      <c r="ET89" s="727"/>
      <c r="EU89" s="727"/>
      <c r="EV89" s="727"/>
      <c r="EW89" s="727"/>
      <c r="EX89" s="727"/>
      <c r="EY89" s="727"/>
      <c r="EZ89" s="727"/>
      <c r="FA89" s="727"/>
      <c r="FB89" s="727"/>
      <c r="FC89" s="727"/>
      <c r="FD89" s="727"/>
      <c r="FE89" s="727"/>
      <c r="FF89" s="727"/>
      <c r="FG89" s="727"/>
      <c r="FH89" s="727"/>
      <c r="FI89" s="727"/>
      <c r="FJ89" s="727"/>
      <c r="FK89" s="727"/>
      <c r="FL89" s="727"/>
      <c r="FM89" s="727"/>
      <c r="FN89" s="727"/>
      <c r="FO89" s="727"/>
      <c r="FP89" s="727"/>
      <c r="FQ89" s="727"/>
      <c r="FR89" s="727"/>
      <c r="FS89" s="727"/>
      <c r="FT89" s="727"/>
      <c r="FU89" s="727"/>
      <c r="FV89" s="727"/>
      <c r="FW89" s="727"/>
      <c r="FX89" s="727"/>
      <c r="FY89" s="727"/>
      <c r="FZ89" s="727"/>
      <c r="GA89" s="727"/>
      <c r="GB89" s="727"/>
      <c r="GC89" s="727"/>
      <c r="GD89" s="727"/>
      <c r="GE89" s="727"/>
      <c r="GF89" s="727"/>
      <c r="GG89" s="727"/>
      <c r="GH89" s="727"/>
      <c r="GI89" s="727"/>
      <c r="GJ89" s="727"/>
      <c r="GK89" s="727"/>
      <c r="GL89" s="727"/>
      <c r="GM89" s="727"/>
      <c r="GN89" s="727"/>
      <c r="GO89" s="727"/>
      <c r="GP89" s="727"/>
      <c r="GQ89" s="727"/>
      <c r="GR89" s="727"/>
      <c r="GS89" s="727"/>
      <c r="GT89" s="727"/>
      <c r="GU89" s="727"/>
    </row>
    <row r="90" spans="1:203" ht="15" customHeight="1" x14ac:dyDescent="0.2">
      <c r="A90" s="697">
        <v>8808</v>
      </c>
      <c r="B90" s="697" t="s">
        <v>1412</v>
      </c>
      <c r="C90" s="698" t="s">
        <v>145</v>
      </c>
      <c r="D90" s="699" t="s">
        <v>145</v>
      </c>
      <c r="E90" s="700">
        <f t="shared" si="13"/>
        <v>261640.7352</v>
      </c>
      <c r="F90" s="700">
        <v>0</v>
      </c>
      <c r="G90" s="701">
        <f t="shared" si="10"/>
        <v>261640.7352</v>
      </c>
      <c r="H90" s="698" t="s">
        <v>1417</v>
      </c>
      <c r="I90" s="699" t="s">
        <v>1416</v>
      </c>
      <c r="J90" s="699" t="s">
        <v>1412</v>
      </c>
      <c r="K90" s="699" t="s">
        <v>144</v>
      </c>
      <c r="L90" s="699" t="s">
        <v>10</v>
      </c>
      <c r="M90" s="702">
        <v>106</v>
      </c>
      <c r="N90" s="702">
        <v>0.86599999999999999</v>
      </c>
      <c r="O90" s="702">
        <v>0.86599999999999999</v>
      </c>
      <c r="P90" s="702">
        <v>0.81899999999999995</v>
      </c>
      <c r="Q90" s="702">
        <v>0.78100000000000003</v>
      </c>
      <c r="R90" s="702">
        <v>701772</v>
      </c>
      <c r="S90" s="702">
        <v>750978</v>
      </c>
      <c r="T90" s="7">
        <f t="shared" si="11"/>
        <v>208777.16999999998</v>
      </c>
      <c r="U90" s="702">
        <v>447346</v>
      </c>
      <c r="V90" s="702">
        <v>303632</v>
      </c>
      <c r="W90" s="702">
        <v>2758</v>
      </c>
      <c r="X90" s="702">
        <v>0</v>
      </c>
      <c r="Y90" s="702">
        <v>0</v>
      </c>
      <c r="Z90" s="702">
        <v>0</v>
      </c>
      <c r="AA90" s="702">
        <v>959755.17</v>
      </c>
      <c r="AB90" s="702">
        <v>208777.17</v>
      </c>
      <c r="AC90" s="702">
        <v>750978</v>
      </c>
      <c r="AD90" s="702">
        <v>0</v>
      </c>
      <c r="AE90" s="702">
        <v>0</v>
      </c>
      <c r="AF90" s="702">
        <v>750978</v>
      </c>
      <c r="AG90" s="702">
        <v>0</v>
      </c>
      <c r="AH90" s="702">
        <v>553000</v>
      </c>
      <c r="AI90" s="702">
        <v>583000</v>
      </c>
      <c r="AJ90" s="698" t="s">
        <v>900</v>
      </c>
      <c r="AK90" s="698" t="s">
        <v>907</v>
      </c>
      <c r="AL90" s="699" t="s">
        <v>1416</v>
      </c>
      <c r="AM90" s="698" t="s">
        <v>1417</v>
      </c>
      <c r="AN90" s="699" t="s">
        <v>145</v>
      </c>
      <c r="AO90" s="699">
        <v>208777.17</v>
      </c>
      <c r="AP90" s="703">
        <f t="shared" si="14"/>
        <v>632.84320000000002</v>
      </c>
      <c r="AQ90" s="703">
        <f t="shared" si="12"/>
        <v>673.84320000000002</v>
      </c>
      <c r="AR90" s="697">
        <v>280</v>
      </c>
      <c r="AS90" s="697">
        <v>583</v>
      </c>
      <c r="AT90" s="697">
        <v>288</v>
      </c>
      <c r="AU90" s="697">
        <v>0</v>
      </c>
      <c r="AV90" s="697">
        <v>0</v>
      </c>
      <c r="AW90" s="697">
        <v>0</v>
      </c>
      <c r="AX90" s="697">
        <v>0</v>
      </c>
      <c r="AY90" s="697">
        <v>0</v>
      </c>
      <c r="AZ90" s="697">
        <v>0</v>
      </c>
      <c r="BA90" s="697">
        <v>0</v>
      </c>
      <c r="BB90" s="697">
        <v>38</v>
      </c>
      <c r="BC90" s="697">
        <v>3</v>
      </c>
      <c r="BD90" s="697">
        <v>1</v>
      </c>
      <c r="BE90" s="697">
        <v>0</v>
      </c>
      <c r="BF90" s="697">
        <v>0</v>
      </c>
      <c r="BG90" s="697">
        <v>0</v>
      </c>
      <c r="BH90" s="697">
        <v>3</v>
      </c>
      <c r="BI90" s="697">
        <v>0</v>
      </c>
      <c r="BJ90" s="697">
        <v>0</v>
      </c>
      <c r="BK90" s="697">
        <v>0</v>
      </c>
      <c r="BL90" s="697">
        <v>0</v>
      </c>
      <c r="BM90" s="697">
        <v>0</v>
      </c>
      <c r="BN90" s="697">
        <v>0</v>
      </c>
      <c r="BO90" s="697">
        <v>608.43200000000002</v>
      </c>
      <c r="CC90" s="727"/>
      <c r="CD90" s="727"/>
      <c r="CE90" s="727"/>
      <c r="CF90" s="727"/>
      <c r="CG90" s="727"/>
      <c r="CH90" s="727"/>
      <c r="CI90" s="727"/>
      <c r="CJ90" s="727"/>
      <c r="CK90" s="727"/>
      <c r="CL90" s="727"/>
      <c r="CM90" s="727"/>
      <c r="CN90" s="727"/>
      <c r="CO90" s="727"/>
      <c r="CP90" s="727"/>
      <c r="CQ90" s="727"/>
      <c r="CR90" s="727"/>
      <c r="CS90" s="727"/>
      <c r="CT90" s="727"/>
      <c r="CU90" s="727"/>
      <c r="CV90" s="727"/>
      <c r="CW90" s="727"/>
      <c r="CX90" s="727"/>
      <c r="CY90" s="727"/>
      <c r="CZ90" s="727"/>
      <c r="DA90" s="727"/>
      <c r="DB90" s="727"/>
      <c r="DC90" s="727"/>
      <c r="DD90" s="727"/>
      <c r="DE90" s="727"/>
      <c r="DF90" s="727"/>
      <c r="DG90" s="727"/>
      <c r="DH90" s="727"/>
      <c r="DI90" s="727"/>
      <c r="DJ90" s="727"/>
      <c r="DK90" s="727"/>
      <c r="DL90" s="727"/>
      <c r="DM90" s="727"/>
      <c r="DN90" s="727"/>
      <c r="DO90" s="727"/>
      <c r="DP90" s="727"/>
      <c r="DQ90" s="727"/>
      <c r="DR90" s="727"/>
      <c r="DS90" s="727"/>
      <c r="DT90" s="727"/>
      <c r="DU90" s="727"/>
      <c r="DV90" s="727"/>
      <c r="DW90" s="727"/>
      <c r="DX90" s="727"/>
      <c r="DY90" s="727"/>
      <c r="DZ90" s="727"/>
      <c r="EA90" s="727"/>
      <c r="EB90" s="727"/>
      <c r="EC90" s="727"/>
      <c r="ED90" s="727"/>
      <c r="EE90" s="727"/>
      <c r="EF90" s="727"/>
      <c r="EG90" s="727"/>
      <c r="EH90" s="727"/>
      <c r="EI90" s="727"/>
      <c r="EJ90" s="727"/>
      <c r="EK90" s="727"/>
      <c r="EL90" s="727"/>
      <c r="EM90" s="727"/>
      <c r="EN90" s="727"/>
      <c r="EO90" s="727"/>
      <c r="EP90" s="727"/>
      <c r="EQ90" s="727"/>
      <c r="ER90" s="727"/>
      <c r="ES90" s="727"/>
      <c r="ET90" s="727"/>
      <c r="EU90" s="727"/>
      <c r="EV90" s="727"/>
      <c r="EW90" s="727"/>
      <c r="EX90" s="727"/>
      <c r="EY90" s="727"/>
      <c r="EZ90" s="727"/>
      <c r="FA90" s="727"/>
      <c r="FB90" s="727"/>
      <c r="FC90" s="727"/>
      <c r="FD90" s="727"/>
      <c r="FE90" s="727"/>
      <c r="FF90" s="727"/>
      <c r="FG90" s="727"/>
      <c r="FH90" s="727"/>
      <c r="FI90" s="727"/>
      <c r="FJ90" s="727"/>
      <c r="FK90" s="727"/>
      <c r="FL90" s="727"/>
      <c r="FM90" s="727"/>
      <c r="FN90" s="727"/>
      <c r="FO90" s="727"/>
      <c r="FP90" s="727"/>
      <c r="FQ90" s="727"/>
      <c r="FR90" s="727"/>
      <c r="FS90" s="727"/>
      <c r="FT90" s="727"/>
      <c r="FU90" s="727"/>
      <c r="FV90" s="727"/>
      <c r="FW90" s="727"/>
      <c r="FX90" s="727"/>
      <c r="FY90" s="727"/>
      <c r="FZ90" s="727"/>
      <c r="GA90" s="727"/>
      <c r="GB90" s="727"/>
      <c r="GC90" s="727"/>
      <c r="GD90" s="727"/>
      <c r="GE90" s="727"/>
      <c r="GF90" s="727"/>
      <c r="GG90" s="727"/>
      <c r="GH90" s="727"/>
      <c r="GI90" s="727"/>
      <c r="GJ90" s="727"/>
      <c r="GK90" s="727"/>
      <c r="GL90" s="727"/>
      <c r="GM90" s="727"/>
      <c r="GN90" s="727"/>
      <c r="GO90" s="727"/>
      <c r="GP90" s="727"/>
      <c r="GQ90" s="727"/>
      <c r="GR90" s="727"/>
      <c r="GS90" s="727"/>
      <c r="GT90" s="727"/>
      <c r="GU90" s="727"/>
    </row>
    <row r="91" spans="1:203" ht="15" customHeight="1" x14ac:dyDescent="0.2">
      <c r="A91" s="697">
        <v>1711</v>
      </c>
      <c r="B91" s="697" t="s">
        <v>1412</v>
      </c>
      <c r="C91" s="698" t="s">
        <v>146</v>
      </c>
      <c r="D91" s="699" t="s">
        <v>146</v>
      </c>
      <c r="E91" s="700">
        <f t="shared" si="13"/>
        <v>392699.06</v>
      </c>
      <c r="F91" s="700">
        <v>546597</v>
      </c>
      <c r="G91" s="701">
        <f t="shared" si="10"/>
        <v>939296.06</v>
      </c>
      <c r="H91" s="698" t="s">
        <v>10</v>
      </c>
      <c r="I91" s="699" t="s">
        <v>1416</v>
      </c>
      <c r="J91" s="699" t="s">
        <v>1412</v>
      </c>
      <c r="K91" s="699" t="s">
        <v>153</v>
      </c>
      <c r="L91" s="699" t="s">
        <v>1412</v>
      </c>
      <c r="M91" s="702">
        <v>159</v>
      </c>
      <c r="N91" s="702">
        <v>0.89700000000000002</v>
      </c>
      <c r="O91" s="702">
        <v>0.91200000000000003</v>
      </c>
      <c r="P91" s="702">
        <v>0.9</v>
      </c>
      <c r="Q91" s="702">
        <v>0.89300000000000002</v>
      </c>
      <c r="R91" s="702">
        <v>1357308</v>
      </c>
      <c r="S91" s="702">
        <v>1127150</v>
      </c>
      <c r="T91" s="7">
        <f t="shared" si="11"/>
        <v>403799.13</v>
      </c>
      <c r="U91" s="702">
        <v>751704</v>
      </c>
      <c r="V91" s="702">
        <v>375446</v>
      </c>
      <c r="W91" s="702">
        <v>5000</v>
      </c>
      <c r="X91" s="702">
        <v>950396.13</v>
      </c>
      <c r="Y91" s="702">
        <v>403799.13</v>
      </c>
      <c r="Z91" s="702">
        <v>546597</v>
      </c>
      <c r="AA91" s="702">
        <v>580553</v>
      </c>
      <c r="AB91" s="702">
        <v>0</v>
      </c>
      <c r="AC91" s="702">
        <v>580553</v>
      </c>
      <c r="AD91" s="702">
        <v>546597</v>
      </c>
      <c r="AE91" s="702">
        <v>0</v>
      </c>
      <c r="AF91" s="702">
        <v>580553</v>
      </c>
      <c r="AG91" s="702">
        <v>0</v>
      </c>
      <c r="AH91" s="702">
        <v>621000</v>
      </c>
      <c r="AI91" s="702">
        <v>558000</v>
      </c>
      <c r="AJ91" s="698" t="s">
        <v>900</v>
      </c>
      <c r="AK91" s="698" t="s">
        <v>901</v>
      </c>
      <c r="AL91" s="699" t="s">
        <v>1416</v>
      </c>
      <c r="AM91" s="698" t="s">
        <v>10</v>
      </c>
      <c r="AN91" s="699" t="s">
        <v>146</v>
      </c>
      <c r="AO91" s="699">
        <v>950396.13</v>
      </c>
      <c r="AP91" s="703">
        <f t="shared" si="14"/>
        <v>519.90070000000003</v>
      </c>
      <c r="AQ91" s="703">
        <f t="shared" si="12"/>
        <v>546.90070000000003</v>
      </c>
      <c r="AR91" s="697">
        <v>223</v>
      </c>
      <c r="AS91" s="697">
        <v>558</v>
      </c>
      <c r="AT91" s="697">
        <v>63</v>
      </c>
      <c r="AU91" s="697">
        <v>0</v>
      </c>
      <c r="AV91" s="697">
        <v>0</v>
      </c>
      <c r="AW91" s="697">
        <v>0</v>
      </c>
      <c r="AX91" s="697">
        <v>0</v>
      </c>
      <c r="AY91" s="697">
        <v>0</v>
      </c>
      <c r="AZ91" s="697">
        <v>9</v>
      </c>
      <c r="BA91" s="697">
        <v>42</v>
      </c>
      <c r="BB91" s="697">
        <v>27</v>
      </c>
      <c r="BC91" s="697">
        <v>0</v>
      </c>
      <c r="BD91" s="697">
        <v>4</v>
      </c>
      <c r="BE91" s="697">
        <v>0</v>
      </c>
      <c r="BF91" s="697">
        <v>0</v>
      </c>
      <c r="BG91" s="697">
        <v>0</v>
      </c>
      <c r="BH91" s="697">
        <v>62</v>
      </c>
      <c r="BI91" s="697">
        <v>2</v>
      </c>
      <c r="BJ91" s="697">
        <v>0</v>
      </c>
      <c r="BK91" s="697">
        <v>0</v>
      </c>
      <c r="BL91" s="697">
        <v>10399</v>
      </c>
      <c r="BM91" s="697">
        <v>0</v>
      </c>
      <c r="BN91" s="697">
        <v>50502</v>
      </c>
      <c r="BO91" s="697">
        <v>979.99699999999996</v>
      </c>
      <c r="CC91" s="727"/>
      <c r="CD91" s="727"/>
      <c r="CE91" s="727"/>
      <c r="CF91" s="727"/>
      <c r="CG91" s="727"/>
      <c r="CH91" s="727"/>
      <c r="CI91" s="727"/>
      <c r="CJ91" s="727"/>
      <c r="CK91" s="727"/>
      <c r="CL91" s="727"/>
      <c r="CM91" s="727"/>
      <c r="CN91" s="727"/>
      <c r="CO91" s="727"/>
      <c r="CP91" s="727"/>
      <c r="CQ91" s="727"/>
      <c r="CR91" s="727"/>
      <c r="CS91" s="727"/>
      <c r="CT91" s="727"/>
      <c r="CU91" s="727"/>
      <c r="CV91" s="727"/>
      <c r="CW91" s="727"/>
      <c r="CX91" s="727"/>
      <c r="CY91" s="727"/>
      <c r="CZ91" s="727"/>
      <c r="DA91" s="727"/>
      <c r="DB91" s="727"/>
      <c r="DC91" s="727"/>
      <c r="DD91" s="727"/>
      <c r="DE91" s="727"/>
      <c r="DF91" s="727"/>
      <c r="DG91" s="727"/>
      <c r="DH91" s="727"/>
      <c r="DI91" s="727"/>
      <c r="DJ91" s="727"/>
      <c r="DK91" s="727"/>
      <c r="DL91" s="727"/>
      <c r="DM91" s="727"/>
      <c r="DN91" s="727"/>
      <c r="DO91" s="727"/>
      <c r="DP91" s="727"/>
      <c r="DQ91" s="727"/>
      <c r="DR91" s="727"/>
      <c r="DS91" s="727"/>
      <c r="DT91" s="727"/>
      <c r="DU91" s="727"/>
      <c r="DV91" s="727"/>
      <c r="DW91" s="727"/>
      <c r="DX91" s="727"/>
      <c r="DY91" s="727"/>
      <c r="DZ91" s="727"/>
      <c r="EA91" s="727"/>
      <c r="EB91" s="727"/>
      <c r="EC91" s="727"/>
      <c r="ED91" s="727"/>
      <c r="EE91" s="727"/>
      <c r="EF91" s="727"/>
      <c r="EG91" s="727"/>
      <c r="EH91" s="727"/>
      <c r="EI91" s="727"/>
      <c r="EJ91" s="727"/>
      <c r="EK91" s="727"/>
      <c r="EL91" s="727"/>
      <c r="EM91" s="727"/>
      <c r="EN91" s="727"/>
      <c r="EO91" s="727"/>
      <c r="EP91" s="727"/>
      <c r="EQ91" s="727"/>
      <c r="ER91" s="727"/>
      <c r="ES91" s="727"/>
      <c r="ET91" s="727"/>
      <c r="EU91" s="727"/>
      <c r="EV91" s="727"/>
      <c r="EW91" s="727"/>
      <c r="EX91" s="727"/>
      <c r="EY91" s="727"/>
      <c r="EZ91" s="727"/>
      <c r="FA91" s="727"/>
      <c r="FB91" s="727"/>
      <c r="FC91" s="727"/>
      <c r="FD91" s="727"/>
      <c r="FE91" s="727"/>
      <c r="FF91" s="727"/>
      <c r="FG91" s="727"/>
      <c r="FH91" s="727"/>
      <c r="FI91" s="727"/>
      <c r="FJ91" s="727"/>
      <c r="FK91" s="727"/>
      <c r="FL91" s="727"/>
      <c r="FM91" s="727"/>
      <c r="FN91" s="727"/>
      <c r="FO91" s="727"/>
      <c r="FP91" s="727"/>
      <c r="FQ91" s="727"/>
      <c r="FR91" s="727"/>
      <c r="FS91" s="727"/>
      <c r="FT91" s="727"/>
      <c r="FU91" s="727"/>
      <c r="FV91" s="727"/>
      <c r="FW91" s="727"/>
      <c r="FX91" s="727"/>
      <c r="FY91" s="727"/>
      <c r="FZ91" s="727"/>
      <c r="GA91" s="727"/>
      <c r="GB91" s="727"/>
      <c r="GC91" s="727"/>
      <c r="GD91" s="727"/>
      <c r="GE91" s="727"/>
      <c r="GF91" s="727"/>
      <c r="GG91" s="727"/>
      <c r="GH91" s="727"/>
      <c r="GI91" s="727"/>
      <c r="GJ91" s="727"/>
      <c r="GK91" s="727"/>
      <c r="GL91" s="727"/>
      <c r="GM91" s="727"/>
      <c r="GN91" s="727"/>
      <c r="GO91" s="727"/>
      <c r="GP91" s="727"/>
      <c r="GQ91" s="727"/>
      <c r="GR91" s="727"/>
      <c r="GS91" s="727"/>
      <c r="GT91" s="727"/>
      <c r="GU91" s="727"/>
    </row>
    <row r="92" spans="1:203" ht="15" customHeight="1" x14ac:dyDescent="0.2">
      <c r="A92" s="697">
        <v>1712</v>
      </c>
      <c r="B92" s="697"/>
      <c r="C92" s="698" t="s">
        <v>154</v>
      </c>
      <c r="D92" s="699" t="s">
        <v>154</v>
      </c>
      <c r="E92" s="700">
        <f t="shared" si="13"/>
        <v>21623.340199999999</v>
      </c>
      <c r="F92" s="700">
        <v>0</v>
      </c>
      <c r="G92" s="701">
        <f t="shared" si="10"/>
        <v>21623.340199999999</v>
      </c>
      <c r="H92" s="698" t="s">
        <v>10</v>
      </c>
      <c r="I92" s="699" t="s">
        <v>1512</v>
      </c>
      <c r="J92" s="699" t="s">
        <v>10</v>
      </c>
      <c r="K92" s="699" t="s">
        <v>153</v>
      </c>
      <c r="L92" s="699" t="s">
        <v>10</v>
      </c>
      <c r="M92" s="702">
        <v>0</v>
      </c>
      <c r="N92" s="702">
        <v>1</v>
      </c>
      <c r="O92" s="702">
        <v>1</v>
      </c>
      <c r="P92" s="702">
        <v>1</v>
      </c>
      <c r="Q92" s="702">
        <v>1</v>
      </c>
      <c r="R92" s="702">
        <v>0</v>
      </c>
      <c r="S92" s="702">
        <v>111518</v>
      </c>
      <c r="T92" s="7">
        <f t="shared" si="11"/>
        <v>21623.340199999999</v>
      </c>
      <c r="U92" s="702">
        <v>111518</v>
      </c>
      <c r="V92" s="702">
        <v>0</v>
      </c>
      <c r="W92" s="702">
        <v>600</v>
      </c>
      <c r="X92" s="702">
        <v>0</v>
      </c>
      <c r="Y92" s="702">
        <v>0</v>
      </c>
      <c r="Z92" s="702">
        <v>0</v>
      </c>
      <c r="AA92" s="702">
        <v>133141.34020000001</v>
      </c>
      <c r="AB92" s="702">
        <v>21623.340199999999</v>
      </c>
      <c r="AC92" s="702">
        <v>111518</v>
      </c>
      <c r="AD92" s="702">
        <v>0</v>
      </c>
      <c r="AE92" s="702">
        <v>0</v>
      </c>
      <c r="AF92" s="702">
        <v>0</v>
      </c>
      <c r="AG92" s="702">
        <v>111518</v>
      </c>
      <c r="AH92" s="702">
        <v>0</v>
      </c>
      <c r="AI92" s="702">
        <v>0</v>
      </c>
      <c r="AJ92" s="698" t="s">
        <v>900</v>
      </c>
      <c r="AK92" s="698" t="s">
        <v>901</v>
      </c>
      <c r="AL92" s="699" t="s">
        <v>1512</v>
      </c>
      <c r="AM92" s="698" t="s">
        <v>10</v>
      </c>
      <c r="AN92" s="699" t="s">
        <v>154</v>
      </c>
      <c r="AO92" s="699">
        <v>21623.340199999999</v>
      </c>
      <c r="AP92" s="703">
        <f t="shared" si="14"/>
        <v>3.2511999999999999</v>
      </c>
      <c r="AQ92" s="703">
        <f t="shared" si="12"/>
        <v>3.2511999999999999</v>
      </c>
      <c r="AR92" s="697">
        <v>0</v>
      </c>
      <c r="AS92" s="697">
        <v>0</v>
      </c>
      <c r="AT92" s="697">
        <v>2</v>
      </c>
      <c r="AU92" s="697">
        <v>0</v>
      </c>
      <c r="AV92" s="697">
        <v>0</v>
      </c>
      <c r="AW92" s="697">
        <v>0</v>
      </c>
      <c r="AX92" s="697">
        <v>0</v>
      </c>
      <c r="AY92" s="697">
        <v>0</v>
      </c>
      <c r="AZ92" s="697">
        <v>0</v>
      </c>
      <c r="BA92" s="697">
        <v>0</v>
      </c>
      <c r="BB92" s="697">
        <v>0</v>
      </c>
      <c r="BC92" s="697">
        <v>0</v>
      </c>
      <c r="BD92" s="697">
        <v>0</v>
      </c>
      <c r="BE92" s="697">
        <v>0</v>
      </c>
      <c r="BF92" s="697">
        <v>0</v>
      </c>
      <c r="BG92" s="697">
        <v>0</v>
      </c>
      <c r="BH92" s="697">
        <v>0</v>
      </c>
      <c r="BI92" s="697">
        <v>0</v>
      </c>
      <c r="BJ92" s="697">
        <v>0</v>
      </c>
      <c r="BK92" s="697">
        <v>0</v>
      </c>
      <c r="BL92" s="697">
        <v>0</v>
      </c>
      <c r="BM92" s="697">
        <v>0</v>
      </c>
      <c r="BN92" s="697">
        <v>0</v>
      </c>
      <c r="BO92" s="697">
        <v>12.512</v>
      </c>
      <c r="CC92" s="727"/>
      <c r="CD92" s="727"/>
      <c r="CE92" s="727"/>
      <c r="CF92" s="727"/>
      <c r="CG92" s="727"/>
      <c r="CH92" s="727"/>
      <c r="CI92" s="727"/>
      <c r="CJ92" s="727"/>
      <c r="CK92" s="727"/>
      <c r="CL92" s="727"/>
      <c r="CM92" s="727"/>
      <c r="CN92" s="727"/>
      <c r="CO92" s="727"/>
      <c r="CP92" s="727"/>
      <c r="CQ92" s="727"/>
      <c r="CR92" s="727"/>
      <c r="CS92" s="727"/>
      <c r="CT92" s="727"/>
      <c r="CU92" s="727"/>
      <c r="CV92" s="727"/>
      <c r="CW92" s="727"/>
      <c r="CX92" s="727"/>
      <c r="CY92" s="727"/>
      <c r="CZ92" s="727"/>
      <c r="DA92" s="727"/>
      <c r="DB92" s="727"/>
      <c r="DC92" s="727"/>
      <c r="DD92" s="727"/>
      <c r="DE92" s="727"/>
      <c r="DF92" s="727"/>
      <c r="DG92" s="727"/>
      <c r="DH92" s="727"/>
      <c r="DI92" s="727"/>
      <c r="DJ92" s="727"/>
      <c r="DK92" s="727"/>
      <c r="DL92" s="727"/>
      <c r="DM92" s="727"/>
      <c r="DN92" s="727"/>
      <c r="DO92" s="727"/>
      <c r="DP92" s="727"/>
      <c r="DQ92" s="727"/>
      <c r="DR92" s="727"/>
      <c r="DS92" s="727"/>
      <c r="DT92" s="727"/>
      <c r="DU92" s="727"/>
      <c r="DV92" s="727"/>
      <c r="DW92" s="727"/>
      <c r="DX92" s="727"/>
      <c r="DY92" s="727"/>
      <c r="DZ92" s="727"/>
      <c r="EA92" s="727"/>
      <c r="EB92" s="727"/>
      <c r="EC92" s="727"/>
      <c r="ED92" s="727"/>
      <c r="EE92" s="727"/>
      <c r="EF92" s="727"/>
      <c r="EG92" s="727"/>
      <c r="EH92" s="727"/>
      <c r="EI92" s="727"/>
      <c r="EJ92" s="727"/>
      <c r="EK92" s="727"/>
      <c r="EL92" s="727"/>
      <c r="EM92" s="727"/>
      <c r="EN92" s="727"/>
      <c r="EO92" s="727"/>
      <c r="EP92" s="727"/>
      <c r="EQ92" s="727"/>
      <c r="ER92" s="727"/>
      <c r="ES92" s="727"/>
      <c r="ET92" s="727"/>
      <c r="EU92" s="727"/>
      <c r="EV92" s="727"/>
      <c r="EW92" s="727"/>
      <c r="EX92" s="727"/>
      <c r="EY92" s="727"/>
      <c r="EZ92" s="727"/>
      <c r="FA92" s="727"/>
      <c r="FB92" s="727"/>
      <c r="FC92" s="727"/>
      <c r="FD92" s="727"/>
      <c r="FE92" s="727"/>
      <c r="FF92" s="727"/>
      <c r="FG92" s="727"/>
      <c r="FH92" s="727"/>
      <c r="FI92" s="727"/>
      <c r="FJ92" s="727"/>
      <c r="FK92" s="727"/>
      <c r="FL92" s="727"/>
      <c r="FM92" s="727"/>
      <c r="FN92" s="727"/>
      <c r="FO92" s="727"/>
      <c r="FP92" s="727"/>
      <c r="FQ92" s="727"/>
      <c r="FR92" s="727"/>
      <c r="FS92" s="727"/>
      <c r="FT92" s="727"/>
      <c r="FU92" s="727"/>
      <c r="FV92" s="727"/>
      <c r="FW92" s="727"/>
      <c r="FX92" s="727"/>
      <c r="FY92" s="727"/>
      <c r="FZ92" s="727"/>
      <c r="GA92" s="727"/>
      <c r="GB92" s="727"/>
      <c r="GC92" s="727"/>
      <c r="GD92" s="727"/>
      <c r="GE92" s="727"/>
      <c r="GF92" s="727"/>
      <c r="GG92" s="727"/>
      <c r="GH92" s="727"/>
      <c r="GI92" s="727"/>
      <c r="GJ92" s="727"/>
      <c r="GK92" s="727"/>
      <c r="GL92" s="727"/>
      <c r="GM92" s="727"/>
      <c r="GN92" s="727"/>
      <c r="GO92" s="727"/>
      <c r="GP92" s="727"/>
      <c r="GQ92" s="727"/>
      <c r="GR92" s="727"/>
      <c r="GS92" s="727"/>
      <c r="GT92" s="727"/>
      <c r="GU92" s="727"/>
    </row>
    <row r="93" spans="1:203" ht="15" customHeight="1" x14ac:dyDescent="0.2">
      <c r="A93" s="697">
        <v>1731</v>
      </c>
      <c r="B93" s="697" t="s">
        <v>1412</v>
      </c>
      <c r="C93" s="698" t="s">
        <v>155</v>
      </c>
      <c r="D93" s="699" t="s">
        <v>155</v>
      </c>
      <c r="E93" s="700">
        <f t="shared" si="13"/>
        <v>385063.87400000001</v>
      </c>
      <c r="F93" s="700">
        <v>0</v>
      </c>
      <c r="G93" s="701">
        <f t="shared" si="10"/>
        <v>385063.87400000001</v>
      </c>
      <c r="H93" s="698" t="s">
        <v>10</v>
      </c>
      <c r="I93" s="699" t="s">
        <v>1416</v>
      </c>
      <c r="J93" s="699" t="s">
        <v>1412</v>
      </c>
      <c r="K93" s="699" t="s">
        <v>157</v>
      </c>
      <c r="L93" s="699" t="s">
        <v>10</v>
      </c>
      <c r="M93" s="702">
        <v>152</v>
      </c>
      <c r="N93" s="702">
        <v>0.86899999999999999</v>
      </c>
      <c r="O93" s="702">
        <v>0.88500000000000001</v>
      </c>
      <c r="P93" s="702">
        <v>0.84199999999999997</v>
      </c>
      <c r="Q93" s="702">
        <v>0.93899999999999995</v>
      </c>
      <c r="R93" s="702">
        <v>1215199</v>
      </c>
      <c r="S93" s="702">
        <v>1105235</v>
      </c>
      <c r="T93" s="7">
        <f t="shared" si="11"/>
        <v>361521.70249999996</v>
      </c>
      <c r="U93" s="702">
        <v>740284</v>
      </c>
      <c r="V93" s="702">
        <v>364951</v>
      </c>
      <c r="W93" s="702">
        <v>4144</v>
      </c>
      <c r="X93" s="702">
        <v>0</v>
      </c>
      <c r="Y93" s="702">
        <v>0</v>
      </c>
      <c r="Z93" s="702">
        <v>0</v>
      </c>
      <c r="AA93" s="702">
        <v>1466756.703</v>
      </c>
      <c r="AB93" s="702">
        <v>361521.70250000001</v>
      </c>
      <c r="AC93" s="702">
        <v>1105235</v>
      </c>
      <c r="AD93" s="702">
        <v>0</v>
      </c>
      <c r="AE93" s="702">
        <v>0</v>
      </c>
      <c r="AF93" s="702">
        <v>1105235</v>
      </c>
      <c r="AG93" s="702">
        <v>0</v>
      </c>
      <c r="AH93" s="702">
        <v>813000</v>
      </c>
      <c r="AI93" s="702">
        <v>678000</v>
      </c>
      <c r="AJ93" s="698" t="s">
        <v>900</v>
      </c>
      <c r="AK93" s="698" t="s">
        <v>901</v>
      </c>
      <c r="AL93" s="699" t="s">
        <v>1416</v>
      </c>
      <c r="AM93" s="698" t="s">
        <v>10</v>
      </c>
      <c r="AN93" s="699" t="s">
        <v>155</v>
      </c>
      <c r="AO93" s="699">
        <v>361521.70250000001</v>
      </c>
      <c r="AP93" s="703">
        <f t="shared" si="14"/>
        <v>283.5204</v>
      </c>
      <c r="AQ93" s="703">
        <f t="shared" si="12"/>
        <v>365.5204</v>
      </c>
      <c r="AR93" s="697">
        <v>111</v>
      </c>
      <c r="AS93" s="697">
        <v>678</v>
      </c>
      <c r="AT93" s="697">
        <v>105</v>
      </c>
      <c r="AU93" s="697">
        <v>0</v>
      </c>
      <c r="AV93" s="697">
        <v>0</v>
      </c>
      <c r="AW93" s="697">
        <v>0</v>
      </c>
      <c r="AX93" s="697">
        <v>7</v>
      </c>
      <c r="AY93" s="697">
        <v>0</v>
      </c>
      <c r="AZ93" s="697">
        <v>0</v>
      </c>
      <c r="BA93" s="697">
        <v>21</v>
      </c>
      <c r="BB93" s="697">
        <v>82</v>
      </c>
      <c r="BC93" s="697">
        <v>0</v>
      </c>
      <c r="BD93" s="697">
        <v>0</v>
      </c>
      <c r="BE93" s="697">
        <v>0</v>
      </c>
      <c r="BF93" s="697">
        <v>0</v>
      </c>
      <c r="BG93" s="697">
        <v>0</v>
      </c>
      <c r="BH93" s="697">
        <v>0</v>
      </c>
      <c r="BI93" s="697">
        <v>4</v>
      </c>
      <c r="BJ93" s="697">
        <v>0</v>
      </c>
      <c r="BK93" s="697">
        <v>0</v>
      </c>
      <c r="BL93" s="697">
        <v>17842</v>
      </c>
      <c r="BM93" s="697">
        <v>0</v>
      </c>
      <c r="BN93" s="697">
        <v>2280</v>
      </c>
      <c r="BO93" s="697">
        <v>403.98399999999998</v>
      </c>
      <c r="CC93" s="727"/>
      <c r="CD93" s="727"/>
      <c r="CE93" s="727"/>
      <c r="CF93" s="727"/>
      <c r="CG93" s="727"/>
      <c r="CH93" s="727"/>
      <c r="CI93" s="727"/>
      <c r="CJ93" s="727"/>
      <c r="CK93" s="727"/>
      <c r="CL93" s="727"/>
      <c r="CM93" s="727"/>
      <c r="CN93" s="727"/>
      <c r="CO93" s="727"/>
      <c r="CP93" s="727"/>
      <c r="CQ93" s="727"/>
      <c r="CR93" s="727"/>
      <c r="CS93" s="727"/>
      <c r="CT93" s="727"/>
      <c r="CU93" s="727"/>
      <c r="CV93" s="727"/>
      <c r="CW93" s="727"/>
      <c r="CX93" s="727"/>
      <c r="CY93" s="727"/>
      <c r="CZ93" s="727"/>
      <c r="DA93" s="727"/>
      <c r="DB93" s="727"/>
      <c r="DC93" s="727"/>
      <c r="DD93" s="727"/>
      <c r="DE93" s="727"/>
      <c r="DF93" s="727"/>
      <c r="DG93" s="727"/>
      <c r="DH93" s="727"/>
      <c r="DI93" s="727"/>
      <c r="DJ93" s="727"/>
      <c r="DK93" s="727"/>
      <c r="DL93" s="727"/>
      <c r="DM93" s="727"/>
      <c r="DN93" s="727"/>
      <c r="DO93" s="727"/>
      <c r="DP93" s="727"/>
      <c r="DQ93" s="727"/>
      <c r="DR93" s="727"/>
      <c r="DS93" s="727"/>
      <c r="DT93" s="727"/>
      <c r="DU93" s="727"/>
      <c r="DV93" s="727"/>
      <c r="DW93" s="727"/>
      <c r="DX93" s="727"/>
      <c r="DY93" s="727"/>
      <c r="DZ93" s="727"/>
      <c r="EA93" s="727"/>
      <c r="EB93" s="727"/>
      <c r="EC93" s="727"/>
      <c r="ED93" s="727"/>
      <c r="EE93" s="727"/>
      <c r="EF93" s="727"/>
      <c r="EG93" s="727"/>
      <c r="EH93" s="727"/>
      <c r="EI93" s="727"/>
      <c r="EJ93" s="727"/>
      <c r="EK93" s="727"/>
      <c r="EL93" s="727"/>
      <c r="EM93" s="727"/>
      <c r="EN93" s="727"/>
      <c r="EO93" s="727"/>
      <c r="EP93" s="727"/>
      <c r="EQ93" s="727"/>
      <c r="ER93" s="727"/>
      <c r="ES93" s="727"/>
      <c r="ET93" s="727"/>
      <c r="EU93" s="727"/>
      <c r="EV93" s="727"/>
      <c r="EW93" s="727"/>
      <c r="EX93" s="727"/>
      <c r="EY93" s="727"/>
      <c r="EZ93" s="727"/>
      <c r="FA93" s="727"/>
      <c r="FB93" s="727"/>
      <c r="FC93" s="727"/>
      <c r="FD93" s="727"/>
      <c r="FE93" s="727"/>
      <c r="FF93" s="727"/>
      <c r="FG93" s="727"/>
      <c r="FH93" s="727"/>
      <c r="FI93" s="727"/>
      <c r="FJ93" s="727"/>
      <c r="FK93" s="727"/>
      <c r="FL93" s="727"/>
      <c r="FM93" s="727"/>
      <c r="FN93" s="727"/>
      <c r="FO93" s="727"/>
      <c r="FP93" s="727"/>
      <c r="FQ93" s="727"/>
      <c r="FR93" s="727"/>
      <c r="FS93" s="727"/>
      <c r="FT93" s="727"/>
      <c r="FU93" s="727"/>
      <c r="FV93" s="727"/>
      <c r="FW93" s="727"/>
      <c r="FX93" s="727"/>
      <c r="FY93" s="727"/>
      <c r="FZ93" s="727"/>
      <c r="GA93" s="727"/>
      <c r="GB93" s="727"/>
      <c r="GC93" s="727"/>
      <c r="GD93" s="727"/>
      <c r="GE93" s="727"/>
      <c r="GF93" s="727"/>
      <c r="GG93" s="727"/>
      <c r="GH93" s="727"/>
      <c r="GI93" s="727"/>
      <c r="GJ93" s="727"/>
      <c r="GK93" s="727"/>
      <c r="GL93" s="727"/>
      <c r="GM93" s="727"/>
      <c r="GN93" s="727"/>
      <c r="GO93" s="727"/>
      <c r="GP93" s="727"/>
      <c r="GQ93" s="727"/>
      <c r="GR93" s="727"/>
      <c r="GS93" s="727"/>
      <c r="GT93" s="727"/>
      <c r="GU93" s="727"/>
    </row>
    <row r="94" spans="1:203" s="724" customFormat="1" ht="15" customHeight="1" x14ac:dyDescent="0.2">
      <c r="A94" s="697">
        <v>3811</v>
      </c>
      <c r="B94" s="697" t="s">
        <v>1412</v>
      </c>
      <c r="C94" s="698" t="s">
        <v>158</v>
      </c>
      <c r="D94" s="699" t="s">
        <v>158</v>
      </c>
      <c r="E94" s="700">
        <f t="shared" si="13"/>
        <v>203327.98199999999</v>
      </c>
      <c r="F94" s="700">
        <v>443648</v>
      </c>
      <c r="G94" s="701">
        <f t="shared" si="10"/>
        <v>646975.98199999996</v>
      </c>
      <c r="H94" s="698" t="s">
        <v>10</v>
      </c>
      <c r="I94" s="699" t="s">
        <v>1416</v>
      </c>
      <c r="J94" s="699" t="s">
        <v>1412</v>
      </c>
      <c r="K94" s="699" t="s">
        <v>160</v>
      </c>
      <c r="L94" s="699" t="s">
        <v>1412</v>
      </c>
      <c r="M94" s="702">
        <v>112</v>
      </c>
      <c r="N94" s="702">
        <v>0.93400000000000005</v>
      </c>
      <c r="O94" s="702">
        <v>0.93400000000000005</v>
      </c>
      <c r="P94" s="702">
        <v>0.94099999999999995</v>
      </c>
      <c r="Q94" s="702">
        <v>0.90500000000000003</v>
      </c>
      <c r="R94" s="702">
        <v>777054</v>
      </c>
      <c r="S94" s="702">
        <v>583605</v>
      </c>
      <c r="T94" s="7">
        <f t="shared" si="11"/>
        <v>231173.565</v>
      </c>
      <c r="U94" s="702">
        <v>311865</v>
      </c>
      <c r="V94" s="702">
        <v>271740</v>
      </c>
      <c r="W94" s="702">
        <v>2950</v>
      </c>
      <c r="X94" s="702">
        <v>674821.56499999994</v>
      </c>
      <c r="Y94" s="702">
        <v>231173.565</v>
      </c>
      <c r="Z94" s="702">
        <v>443648</v>
      </c>
      <c r="AA94" s="702">
        <v>139957</v>
      </c>
      <c r="AB94" s="702">
        <v>0</v>
      </c>
      <c r="AC94" s="702">
        <v>139957</v>
      </c>
      <c r="AD94" s="702">
        <v>443648</v>
      </c>
      <c r="AE94" s="702">
        <v>0</v>
      </c>
      <c r="AF94" s="702">
        <v>139957</v>
      </c>
      <c r="AG94" s="702">
        <v>0</v>
      </c>
      <c r="AH94" s="702">
        <v>1144000</v>
      </c>
      <c r="AI94" s="702">
        <v>825000</v>
      </c>
      <c r="AJ94" s="698">
        <v>4</v>
      </c>
      <c r="AK94" s="698" t="s">
        <v>917</v>
      </c>
      <c r="AL94" s="699" t="s">
        <v>1416</v>
      </c>
      <c r="AM94" s="698" t="s">
        <v>10</v>
      </c>
      <c r="AN94" s="699" t="s">
        <v>158</v>
      </c>
      <c r="AO94" s="699">
        <v>674821.56499999994</v>
      </c>
      <c r="AP94" s="703">
        <f t="shared" si="14"/>
        <v>715.06269999999995</v>
      </c>
      <c r="AQ94" s="703">
        <f t="shared" si="12"/>
        <v>702.06269999999995</v>
      </c>
      <c r="AR94" s="723">
        <v>454</v>
      </c>
      <c r="AS94" s="723">
        <v>825</v>
      </c>
      <c r="AT94" s="723">
        <v>107</v>
      </c>
      <c r="AU94" s="723">
        <v>10</v>
      </c>
      <c r="AV94" s="697">
        <v>1</v>
      </c>
      <c r="AW94" s="697">
        <v>40</v>
      </c>
      <c r="AX94" s="697">
        <v>0</v>
      </c>
      <c r="AY94" s="697">
        <v>0</v>
      </c>
      <c r="AZ94" s="697">
        <v>35</v>
      </c>
      <c r="BA94" s="697">
        <v>35</v>
      </c>
      <c r="BB94" s="697">
        <v>-13</v>
      </c>
      <c r="BC94" s="697">
        <v>0</v>
      </c>
      <c r="BD94" s="697">
        <v>23</v>
      </c>
      <c r="BE94" s="697">
        <v>0</v>
      </c>
      <c r="BF94" s="697">
        <v>0</v>
      </c>
      <c r="BG94" s="697">
        <v>0</v>
      </c>
      <c r="BH94" s="697">
        <v>47</v>
      </c>
      <c r="BI94" s="697">
        <v>0</v>
      </c>
      <c r="BJ94" s="697">
        <v>0</v>
      </c>
      <c r="BK94" s="697">
        <v>0</v>
      </c>
      <c r="BL94" s="697">
        <v>6305</v>
      </c>
      <c r="BM94" s="697">
        <v>0</v>
      </c>
      <c r="BN94" s="697">
        <v>0</v>
      </c>
      <c r="BO94" s="697">
        <v>317.577</v>
      </c>
      <c r="BP94" s="392"/>
      <c r="BQ94" s="392"/>
      <c r="BR94" s="392"/>
      <c r="BS94" s="392"/>
      <c r="BT94" s="392"/>
      <c r="BU94" s="392"/>
      <c r="BV94" s="392"/>
      <c r="BW94" s="392"/>
      <c r="BX94" s="392"/>
      <c r="BY94" s="392"/>
      <c r="BZ94" s="392"/>
      <c r="CA94" s="392"/>
      <c r="CB94" s="392"/>
      <c r="CC94" s="392"/>
      <c r="CD94" s="392"/>
      <c r="CE94" s="392"/>
      <c r="CF94" s="392"/>
      <c r="CG94" s="392"/>
      <c r="CH94" s="392"/>
      <c r="CI94" s="392"/>
      <c r="CJ94" s="392"/>
      <c r="CK94" s="392"/>
      <c r="CL94" s="392"/>
      <c r="CM94" s="392"/>
      <c r="CN94" s="392"/>
      <c r="CO94" s="392"/>
      <c r="CP94" s="392"/>
      <c r="CQ94" s="392"/>
      <c r="CR94" s="392"/>
      <c r="CS94" s="392"/>
      <c r="CT94" s="392"/>
      <c r="CU94" s="392"/>
      <c r="CV94" s="392"/>
      <c r="CW94" s="392"/>
      <c r="CX94" s="392"/>
      <c r="CY94" s="392"/>
      <c r="CZ94" s="392"/>
      <c r="DA94" s="392"/>
      <c r="DB94" s="392"/>
      <c r="DC94" s="392"/>
      <c r="DD94" s="392"/>
      <c r="DE94" s="392"/>
      <c r="DF94" s="392"/>
      <c r="DG94" s="392"/>
      <c r="DH94" s="392"/>
      <c r="DI94" s="392"/>
      <c r="DJ94" s="392"/>
      <c r="DK94" s="392"/>
      <c r="DL94" s="392"/>
      <c r="DM94" s="392"/>
      <c r="DN94" s="392"/>
      <c r="DO94" s="392"/>
      <c r="DP94" s="392"/>
      <c r="DQ94" s="392"/>
      <c r="DR94" s="392"/>
      <c r="DS94" s="392"/>
      <c r="DT94" s="392"/>
      <c r="DU94" s="392"/>
      <c r="DV94" s="392"/>
      <c r="DW94" s="392"/>
      <c r="DX94" s="392"/>
      <c r="DY94" s="392"/>
      <c r="DZ94" s="392"/>
      <c r="EA94" s="392"/>
      <c r="EB94" s="392"/>
      <c r="EC94" s="392"/>
      <c r="ED94" s="392"/>
      <c r="EE94" s="392"/>
      <c r="EF94" s="392"/>
      <c r="EG94" s="392"/>
      <c r="EH94" s="392"/>
      <c r="EI94" s="392"/>
      <c r="EJ94" s="392"/>
      <c r="EK94" s="392"/>
      <c r="EL94" s="392"/>
      <c r="EM94" s="392"/>
      <c r="EN94" s="392"/>
      <c r="EO94" s="392"/>
      <c r="EP94" s="392"/>
      <c r="EQ94" s="392"/>
      <c r="ER94" s="392"/>
      <c r="ES94" s="392"/>
      <c r="ET94" s="392"/>
      <c r="EU94" s="392"/>
      <c r="EV94" s="392"/>
      <c r="EW94" s="392"/>
      <c r="EX94" s="392"/>
      <c r="EY94" s="392"/>
      <c r="EZ94" s="392"/>
      <c r="FA94" s="392"/>
      <c r="FB94" s="392"/>
      <c r="FC94" s="392"/>
      <c r="FD94" s="392"/>
      <c r="FE94" s="392"/>
      <c r="FF94" s="392"/>
      <c r="FG94" s="392"/>
      <c r="FH94" s="392"/>
      <c r="FI94" s="392"/>
      <c r="FJ94" s="392"/>
      <c r="FK94" s="392"/>
      <c r="FL94" s="392"/>
      <c r="FM94" s="392"/>
      <c r="FN94" s="392"/>
      <c r="FO94" s="392"/>
      <c r="FP94" s="392"/>
      <c r="FQ94" s="392"/>
      <c r="FR94" s="392"/>
      <c r="FS94" s="392"/>
      <c r="FT94" s="392"/>
      <c r="FU94" s="392"/>
      <c r="FV94" s="392"/>
      <c r="FW94" s="392"/>
      <c r="FX94" s="392"/>
      <c r="FY94" s="392"/>
      <c r="FZ94" s="392"/>
      <c r="GA94" s="392"/>
      <c r="GB94" s="392"/>
      <c r="GC94" s="392"/>
      <c r="GD94" s="392"/>
      <c r="GE94" s="392"/>
      <c r="GF94" s="392"/>
      <c r="GG94" s="392"/>
      <c r="GH94" s="392"/>
      <c r="GI94" s="392"/>
      <c r="GJ94" s="392"/>
      <c r="GK94" s="392"/>
      <c r="GL94" s="392"/>
      <c r="GM94" s="392"/>
      <c r="GN94" s="392"/>
      <c r="GO94" s="392"/>
      <c r="GP94" s="392"/>
      <c r="GQ94" s="392"/>
      <c r="GR94" s="392"/>
      <c r="GS94" s="392"/>
      <c r="GT94" s="392"/>
      <c r="GU94" s="392"/>
    </row>
    <row r="95" spans="1:203" ht="15" customHeight="1" x14ac:dyDescent="0.2">
      <c r="A95" s="715">
        <v>2114</v>
      </c>
      <c r="B95" s="715"/>
      <c r="C95" s="716" t="s">
        <v>162</v>
      </c>
      <c r="D95" s="706" t="s">
        <v>162</v>
      </c>
      <c r="E95" s="700" t="e">
        <f t="shared" si="13"/>
        <v>#VALUE!</v>
      </c>
      <c r="F95" s="707" t="s">
        <v>10</v>
      </c>
      <c r="G95" s="701" t="e">
        <f t="shared" si="10"/>
        <v>#VALUE!</v>
      </c>
      <c r="H95" s="705" t="s">
        <v>10</v>
      </c>
      <c r="I95" s="706" t="s">
        <v>1416</v>
      </c>
      <c r="J95" s="706" t="s">
        <v>10</v>
      </c>
      <c r="K95" s="706" t="s">
        <v>10</v>
      </c>
      <c r="L95" s="706" t="s">
        <v>10</v>
      </c>
      <c r="M95" s="708" t="s">
        <v>10</v>
      </c>
      <c r="N95" s="708" t="s">
        <v>10</v>
      </c>
      <c r="O95" s="708" t="s">
        <v>10</v>
      </c>
      <c r="P95" s="708" t="s">
        <v>10</v>
      </c>
      <c r="Q95" s="708" t="s">
        <v>10</v>
      </c>
      <c r="R95" s="708" t="s">
        <v>10</v>
      </c>
      <c r="S95" s="708" t="s">
        <v>10</v>
      </c>
      <c r="T95" s="7" t="e">
        <f t="shared" si="11"/>
        <v>#VALUE!</v>
      </c>
      <c r="U95" s="708" t="s">
        <v>10</v>
      </c>
      <c r="V95" s="708" t="s">
        <v>10</v>
      </c>
      <c r="W95" s="708" t="s">
        <v>10</v>
      </c>
      <c r="X95" s="708" t="s">
        <v>10</v>
      </c>
      <c r="Y95" s="708" t="s">
        <v>10</v>
      </c>
      <c r="Z95" s="708" t="s">
        <v>10</v>
      </c>
      <c r="AA95" s="708" t="s">
        <v>10</v>
      </c>
      <c r="AB95" s="708" t="s">
        <v>10</v>
      </c>
      <c r="AC95" s="708" t="s">
        <v>10</v>
      </c>
      <c r="AD95" s="708" t="s">
        <v>10</v>
      </c>
      <c r="AE95" s="708" t="s">
        <v>10</v>
      </c>
      <c r="AF95" s="708" t="s">
        <v>10</v>
      </c>
      <c r="AG95" s="708" t="s">
        <v>10</v>
      </c>
      <c r="AH95" s="708" t="s">
        <v>10</v>
      </c>
      <c r="AI95" s="708" t="s">
        <v>10</v>
      </c>
      <c r="AJ95" s="705">
        <v>4</v>
      </c>
      <c r="AK95" s="705" t="s">
        <v>913</v>
      </c>
      <c r="AL95" s="709" t="s">
        <v>1512</v>
      </c>
      <c r="AM95" s="705" t="s">
        <v>10</v>
      </c>
      <c r="AN95" s="718" t="s">
        <v>162</v>
      </c>
      <c r="AO95" s="718">
        <v>0</v>
      </c>
      <c r="AP95" s="719">
        <v>0</v>
      </c>
      <c r="AQ95" s="703" t="e">
        <f t="shared" si="12"/>
        <v>#VALUE!</v>
      </c>
      <c r="AR95" s="720">
        <v>0</v>
      </c>
      <c r="AS95" s="720">
        <v>0</v>
      </c>
      <c r="AT95" s="720">
        <v>3</v>
      </c>
      <c r="AU95" s="720">
        <v>2</v>
      </c>
      <c r="AV95" s="722" t="s">
        <v>10</v>
      </c>
      <c r="AW95" s="722" t="s">
        <v>10</v>
      </c>
      <c r="AX95" s="722" t="s">
        <v>10</v>
      </c>
      <c r="AY95" s="722" t="s">
        <v>10</v>
      </c>
      <c r="AZ95" s="722" t="s">
        <v>10</v>
      </c>
      <c r="BA95" s="722" t="s">
        <v>10</v>
      </c>
      <c r="BB95" s="722" t="s">
        <v>10</v>
      </c>
      <c r="BC95" s="722" t="s">
        <v>10</v>
      </c>
      <c r="BD95" s="722" t="s">
        <v>10</v>
      </c>
      <c r="BE95" s="722" t="s">
        <v>10</v>
      </c>
      <c r="BF95" s="722" t="s">
        <v>10</v>
      </c>
      <c r="BG95" s="722" t="s">
        <v>10</v>
      </c>
      <c r="BH95" s="722" t="s">
        <v>10</v>
      </c>
      <c r="BI95" s="722" t="s">
        <v>10</v>
      </c>
      <c r="BJ95" s="722" t="s">
        <v>10</v>
      </c>
      <c r="BK95" s="722" t="s">
        <v>10</v>
      </c>
      <c r="BL95" s="722" t="s">
        <v>10</v>
      </c>
      <c r="BM95" s="722" t="s">
        <v>10</v>
      </c>
      <c r="BN95" s="722" t="s">
        <v>10</v>
      </c>
      <c r="BO95" s="722" t="s">
        <v>10</v>
      </c>
      <c r="CC95" s="727"/>
      <c r="CD95" s="727"/>
      <c r="CE95" s="727"/>
      <c r="CF95" s="727"/>
      <c r="CG95" s="727"/>
      <c r="CH95" s="727"/>
      <c r="CI95" s="727"/>
      <c r="CJ95" s="727"/>
      <c r="CK95" s="727"/>
      <c r="CL95" s="727"/>
      <c r="CM95" s="727"/>
      <c r="CN95" s="727"/>
      <c r="CO95" s="727"/>
      <c r="CP95" s="727"/>
      <c r="CQ95" s="727"/>
      <c r="CR95" s="727"/>
      <c r="CS95" s="727"/>
      <c r="CT95" s="727"/>
      <c r="CU95" s="727"/>
      <c r="CV95" s="727"/>
      <c r="CW95" s="727"/>
      <c r="CX95" s="727"/>
      <c r="CY95" s="727"/>
      <c r="CZ95" s="727"/>
      <c r="DA95" s="727"/>
      <c r="DB95" s="727"/>
      <c r="DC95" s="727"/>
      <c r="DD95" s="727"/>
      <c r="DE95" s="727"/>
      <c r="DF95" s="727"/>
      <c r="DG95" s="727"/>
      <c r="DH95" s="727"/>
      <c r="DI95" s="727"/>
      <c r="DJ95" s="727"/>
      <c r="DK95" s="727"/>
      <c r="DL95" s="727"/>
      <c r="DM95" s="727"/>
      <c r="DN95" s="727"/>
      <c r="DO95" s="727"/>
      <c r="DP95" s="727"/>
      <c r="DQ95" s="727"/>
      <c r="DR95" s="727"/>
      <c r="DS95" s="727"/>
      <c r="DT95" s="727"/>
      <c r="DU95" s="727"/>
      <c r="DV95" s="727"/>
      <c r="DW95" s="727"/>
      <c r="DX95" s="727"/>
      <c r="DY95" s="727"/>
      <c r="DZ95" s="727"/>
      <c r="EA95" s="727"/>
      <c r="EB95" s="727"/>
      <c r="EC95" s="727"/>
      <c r="ED95" s="727"/>
      <c r="EE95" s="727"/>
      <c r="EF95" s="727"/>
      <c r="EG95" s="727"/>
      <c r="EH95" s="727"/>
      <c r="EI95" s="727"/>
      <c r="EJ95" s="727"/>
      <c r="EK95" s="727"/>
      <c r="EL95" s="727"/>
      <c r="EM95" s="727"/>
      <c r="EN95" s="727"/>
      <c r="EO95" s="727"/>
      <c r="EP95" s="727"/>
      <c r="EQ95" s="727"/>
      <c r="ER95" s="727"/>
      <c r="ES95" s="727"/>
      <c r="ET95" s="727"/>
      <c r="EU95" s="727"/>
      <c r="EV95" s="727"/>
      <c r="EW95" s="727"/>
      <c r="EX95" s="727"/>
      <c r="EY95" s="727"/>
      <c r="EZ95" s="727"/>
      <c r="FA95" s="727"/>
      <c r="FB95" s="727"/>
      <c r="FC95" s="727"/>
      <c r="FD95" s="727"/>
      <c r="FE95" s="727"/>
      <c r="FF95" s="727"/>
      <c r="FG95" s="727"/>
      <c r="FH95" s="727"/>
      <c r="FI95" s="727"/>
      <c r="FJ95" s="727"/>
      <c r="FK95" s="727"/>
      <c r="FL95" s="727"/>
      <c r="FM95" s="727"/>
      <c r="FN95" s="727"/>
      <c r="FO95" s="727"/>
      <c r="FP95" s="727"/>
      <c r="FQ95" s="727"/>
      <c r="FR95" s="727"/>
      <c r="FS95" s="727"/>
      <c r="FT95" s="727"/>
      <c r="FU95" s="727"/>
      <c r="FV95" s="727"/>
      <c r="FW95" s="727"/>
      <c r="FX95" s="727"/>
      <c r="FY95" s="727"/>
      <c r="FZ95" s="727"/>
      <c r="GA95" s="727"/>
      <c r="GB95" s="727"/>
      <c r="GC95" s="727"/>
      <c r="GD95" s="727"/>
      <c r="GE95" s="727"/>
      <c r="GF95" s="727"/>
      <c r="GG95" s="727"/>
      <c r="GH95" s="727"/>
      <c r="GI95" s="727"/>
      <c r="GJ95" s="727"/>
      <c r="GK95" s="727"/>
      <c r="GL95" s="727"/>
      <c r="GM95" s="727"/>
      <c r="GN95" s="727"/>
      <c r="GO95" s="727"/>
      <c r="GP95" s="727"/>
      <c r="GQ95" s="727"/>
      <c r="GR95" s="727"/>
      <c r="GS95" s="727"/>
      <c r="GT95" s="727"/>
      <c r="GU95" s="727"/>
    </row>
    <row r="96" spans="1:203" ht="15" customHeight="1" x14ac:dyDescent="0.2">
      <c r="A96" s="697">
        <v>906</v>
      </c>
      <c r="B96" s="697" t="s">
        <v>1412</v>
      </c>
      <c r="C96" s="698" t="s">
        <v>163</v>
      </c>
      <c r="D96" s="699" t="s">
        <v>163</v>
      </c>
      <c r="E96" s="700">
        <f t="shared" si="13"/>
        <v>342621.08919999999</v>
      </c>
      <c r="F96" s="700">
        <v>549013</v>
      </c>
      <c r="G96" s="701">
        <f t="shared" si="10"/>
        <v>891634.08920000005</v>
      </c>
      <c r="H96" s="698" t="s">
        <v>10</v>
      </c>
      <c r="I96" s="699" t="s">
        <v>1416</v>
      </c>
      <c r="J96" s="699" t="s">
        <v>1412</v>
      </c>
      <c r="K96" s="699" t="s">
        <v>166</v>
      </c>
      <c r="L96" s="699" t="s">
        <v>1412</v>
      </c>
      <c r="M96" s="702">
        <v>165</v>
      </c>
      <c r="N96" s="702">
        <v>0.81499999999999995</v>
      </c>
      <c r="O96" s="702">
        <v>0.81499999999999995</v>
      </c>
      <c r="P96" s="702">
        <v>0.871</v>
      </c>
      <c r="Q96" s="702">
        <v>0.81200000000000006</v>
      </c>
      <c r="R96" s="702">
        <v>1238108</v>
      </c>
      <c r="S96" s="702">
        <v>983413</v>
      </c>
      <c r="T96" s="7">
        <f t="shared" si="11"/>
        <v>368337.13</v>
      </c>
      <c r="U96" s="702">
        <v>597028</v>
      </c>
      <c r="V96" s="702">
        <v>386385</v>
      </c>
      <c r="W96" s="702">
        <v>4846</v>
      </c>
      <c r="X96" s="702">
        <v>917350.13</v>
      </c>
      <c r="Y96" s="702">
        <v>368337.13</v>
      </c>
      <c r="Z96" s="702">
        <v>549013</v>
      </c>
      <c r="AA96" s="702">
        <v>434400</v>
      </c>
      <c r="AB96" s="702">
        <v>0</v>
      </c>
      <c r="AC96" s="702">
        <v>434400</v>
      </c>
      <c r="AD96" s="702">
        <v>549013</v>
      </c>
      <c r="AE96" s="702">
        <v>0</v>
      </c>
      <c r="AF96" s="702">
        <v>434400</v>
      </c>
      <c r="AG96" s="702">
        <v>0</v>
      </c>
      <c r="AH96" s="702">
        <v>581000</v>
      </c>
      <c r="AI96" s="702">
        <v>561000</v>
      </c>
      <c r="AJ96" s="698" t="s">
        <v>900</v>
      </c>
      <c r="AK96" s="698" t="s">
        <v>905</v>
      </c>
      <c r="AL96" s="699" t="s">
        <v>1416</v>
      </c>
      <c r="AM96" s="698" t="s">
        <v>10</v>
      </c>
      <c r="AN96" s="699" t="s">
        <v>163</v>
      </c>
      <c r="AO96" s="699">
        <v>917350.13</v>
      </c>
      <c r="AP96" s="703">
        <f t="shared" ref="AP96:AP101" si="15">AR96+AT96+AU96+AV96+AX96+AY96+AZ96+BD96+BF96+BG96+BH96+BJ96+BK96+(BL96+BM96+BN96)/1000+(0.1*BO96)</f>
        <v>1036.2948999999999</v>
      </c>
      <c r="AQ96" s="703">
        <f t="shared" si="12"/>
        <v>1089.2948999999999</v>
      </c>
      <c r="AR96" s="697">
        <v>442</v>
      </c>
      <c r="AS96" s="697">
        <v>561</v>
      </c>
      <c r="AT96" s="697">
        <v>116</v>
      </c>
      <c r="AU96" s="697">
        <v>0</v>
      </c>
      <c r="AV96" s="697">
        <v>0</v>
      </c>
      <c r="AW96" s="697">
        <v>17</v>
      </c>
      <c r="AX96" s="697">
        <v>0</v>
      </c>
      <c r="AY96" s="697">
        <v>0</v>
      </c>
      <c r="AZ96" s="697">
        <v>17</v>
      </c>
      <c r="BA96" s="697">
        <v>59</v>
      </c>
      <c r="BB96" s="697">
        <v>53</v>
      </c>
      <c r="BC96" s="697">
        <v>0</v>
      </c>
      <c r="BD96" s="697">
        <v>30</v>
      </c>
      <c r="BE96" s="697">
        <v>0</v>
      </c>
      <c r="BF96" s="697">
        <v>0</v>
      </c>
      <c r="BG96" s="697">
        <v>0</v>
      </c>
      <c r="BH96" s="697">
        <v>64</v>
      </c>
      <c r="BI96" s="697">
        <v>0</v>
      </c>
      <c r="BJ96" s="697">
        <v>0</v>
      </c>
      <c r="BK96" s="697">
        <v>0</v>
      </c>
      <c r="BL96" s="697">
        <v>0</v>
      </c>
      <c r="BM96" s="697">
        <v>0</v>
      </c>
      <c r="BN96" s="697">
        <v>293400</v>
      </c>
      <c r="BO96" s="697">
        <v>738.94899999999996</v>
      </c>
      <c r="CC96" s="727"/>
      <c r="CD96" s="727"/>
      <c r="CE96" s="727"/>
      <c r="CF96" s="727"/>
      <c r="CG96" s="727"/>
      <c r="CH96" s="727"/>
      <c r="CI96" s="727"/>
      <c r="CJ96" s="727"/>
      <c r="CK96" s="727"/>
      <c r="CL96" s="727"/>
      <c r="CM96" s="727"/>
      <c r="CN96" s="727"/>
      <c r="CO96" s="727"/>
      <c r="CP96" s="727"/>
      <c r="CQ96" s="727"/>
      <c r="CR96" s="727"/>
      <c r="CS96" s="727"/>
      <c r="CT96" s="727"/>
      <c r="CU96" s="727"/>
      <c r="CV96" s="727"/>
      <c r="CW96" s="727"/>
      <c r="CX96" s="727"/>
      <c r="CY96" s="727"/>
      <c r="CZ96" s="727"/>
      <c r="DA96" s="727"/>
      <c r="DB96" s="727"/>
      <c r="DC96" s="727"/>
      <c r="DD96" s="727"/>
      <c r="DE96" s="727"/>
      <c r="DF96" s="727"/>
      <c r="DG96" s="727"/>
      <c r="DH96" s="727"/>
      <c r="DI96" s="727"/>
      <c r="DJ96" s="727"/>
      <c r="DK96" s="727"/>
      <c r="DL96" s="727"/>
      <c r="DM96" s="727"/>
      <c r="DN96" s="727"/>
      <c r="DO96" s="727"/>
      <c r="DP96" s="727"/>
      <c r="DQ96" s="727"/>
      <c r="DR96" s="727"/>
      <c r="DS96" s="727"/>
      <c r="DT96" s="727"/>
      <c r="DU96" s="727"/>
      <c r="DV96" s="727"/>
      <c r="DW96" s="727"/>
      <c r="DX96" s="727"/>
      <c r="DY96" s="727"/>
      <c r="DZ96" s="727"/>
      <c r="EA96" s="727"/>
      <c r="EB96" s="727"/>
      <c r="EC96" s="727"/>
      <c r="ED96" s="727"/>
      <c r="EE96" s="727"/>
      <c r="EF96" s="727"/>
      <c r="EG96" s="727"/>
      <c r="EH96" s="727"/>
      <c r="EI96" s="727"/>
      <c r="EJ96" s="727"/>
      <c r="EK96" s="727"/>
      <c r="EL96" s="727"/>
      <c r="EM96" s="727"/>
      <c r="EN96" s="727"/>
      <c r="EO96" s="727"/>
      <c r="EP96" s="727"/>
      <c r="EQ96" s="727"/>
      <c r="ER96" s="727"/>
      <c r="ES96" s="727"/>
      <c r="ET96" s="727"/>
      <c r="EU96" s="727"/>
      <c r="EV96" s="727"/>
      <c r="EW96" s="727"/>
      <c r="EX96" s="727"/>
      <c r="EY96" s="727"/>
      <c r="EZ96" s="727"/>
      <c r="FA96" s="727"/>
      <c r="FB96" s="727"/>
      <c r="FC96" s="727"/>
      <c r="FD96" s="727"/>
      <c r="FE96" s="727"/>
      <c r="FF96" s="727"/>
      <c r="FG96" s="727"/>
      <c r="FH96" s="727"/>
      <c r="FI96" s="727"/>
      <c r="FJ96" s="727"/>
      <c r="FK96" s="727"/>
      <c r="FL96" s="727"/>
      <c r="FM96" s="727"/>
      <c r="FN96" s="727"/>
      <c r="FO96" s="727"/>
      <c r="FP96" s="727"/>
      <c r="FQ96" s="727"/>
      <c r="FR96" s="727"/>
      <c r="FS96" s="727"/>
      <c r="FT96" s="727"/>
      <c r="FU96" s="727"/>
      <c r="FV96" s="727"/>
      <c r="FW96" s="727"/>
      <c r="FX96" s="727"/>
      <c r="FY96" s="727"/>
      <c r="FZ96" s="727"/>
      <c r="GA96" s="727"/>
      <c r="GB96" s="727"/>
      <c r="GC96" s="727"/>
      <c r="GD96" s="727"/>
      <c r="GE96" s="727"/>
      <c r="GF96" s="727"/>
      <c r="GG96" s="727"/>
      <c r="GH96" s="727"/>
      <c r="GI96" s="727"/>
      <c r="GJ96" s="727"/>
      <c r="GK96" s="727"/>
      <c r="GL96" s="727"/>
      <c r="GM96" s="727"/>
      <c r="GN96" s="727"/>
      <c r="GO96" s="727"/>
      <c r="GP96" s="727"/>
      <c r="GQ96" s="727"/>
      <c r="GR96" s="727"/>
      <c r="GS96" s="727"/>
      <c r="GT96" s="727"/>
      <c r="GU96" s="727"/>
    </row>
    <row r="97" spans="1:240" ht="15" customHeight="1" x14ac:dyDescent="0.2">
      <c r="A97" s="697">
        <v>907</v>
      </c>
      <c r="B97" s="697"/>
      <c r="C97" s="698" t="s">
        <v>167</v>
      </c>
      <c r="D97" s="699" t="s">
        <v>167</v>
      </c>
      <c r="E97" s="700">
        <f t="shared" si="13"/>
        <v>34962.108999999997</v>
      </c>
      <c r="F97" s="700">
        <v>0</v>
      </c>
      <c r="G97" s="701">
        <f t="shared" si="10"/>
        <v>34962.108999999997</v>
      </c>
      <c r="H97" s="698" t="s">
        <v>10</v>
      </c>
      <c r="I97" s="699" t="s">
        <v>1512</v>
      </c>
      <c r="J97" s="699" t="s">
        <v>10</v>
      </c>
      <c r="K97" s="699" t="s">
        <v>166</v>
      </c>
      <c r="L97" s="699" t="s">
        <v>10</v>
      </c>
      <c r="M97" s="702">
        <v>0</v>
      </c>
      <c r="N97" s="702">
        <v>1</v>
      </c>
      <c r="O97" s="702">
        <v>1</v>
      </c>
      <c r="P97" s="702">
        <v>0.60399999999999998</v>
      </c>
      <c r="Q97" s="702">
        <v>1</v>
      </c>
      <c r="R97" s="702">
        <v>0</v>
      </c>
      <c r="S97" s="702">
        <v>180310</v>
      </c>
      <c r="T97" s="7">
        <f t="shared" si="11"/>
        <v>34962.108999999997</v>
      </c>
      <c r="U97" s="702">
        <v>180355</v>
      </c>
      <c r="V97" s="702">
        <v>-45</v>
      </c>
      <c r="W97" s="702">
        <v>700</v>
      </c>
      <c r="X97" s="702">
        <v>0</v>
      </c>
      <c r="Y97" s="702">
        <v>0</v>
      </c>
      <c r="Z97" s="702">
        <v>0</v>
      </c>
      <c r="AA97" s="702">
        <v>215272.109</v>
      </c>
      <c r="AB97" s="702">
        <v>34962.108999999997</v>
      </c>
      <c r="AC97" s="702">
        <v>180310</v>
      </c>
      <c r="AD97" s="702">
        <v>0</v>
      </c>
      <c r="AE97" s="702">
        <v>0</v>
      </c>
      <c r="AF97" s="702">
        <v>0</v>
      </c>
      <c r="AG97" s="702">
        <v>180310</v>
      </c>
      <c r="AH97" s="702">
        <v>0</v>
      </c>
      <c r="AI97" s="702">
        <v>0</v>
      </c>
      <c r="AJ97" s="698" t="s">
        <v>900</v>
      </c>
      <c r="AK97" s="698" t="s">
        <v>905</v>
      </c>
      <c r="AL97" s="699" t="s">
        <v>1512</v>
      </c>
      <c r="AM97" s="698" t="s">
        <v>10</v>
      </c>
      <c r="AN97" s="699" t="s">
        <v>167</v>
      </c>
      <c r="AO97" s="699">
        <v>34962.108999999997</v>
      </c>
      <c r="AP97" s="703">
        <f t="shared" si="15"/>
        <v>13.54</v>
      </c>
      <c r="AQ97" s="703">
        <f t="shared" si="12"/>
        <v>14.54</v>
      </c>
      <c r="AR97" s="697">
        <v>0</v>
      </c>
      <c r="AS97" s="697">
        <v>0</v>
      </c>
      <c r="AT97" s="697">
        <v>3</v>
      </c>
      <c r="AU97" s="697">
        <v>10</v>
      </c>
      <c r="AV97" s="697">
        <v>0</v>
      </c>
      <c r="AW97" s="697">
        <v>0</v>
      </c>
      <c r="AX97" s="697">
        <v>0</v>
      </c>
      <c r="AY97" s="697">
        <v>0</v>
      </c>
      <c r="AZ97" s="697">
        <v>0</v>
      </c>
      <c r="BA97" s="697">
        <v>0</v>
      </c>
      <c r="BB97" s="697">
        <v>0</v>
      </c>
      <c r="BC97" s="697">
        <v>1</v>
      </c>
      <c r="BD97" s="697">
        <v>0</v>
      </c>
      <c r="BE97" s="697">
        <v>0</v>
      </c>
      <c r="BF97" s="697">
        <v>0</v>
      </c>
      <c r="BG97" s="697">
        <v>0</v>
      </c>
      <c r="BH97" s="697">
        <v>0</v>
      </c>
      <c r="BI97" s="697">
        <v>0</v>
      </c>
      <c r="BJ97" s="697">
        <v>0</v>
      </c>
      <c r="BK97" s="697">
        <v>0</v>
      </c>
      <c r="BL97" s="697">
        <v>0</v>
      </c>
      <c r="BM97" s="697">
        <v>0</v>
      </c>
      <c r="BN97" s="697">
        <v>0</v>
      </c>
      <c r="BO97" s="697">
        <v>5.4</v>
      </c>
      <c r="CC97" s="727"/>
      <c r="CD97" s="727"/>
      <c r="CE97" s="727"/>
      <c r="CF97" s="727"/>
      <c r="CG97" s="727"/>
      <c r="CH97" s="727"/>
      <c r="CI97" s="727"/>
      <c r="CJ97" s="727"/>
      <c r="CK97" s="727"/>
      <c r="CL97" s="727"/>
      <c r="CM97" s="727"/>
      <c r="CN97" s="727"/>
      <c r="CO97" s="727"/>
      <c r="CP97" s="727"/>
      <c r="CQ97" s="727"/>
      <c r="CR97" s="727"/>
      <c r="CS97" s="727"/>
      <c r="CT97" s="727"/>
      <c r="CU97" s="727"/>
      <c r="CV97" s="727"/>
      <c r="CW97" s="727"/>
      <c r="CX97" s="727"/>
      <c r="CY97" s="727"/>
      <c r="CZ97" s="727"/>
      <c r="DA97" s="727"/>
      <c r="DB97" s="727"/>
      <c r="DC97" s="727"/>
      <c r="DD97" s="727"/>
      <c r="DE97" s="727"/>
      <c r="DF97" s="727"/>
      <c r="DG97" s="727"/>
      <c r="DH97" s="727"/>
      <c r="DI97" s="727"/>
      <c r="DJ97" s="727"/>
      <c r="DK97" s="727"/>
      <c r="DL97" s="727"/>
      <c r="DM97" s="727"/>
      <c r="DN97" s="727"/>
      <c r="DO97" s="727"/>
      <c r="DP97" s="727"/>
      <c r="DQ97" s="727"/>
      <c r="DR97" s="727"/>
      <c r="DS97" s="727"/>
      <c r="DT97" s="727"/>
      <c r="DU97" s="727"/>
      <c r="DV97" s="727"/>
      <c r="DW97" s="727"/>
      <c r="DX97" s="727"/>
      <c r="DY97" s="727"/>
      <c r="DZ97" s="727"/>
      <c r="EA97" s="727"/>
      <c r="EB97" s="727"/>
      <c r="EC97" s="727"/>
      <c r="ED97" s="727"/>
      <c r="EE97" s="727"/>
      <c r="EF97" s="727"/>
      <c r="EG97" s="727"/>
      <c r="EH97" s="727"/>
      <c r="EI97" s="727"/>
      <c r="EJ97" s="727"/>
      <c r="EK97" s="727"/>
      <c r="EL97" s="727"/>
      <c r="EM97" s="727"/>
      <c r="EN97" s="727"/>
      <c r="EO97" s="727"/>
      <c r="EP97" s="727"/>
      <c r="EQ97" s="727"/>
      <c r="ER97" s="727"/>
      <c r="ES97" s="727"/>
      <c r="ET97" s="727"/>
      <c r="EU97" s="727"/>
      <c r="EV97" s="727"/>
      <c r="EW97" s="727"/>
      <c r="EX97" s="727"/>
      <c r="EY97" s="727"/>
      <c r="EZ97" s="727"/>
      <c r="FA97" s="727"/>
      <c r="FB97" s="727"/>
      <c r="FC97" s="727"/>
      <c r="FD97" s="727"/>
      <c r="FE97" s="727"/>
      <c r="FF97" s="727"/>
      <c r="FG97" s="727"/>
      <c r="FH97" s="727"/>
      <c r="FI97" s="727"/>
      <c r="FJ97" s="727"/>
      <c r="FK97" s="727"/>
      <c r="FL97" s="727"/>
      <c r="FM97" s="727"/>
      <c r="FN97" s="727"/>
      <c r="FO97" s="727"/>
      <c r="FP97" s="727"/>
      <c r="FQ97" s="727"/>
      <c r="FR97" s="727"/>
      <c r="FS97" s="727"/>
      <c r="FT97" s="727"/>
      <c r="FU97" s="727"/>
      <c r="FV97" s="727"/>
      <c r="FW97" s="727"/>
      <c r="FX97" s="727"/>
      <c r="FY97" s="727"/>
      <c r="FZ97" s="727"/>
      <c r="GA97" s="727"/>
      <c r="GB97" s="727"/>
      <c r="GC97" s="727"/>
      <c r="GD97" s="727"/>
      <c r="GE97" s="727"/>
      <c r="GF97" s="727"/>
      <c r="GG97" s="727"/>
      <c r="GH97" s="727"/>
      <c r="GI97" s="727"/>
      <c r="GJ97" s="727"/>
      <c r="GK97" s="727"/>
      <c r="GL97" s="727"/>
      <c r="GM97" s="727"/>
      <c r="GN97" s="727"/>
      <c r="GO97" s="727"/>
      <c r="GP97" s="727"/>
      <c r="GQ97" s="727"/>
      <c r="GR97" s="727"/>
      <c r="GS97" s="727"/>
      <c r="GT97" s="727"/>
      <c r="GU97" s="727"/>
    </row>
    <row r="98" spans="1:240" ht="15" customHeight="1" x14ac:dyDescent="0.2">
      <c r="A98" s="697">
        <v>2546</v>
      </c>
      <c r="B98" s="697" t="s">
        <v>1412</v>
      </c>
      <c r="C98" s="698" t="s">
        <v>168</v>
      </c>
      <c r="D98" s="699" t="s">
        <v>168</v>
      </c>
      <c r="E98" s="700">
        <f t="shared" si="13"/>
        <v>334150.44</v>
      </c>
      <c r="F98" s="700">
        <v>0</v>
      </c>
      <c r="G98" s="701">
        <f t="shared" ref="G98:G120" si="16">E98+F98</f>
        <v>334150.44</v>
      </c>
      <c r="H98" s="698" t="s">
        <v>10</v>
      </c>
      <c r="I98" s="699" t="s">
        <v>1416</v>
      </c>
      <c r="J98" s="699" t="s">
        <v>1412</v>
      </c>
      <c r="K98" s="699" t="s">
        <v>170</v>
      </c>
      <c r="L98" s="699" t="s">
        <v>10</v>
      </c>
      <c r="M98" s="702">
        <v>114</v>
      </c>
      <c r="N98" s="702">
        <v>0.93899999999999995</v>
      </c>
      <c r="O98" s="702">
        <v>0.99199999999999999</v>
      </c>
      <c r="P98" s="702">
        <v>0.98899999999999999</v>
      </c>
      <c r="Q98" s="702">
        <v>0.97699999999999998</v>
      </c>
      <c r="R98" s="702">
        <v>1049405</v>
      </c>
      <c r="S98" s="702">
        <v>959100</v>
      </c>
      <c r="T98" s="7">
        <f t="shared" si="11"/>
        <v>312197.98749999999</v>
      </c>
      <c r="U98" s="702">
        <v>639742</v>
      </c>
      <c r="V98" s="702">
        <v>319358</v>
      </c>
      <c r="W98" s="702">
        <v>4100</v>
      </c>
      <c r="X98" s="702">
        <v>0</v>
      </c>
      <c r="Y98" s="702">
        <v>0</v>
      </c>
      <c r="Z98" s="702">
        <v>0</v>
      </c>
      <c r="AA98" s="702">
        <v>1271297.9879999999</v>
      </c>
      <c r="AB98" s="702">
        <v>312197.98749999999</v>
      </c>
      <c r="AC98" s="702">
        <v>959100</v>
      </c>
      <c r="AD98" s="702">
        <v>0</v>
      </c>
      <c r="AE98" s="702">
        <v>0</v>
      </c>
      <c r="AF98" s="702">
        <v>959100</v>
      </c>
      <c r="AG98" s="702">
        <v>0</v>
      </c>
      <c r="AH98" s="702">
        <v>1390000</v>
      </c>
      <c r="AI98" s="702">
        <v>1300000</v>
      </c>
      <c r="AJ98" s="698" t="s">
        <v>900</v>
      </c>
      <c r="AK98" s="698" t="s">
        <v>901</v>
      </c>
      <c r="AL98" s="699" t="s">
        <v>1416</v>
      </c>
      <c r="AM98" s="698" t="s">
        <v>10</v>
      </c>
      <c r="AN98" s="699" t="s">
        <v>168</v>
      </c>
      <c r="AO98" s="699">
        <v>312197.98749999999</v>
      </c>
      <c r="AP98" s="703">
        <f t="shared" si="15"/>
        <v>403.28210000000001</v>
      </c>
      <c r="AQ98" s="703">
        <f t="shared" si="12"/>
        <v>427.28210000000001</v>
      </c>
      <c r="AR98" s="697">
        <v>99</v>
      </c>
      <c r="AS98" s="781">
        <v>1300</v>
      </c>
      <c r="AT98" s="697">
        <v>106</v>
      </c>
      <c r="AU98" s="697">
        <v>18</v>
      </c>
      <c r="AV98" s="697">
        <v>0</v>
      </c>
      <c r="AW98" s="697">
        <v>0</v>
      </c>
      <c r="AX98" s="697">
        <v>0</v>
      </c>
      <c r="AY98" s="697">
        <v>0</v>
      </c>
      <c r="AZ98" s="697">
        <v>0</v>
      </c>
      <c r="BA98" s="697">
        <v>19</v>
      </c>
      <c r="BB98" s="697">
        <v>24</v>
      </c>
      <c r="BC98" s="697">
        <v>0</v>
      </c>
      <c r="BD98" s="697">
        <v>0</v>
      </c>
      <c r="BE98" s="697">
        <v>0</v>
      </c>
      <c r="BF98" s="697">
        <v>0</v>
      </c>
      <c r="BG98" s="697">
        <v>0</v>
      </c>
      <c r="BH98" s="697">
        <v>0</v>
      </c>
      <c r="BI98" s="697">
        <v>0</v>
      </c>
      <c r="BJ98" s="697">
        <v>0</v>
      </c>
      <c r="BK98" s="697">
        <v>0</v>
      </c>
      <c r="BL98" s="697">
        <v>0</v>
      </c>
      <c r="BM98" s="697">
        <v>0</v>
      </c>
      <c r="BN98" s="697">
        <v>100633</v>
      </c>
      <c r="BO98" s="697">
        <v>796.49099999999999</v>
      </c>
      <c r="CC98" s="727"/>
      <c r="CD98" s="727"/>
      <c r="CE98" s="727"/>
      <c r="CF98" s="727"/>
      <c r="CG98" s="727"/>
      <c r="CH98" s="727"/>
      <c r="CI98" s="727"/>
      <c r="CJ98" s="727"/>
      <c r="CK98" s="727"/>
      <c r="CL98" s="727"/>
      <c r="CM98" s="727"/>
      <c r="CN98" s="727"/>
      <c r="CO98" s="727"/>
      <c r="CP98" s="727"/>
      <c r="CQ98" s="727"/>
      <c r="CR98" s="727"/>
      <c r="CS98" s="727"/>
      <c r="CT98" s="727"/>
      <c r="CU98" s="727"/>
      <c r="CV98" s="727"/>
      <c r="CW98" s="727"/>
      <c r="CX98" s="727"/>
      <c r="CY98" s="727"/>
      <c r="CZ98" s="727"/>
      <c r="DA98" s="727"/>
      <c r="DB98" s="727"/>
      <c r="DC98" s="727"/>
      <c r="DD98" s="727"/>
      <c r="DE98" s="727"/>
      <c r="DF98" s="727"/>
      <c r="DG98" s="727"/>
      <c r="DH98" s="727"/>
      <c r="DI98" s="727"/>
      <c r="DJ98" s="727"/>
      <c r="DK98" s="727"/>
      <c r="DL98" s="727"/>
      <c r="DM98" s="727"/>
      <c r="DN98" s="727"/>
      <c r="DO98" s="727"/>
      <c r="DP98" s="727"/>
      <c r="DQ98" s="727"/>
      <c r="DR98" s="727"/>
      <c r="DS98" s="727"/>
      <c r="DT98" s="727"/>
      <c r="DU98" s="727"/>
      <c r="DV98" s="727"/>
      <c r="DW98" s="727"/>
      <c r="DX98" s="727"/>
      <c r="DY98" s="727"/>
      <c r="DZ98" s="727"/>
      <c r="EA98" s="727"/>
      <c r="EB98" s="727"/>
      <c r="EC98" s="727"/>
      <c r="ED98" s="727"/>
      <c r="EE98" s="727"/>
      <c r="EF98" s="727"/>
      <c r="EG98" s="727"/>
      <c r="EH98" s="727"/>
      <c r="EI98" s="727"/>
      <c r="EJ98" s="727"/>
      <c r="EK98" s="727"/>
      <c r="EL98" s="727"/>
      <c r="EM98" s="727"/>
      <c r="EN98" s="727"/>
      <c r="EO98" s="727"/>
      <c r="EP98" s="727"/>
      <c r="EQ98" s="727"/>
      <c r="ER98" s="727"/>
      <c r="ES98" s="727"/>
      <c r="ET98" s="727"/>
      <c r="EU98" s="727"/>
      <c r="EV98" s="727"/>
      <c r="EW98" s="727"/>
      <c r="EX98" s="727"/>
      <c r="EY98" s="727"/>
      <c r="EZ98" s="727"/>
      <c r="FA98" s="727"/>
      <c r="FB98" s="727"/>
      <c r="FC98" s="727"/>
      <c r="FD98" s="727"/>
      <c r="FE98" s="727"/>
      <c r="FF98" s="727"/>
      <c r="FG98" s="727"/>
      <c r="FH98" s="727"/>
      <c r="FI98" s="727"/>
      <c r="FJ98" s="727"/>
      <c r="FK98" s="727"/>
      <c r="FL98" s="727"/>
      <c r="FM98" s="727"/>
      <c r="FN98" s="727"/>
      <c r="FO98" s="727"/>
      <c r="FP98" s="727"/>
      <c r="FQ98" s="727"/>
      <c r="FR98" s="727"/>
      <c r="FS98" s="727"/>
      <c r="FT98" s="727"/>
      <c r="FU98" s="727"/>
      <c r="FV98" s="727"/>
      <c r="FW98" s="727"/>
      <c r="FX98" s="727"/>
      <c r="FY98" s="727"/>
      <c r="FZ98" s="727"/>
      <c r="GA98" s="727"/>
      <c r="GB98" s="727"/>
      <c r="GC98" s="727"/>
      <c r="GD98" s="727"/>
      <c r="GE98" s="727"/>
      <c r="GF98" s="727"/>
      <c r="GG98" s="727"/>
      <c r="GH98" s="727"/>
      <c r="GI98" s="727"/>
      <c r="GJ98" s="727"/>
      <c r="GK98" s="727"/>
      <c r="GL98" s="727"/>
      <c r="GM98" s="727"/>
      <c r="GN98" s="727"/>
      <c r="GO98" s="727"/>
      <c r="GP98" s="727"/>
      <c r="GQ98" s="727"/>
      <c r="GR98" s="727"/>
      <c r="GS98" s="727"/>
      <c r="GT98" s="727"/>
      <c r="GU98" s="727"/>
    </row>
    <row r="99" spans="1:240" ht="15" customHeight="1" x14ac:dyDescent="0.2">
      <c r="A99" s="697">
        <v>9060</v>
      </c>
      <c r="B99" s="697" t="s">
        <v>1412</v>
      </c>
      <c r="C99" s="698" t="s">
        <v>171</v>
      </c>
      <c r="D99" s="699" t="s">
        <v>171</v>
      </c>
      <c r="E99" s="700">
        <f t="shared" si="13"/>
        <v>415748.50719999999</v>
      </c>
      <c r="F99" s="700">
        <v>0</v>
      </c>
      <c r="G99" s="701">
        <f t="shared" si="16"/>
        <v>415748.50719999999</v>
      </c>
      <c r="H99" s="698" t="s">
        <v>10</v>
      </c>
      <c r="I99" s="699" t="s">
        <v>1416</v>
      </c>
      <c r="J99" s="699" t="s">
        <v>1412</v>
      </c>
      <c r="K99" s="699" t="s">
        <v>1565</v>
      </c>
      <c r="L99" s="699" t="s">
        <v>10</v>
      </c>
      <c r="M99" s="702">
        <v>108</v>
      </c>
      <c r="N99" s="702">
        <v>0.90900000000000003</v>
      </c>
      <c r="O99" s="702">
        <v>0.85599999999999998</v>
      </c>
      <c r="P99" s="702">
        <v>0.873</v>
      </c>
      <c r="Q99" s="702">
        <v>0.80900000000000005</v>
      </c>
      <c r="R99" s="702">
        <v>1342722</v>
      </c>
      <c r="S99" s="702">
        <v>1193308</v>
      </c>
      <c r="T99" s="7">
        <f t="shared" si="11"/>
        <v>399459.79499999998</v>
      </c>
      <c r="U99" s="702">
        <v>889002</v>
      </c>
      <c r="V99" s="702">
        <v>304306</v>
      </c>
      <c r="W99" s="702">
        <v>6417</v>
      </c>
      <c r="X99" s="702">
        <v>0</v>
      </c>
      <c r="Y99" s="702">
        <v>0</v>
      </c>
      <c r="Z99" s="702">
        <v>0</v>
      </c>
      <c r="AA99" s="702">
        <v>1592767.7949999999</v>
      </c>
      <c r="AB99" s="702">
        <v>399459.79499999998</v>
      </c>
      <c r="AC99" s="702">
        <v>1193308</v>
      </c>
      <c r="AD99" s="702">
        <v>0</v>
      </c>
      <c r="AE99" s="702">
        <v>0</v>
      </c>
      <c r="AF99" s="702">
        <v>1193308</v>
      </c>
      <c r="AG99" s="702">
        <v>0</v>
      </c>
      <c r="AH99" s="702">
        <v>170000</v>
      </c>
      <c r="AI99" s="702">
        <v>165000</v>
      </c>
      <c r="AJ99" s="698">
        <v>4</v>
      </c>
      <c r="AK99" s="698" t="s">
        <v>913</v>
      </c>
      <c r="AL99" s="699" t="s">
        <v>1416</v>
      </c>
      <c r="AM99" s="698" t="s">
        <v>10</v>
      </c>
      <c r="AN99" s="699" t="s">
        <v>171</v>
      </c>
      <c r="AO99" s="699">
        <v>399459.79499999998</v>
      </c>
      <c r="AP99" s="703">
        <f t="shared" si="15"/>
        <v>262.29860000000002</v>
      </c>
      <c r="AQ99" s="703">
        <f t="shared" si="12"/>
        <v>275.29860000000002</v>
      </c>
      <c r="AR99" s="737">
        <v>6</v>
      </c>
      <c r="AS99" s="723">
        <v>165</v>
      </c>
      <c r="AT99" s="738">
        <v>54</v>
      </c>
      <c r="AU99" s="697">
        <v>98</v>
      </c>
      <c r="AV99" s="697">
        <v>0</v>
      </c>
      <c r="AW99" s="697">
        <v>0</v>
      </c>
      <c r="AX99" s="697">
        <v>19</v>
      </c>
      <c r="AY99" s="697">
        <v>1</v>
      </c>
      <c r="AZ99" s="697">
        <v>0</v>
      </c>
      <c r="BA99" s="697">
        <v>0</v>
      </c>
      <c r="BB99" s="697">
        <v>9</v>
      </c>
      <c r="BC99" s="697">
        <v>4</v>
      </c>
      <c r="BD99" s="697">
        <v>0</v>
      </c>
      <c r="BE99" s="697">
        <v>0</v>
      </c>
      <c r="BF99" s="697">
        <v>0</v>
      </c>
      <c r="BG99" s="697">
        <v>0</v>
      </c>
      <c r="BH99" s="697">
        <v>0</v>
      </c>
      <c r="BI99" s="697">
        <v>0</v>
      </c>
      <c r="BJ99" s="697">
        <v>0</v>
      </c>
      <c r="BK99" s="697">
        <v>0</v>
      </c>
      <c r="BL99" s="697">
        <v>0</v>
      </c>
      <c r="BM99" s="697">
        <v>0</v>
      </c>
      <c r="BN99" s="697">
        <v>0</v>
      </c>
      <c r="BO99" s="697">
        <v>842.98599999999999</v>
      </c>
      <c r="CC99" s="727"/>
      <c r="CD99" s="727"/>
      <c r="CE99" s="727"/>
      <c r="CF99" s="727"/>
      <c r="CG99" s="727"/>
      <c r="CH99" s="727"/>
      <c r="CI99" s="727"/>
      <c r="CJ99" s="727"/>
      <c r="CK99" s="727"/>
      <c r="CL99" s="727"/>
      <c r="CM99" s="727"/>
      <c r="CN99" s="727"/>
      <c r="CO99" s="727"/>
      <c r="CP99" s="727"/>
      <c r="CQ99" s="727"/>
      <c r="CR99" s="727"/>
      <c r="CS99" s="727"/>
      <c r="CT99" s="727"/>
      <c r="CU99" s="727"/>
      <c r="CV99" s="727"/>
      <c r="CW99" s="727"/>
      <c r="CX99" s="727"/>
      <c r="CY99" s="727"/>
      <c r="CZ99" s="727"/>
      <c r="DA99" s="727"/>
      <c r="DB99" s="727"/>
      <c r="DC99" s="727"/>
      <c r="DD99" s="727"/>
      <c r="DE99" s="727"/>
      <c r="DF99" s="727"/>
      <c r="DG99" s="727"/>
      <c r="DH99" s="727"/>
      <c r="DI99" s="727"/>
      <c r="DJ99" s="727"/>
      <c r="DK99" s="727"/>
      <c r="DL99" s="727"/>
      <c r="DM99" s="727"/>
      <c r="DN99" s="727"/>
      <c r="DO99" s="727"/>
      <c r="DP99" s="727"/>
      <c r="DQ99" s="727"/>
      <c r="DR99" s="727"/>
      <c r="DS99" s="727"/>
      <c r="DT99" s="727"/>
      <c r="DU99" s="727"/>
      <c r="DV99" s="727"/>
      <c r="DW99" s="727"/>
      <c r="DX99" s="727"/>
      <c r="DY99" s="727"/>
      <c r="DZ99" s="727"/>
      <c r="EA99" s="727"/>
      <c r="EB99" s="727"/>
      <c r="EC99" s="727"/>
      <c r="ED99" s="727"/>
      <c r="EE99" s="727"/>
      <c r="EF99" s="727"/>
      <c r="EG99" s="727"/>
      <c r="EH99" s="727"/>
      <c r="EI99" s="727"/>
      <c r="EJ99" s="727"/>
      <c r="EK99" s="727"/>
      <c r="EL99" s="727"/>
      <c r="EM99" s="727"/>
      <c r="EN99" s="727"/>
      <c r="EO99" s="727"/>
      <c r="EP99" s="727"/>
      <c r="EQ99" s="727"/>
      <c r="ER99" s="727"/>
      <c r="ES99" s="727"/>
      <c r="ET99" s="727"/>
      <c r="EU99" s="727"/>
      <c r="EV99" s="727"/>
      <c r="EW99" s="727"/>
      <c r="EX99" s="727"/>
      <c r="EY99" s="727"/>
      <c r="EZ99" s="727"/>
      <c r="FA99" s="727"/>
      <c r="FB99" s="727"/>
      <c r="FC99" s="727"/>
      <c r="FD99" s="727"/>
      <c r="FE99" s="727"/>
      <c r="FF99" s="727"/>
      <c r="FG99" s="727"/>
      <c r="FH99" s="727"/>
      <c r="FI99" s="727"/>
      <c r="FJ99" s="727"/>
      <c r="FK99" s="727"/>
      <c r="FL99" s="727"/>
      <c r="FM99" s="727"/>
      <c r="FN99" s="727"/>
      <c r="FO99" s="727"/>
      <c r="FP99" s="727"/>
      <c r="FQ99" s="727"/>
      <c r="FR99" s="727"/>
      <c r="FS99" s="727"/>
      <c r="FT99" s="727"/>
      <c r="FU99" s="727"/>
      <c r="FV99" s="727"/>
      <c r="FW99" s="727"/>
      <c r="FX99" s="727"/>
      <c r="FY99" s="727"/>
      <c r="FZ99" s="727"/>
      <c r="GA99" s="727"/>
      <c r="GB99" s="727"/>
      <c r="GC99" s="727"/>
      <c r="GD99" s="727"/>
      <c r="GE99" s="727"/>
      <c r="GF99" s="727"/>
      <c r="GG99" s="727"/>
      <c r="GH99" s="727"/>
      <c r="GI99" s="727"/>
      <c r="GJ99" s="727"/>
      <c r="GK99" s="727"/>
      <c r="GL99" s="727"/>
      <c r="GM99" s="727"/>
      <c r="GN99" s="727"/>
      <c r="GO99" s="727"/>
      <c r="GP99" s="727"/>
      <c r="GQ99" s="727"/>
      <c r="GR99" s="727"/>
      <c r="GS99" s="727"/>
      <c r="GT99" s="727"/>
      <c r="GU99" s="727"/>
    </row>
    <row r="100" spans="1:240" ht="15" customHeight="1" x14ac:dyDescent="0.2">
      <c r="A100" s="697">
        <v>4665</v>
      </c>
      <c r="B100" s="697" t="s">
        <v>1412</v>
      </c>
      <c r="C100" s="698" t="s">
        <v>172</v>
      </c>
      <c r="D100" s="699" t="s">
        <v>172</v>
      </c>
      <c r="E100" s="700">
        <f t="shared" si="13"/>
        <v>260761.0252</v>
      </c>
      <c r="F100" s="700">
        <v>0</v>
      </c>
      <c r="G100" s="701">
        <f t="shared" si="16"/>
        <v>260761.0252</v>
      </c>
      <c r="H100" s="698" t="s">
        <v>10</v>
      </c>
      <c r="I100" s="699" t="s">
        <v>1416</v>
      </c>
      <c r="J100" s="699" t="s">
        <v>1412</v>
      </c>
      <c r="K100" s="699" t="s">
        <v>1556</v>
      </c>
      <c r="L100" s="699" t="s">
        <v>10</v>
      </c>
      <c r="M100" s="702">
        <v>170</v>
      </c>
      <c r="N100" s="702">
        <v>0.88900000000000001</v>
      </c>
      <c r="O100" s="702">
        <v>0.89300000000000002</v>
      </c>
      <c r="P100" s="702">
        <v>0.86199999999999999</v>
      </c>
      <c r="Q100" s="702">
        <v>0.95199999999999996</v>
      </c>
      <c r="R100" s="702">
        <v>879099</v>
      </c>
      <c r="S100" s="702">
        <v>748453</v>
      </c>
      <c r="T100" s="7">
        <f t="shared" si="11"/>
        <v>261531.95249999998</v>
      </c>
      <c r="U100" s="702">
        <v>528914</v>
      </c>
      <c r="V100" s="702">
        <v>219539</v>
      </c>
      <c r="W100" s="702">
        <v>4480</v>
      </c>
      <c r="X100" s="702">
        <v>0</v>
      </c>
      <c r="Y100" s="702">
        <v>0</v>
      </c>
      <c r="Z100" s="702">
        <v>0</v>
      </c>
      <c r="AA100" s="702">
        <v>1009984.953</v>
      </c>
      <c r="AB100" s="702">
        <v>261531.95250000001</v>
      </c>
      <c r="AC100" s="702">
        <v>748453</v>
      </c>
      <c r="AD100" s="702">
        <v>0</v>
      </c>
      <c r="AE100" s="702">
        <v>0</v>
      </c>
      <c r="AF100" s="702">
        <v>748453</v>
      </c>
      <c r="AG100" s="702">
        <v>0</v>
      </c>
      <c r="AH100" s="702">
        <v>659000</v>
      </c>
      <c r="AI100" s="702">
        <v>746000</v>
      </c>
      <c r="AJ100" s="698" t="s">
        <v>914</v>
      </c>
      <c r="AK100" s="698" t="s">
        <v>1555</v>
      </c>
      <c r="AL100" s="699" t="s">
        <v>1416</v>
      </c>
      <c r="AM100" s="698" t="s">
        <v>10</v>
      </c>
      <c r="AN100" s="699" t="s">
        <v>172</v>
      </c>
      <c r="AO100" s="699">
        <v>261531.95250000001</v>
      </c>
      <c r="AP100" s="703">
        <f t="shared" si="15"/>
        <v>210.92750000000001</v>
      </c>
      <c r="AQ100" s="703">
        <f t="shared" si="12"/>
        <v>304.92750000000001</v>
      </c>
      <c r="AR100" s="697">
        <v>0</v>
      </c>
      <c r="AS100" s="739">
        <v>746</v>
      </c>
      <c r="AT100" s="697">
        <v>193</v>
      </c>
      <c r="AU100" s="697">
        <v>1</v>
      </c>
      <c r="AV100" s="697">
        <v>0</v>
      </c>
      <c r="AW100" s="697">
        <v>0</v>
      </c>
      <c r="AX100" s="697">
        <v>0</v>
      </c>
      <c r="AY100" s="697">
        <v>0</v>
      </c>
      <c r="AZ100" s="697">
        <v>0</v>
      </c>
      <c r="BA100" s="697">
        <v>0</v>
      </c>
      <c r="BB100" s="697">
        <v>94</v>
      </c>
      <c r="BC100" s="697">
        <v>0</v>
      </c>
      <c r="BD100" s="697">
        <v>0</v>
      </c>
      <c r="BE100" s="697">
        <v>0</v>
      </c>
      <c r="BF100" s="697">
        <v>0</v>
      </c>
      <c r="BG100" s="697">
        <v>0</v>
      </c>
      <c r="BH100" s="697">
        <v>0</v>
      </c>
      <c r="BI100" s="697">
        <v>0</v>
      </c>
      <c r="BJ100" s="697">
        <v>0</v>
      </c>
      <c r="BK100" s="697">
        <v>0</v>
      </c>
      <c r="BL100" s="697">
        <v>0</v>
      </c>
      <c r="BM100" s="697">
        <v>0</v>
      </c>
      <c r="BN100" s="697">
        <v>0</v>
      </c>
      <c r="BO100" s="697">
        <v>169.27500000000001</v>
      </c>
      <c r="CC100" s="727"/>
      <c r="CD100" s="727"/>
      <c r="CE100" s="727"/>
      <c r="CF100" s="727"/>
      <c r="CG100" s="727"/>
      <c r="CH100" s="727"/>
      <c r="CI100" s="727"/>
      <c r="CJ100" s="727"/>
      <c r="CK100" s="727"/>
      <c r="CL100" s="727"/>
      <c r="CM100" s="727"/>
      <c r="CN100" s="727"/>
      <c r="CO100" s="727"/>
      <c r="CP100" s="727"/>
      <c r="CQ100" s="727"/>
      <c r="CR100" s="727"/>
      <c r="CS100" s="727"/>
      <c r="CT100" s="727"/>
      <c r="CU100" s="727"/>
      <c r="CV100" s="727"/>
      <c r="CW100" s="727"/>
      <c r="CX100" s="727"/>
      <c r="CY100" s="727"/>
      <c r="CZ100" s="727"/>
      <c r="DA100" s="727"/>
      <c r="DB100" s="727"/>
      <c r="DC100" s="727"/>
      <c r="DD100" s="727"/>
      <c r="DE100" s="727"/>
      <c r="DF100" s="727"/>
      <c r="DG100" s="727"/>
      <c r="DH100" s="727"/>
      <c r="DI100" s="727"/>
      <c r="DJ100" s="727"/>
      <c r="DK100" s="727"/>
      <c r="DL100" s="727"/>
      <c r="DM100" s="727"/>
      <c r="DN100" s="727"/>
      <c r="DO100" s="727"/>
      <c r="DP100" s="727"/>
      <c r="DQ100" s="727"/>
      <c r="DR100" s="727"/>
      <c r="DS100" s="727"/>
      <c r="DT100" s="727"/>
      <c r="DU100" s="727"/>
      <c r="DV100" s="727"/>
      <c r="DW100" s="727"/>
      <c r="DX100" s="727"/>
      <c r="DY100" s="727"/>
      <c r="DZ100" s="727"/>
      <c r="EA100" s="727"/>
      <c r="EB100" s="727"/>
      <c r="EC100" s="727"/>
      <c r="ED100" s="727"/>
      <c r="EE100" s="727"/>
      <c r="EF100" s="727"/>
      <c r="EG100" s="727"/>
      <c r="EH100" s="727"/>
      <c r="EI100" s="727"/>
      <c r="EJ100" s="727"/>
      <c r="EK100" s="727"/>
      <c r="EL100" s="727"/>
      <c r="EM100" s="727"/>
      <c r="EN100" s="727"/>
      <c r="EO100" s="727"/>
      <c r="EP100" s="727"/>
      <c r="EQ100" s="727"/>
      <c r="ER100" s="727"/>
      <c r="ES100" s="727"/>
      <c r="ET100" s="727"/>
      <c r="EU100" s="727"/>
      <c r="EV100" s="727"/>
      <c r="EW100" s="727"/>
      <c r="EX100" s="727"/>
      <c r="EY100" s="727"/>
      <c r="EZ100" s="727"/>
      <c r="FA100" s="727"/>
      <c r="FB100" s="727"/>
      <c r="FC100" s="727"/>
      <c r="FD100" s="727"/>
      <c r="FE100" s="727"/>
      <c r="FF100" s="727"/>
      <c r="FG100" s="727"/>
      <c r="FH100" s="727"/>
      <c r="FI100" s="727"/>
      <c r="FJ100" s="727"/>
      <c r="FK100" s="727"/>
      <c r="FL100" s="727"/>
      <c r="FM100" s="727"/>
      <c r="FN100" s="727"/>
      <c r="FO100" s="727"/>
      <c r="FP100" s="727"/>
      <c r="FQ100" s="727"/>
      <c r="FR100" s="727"/>
      <c r="FS100" s="727"/>
      <c r="FT100" s="727"/>
      <c r="FU100" s="727"/>
      <c r="FV100" s="727"/>
      <c r="FW100" s="727"/>
      <c r="FX100" s="727"/>
      <c r="FY100" s="727"/>
      <c r="FZ100" s="727"/>
      <c r="GA100" s="727"/>
      <c r="GB100" s="727"/>
      <c r="GC100" s="727"/>
      <c r="GD100" s="727"/>
      <c r="GE100" s="727"/>
      <c r="GF100" s="727"/>
      <c r="GG100" s="727"/>
      <c r="GH100" s="727"/>
      <c r="GI100" s="727"/>
      <c r="GJ100" s="727"/>
      <c r="GK100" s="727"/>
      <c r="GL100" s="727"/>
      <c r="GM100" s="727"/>
      <c r="GN100" s="727"/>
      <c r="GO100" s="727"/>
      <c r="GP100" s="727"/>
      <c r="GQ100" s="727"/>
      <c r="GR100" s="727"/>
      <c r="GS100" s="727"/>
      <c r="GT100" s="727"/>
      <c r="GU100" s="727"/>
    </row>
    <row r="101" spans="1:240" s="741" customFormat="1" ht="15" customHeight="1" x14ac:dyDescent="0.2">
      <c r="A101" s="697">
        <v>4512</v>
      </c>
      <c r="B101" s="697"/>
      <c r="C101" s="698" t="s">
        <v>174</v>
      </c>
      <c r="D101" s="699" t="s">
        <v>174</v>
      </c>
      <c r="E101" s="700">
        <f t="shared" si="13"/>
        <v>41785.0622</v>
      </c>
      <c r="F101" s="700">
        <v>0</v>
      </c>
      <c r="G101" s="701">
        <f t="shared" si="16"/>
        <v>41785.0622</v>
      </c>
      <c r="H101" s="698" t="s">
        <v>10</v>
      </c>
      <c r="I101" s="699" t="s">
        <v>1512</v>
      </c>
      <c r="J101" s="699" t="s">
        <v>10</v>
      </c>
      <c r="K101" s="699" t="s">
        <v>1545</v>
      </c>
      <c r="L101" s="699" t="s">
        <v>10</v>
      </c>
      <c r="M101" s="702">
        <v>15</v>
      </c>
      <c r="N101" s="702">
        <v>0.98699999999999999</v>
      </c>
      <c r="O101" s="702">
        <v>0.98399999999999999</v>
      </c>
      <c r="P101" s="702">
        <v>1</v>
      </c>
      <c r="Q101" s="702">
        <v>1</v>
      </c>
      <c r="R101" s="702">
        <v>0</v>
      </c>
      <c r="S101" s="702">
        <v>215498</v>
      </c>
      <c r="T101" s="7">
        <f t="shared" si="11"/>
        <v>41785.0622</v>
      </c>
      <c r="U101" s="702">
        <v>170789</v>
      </c>
      <c r="V101" s="702">
        <v>44709</v>
      </c>
      <c r="W101" s="702">
        <v>1075</v>
      </c>
      <c r="X101" s="702">
        <v>0</v>
      </c>
      <c r="Y101" s="702">
        <v>0</v>
      </c>
      <c r="Z101" s="702">
        <v>0</v>
      </c>
      <c r="AA101" s="702">
        <v>257283.06219999999</v>
      </c>
      <c r="AB101" s="702">
        <v>41785.0622</v>
      </c>
      <c r="AC101" s="702">
        <v>215498</v>
      </c>
      <c r="AD101" s="702">
        <v>0</v>
      </c>
      <c r="AE101" s="702">
        <v>0</v>
      </c>
      <c r="AF101" s="702">
        <v>0</v>
      </c>
      <c r="AG101" s="702">
        <v>215498</v>
      </c>
      <c r="AH101" s="702">
        <v>0</v>
      </c>
      <c r="AI101" s="702">
        <v>0</v>
      </c>
      <c r="AJ101" s="698">
        <v>4</v>
      </c>
      <c r="AK101" s="698" t="s">
        <v>899</v>
      </c>
      <c r="AL101" s="699" t="s">
        <v>1512</v>
      </c>
      <c r="AM101" s="698" t="s">
        <v>10</v>
      </c>
      <c r="AN101" s="699" t="s">
        <v>174</v>
      </c>
      <c r="AO101" s="699">
        <v>41785.0622</v>
      </c>
      <c r="AP101" s="703">
        <f t="shared" si="15"/>
        <v>12</v>
      </c>
      <c r="AQ101" s="703">
        <f t="shared" si="12"/>
        <v>12</v>
      </c>
      <c r="AR101" s="723">
        <v>0</v>
      </c>
      <c r="AS101" s="723">
        <v>0</v>
      </c>
      <c r="AT101" s="723">
        <v>12</v>
      </c>
      <c r="AU101" s="723">
        <v>0</v>
      </c>
      <c r="AV101" s="697">
        <v>0</v>
      </c>
      <c r="AW101" s="697">
        <v>0</v>
      </c>
      <c r="AX101" s="697">
        <v>0</v>
      </c>
      <c r="AY101" s="697">
        <v>0</v>
      </c>
      <c r="AZ101" s="723">
        <v>0</v>
      </c>
      <c r="BA101" s="723">
        <v>3</v>
      </c>
      <c r="BB101" s="723">
        <v>0</v>
      </c>
      <c r="BC101" s="723">
        <v>0</v>
      </c>
      <c r="BD101" s="697">
        <v>0</v>
      </c>
      <c r="BE101" s="697">
        <v>0</v>
      </c>
      <c r="BF101" s="697">
        <v>0</v>
      </c>
      <c r="BG101" s="697">
        <v>0</v>
      </c>
      <c r="BH101" s="697">
        <v>0</v>
      </c>
      <c r="BI101" s="697">
        <v>0</v>
      </c>
      <c r="BJ101" s="697">
        <v>0</v>
      </c>
      <c r="BK101" s="697">
        <v>0</v>
      </c>
      <c r="BL101" s="723">
        <v>0</v>
      </c>
      <c r="BM101" s="723">
        <v>0</v>
      </c>
      <c r="BN101" s="723">
        <v>0</v>
      </c>
      <c r="BO101" s="723">
        <v>0</v>
      </c>
      <c r="BP101" s="740"/>
      <c r="BQ101" s="727"/>
      <c r="BR101" s="727"/>
      <c r="BS101" s="727"/>
      <c r="BT101" s="727"/>
      <c r="BU101" s="727"/>
      <c r="BV101" s="727"/>
      <c r="BW101" s="727"/>
      <c r="BX101" s="727"/>
      <c r="BY101" s="727"/>
      <c r="BZ101" s="727"/>
      <c r="CA101" s="727"/>
      <c r="CB101" s="727"/>
      <c r="CC101" s="727"/>
      <c r="CD101" s="727"/>
      <c r="CE101" s="727"/>
      <c r="CF101" s="727"/>
      <c r="CG101" s="727"/>
      <c r="CH101" s="727"/>
      <c r="CI101" s="727"/>
      <c r="CJ101" s="727"/>
      <c r="CK101" s="727"/>
      <c r="CL101" s="727"/>
      <c r="CM101" s="727"/>
      <c r="CN101" s="727"/>
      <c r="CO101" s="727"/>
      <c r="CP101" s="727"/>
      <c r="CQ101" s="727"/>
      <c r="CR101" s="727"/>
      <c r="CS101" s="727"/>
      <c r="CT101" s="727"/>
      <c r="CU101" s="727"/>
      <c r="CV101" s="727"/>
      <c r="CW101" s="727"/>
      <c r="CX101" s="727"/>
      <c r="CY101" s="727"/>
      <c r="CZ101" s="727"/>
      <c r="DA101" s="727"/>
      <c r="DB101" s="727"/>
      <c r="DC101" s="727"/>
      <c r="DD101" s="727"/>
      <c r="DE101" s="727"/>
      <c r="DF101" s="727"/>
      <c r="DG101" s="727"/>
      <c r="DH101" s="727"/>
      <c r="DI101" s="727"/>
      <c r="DJ101" s="727"/>
      <c r="DK101" s="727"/>
      <c r="DL101" s="727"/>
      <c r="DM101" s="727"/>
      <c r="DN101" s="727"/>
      <c r="DO101" s="727"/>
      <c r="DP101" s="727"/>
      <c r="DQ101" s="727"/>
      <c r="DR101" s="727"/>
      <c r="DS101" s="727"/>
      <c r="DT101" s="727"/>
      <c r="DU101" s="727"/>
      <c r="DV101" s="727"/>
      <c r="DW101" s="727"/>
      <c r="DX101" s="727"/>
      <c r="DY101" s="727"/>
      <c r="DZ101" s="727"/>
      <c r="EA101" s="727"/>
      <c r="EB101" s="727"/>
      <c r="EC101" s="727"/>
      <c r="ED101" s="727"/>
      <c r="EE101" s="727"/>
      <c r="EF101" s="727"/>
      <c r="EG101" s="727"/>
      <c r="EH101" s="727"/>
      <c r="EI101" s="727"/>
      <c r="EJ101" s="727"/>
      <c r="EK101" s="727"/>
      <c r="EL101" s="727"/>
      <c r="EM101" s="727"/>
      <c r="EN101" s="727"/>
      <c r="EO101" s="727"/>
      <c r="EP101" s="727"/>
      <c r="EQ101" s="727"/>
      <c r="ER101" s="727"/>
      <c r="ES101" s="727"/>
      <c r="ET101" s="727"/>
      <c r="EU101" s="727"/>
      <c r="EV101" s="727"/>
      <c r="EW101" s="727"/>
      <c r="EX101" s="727"/>
      <c r="EY101" s="727"/>
      <c r="EZ101" s="727"/>
      <c r="FA101" s="727"/>
      <c r="FB101" s="727"/>
      <c r="FC101" s="727"/>
      <c r="FD101" s="727"/>
      <c r="FE101" s="727"/>
      <c r="FF101" s="727"/>
      <c r="FG101" s="727"/>
      <c r="FH101" s="727"/>
      <c r="FI101" s="727"/>
      <c r="FJ101" s="727"/>
      <c r="FK101" s="727"/>
      <c r="FL101" s="727"/>
      <c r="FM101" s="727"/>
      <c r="FN101" s="727"/>
      <c r="FO101" s="727"/>
      <c r="FP101" s="727"/>
      <c r="FQ101" s="727"/>
      <c r="FR101" s="727"/>
      <c r="FS101" s="727"/>
      <c r="FT101" s="727"/>
      <c r="FU101" s="727"/>
      <c r="FV101" s="727"/>
      <c r="FW101" s="727"/>
      <c r="FX101" s="727"/>
      <c r="FY101" s="727"/>
      <c r="FZ101" s="727"/>
      <c r="GA101" s="727"/>
      <c r="GB101" s="727"/>
      <c r="GC101" s="727"/>
      <c r="GD101" s="727"/>
      <c r="GE101" s="727"/>
      <c r="GF101" s="727"/>
      <c r="GG101" s="727"/>
      <c r="GH101" s="727"/>
      <c r="GI101" s="727"/>
      <c r="GJ101" s="727"/>
      <c r="GK101" s="727"/>
      <c r="GL101" s="727"/>
      <c r="GM101" s="727"/>
      <c r="GN101" s="727"/>
      <c r="GO101" s="727"/>
      <c r="GP101" s="727"/>
      <c r="GQ101" s="727"/>
      <c r="GR101" s="727"/>
      <c r="GS101" s="727"/>
      <c r="GT101" s="727"/>
      <c r="GU101" s="727"/>
    </row>
    <row r="102" spans="1:240" ht="15" customHeight="1" x14ac:dyDescent="0.2">
      <c r="A102" s="735">
        <v>4774</v>
      </c>
      <c r="B102" s="735"/>
      <c r="C102" s="742" t="s">
        <v>928</v>
      </c>
      <c r="D102" s="699" t="s">
        <v>928</v>
      </c>
      <c r="E102" s="700" t="e">
        <f t="shared" si="13"/>
        <v>#VALUE!</v>
      </c>
      <c r="F102" s="700" t="s">
        <v>10</v>
      </c>
      <c r="G102" s="701" t="e">
        <f t="shared" si="16"/>
        <v>#VALUE!</v>
      </c>
      <c r="H102" s="698" t="s">
        <v>1417</v>
      </c>
      <c r="I102" s="699" t="s">
        <v>1416</v>
      </c>
      <c r="J102" s="699" t="s">
        <v>10</v>
      </c>
      <c r="K102" s="699" t="s">
        <v>10</v>
      </c>
      <c r="L102" s="699" t="s">
        <v>10</v>
      </c>
      <c r="M102" s="702" t="s">
        <v>10</v>
      </c>
      <c r="N102" s="702" t="s">
        <v>10</v>
      </c>
      <c r="O102" s="702" t="s">
        <v>10</v>
      </c>
      <c r="P102" s="702" t="s">
        <v>10</v>
      </c>
      <c r="Q102" s="702" t="s">
        <v>10</v>
      </c>
      <c r="R102" s="702">
        <v>645028</v>
      </c>
      <c r="S102" s="702" t="s">
        <v>10</v>
      </c>
      <c r="T102" s="7">
        <f t="shared" si="11"/>
        <v>191895.83</v>
      </c>
      <c r="U102" s="702" t="s">
        <v>10</v>
      </c>
      <c r="V102" s="702" t="s">
        <v>10</v>
      </c>
      <c r="W102" s="702" t="s">
        <v>10</v>
      </c>
      <c r="X102" s="702" t="s">
        <v>10</v>
      </c>
      <c r="Y102" s="702" t="s">
        <v>10</v>
      </c>
      <c r="Z102" s="702" t="s">
        <v>10</v>
      </c>
      <c r="AA102" s="702" t="s">
        <v>10</v>
      </c>
      <c r="AB102" s="702" t="s">
        <v>10</v>
      </c>
      <c r="AC102" s="702" t="s">
        <v>10</v>
      </c>
      <c r="AD102" s="702" t="s">
        <v>10</v>
      </c>
      <c r="AE102" s="702" t="s">
        <v>10</v>
      </c>
      <c r="AF102" s="702" t="s">
        <v>10</v>
      </c>
      <c r="AG102" s="702" t="s">
        <v>10</v>
      </c>
      <c r="AH102" s="702" t="s">
        <v>10</v>
      </c>
      <c r="AI102" s="702" t="s">
        <v>10</v>
      </c>
      <c r="AJ102" s="698" t="s">
        <v>900</v>
      </c>
      <c r="AK102" s="698" t="s">
        <v>907</v>
      </c>
      <c r="AL102" s="699" t="s">
        <v>1578</v>
      </c>
      <c r="AM102" s="698" t="s">
        <v>1417</v>
      </c>
      <c r="AN102" s="743" t="s">
        <v>928</v>
      </c>
      <c r="AO102" s="744">
        <v>0</v>
      </c>
      <c r="AP102" s="745">
        <v>0</v>
      </c>
      <c r="AQ102" s="703">
        <f t="shared" si="12"/>
        <v>397</v>
      </c>
      <c r="AR102" s="720">
        <v>18</v>
      </c>
      <c r="AS102" s="720">
        <v>0</v>
      </c>
      <c r="AT102" s="720">
        <v>177</v>
      </c>
      <c r="AU102" s="720">
        <v>45</v>
      </c>
      <c r="AV102" s="899">
        <v>0</v>
      </c>
      <c r="AW102" s="899">
        <v>0</v>
      </c>
      <c r="AX102" s="899">
        <v>0</v>
      </c>
      <c r="AY102" s="899">
        <v>0</v>
      </c>
      <c r="AZ102" s="747">
        <v>0</v>
      </c>
      <c r="BA102" s="747">
        <v>63</v>
      </c>
      <c r="BB102" s="747">
        <v>57</v>
      </c>
      <c r="BC102" s="747">
        <v>0</v>
      </c>
      <c r="BD102" s="747">
        <v>0</v>
      </c>
      <c r="BE102" s="747">
        <v>0</v>
      </c>
      <c r="BF102" s="747">
        <v>0</v>
      </c>
      <c r="BG102" s="747">
        <v>0</v>
      </c>
      <c r="BH102" s="747">
        <v>0</v>
      </c>
      <c r="BI102" s="747">
        <v>0</v>
      </c>
      <c r="BJ102" s="747">
        <v>0</v>
      </c>
      <c r="BK102" s="747">
        <v>0</v>
      </c>
      <c r="BL102" s="720">
        <v>0</v>
      </c>
      <c r="BM102" s="720">
        <v>0</v>
      </c>
      <c r="BN102" s="720">
        <v>100000</v>
      </c>
      <c r="BO102" s="720">
        <v>0</v>
      </c>
      <c r="CC102" s="727"/>
      <c r="CD102" s="727"/>
      <c r="CE102" s="727"/>
      <c r="CF102" s="727"/>
      <c r="CG102" s="727"/>
      <c r="CH102" s="727"/>
      <c r="CI102" s="727"/>
      <c r="CJ102" s="727"/>
      <c r="CK102" s="727"/>
      <c r="CL102" s="727"/>
      <c r="CM102" s="727"/>
      <c r="CN102" s="727"/>
      <c r="CO102" s="727"/>
      <c r="CP102" s="727"/>
      <c r="CQ102" s="727"/>
      <c r="CR102" s="727"/>
      <c r="CS102" s="727"/>
      <c r="CT102" s="727"/>
      <c r="CU102" s="727"/>
      <c r="CV102" s="727"/>
      <c r="CW102" s="727"/>
      <c r="CX102" s="727"/>
      <c r="CY102" s="727"/>
      <c r="CZ102" s="727"/>
      <c r="DA102" s="727"/>
      <c r="DB102" s="727"/>
      <c r="DC102" s="727"/>
      <c r="DD102" s="727"/>
      <c r="DE102" s="727"/>
      <c r="DF102" s="727"/>
      <c r="DG102" s="727"/>
      <c r="DH102" s="727"/>
      <c r="DI102" s="727"/>
      <c r="DJ102" s="727"/>
      <c r="DK102" s="727"/>
      <c r="DL102" s="727"/>
      <c r="DM102" s="727"/>
      <c r="DN102" s="727"/>
      <c r="DO102" s="727"/>
      <c r="DP102" s="727"/>
      <c r="DQ102" s="727"/>
      <c r="DR102" s="727"/>
      <c r="DS102" s="727"/>
      <c r="DT102" s="727"/>
      <c r="DU102" s="727"/>
      <c r="DV102" s="727"/>
      <c r="DW102" s="727"/>
      <c r="DX102" s="727"/>
      <c r="DY102" s="727"/>
      <c r="DZ102" s="727"/>
      <c r="EA102" s="727"/>
      <c r="EB102" s="727"/>
      <c r="EC102" s="727"/>
      <c r="ED102" s="727"/>
      <c r="EE102" s="727"/>
      <c r="EF102" s="727"/>
      <c r="EG102" s="727"/>
      <c r="EH102" s="727"/>
      <c r="EI102" s="727"/>
      <c r="EJ102" s="727"/>
      <c r="EK102" s="727"/>
      <c r="EL102" s="727"/>
      <c r="EM102" s="727"/>
      <c r="EN102" s="727"/>
      <c r="EO102" s="727"/>
      <c r="EP102" s="727"/>
      <c r="EQ102" s="727"/>
      <c r="ER102" s="727"/>
      <c r="ES102" s="727"/>
      <c r="ET102" s="727"/>
      <c r="EU102" s="727"/>
      <c r="EV102" s="727"/>
      <c r="EW102" s="727"/>
      <c r="EX102" s="727"/>
      <c r="EY102" s="727"/>
      <c r="EZ102" s="727"/>
      <c r="FA102" s="727"/>
      <c r="FB102" s="727"/>
      <c r="FC102" s="727"/>
      <c r="FD102" s="727"/>
      <c r="FE102" s="727"/>
      <c r="FF102" s="727"/>
      <c r="FG102" s="727"/>
      <c r="FH102" s="727"/>
      <c r="FI102" s="727"/>
      <c r="FJ102" s="727"/>
      <c r="FK102" s="727"/>
      <c r="FL102" s="727"/>
      <c r="FM102" s="727"/>
      <c r="FN102" s="727"/>
      <c r="FO102" s="727"/>
      <c r="FP102" s="727"/>
      <c r="FQ102" s="727"/>
      <c r="FR102" s="727"/>
      <c r="FS102" s="727"/>
      <c r="FT102" s="727"/>
      <c r="FU102" s="727"/>
      <c r="FV102" s="727"/>
      <c r="FW102" s="727"/>
      <c r="FX102" s="727"/>
      <c r="FY102" s="727"/>
      <c r="FZ102" s="727"/>
      <c r="GA102" s="727"/>
      <c r="GB102" s="727"/>
      <c r="GC102" s="727"/>
      <c r="GD102" s="727"/>
      <c r="GE102" s="727"/>
      <c r="GF102" s="727"/>
      <c r="GG102" s="727"/>
      <c r="GH102" s="727"/>
      <c r="GI102" s="727"/>
      <c r="GJ102" s="727"/>
      <c r="GK102" s="727"/>
      <c r="GL102" s="727"/>
      <c r="GM102" s="727"/>
      <c r="GN102" s="727"/>
      <c r="GO102" s="727"/>
      <c r="GP102" s="727"/>
      <c r="GQ102" s="727"/>
      <c r="GR102" s="727"/>
      <c r="GS102" s="727"/>
      <c r="GT102" s="727"/>
      <c r="GU102" s="727"/>
    </row>
    <row r="103" spans="1:240" ht="15" customHeight="1" x14ac:dyDescent="0.2">
      <c r="A103" s="697">
        <v>2952</v>
      </c>
      <c r="B103" s="697"/>
      <c r="C103" s="698" t="s">
        <v>176</v>
      </c>
      <c r="D103" s="699" t="s">
        <v>176</v>
      </c>
      <c r="E103" s="700">
        <f t="shared" si="13"/>
        <v>73876.869500000001</v>
      </c>
      <c r="F103" s="700">
        <v>0</v>
      </c>
      <c r="G103" s="701">
        <f t="shared" si="16"/>
        <v>73876.869500000001</v>
      </c>
      <c r="H103" s="698" t="s">
        <v>10</v>
      </c>
      <c r="I103" s="699" t="s">
        <v>1512</v>
      </c>
      <c r="J103" s="699" t="s">
        <v>1417</v>
      </c>
      <c r="K103" s="699" t="s">
        <v>1545</v>
      </c>
      <c r="L103" s="699" t="s">
        <v>10</v>
      </c>
      <c r="M103" s="702">
        <v>37</v>
      </c>
      <c r="N103" s="702">
        <v>0.89300000000000002</v>
      </c>
      <c r="O103" s="702">
        <v>0.89300000000000002</v>
      </c>
      <c r="P103" s="702">
        <v>0.90900000000000003</v>
      </c>
      <c r="Q103" s="702">
        <v>0.89700000000000002</v>
      </c>
      <c r="R103" s="702">
        <v>0</v>
      </c>
      <c r="S103" s="702">
        <v>381005</v>
      </c>
      <c r="T103" s="7">
        <f t="shared" si="11"/>
        <v>73876.869500000001</v>
      </c>
      <c r="U103" s="702">
        <v>287355</v>
      </c>
      <c r="V103" s="702">
        <v>93650</v>
      </c>
      <c r="W103" s="702">
        <v>2600</v>
      </c>
      <c r="X103" s="702">
        <v>0</v>
      </c>
      <c r="Y103" s="702">
        <v>0</v>
      </c>
      <c r="Z103" s="702">
        <v>0</v>
      </c>
      <c r="AA103" s="702">
        <v>454881.86949999997</v>
      </c>
      <c r="AB103" s="702">
        <v>73876.869500000001</v>
      </c>
      <c r="AC103" s="702">
        <v>381005</v>
      </c>
      <c r="AD103" s="702">
        <v>0</v>
      </c>
      <c r="AE103" s="702">
        <v>0</v>
      </c>
      <c r="AF103" s="702">
        <v>0</v>
      </c>
      <c r="AG103" s="702">
        <v>381005</v>
      </c>
      <c r="AH103" s="702">
        <v>0</v>
      </c>
      <c r="AI103" s="702">
        <v>0</v>
      </c>
      <c r="AJ103" s="698">
        <v>4</v>
      </c>
      <c r="AK103" s="698" t="s">
        <v>899</v>
      </c>
      <c r="AL103" s="699" t="s">
        <v>1512</v>
      </c>
      <c r="AM103" s="698" t="s">
        <v>10</v>
      </c>
      <c r="AN103" s="699" t="s">
        <v>176</v>
      </c>
      <c r="AO103" s="699">
        <v>73876.869500000001</v>
      </c>
      <c r="AP103" s="703">
        <f>AR103+AT103+AU103+AV103+AX103+AY103+AZ103+BD103+BF103+BG103+BH103+BJ103+BK103+(BL103+BM103+BN103)/1000+(0.1*BO103)</f>
        <v>38</v>
      </c>
      <c r="AQ103" s="703">
        <f t="shared" si="12"/>
        <v>39</v>
      </c>
      <c r="AR103" s="697">
        <v>0</v>
      </c>
      <c r="AS103" s="697">
        <v>0</v>
      </c>
      <c r="AT103" s="697">
        <v>24</v>
      </c>
      <c r="AU103" s="697">
        <v>13</v>
      </c>
      <c r="AV103" s="697">
        <v>0</v>
      </c>
      <c r="AW103" s="697">
        <v>0</v>
      </c>
      <c r="AX103" s="697">
        <v>0</v>
      </c>
      <c r="AY103" s="697">
        <v>1</v>
      </c>
      <c r="AZ103" s="697">
        <v>0</v>
      </c>
      <c r="BA103" s="697">
        <v>0</v>
      </c>
      <c r="BB103" s="697">
        <v>0</v>
      </c>
      <c r="BC103" s="697">
        <v>1</v>
      </c>
      <c r="BD103" s="697">
        <v>0</v>
      </c>
      <c r="BE103" s="697">
        <v>0</v>
      </c>
      <c r="BF103" s="697">
        <v>0</v>
      </c>
      <c r="BG103" s="697">
        <v>0</v>
      </c>
      <c r="BH103" s="697">
        <v>0</v>
      </c>
      <c r="BI103" s="697">
        <v>0</v>
      </c>
      <c r="BJ103" s="697">
        <v>0</v>
      </c>
      <c r="BK103" s="697">
        <v>0</v>
      </c>
      <c r="BL103" s="697">
        <v>0</v>
      </c>
      <c r="BM103" s="697">
        <v>0</v>
      </c>
      <c r="BN103" s="697">
        <v>0</v>
      </c>
      <c r="BO103" s="697">
        <v>0</v>
      </c>
    </row>
    <row r="104" spans="1:240" ht="15" customHeight="1" x14ac:dyDescent="0.2">
      <c r="A104" s="697">
        <v>9894</v>
      </c>
      <c r="B104" s="697"/>
      <c r="C104" s="698" t="s">
        <v>178</v>
      </c>
      <c r="D104" s="699" t="s">
        <v>178</v>
      </c>
      <c r="E104" s="700">
        <f t="shared" si="13"/>
        <v>314315.67959999997</v>
      </c>
      <c r="F104" s="700">
        <v>0</v>
      </c>
      <c r="G104" s="701">
        <f t="shared" si="16"/>
        <v>314315.67959999997</v>
      </c>
      <c r="H104" s="698" t="s">
        <v>1417</v>
      </c>
      <c r="I104" s="699" t="s">
        <v>1416</v>
      </c>
      <c r="J104" s="699" t="s">
        <v>1417</v>
      </c>
      <c r="K104" s="699" t="s">
        <v>120</v>
      </c>
      <c r="L104" s="699" t="s">
        <v>10</v>
      </c>
      <c r="M104" s="702">
        <v>143</v>
      </c>
      <c r="N104" s="702">
        <v>0.77500000000000002</v>
      </c>
      <c r="O104" s="702">
        <v>0.84599999999999997</v>
      </c>
      <c r="P104" s="702">
        <v>0.81899999999999995</v>
      </c>
      <c r="Q104" s="702">
        <v>0.82</v>
      </c>
      <c r="R104" s="702">
        <v>1061914</v>
      </c>
      <c r="S104" s="702">
        <v>902169</v>
      </c>
      <c r="T104" s="7">
        <f t="shared" si="11"/>
        <v>315919.41499999998</v>
      </c>
      <c r="U104" s="702">
        <v>610038</v>
      </c>
      <c r="V104" s="702">
        <v>292131</v>
      </c>
      <c r="W104" s="702">
        <v>4476</v>
      </c>
      <c r="X104" s="702">
        <v>0</v>
      </c>
      <c r="Y104" s="702">
        <v>0</v>
      </c>
      <c r="Z104" s="702">
        <v>0</v>
      </c>
      <c r="AA104" s="702">
        <v>1218088.415</v>
      </c>
      <c r="AB104" s="702">
        <v>315919.41499999998</v>
      </c>
      <c r="AC104" s="702">
        <v>902169</v>
      </c>
      <c r="AD104" s="702">
        <v>0</v>
      </c>
      <c r="AE104" s="702">
        <v>0</v>
      </c>
      <c r="AF104" s="702">
        <v>0</v>
      </c>
      <c r="AG104" s="702">
        <v>902169</v>
      </c>
      <c r="AH104" s="702">
        <v>0</v>
      </c>
      <c r="AI104" s="702">
        <v>0</v>
      </c>
      <c r="AJ104" s="698" t="s">
        <v>900</v>
      </c>
      <c r="AK104" s="698" t="s">
        <v>907</v>
      </c>
      <c r="AL104" s="699" t="s">
        <v>1416</v>
      </c>
      <c r="AM104" s="698" t="s">
        <v>1417</v>
      </c>
      <c r="AN104" s="699" t="s">
        <v>178</v>
      </c>
      <c r="AO104" s="699">
        <v>315919.41499999998</v>
      </c>
      <c r="AP104" s="703">
        <f>AR104+AT104+AU104+AV104+AX104+AY104+AZ104+BD104+BF104+BG104+BH104+BJ104+BK104+(BL104+BM104+BN104)/1000+(0.1*BO104)</f>
        <v>296.27629999999999</v>
      </c>
      <c r="AQ104" s="703">
        <f t="shared" si="12"/>
        <v>317.27629999999999</v>
      </c>
      <c r="AR104" s="697">
        <v>0</v>
      </c>
      <c r="AS104" s="697">
        <v>0</v>
      </c>
      <c r="AT104" s="697">
        <v>250</v>
      </c>
      <c r="AU104" s="697">
        <v>4</v>
      </c>
      <c r="AV104" s="697">
        <v>0</v>
      </c>
      <c r="AW104" s="697">
        <v>0</v>
      </c>
      <c r="AX104" s="697">
        <v>2</v>
      </c>
      <c r="AY104" s="697">
        <v>0</v>
      </c>
      <c r="AZ104" s="697">
        <v>0</v>
      </c>
      <c r="BA104" s="697">
        <v>0</v>
      </c>
      <c r="BB104" s="697">
        <v>20</v>
      </c>
      <c r="BC104" s="697">
        <v>1</v>
      </c>
      <c r="BD104" s="697">
        <v>0</v>
      </c>
      <c r="BE104" s="697">
        <v>0</v>
      </c>
      <c r="BF104" s="697">
        <v>0</v>
      </c>
      <c r="BG104" s="697">
        <v>0</v>
      </c>
      <c r="BH104" s="697">
        <v>0</v>
      </c>
      <c r="BI104" s="697">
        <v>0</v>
      </c>
      <c r="BJ104" s="697">
        <v>0</v>
      </c>
      <c r="BK104" s="697">
        <v>0</v>
      </c>
      <c r="BL104" s="697">
        <v>0</v>
      </c>
      <c r="BM104" s="697">
        <v>0</v>
      </c>
      <c r="BN104" s="697">
        <v>0</v>
      </c>
      <c r="BO104" s="697">
        <v>402.76299999999998</v>
      </c>
    </row>
    <row r="105" spans="1:240" ht="15" customHeight="1" x14ac:dyDescent="0.2">
      <c r="A105" s="697">
        <v>2324</v>
      </c>
      <c r="B105" s="697" t="s">
        <v>1412</v>
      </c>
      <c r="C105" s="698" t="s">
        <v>180</v>
      </c>
      <c r="D105" s="699" t="s">
        <v>180</v>
      </c>
      <c r="E105" s="700">
        <f t="shared" si="13"/>
        <v>384259.76679999998</v>
      </c>
      <c r="F105" s="700">
        <v>0</v>
      </c>
      <c r="G105" s="701">
        <f t="shared" si="16"/>
        <v>384259.76679999998</v>
      </c>
      <c r="H105" s="698" t="s">
        <v>1412</v>
      </c>
      <c r="I105" s="699" t="s">
        <v>1416</v>
      </c>
      <c r="J105" s="699" t="s">
        <v>1412</v>
      </c>
      <c r="K105" s="699" t="s">
        <v>182</v>
      </c>
      <c r="L105" s="699" t="s">
        <v>10</v>
      </c>
      <c r="M105" s="702">
        <v>120</v>
      </c>
      <c r="N105" s="702">
        <v>0.95699999999999996</v>
      </c>
      <c r="O105" s="702">
        <v>0.94899999999999995</v>
      </c>
      <c r="P105" s="702">
        <v>0.90200000000000002</v>
      </c>
      <c r="Q105" s="702">
        <v>0.89100000000000001</v>
      </c>
      <c r="R105" s="702">
        <v>1427795</v>
      </c>
      <c r="S105" s="702">
        <v>1102927</v>
      </c>
      <c r="T105" s="7">
        <f t="shared" si="11"/>
        <v>424769.01249999995</v>
      </c>
      <c r="U105" s="702">
        <v>745179</v>
      </c>
      <c r="V105" s="702">
        <v>357748</v>
      </c>
      <c r="W105" s="702">
        <v>5420</v>
      </c>
      <c r="X105" s="702">
        <v>0</v>
      </c>
      <c r="Y105" s="702">
        <v>0</v>
      </c>
      <c r="Z105" s="702">
        <v>0</v>
      </c>
      <c r="AA105" s="702">
        <v>1527696.013</v>
      </c>
      <c r="AB105" s="702">
        <v>424769.01250000001</v>
      </c>
      <c r="AC105" s="702">
        <v>1102927</v>
      </c>
      <c r="AD105" s="702">
        <v>0</v>
      </c>
      <c r="AE105" s="702">
        <v>0</v>
      </c>
      <c r="AF105" s="702">
        <v>1102927</v>
      </c>
      <c r="AG105" s="702">
        <v>0</v>
      </c>
      <c r="AH105" s="702">
        <v>1075000</v>
      </c>
      <c r="AI105" s="702">
        <v>1022000</v>
      </c>
      <c r="AJ105" s="698" t="s">
        <v>900</v>
      </c>
      <c r="AK105" s="698" t="s">
        <v>901</v>
      </c>
      <c r="AL105" s="699" t="s">
        <v>1416</v>
      </c>
      <c r="AM105" s="698"/>
      <c r="AN105" s="699" t="s">
        <v>180</v>
      </c>
      <c r="AO105" s="699">
        <v>424769.01250000001</v>
      </c>
      <c r="AP105" s="703">
        <f>AR105+AT105+AU105+AV105+AX105+AY105+AZ105+BD105+BF105+BG105+BH105+BJ105+BK105+(BL105+BM105+BN105)/1000+(0.1*BO105)</f>
        <v>751.07830000000001</v>
      </c>
      <c r="AQ105" s="703">
        <f t="shared" si="12"/>
        <v>816.07830000000001</v>
      </c>
      <c r="AR105" s="697">
        <v>310</v>
      </c>
      <c r="AS105" s="697">
        <v>1022</v>
      </c>
      <c r="AT105" s="697">
        <v>97</v>
      </c>
      <c r="AU105" s="697">
        <v>50</v>
      </c>
      <c r="AV105" s="697">
        <v>0</v>
      </c>
      <c r="AW105" s="697">
        <v>0</v>
      </c>
      <c r="AX105" s="697">
        <v>0</v>
      </c>
      <c r="AY105" s="697">
        <v>0</v>
      </c>
      <c r="AZ105" s="697">
        <v>62</v>
      </c>
      <c r="BA105" s="697">
        <v>62</v>
      </c>
      <c r="BB105" s="697">
        <v>65</v>
      </c>
      <c r="BC105" s="697">
        <v>0</v>
      </c>
      <c r="BD105" s="697">
        <v>43</v>
      </c>
      <c r="BE105" s="697">
        <v>0</v>
      </c>
      <c r="BF105" s="697">
        <v>0</v>
      </c>
      <c r="BG105" s="697">
        <v>0</v>
      </c>
      <c r="BH105" s="697">
        <v>86</v>
      </c>
      <c r="BI105" s="697">
        <v>0</v>
      </c>
      <c r="BJ105" s="697">
        <v>0</v>
      </c>
      <c r="BK105" s="697">
        <v>0</v>
      </c>
      <c r="BL105" s="697">
        <v>0</v>
      </c>
      <c r="BM105" s="697">
        <v>0</v>
      </c>
      <c r="BN105" s="697">
        <v>0</v>
      </c>
      <c r="BO105" s="697">
        <v>1030.7829999999999</v>
      </c>
    </row>
    <row r="106" spans="1:240" s="749" customFormat="1" ht="15" customHeight="1" x14ac:dyDescent="0.2">
      <c r="A106" s="697">
        <v>2325</v>
      </c>
      <c r="B106" s="697"/>
      <c r="C106" s="698" t="s">
        <v>183</v>
      </c>
      <c r="D106" s="699" t="s">
        <v>183</v>
      </c>
      <c r="E106" s="700">
        <f t="shared" si="13"/>
        <v>73875.899999999994</v>
      </c>
      <c r="F106" s="700">
        <v>376250</v>
      </c>
      <c r="G106" s="701">
        <f t="shared" si="16"/>
        <v>450125.9</v>
      </c>
      <c r="H106" s="698" t="s">
        <v>10</v>
      </c>
      <c r="I106" s="699" t="s">
        <v>1512</v>
      </c>
      <c r="J106" s="699" t="s">
        <v>10</v>
      </c>
      <c r="K106" s="699" t="s">
        <v>182</v>
      </c>
      <c r="L106" s="699" t="s">
        <v>1412</v>
      </c>
      <c r="M106" s="702">
        <v>0</v>
      </c>
      <c r="N106" s="702">
        <v>0.83699999999999997</v>
      </c>
      <c r="O106" s="702">
        <v>0.84</v>
      </c>
      <c r="P106" s="702">
        <v>0.90200000000000002</v>
      </c>
      <c r="Q106" s="702">
        <v>0.89100000000000001</v>
      </c>
      <c r="R106" s="702">
        <v>0</v>
      </c>
      <c r="S106" s="702">
        <v>381000</v>
      </c>
      <c r="T106" s="7">
        <f t="shared" si="11"/>
        <v>73875.899999999994</v>
      </c>
      <c r="U106" s="702">
        <v>293855</v>
      </c>
      <c r="V106" s="702">
        <v>87145</v>
      </c>
      <c r="W106" s="702">
        <v>0</v>
      </c>
      <c r="X106" s="702">
        <v>450125.9</v>
      </c>
      <c r="Y106" s="702">
        <v>73875.899999999994</v>
      </c>
      <c r="Z106" s="702">
        <v>376250</v>
      </c>
      <c r="AA106" s="702">
        <v>4750</v>
      </c>
      <c r="AB106" s="702">
        <v>0</v>
      </c>
      <c r="AC106" s="702">
        <v>4750</v>
      </c>
      <c r="AD106" s="702">
        <v>0</v>
      </c>
      <c r="AE106" s="702">
        <v>376250</v>
      </c>
      <c r="AF106" s="702">
        <v>0</v>
      </c>
      <c r="AG106" s="702">
        <v>4750</v>
      </c>
      <c r="AH106" s="702">
        <v>0</v>
      </c>
      <c r="AI106" s="702">
        <v>0</v>
      </c>
      <c r="AJ106" s="698" t="s">
        <v>900</v>
      </c>
      <c r="AK106" s="698" t="s">
        <v>901</v>
      </c>
      <c r="AL106" s="699" t="s">
        <v>1512</v>
      </c>
      <c r="AM106" s="698" t="s">
        <v>10</v>
      </c>
      <c r="AN106" s="699" t="s">
        <v>183</v>
      </c>
      <c r="AO106" s="699">
        <v>450125.9</v>
      </c>
      <c r="AP106" s="703">
        <f>AR106+AT106+AU106+AV106+AX106+AY106+AZ106+BD106+BF106+BG106+BH106+BJ106+BK106+(BL106+BM106+BN106)/1000+(0.1*BO106)</f>
        <v>16.487696</v>
      </c>
      <c r="AQ106" s="703">
        <f t="shared" si="12"/>
        <v>32.487696</v>
      </c>
      <c r="AR106" s="723">
        <v>0</v>
      </c>
      <c r="AS106" s="723">
        <v>0</v>
      </c>
      <c r="AT106" s="723">
        <v>8</v>
      </c>
      <c r="AU106" s="723">
        <v>4</v>
      </c>
      <c r="AV106" s="697">
        <v>0</v>
      </c>
      <c r="AW106" s="697">
        <v>0</v>
      </c>
      <c r="AX106" s="697">
        <v>0</v>
      </c>
      <c r="AY106" s="697">
        <v>0</v>
      </c>
      <c r="AZ106" s="723">
        <v>0</v>
      </c>
      <c r="BA106" s="723">
        <v>0</v>
      </c>
      <c r="BB106" s="723">
        <v>13</v>
      </c>
      <c r="BC106" s="723">
        <v>3</v>
      </c>
      <c r="BD106" s="723">
        <v>0</v>
      </c>
      <c r="BE106" s="723">
        <v>0</v>
      </c>
      <c r="BF106" s="723">
        <v>0</v>
      </c>
      <c r="BG106" s="723">
        <v>0</v>
      </c>
      <c r="BH106" s="723">
        <v>0</v>
      </c>
      <c r="BI106" s="723">
        <v>0</v>
      </c>
      <c r="BJ106" s="723">
        <v>0</v>
      </c>
      <c r="BK106" s="723">
        <v>0</v>
      </c>
      <c r="BL106" s="697">
        <v>0</v>
      </c>
      <c r="BM106" s="697">
        <v>0</v>
      </c>
      <c r="BN106" s="697">
        <v>0</v>
      </c>
      <c r="BO106" s="697">
        <v>44.876959999999997</v>
      </c>
      <c r="BP106" s="392"/>
      <c r="BQ106" s="392"/>
      <c r="BR106" s="392"/>
      <c r="BS106" s="392"/>
      <c r="BT106" s="392"/>
      <c r="BU106" s="392"/>
      <c r="BV106" s="392"/>
      <c r="BW106" s="392"/>
      <c r="BX106" s="392"/>
      <c r="BY106" s="392"/>
      <c r="BZ106" s="392"/>
      <c r="CA106" s="392"/>
      <c r="CB106" s="392"/>
      <c r="CC106" s="392"/>
      <c r="CD106" s="392"/>
      <c r="CE106" s="392"/>
      <c r="CF106" s="392"/>
      <c r="CG106" s="392"/>
      <c r="CH106" s="392"/>
      <c r="CI106" s="392"/>
      <c r="CJ106" s="392"/>
      <c r="CK106" s="392"/>
      <c r="CL106" s="392"/>
      <c r="CM106" s="392"/>
      <c r="CN106" s="392"/>
      <c r="CO106" s="392"/>
      <c r="CP106" s="392"/>
      <c r="CQ106" s="392"/>
      <c r="CR106" s="392"/>
      <c r="CS106" s="392"/>
      <c r="CT106" s="392"/>
      <c r="CU106" s="392"/>
      <c r="CV106" s="392"/>
      <c r="CW106" s="392"/>
      <c r="CX106" s="392"/>
      <c r="CY106" s="392"/>
      <c r="CZ106" s="392"/>
      <c r="DA106" s="392"/>
      <c r="DB106" s="748"/>
      <c r="DC106" s="748"/>
      <c r="DD106" s="748"/>
      <c r="DE106" s="748"/>
      <c r="DF106" s="748"/>
      <c r="DG106" s="748"/>
      <c r="DH106" s="748"/>
      <c r="DI106" s="748"/>
      <c r="DJ106" s="748"/>
      <c r="DK106" s="748"/>
      <c r="DL106" s="748"/>
      <c r="DM106" s="748"/>
      <c r="DN106" s="748"/>
      <c r="DO106" s="748"/>
      <c r="DP106" s="748"/>
      <c r="DQ106" s="748"/>
      <c r="DR106" s="748"/>
      <c r="DS106" s="748"/>
      <c r="DT106" s="748"/>
      <c r="DU106" s="748"/>
      <c r="DV106" s="748"/>
      <c r="DW106" s="748"/>
      <c r="DX106" s="748"/>
      <c r="DY106" s="748"/>
      <c r="DZ106" s="748"/>
      <c r="EA106" s="748"/>
      <c r="EB106" s="748"/>
      <c r="EC106" s="748"/>
      <c r="ED106" s="748"/>
      <c r="EE106" s="748"/>
      <c r="EF106" s="748"/>
      <c r="EG106" s="748"/>
      <c r="EH106" s="748"/>
      <c r="EI106" s="748"/>
      <c r="EJ106" s="748"/>
      <c r="EK106" s="748"/>
      <c r="EL106" s="748"/>
      <c r="EM106" s="748"/>
      <c r="EN106" s="748"/>
      <c r="EO106" s="748"/>
      <c r="EP106" s="748"/>
      <c r="EQ106" s="748"/>
      <c r="ER106" s="748"/>
      <c r="ES106" s="748"/>
      <c r="ET106" s="748"/>
      <c r="EU106" s="748"/>
      <c r="EV106" s="748"/>
      <c r="EW106" s="748"/>
      <c r="EX106" s="748"/>
      <c r="EY106" s="748"/>
      <c r="EZ106" s="748"/>
      <c r="FA106" s="748"/>
      <c r="FB106" s="748"/>
      <c r="FC106" s="748"/>
      <c r="FD106" s="748"/>
      <c r="FE106" s="748"/>
      <c r="FF106" s="748"/>
      <c r="FG106" s="748"/>
      <c r="FH106" s="748"/>
      <c r="FI106" s="748"/>
      <c r="FJ106" s="748"/>
      <c r="FK106" s="748"/>
      <c r="FL106" s="748"/>
      <c r="FM106" s="748"/>
      <c r="FN106" s="748"/>
      <c r="FO106" s="748"/>
      <c r="FP106" s="748"/>
      <c r="FQ106" s="748"/>
      <c r="FR106" s="748"/>
      <c r="FS106" s="748"/>
      <c r="FT106" s="748"/>
      <c r="FU106" s="748"/>
      <c r="FV106" s="748"/>
      <c r="FW106" s="748"/>
      <c r="FX106" s="748"/>
      <c r="FY106" s="748"/>
      <c r="FZ106" s="748"/>
      <c r="GA106" s="748"/>
      <c r="GB106" s="748"/>
      <c r="GC106" s="748"/>
      <c r="GD106" s="748"/>
      <c r="GE106" s="748"/>
      <c r="GF106" s="748"/>
      <c r="GG106" s="748"/>
      <c r="GH106" s="748"/>
      <c r="GI106" s="748"/>
      <c r="GJ106" s="748"/>
      <c r="GK106" s="748"/>
      <c r="GL106" s="748"/>
      <c r="GM106" s="748"/>
      <c r="GN106" s="748"/>
      <c r="GO106" s="748"/>
      <c r="GP106" s="748"/>
      <c r="GQ106" s="748"/>
      <c r="GR106" s="748"/>
      <c r="GS106" s="748"/>
      <c r="GT106" s="748"/>
      <c r="GU106" s="748"/>
      <c r="GV106" s="748"/>
      <c r="GW106" s="748"/>
      <c r="GX106" s="748"/>
      <c r="GY106" s="748"/>
      <c r="GZ106" s="748"/>
      <c r="HA106" s="748"/>
      <c r="HB106" s="748"/>
      <c r="HC106" s="748"/>
      <c r="HD106" s="748"/>
      <c r="HE106" s="748"/>
      <c r="HF106" s="748"/>
      <c r="HG106" s="748"/>
      <c r="HH106" s="748"/>
      <c r="HI106" s="748"/>
      <c r="HJ106" s="748"/>
      <c r="HK106" s="748"/>
      <c r="HL106" s="748"/>
      <c r="HM106" s="748"/>
      <c r="HN106" s="748"/>
      <c r="HO106" s="748"/>
      <c r="HP106" s="748"/>
      <c r="HQ106" s="748"/>
      <c r="HR106" s="748"/>
      <c r="HS106" s="748"/>
      <c r="HT106" s="748"/>
      <c r="HU106" s="748"/>
      <c r="HV106" s="748"/>
      <c r="HW106" s="748"/>
      <c r="HX106" s="748"/>
      <c r="HY106" s="748"/>
      <c r="HZ106" s="748"/>
      <c r="IA106" s="748"/>
      <c r="IB106" s="748"/>
      <c r="IC106" s="748"/>
      <c r="ID106" s="748"/>
      <c r="IE106" s="748"/>
      <c r="IF106" s="748"/>
    </row>
    <row r="107" spans="1:240" ht="15" customHeight="1" x14ac:dyDescent="0.2">
      <c r="A107" s="715">
        <v>4848</v>
      </c>
      <c r="B107" s="715"/>
      <c r="C107" s="716" t="s">
        <v>929</v>
      </c>
      <c r="D107" s="706" t="s">
        <v>929</v>
      </c>
      <c r="E107" s="700">
        <f t="shared" si="13"/>
        <v>67506.6728</v>
      </c>
      <c r="F107" s="707" t="s">
        <v>10</v>
      </c>
      <c r="G107" s="701" t="e">
        <f t="shared" si="16"/>
        <v>#VALUE!</v>
      </c>
      <c r="H107" s="705" t="s">
        <v>10</v>
      </c>
      <c r="I107" s="706" t="s">
        <v>911</v>
      </c>
      <c r="J107" s="706" t="s">
        <v>10</v>
      </c>
      <c r="K107" s="706" t="s">
        <v>10</v>
      </c>
      <c r="L107" s="706" t="s">
        <v>10</v>
      </c>
      <c r="M107" s="708" t="s">
        <v>10</v>
      </c>
      <c r="N107" s="708" t="s">
        <v>10</v>
      </c>
      <c r="O107" s="708" t="s">
        <v>10</v>
      </c>
      <c r="P107" s="708" t="s">
        <v>10</v>
      </c>
      <c r="Q107" s="708" t="s">
        <v>10</v>
      </c>
      <c r="R107" s="708" t="s">
        <v>10</v>
      </c>
      <c r="S107" s="708">
        <v>348152</v>
      </c>
      <c r="T107" s="7">
        <f t="shared" si="11"/>
        <v>67506.6728</v>
      </c>
      <c r="U107" s="708" t="s">
        <v>10</v>
      </c>
      <c r="V107" s="708" t="s">
        <v>10</v>
      </c>
      <c r="W107" s="708" t="s">
        <v>10</v>
      </c>
      <c r="X107" s="708" t="s">
        <v>10</v>
      </c>
      <c r="Y107" s="708" t="s">
        <v>10</v>
      </c>
      <c r="Z107" s="708" t="s">
        <v>10</v>
      </c>
      <c r="AA107" s="708" t="s">
        <v>10</v>
      </c>
      <c r="AB107" s="708" t="s">
        <v>10</v>
      </c>
      <c r="AC107" s="708" t="s">
        <v>10</v>
      </c>
      <c r="AD107" s="708" t="s">
        <v>10</v>
      </c>
      <c r="AE107" s="708" t="s">
        <v>10</v>
      </c>
      <c r="AF107" s="708" t="s">
        <v>10</v>
      </c>
      <c r="AG107" s="708" t="s">
        <v>10</v>
      </c>
      <c r="AH107" s="708" t="s">
        <v>10</v>
      </c>
      <c r="AI107" s="708" t="s">
        <v>10</v>
      </c>
      <c r="AJ107" s="705" t="s">
        <v>900</v>
      </c>
      <c r="AK107" s="705" t="s">
        <v>905</v>
      </c>
      <c r="AL107" s="709" t="s">
        <v>930</v>
      </c>
      <c r="AM107" s="705" t="s">
        <v>10</v>
      </c>
      <c r="AN107" s="726" t="s">
        <v>929</v>
      </c>
      <c r="AO107" s="726">
        <v>0</v>
      </c>
      <c r="AP107" s="750">
        <v>0</v>
      </c>
      <c r="AQ107" s="703">
        <f t="shared" si="12"/>
        <v>593</v>
      </c>
      <c r="AR107" s="720">
        <v>0</v>
      </c>
      <c r="AS107" s="720">
        <v>0</v>
      </c>
      <c r="AT107" s="720">
        <v>502</v>
      </c>
      <c r="AU107" s="720">
        <v>0</v>
      </c>
      <c r="AV107" s="697">
        <v>0</v>
      </c>
      <c r="AW107" s="697">
        <v>0</v>
      </c>
      <c r="AX107" s="697">
        <v>0</v>
      </c>
      <c r="AY107" s="697">
        <v>0</v>
      </c>
      <c r="AZ107" s="720">
        <v>0</v>
      </c>
      <c r="BA107" s="720">
        <v>0</v>
      </c>
      <c r="BB107" s="720">
        <v>70</v>
      </c>
      <c r="BC107" s="720">
        <v>0</v>
      </c>
      <c r="BD107" s="751">
        <v>0</v>
      </c>
      <c r="BE107" s="751">
        <v>0</v>
      </c>
      <c r="BF107" s="751">
        <v>0</v>
      </c>
      <c r="BG107" s="751">
        <v>0</v>
      </c>
      <c r="BH107" s="720">
        <v>21</v>
      </c>
      <c r="BI107" s="720">
        <v>0</v>
      </c>
      <c r="BJ107" s="720">
        <v>0</v>
      </c>
      <c r="BK107" s="720">
        <v>0</v>
      </c>
      <c r="BL107" s="704">
        <v>0</v>
      </c>
      <c r="BM107" s="704">
        <v>0</v>
      </c>
      <c r="BN107" s="704">
        <v>0</v>
      </c>
      <c r="BO107" s="715">
        <v>0</v>
      </c>
    </row>
    <row r="108" spans="1:240" ht="15" customHeight="1" x14ac:dyDescent="0.2">
      <c r="A108" s="697">
        <v>4827</v>
      </c>
      <c r="B108" s="697"/>
      <c r="C108" s="698" t="s">
        <v>931</v>
      </c>
      <c r="D108" s="699" t="s">
        <v>660</v>
      </c>
      <c r="E108" s="700">
        <f t="shared" si="13"/>
        <v>505180</v>
      </c>
      <c r="F108" s="700">
        <v>841000</v>
      </c>
      <c r="G108" s="701">
        <f t="shared" si="16"/>
        <v>1346180</v>
      </c>
      <c r="H108" s="698" t="s">
        <v>10</v>
      </c>
      <c r="I108" s="699" t="s">
        <v>1416</v>
      </c>
      <c r="J108" s="699" t="s">
        <v>1417</v>
      </c>
      <c r="K108" s="699" t="s">
        <v>126</v>
      </c>
      <c r="L108" s="699" t="s">
        <v>1412</v>
      </c>
      <c r="M108" s="702">
        <v>260</v>
      </c>
      <c r="N108" s="702">
        <v>0.95399999999999996</v>
      </c>
      <c r="O108" s="702">
        <v>0.96199999999999997</v>
      </c>
      <c r="P108" s="702">
        <v>0.92500000000000004</v>
      </c>
      <c r="Q108" s="702">
        <v>0.95199999999999996</v>
      </c>
      <c r="R108" s="702">
        <v>2062167</v>
      </c>
      <c r="S108" s="702">
        <v>1450000</v>
      </c>
      <c r="T108" s="7">
        <f t="shared" si="11"/>
        <v>613494.6825</v>
      </c>
      <c r="U108" s="702">
        <v>777000</v>
      </c>
      <c r="V108" s="702">
        <v>673000</v>
      </c>
      <c r="W108" s="702">
        <v>7000</v>
      </c>
      <c r="X108" s="702">
        <v>1454494.683</v>
      </c>
      <c r="Y108" s="702">
        <v>613494.6825</v>
      </c>
      <c r="Z108" s="702">
        <v>841000</v>
      </c>
      <c r="AA108" s="702">
        <v>609000</v>
      </c>
      <c r="AB108" s="702">
        <v>0</v>
      </c>
      <c r="AC108" s="702">
        <v>609000</v>
      </c>
      <c r="AD108" s="702">
        <v>0</v>
      </c>
      <c r="AE108" s="702">
        <v>841000</v>
      </c>
      <c r="AF108" s="702">
        <v>0</v>
      </c>
      <c r="AG108" s="702">
        <v>609000</v>
      </c>
      <c r="AH108" s="702">
        <v>0</v>
      </c>
      <c r="AI108" s="702">
        <v>0</v>
      </c>
      <c r="AJ108" s="698" t="s">
        <v>900</v>
      </c>
      <c r="AK108" s="698" t="s">
        <v>905</v>
      </c>
      <c r="AL108" s="699" t="s">
        <v>1416</v>
      </c>
      <c r="AM108" s="698" t="s">
        <v>10</v>
      </c>
      <c r="AN108" s="699" t="s">
        <v>660</v>
      </c>
      <c r="AO108" s="699">
        <v>1454494.6825000001</v>
      </c>
      <c r="AP108" s="703">
        <f t="shared" ref="AP108:AP118" si="17">AR108+AT108+AU108+AV108+AX108+AY108+AZ108+BD108+BF108+BG108+BH108+BJ108+BK108+(BL108+BM108+BN108)/1000+(0.1*BO108)</f>
        <v>909.06550000000004</v>
      </c>
      <c r="AQ108" s="703">
        <f t="shared" si="12"/>
        <v>1020.0655</v>
      </c>
      <c r="AR108" s="697">
        <v>272</v>
      </c>
      <c r="AS108" s="697">
        <v>43</v>
      </c>
      <c r="AT108" s="697">
        <v>471</v>
      </c>
      <c r="AU108" s="697">
        <v>16</v>
      </c>
      <c r="AV108" s="697">
        <v>0</v>
      </c>
      <c r="AW108" s="697">
        <v>0</v>
      </c>
      <c r="AX108" s="697">
        <v>2</v>
      </c>
      <c r="AY108" s="697">
        <v>0</v>
      </c>
      <c r="AZ108" s="697">
        <v>50</v>
      </c>
      <c r="BA108" s="697">
        <v>320</v>
      </c>
      <c r="BB108" s="697">
        <v>111</v>
      </c>
      <c r="BC108" s="697">
        <v>0</v>
      </c>
      <c r="BD108" s="697">
        <v>46</v>
      </c>
      <c r="BE108" s="697">
        <v>2</v>
      </c>
      <c r="BF108" s="697">
        <v>0</v>
      </c>
      <c r="BG108" s="697">
        <v>0</v>
      </c>
      <c r="BH108" s="697">
        <v>46</v>
      </c>
      <c r="BI108" s="697">
        <v>0</v>
      </c>
      <c r="BJ108" s="697">
        <v>0</v>
      </c>
      <c r="BK108" s="697">
        <v>0</v>
      </c>
      <c r="BL108" s="697">
        <v>0</v>
      </c>
      <c r="BM108" s="697">
        <v>0</v>
      </c>
      <c r="BN108" s="697">
        <v>0</v>
      </c>
      <c r="BO108" s="697">
        <v>60.655000000000001</v>
      </c>
    </row>
    <row r="109" spans="1:240" ht="15" customHeight="1" x14ac:dyDescent="0.2">
      <c r="A109" s="697">
        <v>9080</v>
      </c>
      <c r="B109" s="697"/>
      <c r="C109" s="698" t="s">
        <v>186</v>
      </c>
      <c r="D109" s="699" t="s">
        <v>186</v>
      </c>
      <c r="E109" s="700">
        <f t="shared" si="13"/>
        <v>39003.760599999994</v>
      </c>
      <c r="F109" s="700">
        <v>0</v>
      </c>
      <c r="G109" s="701">
        <f t="shared" si="16"/>
        <v>39003.760599999994</v>
      </c>
      <c r="H109" s="698" t="s">
        <v>10</v>
      </c>
      <c r="I109" s="699" t="s">
        <v>1512</v>
      </c>
      <c r="J109" s="699" t="s">
        <v>1417</v>
      </c>
      <c r="K109" s="699" t="s">
        <v>188</v>
      </c>
      <c r="L109" s="699" t="s">
        <v>10</v>
      </c>
      <c r="M109" s="702">
        <v>9</v>
      </c>
      <c r="N109" s="702">
        <v>0.98599999999999999</v>
      </c>
      <c r="O109" s="702">
        <v>0.98599999999999999</v>
      </c>
      <c r="P109" s="702">
        <v>0.95599999999999996</v>
      </c>
      <c r="Q109" s="702">
        <v>0.86799999999999999</v>
      </c>
      <c r="R109" s="702">
        <v>0</v>
      </c>
      <c r="S109" s="702">
        <v>201154</v>
      </c>
      <c r="T109" s="7">
        <f t="shared" si="11"/>
        <v>39003.760599999994</v>
      </c>
      <c r="U109" s="702">
        <v>140860</v>
      </c>
      <c r="V109" s="702">
        <v>60294</v>
      </c>
      <c r="W109" s="702">
        <v>1000</v>
      </c>
      <c r="X109" s="702">
        <v>0</v>
      </c>
      <c r="Y109" s="702">
        <v>0</v>
      </c>
      <c r="Z109" s="702">
        <v>0</v>
      </c>
      <c r="AA109" s="702">
        <v>240157.76060000001</v>
      </c>
      <c r="AB109" s="702">
        <v>39003.760600000001</v>
      </c>
      <c r="AC109" s="702">
        <v>201154</v>
      </c>
      <c r="AD109" s="702">
        <v>0</v>
      </c>
      <c r="AE109" s="702">
        <v>0</v>
      </c>
      <c r="AF109" s="702">
        <v>0</v>
      </c>
      <c r="AG109" s="702">
        <v>201154</v>
      </c>
      <c r="AH109" s="702">
        <v>0</v>
      </c>
      <c r="AI109" s="702">
        <v>0</v>
      </c>
      <c r="AJ109" s="698">
        <v>4</v>
      </c>
      <c r="AK109" s="698" t="s">
        <v>913</v>
      </c>
      <c r="AL109" s="699" t="s">
        <v>1512</v>
      </c>
      <c r="AM109" s="698" t="s">
        <v>10</v>
      </c>
      <c r="AN109" s="699" t="s">
        <v>186</v>
      </c>
      <c r="AO109" s="699">
        <v>39003.760600000001</v>
      </c>
      <c r="AP109" s="703">
        <f t="shared" si="17"/>
        <v>7</v>
      </c>
      <c r="AQ109" s="703">
        <f t="shared" si="12"/>
        <v>-9</v>
      </c>
      <c r="AR109" s="697">
        <v>0</v>
      </c>
      <c r="AS109" s="697">
        <v>0</v>
      </c>
      <c r="AT109" s="697">
        <v>6</v>
      </c>
      <c r="AU109" s="697">
        <v>1</v>
      </c>
      <c r="AV109" s="697">
        <v>0</v>
      </c>
      <c r="AW109" s="697">
        <v>0</v>
      </c>
      <c r="AX109" s="697">
        <v>0</v>
      </c>
      <c r="AY109" s="697">
        <v>0</v>
      </c>
      <c r="AZ109" s="697">
        <v>0</v>
      </c>
      <c r="BA109" s="697">
        <v>0</v>
      </c>
      <c r="BB109" s="697">
        <v>3</v>
      </c>
      <c r="BC109" s="697">
        <v>-19</v>
      </c>
      <c r="BD109" s="697">
        <v>0</v>
      </c>
      <c r="BE109" s="697">
        <v>0</v>
      </c>
      <c r="BF109" s="697">
        <v>0</v>
      </c>
      <c r="BG109" s="697">
        <v>0</v>
      </c>
      <c r="BH109" s="697">
        <v>0</v>
      </c>
      <c r="BI109" s="697">
        <v>0</v>
      </c>
      <c r="BJ109" s="697">
        <v>0</v>
      </c>
      <c r="BK109" s="697">
        <v>0</v>
      </c>
      <c r="BL109" s="697">
        <v>0</v>
      </c>
      <c r="BM109" s="697">
        <v>0</v>
      </c>
      <c r="BN109" s="697">
        <v>0</v>
      </c>
      <c r="BO109" s="697">
        <v>0</v>
      </c>
    </row>
    <row r="110" spans="1:240" ht="15" customHeight="1" x14ac:dyDescent="0.2">
      <c r="A110" s="697">
        <v>9075</v>
      </c>
      <c r="B110" s="697"/>
      <c r="C110" s="698" t="s">
        <v>189</v>
      </c>
      <c r="D110" s="699" t="s">
        <v>189</v>
      </c>
      <c r="E110" s="700">
        <f t="shared" si="13"/>
        <v>260656.1568</v>
      </c>
      <c r="F110" s="700">
        <v>0</v>
      </c>
      <c r="G110" s="701">
        <f t="shared" si="16"/>
        <v>260656.1568</v>
      </c>
      <c r="H110" s="698" t="s">
        <v>10</v>
      </c>
      <c r="I110" s="699" t="s">
        <v>1416</v>
      </c>
      <c r="J110" s="699" t="s">
        <v>1417</v>
      </c>
      <c r="K110" s="699" t="s">
        <v>188</v>
      </c>
      <c r="L110" s="699" t="s">
        <v>10</v>
      </c>
      <c r="M110" s="702">
        <v>65</v>
      </c>
      <c r="N110" s="702">
        <v>0.97099999999999997</v>
      </c>
      <c r="O110" s="702">
        <v>0.96899999999999997</v>
      </c>
      <c r="P110" s="702">
        <v>0.93799999999999994</v>
      </c>
      <c r="Q110" s="702">
        <v>0.86799999999999999</v>
      </c>
      <c r="R110" s="702">
        <v>878870</v>
      </c>
      <c r="S110" s="702">
        <v>748152</v>
      </c>
      <c r="T110" s="7">
        <f t="shared" si="11"/>
        <v>261463.82499999998</v>
      </c>
      <c r="U110" s="702">
        <v>748421</v>
      </c>
      <c r="V110" s="702">
        <v>-269</v>
      </c>
      <c r="W110" s="702">
        <v>4477</v>
      </c>
      <c r="X110" s="702">
        <v>0</v>
      </c>
      <c r="Y110" s="702">
        <v>0</v>
      </c>
      <c r="Z110" s="702">
        <v>0</v>
      </c>
      <c r="AA110" s="702">
        <v>1009615.825</v>
      </c>
      <c r="AB110" s="702">
        <v>261463.82500000001</v>
      </c>
      <c r="AC110" s="702">
        <v>748152</v>
      </c>
      <c r="AD110" s="702">
        <v>0</v>
      </c>
      <c r="AE110" s="702">
        <v>0</v>
      </c>
      <c r="AF110" s="702">
        <v>0</v>
      </c>
      <c r="AG110" s="702">
        <v>748152</v>
      </c>
      <c r="AH110" s="702">
        <v>0</v>
      </c>
      <c r="AI110" s="702">
        <v>0</v>
      </c>
      <c r="AJ110" s="698">
        <v>4</v>
      </c>
      <c r="AK110" s="698" t="s">
        <v>913</v>
      </c>
      <c r="AL110" s="699" t="s">
        <v>1416</v>
      </c>
      <c r="AM110" s="698" t="s">
        <v>10</v>
      </c>
      <c r="AN110" s="699" t="s">
        <v>189</v>
      </c>
      <c r="AO110" s="699">
        <v>261463.82500000001</v>
      </c>
      <c r="AP110" s="703">
        <f t="shared" si="17"/>
        <v>126.74199999999999</v>
      </c>
      <c r="AQ110" s="703">
        <f t="shared" si="12"/>
        <v>214.74199999999999</v>
      </c>
      <c r="AR110" s="697">
        <v>0</v>
      </c>
      <c r="AS110" s="697">
        <v>0</v>
      </c>
      <c r="AT110" s="697">
        <v>50</v>
      </c>
      <c r="AU110" s="697">
        <v>19</v>
      </c>
      <c r="AV110" s="697">
        <v>0</v>
      </c>
      <c r="AW110" s="697">
        <v>0</v>
      </c>
      <c r="AX110" s="697">
        <v>10</v>
      </c>
      <c r="AY110" s="697">
        <v>1</v>
      </c>
      <c r="AZ110" s="697">
        <v>0</v>
      </c>
      <c r="BA110" s="697">
        <v>0</v>
      </c>
      <c r="BB110" s="697">
        <v>56</v>
      </c>
      <c r="BC110" s="697">
        <v>32</v>
      </c>
      <c r="BD110" s="697">
        <v>0</v>
      </c>
      <c r="BE110" s="697">
        <v>0</v>
      </c>
      <c r="BF110" s="697">
        <v>0</v>
      </c>
      <c r="BG110" s="697">
        <v>0</v>
      </c>
      <c r="BH110" s="697">
        <v>0</v>
      </c>
      <c r="BI110" s="697">
        <v>0</v>
      </c>
      <c r="BJ110" s="697">
        <v>0</v>
      </c>
      <c r="BK110" s="697">
        <v>0</v>
      </c>
      <c r="BL110" s="697">
        <v>0</v>
      </c>
      <c r="BM110" s="697">
        <v>0</v>
      </c>
      <c r="BN110" s="697">
        <v>46742</v>
      </c>
      <c r="BO110" s="697">
        <v>0</v>
      </c>
    </row>
    <row r="111" spans="1:240" ht="15" customHeight="1" x14ac:dyDescent="0.2">
      <c r="A111" s="697">
        <v>2912</v>
      </c>
      <c r="B111" s="697"/>
      <c r="C111" s="698" t="s">
        <v>190</v>
      </c>
      <c r="D111" s="699" t="s">
        <v>190</v>
      </c>
      <c r="E111" s="700">
        <f t="shared" si="13"/>
        <v>31285.377199999999</v>
      </c>
      <c r="F111" s="700">
        <v>0</v>
      </c>
      <c r="G111" s="701">
        <f t="shared" si="16"/>
        <v>31285.377199999999</v>
      </c>
      <c r="H111" s="698" t="s">
        <v>10</v>
      </c>
      <c r="I111" s="699" t="s">
        <v>1512</v>
      </c>
      <c r="J111" s="699" t="s">
        <v>1417</v>
      </c>
      <c r="K111" s="699" t="s">
        <v>192</v>
      </c>
      <c r="L111" s="699" t="s">
        <v>10</v>
      </c>
      <c r="M111" s="702">
        <v>10</v>
      </c>
      <c r="N111" s="702">
        <v>0.85099999999999998</v>
      </c>
      <c r="O111" s="702">
        <v>1</v>
      </c>
      <c r="P111" s="702">
        <v>1</v>
      </c>
      <c r="Q111" s="702">
        <v>0.80500000000000005</v>
      </c>
      <c r="R111" s="702">
        <v>0</v>
      </c>
      <c r="S111" s="702">
        <v>161348</v>
      </c>
      <c r="T111" s="7">
        <f t="shared" si="11"/>
        <v>31285.377199999999</v>
      </c>
      <c r="U111" s="702">
        <v>134935</v>
      </c>
      <c r="V111" s="702">
        <v>26413</v>
      </c>
      <c r="W111" s="702">
        <v>685</v>
      </c>
      <c r="X111" s="702">
        <v>0</v>
      </c>
      <c r="Y111" s="702">
        <v>0</v>
      </c>
      <c r="Z111" s="702">
        <v>0</v>
      </c>
      <c r="AA111" s="702">
        <v>192633.37719999999</v>
      </c>
      <c r="AB111" s="702">
        <v>31285.377199999999</v>
      </c>
      <c r="AC111" s="702">
        <v>161348</v>
      </c>
      <c r="AD111" s="702">
        <v>0</v>
      </c>
      <c r="AE111" s="702">
        <v>0</v>
      </c>
      <c r="AF111" s="702">
        <v>0</v>
      </c>
      <c r="AG111" s="702">
        <v>161348</v>
      </c>
      <c r="AH111" s="702">
        <v>0</v>
      </c>
      <c r="AI111" s="702">
        <v>0</v>
      </c>
      <c r="AJ111" s="698">
        <v>4</v>
      </c>
      <c r="AK111" s="698" t="s">
        <v>899</v>
      </c>
      <c r="AL111" s="699" t="s">
        <v>1512</v>
      </c>
      <c r="AM111" s="698" t="s">
        <v>10</v>
      </c>
      <c r="AN111" s="699" t="s">
        <v>190</v>
      </c>
      <c r="AO111" s="699">
        <v>31285.377199999999</v>
      </c>
      <c r="AP111" s="703">
        <f t="shared" si="17"/>
        <v>19.638500000000001</v>
      </c>
      <c r="AQ111" s="703">
        <f t="shared" si="12"/>
        <v>20.638500000000001</v>
      </c>
      <c r="AR111" s="697">
        <v>0</v>
      </c>
      <c r="AS111" s="697">
        <v>0</v>
      </c>
      <c r="AT111" s="697">
        <v>12</v>
      </c>
      <c r="AU111" s="697">
        <v>1</v>
      </c>
      <c r="AV111" s="697">
        <v>0</v>
      </c>
      <c r="AW111" s="697">
        <v>0</v>
      </c>
      <c r="AX111" s="697">
        <v>0</v>
      </c>
      <c r="AY111" s="697">
        <v>0</v>
      </c>
      <c r="AZ111" s="697">
        <v>0</v>
      </c>
      <c r="BA111" s="697">
        <v>0</v>
      </c>
      <c r="BB111" s="697">
        <v>1</v>
      </c>
      <c r="BC111" s="697">
        <v>0</v>
      </c>
      <c r="BD111" s="697">
        <v>0</v>
      </c>
      <c r="BE111" s="697">
        <v>0</v>
      </c>
      <c r="BF111" s="697">
        <v>0</v>
      </c>
      <c r="BG111" s="697">
        <v>0</v>
      </c>
      <c r="BH111" s="697">
        <v>0</v>
      </c>
      <c r="BI111" s="697">
        <v>0</v>
      </c>
      <c r="BJ111" s="697">
        <v>0</v>
      </c>
      <c r="BK111" s="697">
        <v>0</v>
      </c>
      <c r="BL111" s="697">
        <v>0</v>
      </c>
      <c r="BM111" s="697">
        <v>0</v>
      </c>
      <c r="BN111" s="697">
        <v>0</v>
      </c>
      <c r="BO111" s="697">
        <v>66.385000000000005</v>
      </c>
    </row>
    <row r="112" spans="1:240" ht="15" customHeight="1" x14ac:dyDescent="0.2">
      <c r="A112" s="697">
        <v>2340</v>
      </c>
      <c r="B112" s="697"/>
      <c r="C112" s="698" t="s">
        <v>193</v>
      </c>
      <c r="D112" s="699" t="s">
        <v>193</v>
      </c>
      <c r="E112" s="700">
        <f t="shared" si="13"/>
        <v>149337.82759999999</v>
      </c>
      <c r="F112" s="700">
        <v>548228</v>
      </c>
      <c r="G112" s="701">
        <f t="shared" si="16"/>
        <v>697565.82759999996</v>
      </c>
      <c r="H112" s="698" t="s">
        <v>10</v>
      </c>
      <c r="I112" s="699" t="s">
        <v>1416</v>
      </c>
      <c r="J112" s="699" t="s">
        <v>1417</v>
      </c>
      <c r="K112" s="699" t="s">
        <v>195</v>
      </c>
      <c r="L112" s="699" t="s">
        <v>1412</v>
      </c>
      <c r="M112" s="702">
        <v>68</v>
      </c>
      <c r="N112" s="702">
        <v>0.93</v>
      </c>
      <c r="O112" s="702">
        <v>0.93</v>
      </c>
      <c r="P112" s="702">
        <v>0.93899999999999995</v>
      </c>
      <c r="Q112" s="702">
        <v>0.94599999999999995</v>
      </c>
      <c r="R112" s="702">
        <v>591387</v>
      </c>
      <c r="S112" s="702">
        <v>428639</v>
      </c>
      <c r="T112" s="7">
        <f t="shared" si="11"/>
        <v>175937.63249999998</v>
      </c>
      <c r="U112" s="702">
        <v>220830</v>
      </c>
      <c r="V112" s="702">
        <v>207809</v>
      </c>
      <c r="W112" s="702">
        <v>2000</v>
      </c>
      <c r="X112" s="702">
        <v>724165.63249999995</v>
      </c>
      <c r="Y112" s="702">
        <v>175937.63250000001</v>
      </c>
      <c r="Z112" s="702">
        <v>548228</v>
      </c>
      <c r="AA112" s="702">
        <v>-119589</v>
      </c>
      <c r="AB112" s="702">
        <v>0</v>
      </c>
      <c r="AC112" s="702">
        <v>-119589</v>
      </c>
      <c r="AD112" s="702">
        <v>0</v>
      </c>
      <c r="AE112" s="702">
        <v>548228</v>
      </c>
      <c r="AF112" s="702">
        <v>0</v>
      </c>
      <c r="AG112" s="702">
        <v>-119589</v>
      </c>
      <c r="AH112" s="702">
        <v>0</v>
      </c>
      <c r="AI112" s="702">
        <v>0</v>
      </c>
      <c r="AJ112" s="698">
        <v>4</v>
      </c>
      <c r="AK112" s="698" t="s">
        <v>899</v>
      </c>
      <c r="AL112" s="699" t="s">
        <v>1416</v>
      </c>
      <c r="AM112" s="698" t="s">
        <v>10</v>
      </c>
      <c r="AN112" s="699" t="s">
        <v>193</v>
      </c>
      <c r="AO112" s="699">
        <v>724165.63250000007</v>
      </c>
      <c r="AP112" s="703">
        <f t="shared" si="17"/>
        <v>681.72610000000009</v>
      </c>
      <c r="AQ112" s="703">
        <f t="shared" si="12"/>
        <v>716.72610000000009</v>
      </c>
      <c r="AR112" s="697">
        <v>277</v>
      </c>
      <c r="AS112" s="697">
        <v>0</v>
      </c>
      <c r="AT112" s="697">
        <v>99</v>
      </c>
      <c r="AU112" s="697">
        <v>8</v>
      </c>
      <c r="AV112" s="697">
        <v>44</v>
      </c>
      <c r="AW112" s="697">
        <v>5</v>
      </c>
      <c r="AX112" s="697">
        <v>0</v>
      </c>
      <c r="AY112" s="697">
        <v>0</v>
      </c>
      <c r="AZ112" s="697">
        <v>10</v>
      </c>
      <c r="BA112" s="697">
        <v>6</v>
      </c>
      <c r="BB112" s="697">
        <v>35</v>
      </c>
      <c r="BC112" s="697">
        <v>0</v>
      </c>
      <c r="BD112" s="697">
        <v>45</v>
      </c>
      <c r="BE112" s="697">
        <v>0</v>
      </c>
      <c r="BF112" s="697">
        <v>0</v>
      </c>
      <c r="BG112" s="697">
        <v>0</v>
      </c>
      <c r="BH112" s="697">
        <v>92</v>
      </c>
      <c r="BI112" s="697">
        <v>0</v>
      </c>
      <c r="BJ112" s="697">
        <v>0</v>
      </c>
      <c r="BK112" s="697">
        <v>0</v>
      </c>
      <c r="BL112" s="697">
        <v>0</v>
      </c>
      <c r="BM112" s="697">
        <v>0</v>
      </c>
      <c r="BN112" s="697">
        <v>24041</v>
      </c>
      <c r="BO112" s="697">
        <v>826.851</v>
      </c>
    </row>
    <row r="113" spans="1:95" ht="15" customHeight="1" x14ac:dyDescent="0.2">
      <c r="A113" s="697">
        <v>4828</v>
      </c>
      <c r="B113" s="697" t="s">
        <v>1412</v>
      </c>
      <c r="C113" s="698" t="s">
        <v>932</v>
      </c>
      <c r="D113" s="699" t="s">
        <v>661</v>
      </c>
      <c r="E113" s="700">
        <f t="shared" si="13"/>
        <v>344916</v>
      </c>
      <c r="F113" s="700">
        <v>513000</v>
      </c>
      <c r="G113" s="701">
        <f t="shared" si="16"/>
        <v>857916</v>
      </c>
      <c r="H113" s="698" t="s">
        <v>10</v>
      </c>
      <c r="I113" s="699" t="s">
        <v>1416</v>
      </c>
      <c r="J113" s="699" t="s">
        <v>1412</v>
      </c>
      <c r="K113" s="699" t="s">
        <v>199</v>
      </c>
      <c r="L113" s="699" t="s">
        <v>1412</v>
      </c>
      <c r="M113" s="702">
        <v>131</v>
      </c>
      <c r="N113" s="702">
        <v>0.92900000000000005</v>
      </c>
      <c r="O113" s="702">
        <v>0.95199999999999996</v>
      </c>
      <c r="P113" s="702">
        <v>0.92500000000000004</v>
      </c>
      <c r="Q113" s="702">
        <v>0.95199999999999996</v>
      </c>
      <c r="R113" s="702">
        <v>1110031</v>
      </c>
      <c r="S113" s="702">
        <v>990000</v>
      </c>
      <c r="T113" s="7">
        <f t="shared" si="11"/>
        <v>330234.22249999997</v>
      </c>
      <c r="U113" s="702">
        <v>578100</v>
      </c>
      <c r="V113" s="702">
        <v>411900</v>
      </c>
      <c r="W113" s="702">
        <v>5774</v>
      </c>
      <c r="X113" s="702">
        <v>843234.22250000003</v>
      </c>
      <c r="Y113" s="702">
        <v>330234.22249999997</v>
      </c>
      <c r="Z113" s="702">
        <v>513000</v>
      </c>
      <c r="AA113" s="702">
        <v>477000</v>
      </c>
      <c r="AB113" s="702">
        <v>0</v>
      </c>
      <c r="AC113" s="702">
        <v>477000</v>
      </c>
      <c r="AD113" s="702">
        <v>513000</v>
      </c>
      <c r="AE113" s="702">
        <v>0</v>
      </c>
      <c r="AF113" s="702">
        <v>477000</v>
      </c>
      <c r="AG113" s="702">
        <v>0</v>
      </c>
      <c r="AH113" s="702">
        <v>1474000</v>
      </c>
      <c r="AI113" s="702">
        <v>779000</v>
      </c>
      <c r="AJ113" s="698" t="s">
        <v>908</v>
      </c>
      <c r="AK113" s="698" t="s">
        <v>909</v>
      </c>
      <c r="AL113" s="699" t="s">
        <v>1416</v>
      </c>
      <c r="AM113" s="698" t="s">
        <v>10</v>
      </c>
      <c r="AN113" s="699" t="s">
        <v>661</v>
      </c>
      <c r="AO113" s="699">
        <v>843234.22249999992</v>
      </c>
      <c r="AP113" s="703">
        <f t="shared" si="17"/>
        <v>925.5018</v>
      </c>
      <c r="AQ113" s="703">
        <f t="shared" si="12"/>
        <v>926.5018</v>
      </c>
      <c r="AR113" s="697">
        <v>329</v>
      </c>
      <c r="AS113" s="697">
        <v>779</v>
      </c>
      <c r="AT113" s="697">
        <v>394</v>
      </c>
      <c r="AU113" s="697">
        <v>0</v>
      </c>
      <c r="AV113" s="697">
        <v>0</v>
      </c>
      <c r="AW113" s="697">
        <v>0</v>
      </c>
      <c r="AX113" s="697">
        <v>0</v>
      </c>
      <c r="AY113" s="697">
        <v>0</v>
      </c>
      <c r="AZ113" s="697">
        <v>25</v>
      </c>
      <c r="BA113" s="697">
        <v>67</v>
      </c>
      <c r="BB113" s="697">
        <v>1</v>
      </c>
      <c r="BC113" s="697">
        <v>0</v>
      </c>
      <c r="BD113" s="697">
        <v>36</v>
      </c>
      <c r="BE113" s="697">
        <v>3</v>
      </c>
      <c r="BF113" s="697">
        <v>0</v>
      </c>
      <c r="BG113" s="697">
        <v>0</v>
      </c>
      <c r="BH113" s="697">
        <v>110</v>
      </c>
      <c r="BI113" s="697">
        <v>0</v>
      </c>
      <c r="BJ113" s="697">
        <v>0</v>
      </c>
      <c r="BK113" s="697">
        <v>0</v>
      </c>
      <c r="BL113" s="697">
        <v>0</v>
      </c>
      <c r="BM113" s="697">
        <v>0</v>
      </c>
      <c r="BN113" s="697">
        <v>0</v>
      </c>
      <c r="BO113" s="697">
        <v>315.01799999999997</v>
      </c>
    </row>
    <row r="114" spans="1:95" ht="15" customHeight="1" x14ac:dyDescent="0.2">
      <c r="A114" s="697">
        <v>2356</v>
      </c>
      <c r="B114" s="697" t="s">
        <v>1412</v>
      </c>
      <c r="C114" s="698" t="s">
        <v>200</v>
      </c>
      <c r="D114" s="699" t="s">
        <v>200</v>
      </c>
      <c r="E114" s="700">
        <f t="shared" si="13"/>
        <v>225628.7176</v>
      </c>
      <c r="F114" s="700">
        <v>0</v>
      </c>
      <c r="G114" s="701">
        <f t="shared" si="16"/>
        <v>225628.7176</v>
      </c>
      <c r="H114" s="698" t="s">
        <v>10</v>
      </c>
      <c r="I114" s="699" t="s">
        <v>1416</v>
      </c>
      <c r="J114" s="699" t="s">
        <v>1412</v>
      </c>
      <c r="K114" s="699" t="s">
        <v>202</v>
      </c>
      <c r="L114" s="699" t="s">
        <v>10</v>
      </c>
      <c r="M114" s="702">
        <v>81</v>
      </c>
      <c r="N114" s="702">
        <v>0.82499999999999996</v>
      </c>
      <c r="O114" s="702">
        <v>0.88600000000000001</v>
      </c>
      <c r="P114" s="702">
        <v>0.83499999999999996</v>
      </c>
      <c r="Q114" s="702">
        <v>0.86</v>
      </c>
      <c r="R114" s="702">
        <v>720389</v>
      </c>
      <c r="S114" s="702">
        <v>647614</v>
      </c>
      <c r="T114" s="7">
        <f t="shared" si="11"/>
        <v>214315.72749999998</v>
      </c>
      <c r="U114" s="702">
        <v>437360</v>
      </c>
      <c r="V114" s="702">
        <v>210254</v>
      </c>
      <c r="W114" s="702">
        <v>3404</v>
      </c>
      <c r="X114" s="702">
        <v>0</v>
      </c>
      <c r="Y114" s="702">
        <v>0</v>
      </c>
      <c r="Z114" s="702">
        <v>0</v>
      </c>
      <c r="AA114" s="702">
        <v>861929.72750000004</v>
      </c>
      <c r="AB114" s="702">
        <v>214315.72750000001</v>
      </c>
      <c r="AC114" s="702">
        <v>647614</v>
      </c>
      <c r="AD114" s="702">
        <v>0</v>
      </c>
      <c r="AE114" s="702">
        <v>0</v>
      </c>
      <c r="AF114" s="702">
        <v>647614</v>
      </c>
      <c r="AG114" s="702">
        <v>0</v>
      </c>
      <c r="AH114" s="702">
        <v>335000</v>
      </c>
      <c r="AI114" s="702">
        <v>290000</v>
      </c>
      <c r="AJ114" s="698" t="s">
        <v>900</v>
      </c>
      <c r="AK114" s="698" t="s">
        <v>901</v>
      </c>
      <c r="AL114" s="699" t="s">
        <v>1416</v>
      </c>
      <c r="AM114" s="698" t="s">
        <v>10</v>
      </c>
      <c r="AN114" s="699" t="s">
        <v>200</v>
      </c>
      <c r="AO114" s="699">
        <v>214315.72750000001</v>
      </c>
      <c r="AP114" s="703">
        <f t="shared" si="17"/>
        <v>192.48750000000001</v>
      </c>
      <c r="AQ114" s="703">
        <f t="shared" si="12"/>
        <v>201.48750000000001</v>
      </c>
      <c r="AR114" s="697">
        <v>66</v>
      </c>
      <c r="AS114" s="697">
        <v>290</v>
      </c>
      <c r="AT114" s="697">
        <v>78</v>
      </c>
      <c r="AU114" s="697">
        <v>0</v>
      </c>
      <c r="AV114" s="697">
        <v>0</v>
      </c>
      <c r="AW114" s="697">
        <v>0</v>
      </c>
      <c r="AX114" s="697">
        <v>0</v>
      </c>
      <c r="AY114" s="697">
        <v>0</v>
      </c>
      <c r="AZ114" s="697">
        <v>0</v>
      </c>
      <c r="BA114" s="697">
        <v>22</v>
      </c>
      <c r="BB114" s="697">
        <v>9</v>
      </c>
      <c r="BC114" s="697">
        <v>0</v>
      </c>
      <c r="BD114" s="697">
        <v>0</v>
      </c>
      <c r="BE114" s="697">
        <v>0</v>
      </c>
      <c r="BF114" s="697">
        <v>0</v>
      </c>
      <c r="BG114" s="697">
        <v>0</v>
      </c>
      <c r="BH114" s="697">
        <v>0</v>
      </c>
      <c r="BI114" s="697">
        <v>0</v>
      </c>
      <c r="BJ114" s="697">
        <v>0</v>
      </c>
      <c r="BK114" s="697">
        <v>0</v>
      </c>
      <c r="BL114" s="697">
        <v>0</v>
      </c>
      <c r="BM114" s="697">
        <v>0</v>
      </c>
      <c r="BN114" s="697">
        <v>3358</v>
      </c>
      <c r="BO114" s="697">
        <v>451.29500000000002</v>
      </c>
    </row>
    <row r="115" spans="1:95" ht="15" customHeight="1" x14ac:dyDescent="0.2">
      <c r="A115" s="697">
        <v>2380</v>
      </c>
      <c r="B115" s="697" t="s">
        <v>1412</v>
      </c>
      <c r="C115" s="698" t="s">
        <v>933</v>
      </c>
      <c r="D115" s="699" t="s">
        <v>672</v>
      </c>
      <c r="E115" s="700">
        <f t="shared" si="13"/>
        <v>384720.00319999998</v>
      </c>
      <c r="F115" s="700">
        <v>637927</v>
      </c>
      <c r="G115" s="701">
        <f t="shared" si="16"/>
        <v>1022647.0031999999</v>
      </c>
      <c r="H115" s="698" t="s">
        <v>1417</v>
      </c>
      <c r="I115" s="699" t="s">
        <v>1416</v>
      </c>
      <c r="J115" s="699" t="s">
        <v>1412</v>
      </c>
      <c r="K115" s="699" t="s">
        <v>205</v>
      </c>
      <c r="L115" s="699" t="s">
        <v>1412</v>
      </c>
      <c r="M115" s="702">
        <v>162</v>
      </c>
      <c r="N115" s="702">
        <v>0.83499999999999996</v>
      </c>
      <c r="O115" s="702">
        <v>0.86399999999999999</v>
      </c>
      <c r="P115" s="702">
        <v>0.93400000000000005</v>
      </c>
      <c r="Q115" s="702">
        <v>0.92600000000000005</v>
      </c>
      <c r="R115" s="702">
        <v>1118115</v>
      </c>
      <c r="S115" s="702">
        <v>1104248</v>
      </c>
      <c r="T115" s="7">
        <f t="shared" si="11"/>
        <v>332639.21249999997</v>
      </c>
      <c r="U115" s="702">
        <v>690636</v>
      </c>
      <c r="V115" s="702">
        <v>413612</v>
      </c>
      <c r="W115" s="702">
        <v>6500</v>
      </c>
      <c r="X115" s="702">
        <v>970566.21250000002</v>
      </c>
      <c r="Y115" s="702">
        <v>332639.21250000002</v>
      </c>
      <c r="Z115" s="702">
        <v>637927</v>
      </c>
      <c r="AA115" s="702">
        <v>466321</v>
      </c>
      <c r="AB115" s="702">
        <v>0</v>
      </c>
      <c r="AC115" s="702">
        <v>466321</v>
      </c>
      <c r="AD115" s="702">
        <v>637927</v>
      </c>
      <c r="AE115" s="702">
        <v>0</v>
      </c>
      <c r="AF115" s="702">
        <v>466321</v>
      </c>
      <c r="AG115" s="702">
        <v>0</v>
      </c>
      <c r="AH115" s="702">
        <v>749000</v>
      </c>
      <c r="AI115" s="702">
        <v>596000</v>
      </c>
      <c r="AJ115" s="698" t="s">
        <v>900</v>
      </c>
      <c r="AK115" s="698" t="s">
        <v>905</v>
      </c>
      <c r="AL115" s="699" t="s">
        <v>1416</v>
      </c>
      <c r="AM115" s="698" t="s">
        <v>1417</v>
      </c>
      <c r="AN115" s="699" t="s">
        <v>672</v>
      </c>
      <c r="AO115" s="699">
        <v>970566.21250000002</v>
      </c>
      <c r="AP115" s="703">
        <f t="shared" si="17"/>
        <v>546.553</v>
      </c>
      <c r="AQ115" s="703">
        <f t="shared" si="12"/>
        <v>627.553</v>
      </c>
      <c r="AR115" s="697">
        <v>207</v>
      </c>
      <c r="AS115" s="697">
        <v>596</v>
      </c>
      <c r="AT115" s="697">
        <v>109</v>
      </c>
      <c r="AU115" s="697">
        <v>1</v>
      </c>
      <c r="AV115" s="697">
        <v>9</v>
      </c>
      <c r="AW115" s="697">
        <v>23</v>
      </c>
      <c r="AX115" s="697">
        <v>2</v>
      </c>
      <c r="AY115" s="697">
        <v>0</v>
      </c>
      <c r="AZ115" s="697">
        <v>31</v>
      </c>
      <c r="BA115" s="697">
        <v>58</v>
      </c>
      <c r="BB115" s="697">
        <v>70</v>
      </c>
      <c r="BC115" s="697">
        <v>11</v>
      </c>
      <c r="BD115" s="697">
        <v>77</v>
      </c>
      <c r="BE115" s="697">
        <v>0</v>
      </c>
      <c r="BF115" s="697">
        <v>0</v>
      </c>
      <c r="BG115" s="697">
        <v>0</v>
      </c>
      <c r="BH115" s="697">
        <v>61</v>
      </c>
      <c r="BI115" s="697">
        <v>0</v>
      </c>
      <c r="BJ115" s="697">
        <v>0</v>
      </c>
      <c r="BK115" s="697">
        <v>0</v>
      </c>
      <c r="BL115" s="697">
        <v>49553</v>
      </c>
      <c r="BM115" s="697">
        <v>0</v>
      </c>
      <c r="BN115" s="697">
        <v>0</v>
      </c>
      <c r="BO115" s="697">
        <v>0</v>
      </c>
    </row>
    <row r="116" spans="1:95" ht="15" customHeight="1" x14ac:dyDescent="0.2">
      <c r="A116" s="697">
        <v>2518</v>
      </c>
      <c r="B116" s="697" t="s">
        <v>1412</v>
      </c>
      <c r="C116" s="698" t="s">
        <v>206</v>
      </c>
      <c r="D116" s="699" t="s">
        <v>206</v>
      </c>
      <c r="E116" s="700">
        <f t="shared" si="13"/>
        <v>191745.424</v>
      </c>
      <c r="F116" s="700">
        <v>0</v>
      </c>
      <c r="G116" s="701">
        <f t="shared" si="16"/>
        <v>191745.424</v>
      </c>
      <c r="H116" s="698" t="s">
        <v>10</v>
      </c>
      <c r="I116" s="699" t="s">
        <v>1416</v>
      </c>
      <c r="J116" s="699" t="s">
        <v>1412</v>
      </c>
      <c r="K116" s="699" t="s">
        <v>1545</v>
      </c>
      <c r="L116" s="699" t="s">
        <v>10</v>
      </c>
      <c r="M116" s="702">
        <v>93</v>
      </c>
      <c r="N116" s="702">
        <v>0.75600000000000001</v>
      </c>
      <c r="O116" s="702">
        <v>0.748</v>
      </c>
      <c r="P116" s="702">
        <v>0.76300000000000001</v>
      </c>
      <c r="Q116" s="702">
        <v>0.81799999999999995</v>
      </c>
      <c r="R116" s="702">
        <v>665063</v>
      </c>
      <c r="S116" s="702">
        <v>550360</v>
      </c>
      <c r="T116" s="7">
        <f t="shared" si="11"/>
        <v>197856.24249999999</v>
      </c>
      <c r="U116" s="702">
        <v>312920</v>
      </c>
      <c r="V116" s="702">
        <v>237440</v>
      </c>
      <c r="W116" s="702">
        <v>3600</v>
      </c>
      <c r="X116" s="702">
        <v>0</v>
      </c>
      <c r="Y116" s="702">
        <v>0</v>
      </c>
      <c r="Z116" s="702">
        <v>0</v>
      </c>
      <c r="AA116" s="702">
        <v>748216.24250000005</v>
      </c>
      <c r="AB116" s="702">
        <v>197856.24249999999</v>
      </c>
      <c r="AC116" s="702">
        <v>550360</v>
      </c>
      <c r="AD116" s="702">
        <v>0</v>
      </c>
      <c r="AE116" s="702">
        <v>0</v>
      </c>
      <c r="AF116" s="702">
        <v>550360</v>
      </c>
      <c r="AG116" s="702">
        <v>0</v>
      </c>
      <c r="AH116" s="702">
        <v>358000</v>
      </c>
      <c r="AI116" s="702">
        <v>382000</v>
      </c>
      <c r="AJ116" s="698">
        <v>4</v>
      </c>
      <c r="AK116" s="698" t="s">
        <v>899</v>
      </c>
      <c r="AL116" s="699" t="s">
        <v>1416</v>
      </c>
      <c r="AM116" s="698" t="s">
        <v>10</v>
      </c>
      <c r="AN116" s="699" t="s">
        <v>206</v>
      </c>
      <c r="AO116" s="699">
        <v>197856.24249999999</v>
      </c>
      <c r="AP116" s="703">
        <f t="shared" si="17"/>
        <v>216.03200000000001</v>
      </c>
      <c r="AQ116" s="703">
        <f t="shared" si="12"/>
        <v>232.03200000000001</v>
      </c>
      <c r="AR116" s="697">
        <v>84</v>
      </c>
      <c r="AS116" s="697">
        <v>382</v>
      </c>
      <c r="AT116" s="697">
        <v>80</v>
      </c>
      <c r="AU116" s="697">
        <v>39</v>
      </c>
      <c r="AV116" s="697">
        <v>0</v>
      </c>
      <c r="AW116" s="697">
        <v>0</v>
      </c>
      <c r="AX116" s="697">
        <v>0</v>
      </c>
      <c r="AY116" s="697">
        <v>4</v>
      </c>
      <c r="AZ116" s="697">
        <v>0</v>
      </c>
      <c r="BA116" s="697">
        <v>9</v>
      </c>
      <c r="BB116" s="697">
        <v>15</v>
      </c>
      <c r="BC116" s="697">
        <v>1</v>
      </c>
      <c r="BD116" s="697">
        <v>0</v>
      </c>
      <c r="BE116" s="697">
        <v>0</v>
      </c>
      <c r="BF116" s="697">
        <v>0</v>
      </c>
      <c r="BG116" s="697">
        <v>0</v>
      </c>
      <c r="BH116" s="697">
        <v>0</v>
      </c>
      <c r="BI116" s="697">
        <v>0</v>
      </c>
      <c r="BJ116" s="697">
        <v>0</v>
      </c>
      <c r="BK116" s="697">
        <v>0</v>
      </c>
      <c r="BL116" s="697">
        <v>9032</v>
      </c>
      <c r="BM116" s="697">
        <v>0</v>
      </c>
      <c r="BN116" s="697">
        <v>0</v>
      </c>
      <c r="BO116" s="697">
        <v>0</v>
      </c>
    </row>
    <row r="117" spans="1:95" ht="15" customHeight="1" x14ac:dyDescent="0.2">
      <c r="A117" s="697">
        <v>9605</v>
      </c>
      <c r="B117" s="697" t="s">
        <v>1412</v>
      </c>
      <c r="C117" s="698" t="s">
        <v>207</v>
      </c>
      <c r="D117" s="699" t="s">
        <v>207</v>
      </c>
      <c r="E117" s="700">
        <f t="shared" si="13"/>
        <v>75812.185400000002</v>
      </c>
      <c r="F117" s="700">
        <v>0</v>
      </c>
      <c r="G117" s="701">
        <f t="shared" si="16"/>
        <v>75812.185400000002</v>
      </c>
      <c r="H117" s="698" t="s">
        <v>10</v>
      </c>
      <c r="I117" s="699" t="s">
        <v>1512</v>
      </c>
      <c r="J117" s="699" t="s">
        <v>1412</v>
      </c>
      <c r="K117" s="699" t="s">
        <v>209</v>
      </c>
      <c r="L117" s="699" t="s">
        <v>10</v>
      </c>
      <c r="M117" s="702">
        <v>26</v>
      </c>
      <c r="N117" s="702">
        <v>0.76500000000000001</v>
      </c>
      <c r="O117" s="702">
        <v>0.76500000000000001</v>
      </c>
      <c r="P117" s="702">
        <v>0.77200000000000002</v>
      </c>
      <c r="Q117" s="702">
        <v>0.38800000000000001</v>
      </c>
      <c r="R117" s="702">
        <v>0</v>
      </c>
      <c r="S117" s="702">
        <v>390986</v>
      </c>
      <c r="T117" s="7">
        <f t="shared" si="11"/>
        <v>75812.185400000002</v>
      </c>
      <c r="U117" s="702">
        <v>306158</v>
      </c>
      <c r="V117" s="702">
        <v>84828</v>
      </c>
      <c r="W117" s="702">
        <v>2000</v>
      </c>
      <c r="X117" s="702">
        <v>0</v>
      </c>
      <c r="Y117" s="702">
        <v>0</v>
      </c>
      <c r="Z117" s="702">
        <v>0</v>
      </c>
      <c r="AA117" s="702">
        <v>466798.18540000002</v>
      </c>
      <c r="AB117" s="702">
        <v>75812.185400000002</v>
      </c>
      <c r="AC117" s="702">
        <v>390986</v>
      </c>
      <c r="AD117" s="702">
        <v>0</v>
      </c>
      <c r="AE117" s="702">
        <v>0</v>
      </c>
      <c r="AF117" s="702">
        <v>390986</v>
      </c>
      <c r="AG117" s="702">
        <v>0</v>
      </c>
      <c r="AH117" s="702">
        <v>100000</v>
      </c>
      <c r="AI117" s="702">
        <v>123000</v>
      </c>
      <c r="AJ117" s="698" t="s">
        <v>900</v>
      </c>
      <c r="AK117" s="698" t="s">
        <v>901</v>
      </c>
      <c r="AL117" s="699" t="s">
        <v>1512</v>
      </c>
      <c r="AM117" s="698" t="s">
        <v>10</v>
      </c>
      <c r="AN117" s="699" t="s">
        <v>207</v>
      </c>
      <c r="AO117" s="699">
        <v>75812.185400000002</v>
      </c>
      <c r="AP117" s="703">
        <f t="shared" si="17"/>
        <v>10.320600000000001</v>
      </c>
      <c r="AQ117" s="703">
        <f t="shared" si="12"/>
        <v>22.320599999999999</v>
      </c>
      <c r="AR117" s="697">
        <v>0</v>
      </c>
      <c r="AS117" s="697">
        <v>123</v>
      </c>
      <c r="AT117" s="697">
        <v>7</v>
      </c>
      <c r="AU117" s="697">
        <v>0</v>
      </c>
      <c r="AV117" s="697">
        <v>0</v>
      </c>
      <c r="AW117" s="697">
        <v>0</v>
      </c>
      <c r="AX117" s="697">
        <v>0</v>
      </c>
      <c r="AY117" s="697">
        <v>0</v>
      </c>
      <c r="AZ117" s="697">
        <v>0</v>
      </c>
      <c r="BA117" s="697">
        <v>0</v>
      </c>
      <c r="BB117" s="697">
        <v>12</v>
      </c>
      <c r="BC117" s="697">
        <v>0</v>
      </c>
      <c r="BD117" s="697">
        <v>0</v>
      </c>
      <c r="BE117" s="697">
        <v>0</v>
      </c>
      <c r="BF117" s="697">
        <v>0</v>
      </c>
      <c r="BG117" s="697">
        <v>0</v>
      </c>
      <c r="BH117" s="697">
        <v>0</v>
      </c>
      <c r="BI117" s="697">
        <v>0</v>
      </c>
      <c r="BJ117" s="697">
        <v>0</v>
      </c>
      <c r="BK117" s="697">
        <v>0</v>
      </c>
      <c r="BL117" s="697">
        <v>0</v>
      </c>
      <c r="BM117" s="697">
        <v>0</v>
      </c>
      <c r="BN117" s="697">
        <v>0</v>
      </c>
      <c r="BO117" s="697">
        <v>33.206000000000003</v>
      </c>
    </row>
    <row r="118" spans="1:95" s="752" customFormat="1" ht="15" customHeight="1" x14ac:dyDescent="0.2">
      <c r="A118" s="697">
        <v>2631</v>
      </c>
      <c r="B118" s="697" t="s">
        <v>1412</v>
      </c>
      <c r="C118" s="698" t="s">
        <v>934</v>
      </c>
      <c r="D118" s="699" t="s">
        <v>934</v>
      </c>
      <c r="E118" s="700" t="b">
        <f t="shared" si="13"/>
        <v>0</v>
      </c>
      <c r="F118" s="700">
        <v>0</v>
      </c>
      <c r="G118" s="701">
        <f t="shared" si="16"/>
        <v>0</v>
      </c>
      <c r="H118" s="698" t="s">
        <v>1417</v>
      </c>
      <c r="I118" s="699" t="s">
        <v>1416</v>
      </c>
      <c r="J118" s="699" t="s">
        <v>1412</v>
      </c>
      <c r="K118" s="699" t="s">
        <v>211</v>
      </c>
      <c r="L118" s="699" t="s">
        <v>1412</v>
      </c>
      <c r="M118" s="702">
        <v>333</v>
      </c>
      <c r="N118" s="702">
        <v>0.94799999999999995</v>
      </c>
      <c r="O118" s="702">
        <v>0.94899999999999995</v>
      </c>
      <c r="P118" s="702">
        <v>0.92</v>
      </c>
      <c r="Q118" s="702">
        <v>0.86799999999999999</v>
      </c>
      <c r="R118" s="702">
        <v>0</v>
      </c>
      <c r="S118" s="702">
        <v>2574525</v>
      </c>
      <c r="T118" s="7">
        <f t="shared" si="11"/>
        <v>896964.51</v>
      </c>
      <c r="U118" s="702">
        <v>884036</v>
      </c>
      <c r="V118" s="702">
        <v>1690489</v>
      </c>
      <c r="W118" s="702">
        <v>12500</v>
      </c>
      <c r="X118" s="702">
        <v>2215000</v>
      </c>
      <c r="Y118" s="702">
        <v>0</v>
      </c>
      <c r="Z118" s="702">
        <v>0</v>
      </c>
      <c r="AA118" s="702">
        <v>2587453.5099999998</v>
      </c>
      <c r="AB118" s="702">
        <v>0</v>
      </c>
      <c r="AC118" s="702">
        <v>0</v>
      </c>
      <c r="AD118" s="702">
        <v>2215000</v>
      </c>
      <c r="AE118" s="702">
        <v>0</v>
      </c>
      <c r="AF118" s="702">
        <v>2587453.5099999998</v>
      </c>
      <c r="AG118" s="702">
        <v>0</v>
      </c>
      <c r="AH118" s="702">
        <v>0</v>
      </c>
      <c r="AI118" s="702">
        <v>0</v>
      </c>
      <c r="AJ118" s="698">
        <v>4</v>
      </c>
      <c r="AK118" s="698" t="s">
        <v>921</v>
      </c>
      <c r="AL118" s="699" t="s">
        <v>1416</v>
      </c>
      <c r="AM118" s="698" t="s">
        <v>1417</v>
      </c>
      <c r="AN118" s="699" t="s">
        <v>673</v>
      </c>
      <c r="AO118" s="699">
        <v>0</v>
      </c>
      <c r="AP118" s="703">
        <f t="shared" si="17"/>
        <v>0</v>
      </c>
      <c r="AQ118" s="703">
        <f t="shared" si="12"/>
        <v>0</v>
      </c>
      <c r="AR118" s="723">
        <v>0</v>
      </c>
      <c r="AS118" s="723">
        <v>0</v>
      </c>
      <c r="AT118" s="723">
        <v>0</v>
      </c>
      <c r="AU118" s="723">
        <v>0</v>
      </c>
      <c r="AV118" s="697">
        <v>0</v>
      </c>
      <c r="AW118" s="697">
        <v>0</v>
      </c>
      <c r="AX118" s="697">
        <v>0</v>
      </c>
      <c r="AY118" s="697">
        <v>0</v>
      </c>
      <c r="AZ118" s="723">
        <v>0</v>
      </c>
      <c r="BA118" s="723">
        <v>0</v>
      </c>
      <c r="BB118" s="723">
        <v>0</v>
      </c>
      <c r="BC118" s="723">
        <v>0</v>
      </c>
      <c r="BD118" s="697">
        <v>0</v>
      </c>
      <c r="BE118" s="697">
        <v>0</v>
      </c>
      <c r="BF118" s="697">
        <v>0</v>
      </c>
      <c r="BG118" s="697">
        <v>0</v>
      </c>
      <c r="BH118" s="697">
        <v>0</v>
      </c>
      <c r="BI118" s="697">
        <v>0</v>
      </c>
      <c r="BJ118" s="697">
        <v>0</v>
      </c>
      <c r="BK118" s="697">
        <v>0</v>
      </c>
      <c r="BL118" s="697">
        <v>0</v>
      </c>
      <c r="BM118" s="697">
        <v>0</v>
      </c>
      <c r="BN118" s="697">
        <v>0</v>
      </c>
      <c r="BO118" s="697">
        <v>0</v>
      </c>
    </row>
    <row r="119" spans="1:95" s="724" customFormat="1" ht="15" customHeight="1" x14ac:dyDescent="0.2">
      <c r="A119" s="715">
        <v>4852</v>
      </c>
      <c r="B119" s="715"/>
      <c r="C119" s="716" t="s">
        <v>935</v>
      </c>
      <c r="D119" s="706" t="s">
        <v>935</v>
      </c>
      <c r="E119" s="700" t="e">
        <f t="shared" si="13"/>
        <v>#VALUE!</v>
      </c>
      <c r="F119" s="707" t="s">
        <v>10</v>
      </c>
      <c r="G119" s="701" t="e">
        <f t="shared" si="16"/>
        <v>#VALUE!</v>
      </c>
      <c r="H119" s="705" t="s">
        <v>1417</v>
      </c>
      <c r="I119" s="706" t="s">
        <v>1416</v>
      </c>
      <c r="J119" s="706" t="s">
        <v>10</v>
      </c>
      <c r="K119" s="706" t="s">
        <v>10</v>
      </c>
      <c r="L119" s="706" t="s">
        <v>10</v>
      </c>
      <c r="M119" s="708" t="s">
        <v>10</v>
      </c>
      <c r="N119" s="708" t="s">
        <v>10</v>
      </c>
      <c r="O119" s="708" t="s">
        <v>10</v>
      </c>
      <c r="P119" s="708" t="s">
        <v>10</v>
      </c>
      <c r="Q119" s="708" t="s">
        <v>10</v>
      </c>
      <c r="R119" s="708" t="s">
        <v>10</v>
      </c>
      <c r="S119" s="708">
        <v>129152</v>
      </c>
      <c r="T119" s="7" t="e">
        <f t="shared" si="11"/>
        <v>#VALUE!</v>
      </c>
      <c r="U119" s="708" t="s">
        <v>10</v>
      </c>
      <c r="V119" s="708" t="s">
        <v>10</v>
      </c>
      <c r="W119" s="708" t="s">
        <v>10</v>
      </c>
      <c r="X119" s="708" t="s">
        <v>10</v>
      </c>
      <c r="Y119" s="708" t="s">
        <v>10</v>
      </c>
      <c r="Z119" s="708" t="s">
        <v>10</v>
      </c>
      <c r="AA119" s="708" t="s">
        <v>10</v>
      </c>
      <c r="AB119" s="708" t="s">
        <v>10</v>
      </c>
      <c r="AC119" s="708" t="s">
        <v>10</v>
      </c>
      <c r="AD119" s="708" t="s">
        <v>10</v>
      </c>
      <c r="AE119" s="708" t="s">
        <v>10</v>
      </c>
      <c r="AF119" s="708" t="s">
        <v>10</v>
      </c>
      <c r="AG119" s="708" t="s">
        <v>10</v>
      </c>
      <c r="AH119" s="708" t="s">
        <v>10</v>
      </c>
      <c r="AI119" s="708" t="s">
        <v>10</v>
      </c>
      <c r="AJ119" s="705" t="s">
        <v>900</v>
      </c>
      <c r="AK119" s="705" t="s">
        <v>905</v>
      </c>
      <c r="AL119" s="709" t="s">
        <v>1416</v>
      </c>
      <c r="AM119" s="705" t="s">
        <v>1417</v>
      </c>
      <c r="AN119" s="718" t="s">
        <v>935</v>
      </c>
      <c r="AO119" s="718">
        <v>0</v>
      </c>
      <c r="AP119" s="719">
        <v>0</v>
      </c>
      <c r="AQ119" s="703">
        <f t="shared" si="12"/>
        <v>141</v>
      </c>
      <c r="AR119" s="722">
        <v>0</v>
      </c>
      <c r="AS119" s="722">
        <v>0</v>
      </c>
      <c r="AT119" s="722">
        <v>0</v>
      </c>
      <c r="AU119" s="722">
        <v>0</v>
      </c>
      <c r="AV119" s="722">
        <v>0</v>
      </c>
      <c r="AW119" s="722">
        <v>0</v>
      </c>
      <c r="AX119" s="722">
        <v>0</v>
      </c>
      <c r="AY119" s="722">
        <v>0</v>
      </c>
      <c r="AZ119" s="747">
        <v>0</v>
      </c>
      <c r="BA119" s="747">
        <v>0</v>
      </c>
      <c r="BB119" s="747">
        <v>21</v>
      </c>
      <c r="BC119" s="747">
        <v>0</v>
      </c>
      <c r="BD119" s="747">
        <v>60</v>
      </c>
      <c r="BE119" s="747">
        <v>0</v>
      </c>
      <c r="BF119" s="747">
        <v>0</v>
      </c>
      <c r="BG119" s="747">
        <v>0</v>
      </c>
      <c r="BH119" s="784">
        <v>60</v>
      </c>
      <c r="BI119" s="784">
        <v>0</v>
      </c>
      <c r="BJ119" s="784">
        <v>0</v>
      </c>
      <c r="BK119" s="784">
        <v>0</v>
      </c>
      <c r="BL119" s="722">
        <v>0</v>
      </c>
      <c r="BM119" s="722">
        <v>0</v>
      </c>
      <c r="BN119" s="722">
        <v>0</v>
      </c>
      <c r="BO119" s="722">
        <v>0</v>
      </c>
      <c r="BP119" s="392"/>
      <c r="BQ119" s="392"/>
      <c r="BR119" s="392"/>
      <c r="BS119" s="392"/>
      <c r="BT119" s="392"/>
      <c r="BU119" s="392"/>
      <c r="BV119" s="392"/>
      <c r="BW119" s="392"/>
      <c r="BX119" s="392"/>
      <c r="BY119" s="392"/>
      <c r="BZ119" s="392"/>
      <c r="CA119" s="392"/>
      <c r="CB119" s="392"/>
      <c r="CC119" s="392"/>
      <c r="CD119" s="392"/>
      <c r="CE119" s="392"/>
      <c r="CF119" s="392"/>
      <c r="CG119" s="392"/>
      <c r="CH119" s="392"/>
      <c r="CI119" s="392"/>
      <c r="CJ119" s="392"/>
      <c r="CK119" s="392"/>
      <c r="CL119" s="392"/>
      <c r="CM119" s="392"/>
      <c r="CN119" s="392"/>
      <c r="CO119" s="392"/>
      <c r="CP119" s="392"/>
      <c r="CQ119" s="392"/>
    </row>
    <row r="120" spans="1:95" s="752" customFormat="1" ht="15" customHeight="1" x14ac:dyDescent="0.2">
      <c r="A120" s="704">
        <v>4855</v>
      </c>
      <c r="B120" s="704"/>
      <c r="C120" s="705" t="s">
        <v>936</v>
      </c>
      <c r="D120" s="706" t="s">
        <v>935</v>
      </c>
      <c r="E120" s="700" t="e">
        <f t="shared" si="13"/>
        <v>#VALUE!</v>
      </c>
      <c r="F120" s="707" t="s">
        <v>10</v>
      </c>
      <c r="G120" s="701" t="e">
        <f t="shared" si="16"/>
        <v>#VALUE!</v>
      </c>
      <c r="H120" s="705" t="s">
        <v>1417</v>
      </c>
      <c r="I120" s="706" t="s">
        <v>1512</v>
      </c>
      <c r="J120" s="706" t="s">
        <v>10</v>
      </c>
      <c r="K120" s="706" t="s">
        <v>10</v>
      </c>
      <c r="L120" s="706" t="s">
        <v>10</v>
      </c>
      <c r="M120" s="708" t="s">
        <v>10</v>
      </c>
      <c r="N120" s="708" t="s">
        <v>10</v>
      </c>
      <c r="O120" s="708" t="s">
        <v>10</v>
      </c>
      <c r="P120" s="708" t="s">
        <v>10</v>
      </c>
      <c r="Q120" s="708" t="s">
        <v>10</v>
      </c>
      <c r="R120" s="708" t="s">
        <v>10</v>
      </c>
      <c r="S120" s="708" t="s">
        <v>10</v>
      </c>
      <c r="T120" s="7" t="e">
        <f t="shared" si="11"/>
        <v>#VALUE!</v>
      </c>
      <c r="U120" s="708" t="s">
        <v>10</v>
      </c>
      <c r="V120" s="708" t="s">
        <v>10</v>
      </c>
      <c r="W120" s="708" t="s">
        <v>10</v>
      </c>
      <c r="X120" s="708" t="s">
        <v>10</v>
      </c>
      <c r="Y120" s="708" t="s">
        <v>10</v>
      </c>
      <c r="Z120" s="708" t="s">
        <v>10</v>
      </c>
      <c r="AA120" s="708" t="s">
        <v>10</v>
      </c>
      <c r="AB120" s="708" t="s">
        <v>10</v>
      </c>
      <c r="AC120" s="708" t="s">
        <v>10</v>
      </c>
      <c r="AD120" s="708" t="s">
        <v>10</v>
      </c>
      <c r="AE120" s="708" t="s">
        <v>10</v>
      </c>
      <c r="AF120" s="708" t="s">
        <v>10</v>
      </c>
      <c r="AG120" s="708" t="s">
        <v>10</v>
      </c>
      <c r="AH120" s="708" t="s">
        <v>10</v>
      </c>
      <c r="AI120" s="708" t="s">
        <v>10</v>
      </c>
      <c r="AJ120" s="705" t="s">
        <v>900</v>
      </c>
      <c r="AK120" s="705" t="s">
        <v>905</v>
      </c>
      <c r="AL120" s="709" t="s">
        <v>1512</v>
      </c>
      <c r="AM120" s="705" t="s">
        <v>1417</v>
      </c>
      <c r="AN120" s="709" t="s">
        <v>935</v>
      </c>
      <c r="AO120" s="709">
        <v>0</v>
      </c>
      <c r="AP120" s="709">
        <v>0</v>
      </c>
      <c r="AQ120" s="703">
        <f t="shared" si="12"/>
        <v>0</v>
      </c>
      <c r="AR120" s="709">
        <v>0</v>
      </c>
      <c r="AS120" s="709">
        <v>0</v>
      </c>
      <c r="AT120" s="709">
        <v>0</v>
      </c>
      <c r="AU120" s="709">
        <v>0</v>
      </c>
      <c r="AV120" s="709">
        <v>0</v>
      </c>
      <c r="AW120" s="709">
        <v>0</v>
      </c>
      <c r="AX120" s="709">
        <v>0</v>
      </c>
      <c r="AY120" s="709">
        <v>0</v>
      </c>
      <c r="AZ120" s="709">
        <v>0</v>
      </c>
      <c r="BA120" s="709">
        <v>0</v>
      </c>
      <c r="BB120" s="709">
        <v>0</v>
      </c>
      <c r="BC120" s="709">
        <v>0</v>
      </c>
      <c r="BD120" s="709">
        <v>0</v>
      </c>
      <c r="BE120" s="709">
        <v>0</v>
      </c>
      <c r="BF120" s="709">
        <v>0</v>
      </c>
      <c r="BG120" s="709">
        <v>0</v>
      </c>
      <c r="BH120" s="709">
        <v>0</v>
      </c>
      <c r="BI120" s="709">
        <v>0</v>
      </c>
      <c r="BJ120" s="709">
        <v>0</v>
      </c>
      <c r="BK120" s="709">
        <v>0</v>
      </c>
      <c r="BL120" s="709">
        <v>0</v>
      </c>
      <c r="BM120" s="709">
        <v>0</v>
      </c>
      <c r="BN120" s="709">
        <v>0</v>
      </c>
      <c r="BO120" s="709">
        <v>0</v>
      </c>
      <c r="BP120" s="392"/>
      <c r="BQ120" s="392"/>
      <c r="BR120" s="392"/>
      <c r="BS120" s="392"/>
      <c r="BT120" s="392"/>
      <c r="BU120" s="392"/>
      <c r="BV120" s="392"/>
      <c r="BW120" s="392"/>
      <c r="BX120" s="392"/>
      <c r="BY120" s="392"/>
      <c r="BZ120" s="392"/>
      <c r="CA120" s="392"/>
      <c r="CB120" s="392"/>
      <c r="CC120" s="392"/>
      <c r="CD120" s="392"/>
      <c r="CE120" s="392"/>
      <c r="CF120" s="392"/>
      <c r="CG120" s="392"/>
      <c r="CH120" s="392"/>
      <c r="CI120" s="392"/>
      <c r="CJ120" s="392"/>
      <c r="CK120" s="392"/>
      <c r="CL120" s="392"/>
      <c r="CM120" s="392"/>
      <c r="CN120" s="392"/>
      <c r="CO120" s="392"/>
      <c r="CP120" s="392"/>
      <c r="CQ120" s="392"/>
    </row>
    <row r="121" spans="1:95" s="752" customFormat="1" ht="15" customHeight="1" x14ac:dyDescent="0.2">
      <c r="A121" s="704">
        <v>3878</v>
      </c>
      <c r="B121" s="704"/>
      <c r="C121" s="705" t="s">
        <v>938</v>
      </c>
      <c r="D121" s="706"/>
      <c r="E121" s="700" t="b">
        <f t="shared" si="13"/>
        <v>0</v>
      </c>
      <c r="F121" s="707"/>
      <c r="G121" s="701"/>
      <c r="H121" s="705"/>
      <c r="I121" s="706" t="s">
        <v>1416</v>
      </c>
      <c r="J121" s="706"/>
      <c r="K121" s="706"/>
      <c r="L121" s="706"/>
      <c r="M121" s="708"/>
      <c r="N121" s="708"/>
      <c r="O121" s="708"/>
      <c r="P121" s="708"/>
      <c r="Q121" s="708"/>
      <c r="R121" s="708"/>
      <c r="S121" s="708"/>
      <c r="T121" s="7">
        <f t="shared" si="11"/>
        <v>0</v>
      </c>
      <c r="U121" s="708"/>
      <c r="V121" s="708"/>
      <c r="W121" s="708"/>
      <c r="X121" s="708"/>
      <c r="Y121" s="708"/>
      <c r="Z121" s="708"/>
      <c r="AA121" s="708"/>
      <c r="AB121" s="708"/>
      <c r="AC121" s="708"/>
      <c r="AD121" s="708"/>
      <c r="AE121" s="708"/>
      <c r="AF121" s="708"/>
      <c r="AG121" s="708"/>
      <c r="AH121" s="708"/>
      <c r="AI121" s="708"/>
      <c r="AJ121" s="705"/>
      <c r="AK121" s="705"/>
      <c r="AL121" s="709" t="s">
        <v>1416</v>
      </c>
      <c r="AM121" s="705"/>
      <c r="AN121" s="709"/>
      <c r="AO121" s="709"/>
      <c r="AP121" s="709"/>
      <c r="AQ121" s="703">
        <f t="shared" si="12"/>
        <v>1986</v>
      </c>
      <c r="AR121" s="747">
        <v>800</v>
      </c>
      <c r="AS121" s="747">
        <v>1262</v>
      </c>
      <c r="AT121" s="747">
        <v>460</v>
      </c>
      <c r="AU121" s="747">
        <v>50</v>
      </c>
      <c r="AV121" s="720">
        <v>0</v>
      </c>
      <c r="AW121" s="720">
        <v>34</v>
      </c>
      <c r="AX121" s="720">
        <v>0</v>
      </c>
      <c r="AY121" s="720">
        <v>0</v>
      </c>
      <c r="AZ121" s="747">
        <v>-1</v>
      </c>
      <c r="BA121" s="747">
        <v>102</v>
      </c>
      <c r="BB121" s="747">
        <v>68</v>
      </c>
      <c r="BC121" s="747">
        <v>0</v>
      </c>
      <c r="BD121" s="720">
        <v>536</v>
      </c>
      <c r="BE121" s="720">
        <v>0</v>
      </c>
      <c r="BF121" s="720">
        <v>0</v>
      </c>
      <c r="BG121" s="720">
        <v>0</v>
      </c>
      <c r="BH121" s="720">
        <v>73</v>
      </c>
      <c r="BI121" s="720">
        <v>22</v>
      </c>
      <c r="BJ121" s="720">
        <v>0</v>
      </c>
      <c r="BK121" s="720">
        <v>0</v>
      </c>
      <c r="BL121" s="722"/>
      <c r="BM121" s="722"/>
      <c r="BN121" s="722"/>
      <c r="BO121" s="722"/>
      <c r="BP121" s="392"/>
      <c r="BQ121" s="392"/>
      <c r="BR121" s="392"/>
      <c r="BS121" s="392"/>
      <c r="BT121" s="392"/>
      <c r="BU121" s="392"/>
      <c r="BV121" s="392"/>
      <c r="BW121" s="392"/>
      <c r="BX121" s="392"/>
      <c r="BY121" s="392"/>
      <c r="BZ121" s="392"/>
      <c r="CA121" s="392"/>
      <c r="CB121" s="392"/>
      <c r="CC121" s="392"/>
      <c r="CD121" s="392"/>
      <c r="CE121" s="392"/>
      <c r="CF121" s="392"/>
      <c r="CG121" s="392"/>
      <c r="CH121" s="392"/>
      <c r="CI121" s="392"/>
      <c r="CJ121" s="392"/>
      <c r="CK121" s="392"/>
      <c r="CL121" s="392"/>
      <c r="CM121" s="392"/>
      <c r="CN121" s="392"/>
      <c r="CO121" s="392"/>
      <c r="CP121" s="392"/>
      <c r="CQ121" s="392"/>
    </row>
    <row r="122" spans="1:95" s="752" customFormat="1" ht="15" customHeight="1" x14ac:dyDescent="0.2">
      <c r="A122" s="704">
        <v>3621</v>
      </c>
      <c r="B122" s="704"/>
      <c r="C122" s="705" t="s">
        <v>937</v>
      </c>
      <c r="D122" s="706"/>
      <c r="E122" s="700">
        <f t="shared" si="13"/>
        <v>0</v>
      </c>
      <c r="F122" s="707"/>
      <c r="G122" s="701"/>
      <c r="H122" s="705"/>
      <c r="I122" s="706" t="s">
        <v>911</v>
      </c>
      <c r="J122" s="706"/>
      <c r="K122" s="706"/>
      <c r="L122" s="706"/>
      <c r="M122" s="708"/>
      <c r="N122" s="708"/>
      <c r="O122" s="708"/>
      <c r="P122" s="708"/>
      <c r="Q122" s="708"/>
      <c r="R122" s="708"/>
      <c r="S122" s="708"/>
      <c r="T122" s="7">
        <f t="shared" si="11"/>
        <v>0</v>
      </c>
      <c r="U122" s="708"/>
      <c r="V122" s="708"/>
      <c r="W122" s="708"/>
      <c r="X122" s="708"/>
      <c r="Y122" s="708"/>
      <c r="Z122" s="708"/>
      <c r="AA122" s="708"/>
      <c r="AB122" s="708"/>
      <c r="AC122" s="708"/>
      <c r="AD122" s="708"/>
      <c r="AE122" s="708"/>
      <c r="AF122" s="708"/>
      <c r="AG122" s="708"/>
      <c r="AH122" s="708"/>
      <c r="AI122" s="708"/>
      <c r="AJ122" s="705"/>
      <c r="AK122" s="705"/>
      <c r="AL122" s="709" t="s">
        <v>1512</v>
      </c>
      <c r="AM122" s="705"/>
      <c r="AN122" s="709"/>
      <c r="AO122" s="709"/>
      <c r="AP122" s="709"/>
      <c r="AQ122" s="703">
        <f t="shared" si="12"/>
        <v>159</v>
      </c>
      <c r="AR122" s="780">
        <v>0</v>
      </c>
      <c r="AS122" s="780">
        <v>293</v>
      </c>
      <c r="AT122" s="780">
        <v>0</v>
      </c>
      <c r="AU122" s="780">
        <v>130</v>
      </c>
      <c r="AV122" s="759"/>
      <c r="AW122" s="759"/>
      <c r="AX122" s="759"/>
      <c r="AY122" s="759"/>
      <c r="AZ122" s="747">
        <v>0</v>
      </c>
      <c r="BA122" s="747">
        <v>0</v>
      </c>
      <c r="BB122" s="747">
        <v>0</v>
      </c>
      <c r="BC122" s="747">
        <v>29</v>
      </c>
      <c r="BD122" s="755"/>
      <c r="BE122" s="755"/>
      <c r="BF122" s="755"/>
      <c r="BG122" s="755"/>
      <c r="BH122" s="755"/>
      <c r="BI122" s="755"/>
      <c r="BJ122" s="755"/>
      <c r="BK122" s="755"/>
      <c r="BL122" s="704"/>
      <c r="BM122" s="704"/>
      <c r="BN122" s="704"/>
      <c r="BO122" s="704"/>
      <c r="BP122" s="392"/>
      <c r="BQ122" s="392"/>
      <c r="BR122" s="392"/>
      <c r="BS122" s="392"/>
      <c r="BT122" s="392"/>
      <c r="BU122" s="392"/>
      <c r="BV122" s="392"/>
      <c r="BW122" s="392"/>
      <c r="BX122" s="392"/>
      <c r="BY122" s="392"/>
      <c r="BZ122" s="392"/>
      <c r="CA122" s="392"/>
      <c r="CB122" s="392"/>
      <c r="CC122" s="392"/>
      <c r="CD122" s="392"/>
      <c r="CE122" s="392"/>
      <c r="CF122" s="392"/>
      <c r="CG122" s="392"/>
      <c r="CH122" s="392"/>
      <c r="CI122" s="392"/>
      <c r="CJ122" s="392"/>
      <c r="CK122" s="392"/>
      <c r="CL122" s="392"/>
      <c r="CM122" s="392"/>
      <c r="CN122" s="392"/>
      <c r="CO122" s="392"/>
      <c r="CP122" s="392"/>
      <c r="CQ122" s="392"/>
    </row>
    <row r="123" spans="1:95" ht="15" customHeight="1" x14ac:dyDescent="0.2">
      <c r="A123" s="697">
        <v>2530</v>
      </c>
      <c r="B123" s="697"/>
      <c r="C123" s="698" t="s">
        <v>214</v>
      </c>
      <c r="D123" s="699" t="s">
        <v>214</v>
      </c>
      <c r="E123" s="700">
        <f t="shared" si="13"/>
        <v>24002.687099999999</v>
      </c>
      <c r="F123" s="700">
        <v>0</v>
      </c>
      <c r="G123" s="701">
        <f t="shared" ref="G123:G154" si="18">E123+F123</f>
        <v>24002.687099999999</v>
      </c>
      <c r="H123" s="698" t="s">
        <v>10</v>
      </c>
      <c r="I123" s="699" t="s">
        <v>1512</v>
      </c>
      <c r="J123" s="699" t="s">
        <v>10</v>
      </c>
      <c r="K123" s="699" t="s">
        <v>40</v>
      </c>
      <c r="L123" s="699" t="s">
        <v>10</v>
      </c>
      <c r="M123" s="702">
        <v>12</v>
      </c>
      <c r="N123" s="702">
        <v>0.94099999999999995</v>
      </c>
      <c r="O123" s="702">
        <v>0.94099999999999995</v>
      </c>
      <c r="P123" s="702">
        <v>0.94099999999999995</v>
      </c>
      <c r="Q123" s="702">
        <v>0.80800000000000005</v>
      </c>
      <c r="R123" s="702">
        <v>0</v>
      </c>
      <c r="S123" s="702">
        <v>123789</v>
      </c>
      <c r="T123" s="7">
        <f t="shared" si="11"/>
        <v>24002.687099999999</v>
      </c>
      <c r="U123" s="702">
        <v>112714</v>
      </c>
      <c r="V123" s="702">
        <v>11075</v>
      </c>
      <c r="W123" s="702">
        <v>751</v>
      </c>
      <c r="X123" s="702">
        <v>0</v>
      </c>
      <c r="Y123" s="702">
        <v>0</v>
      </c>
      <c r="Z123" s="702">
        <v>0</v>
      </c>
      <c r="AA123" s="702">
        <v>147791.68710000001</v>
      </c>
      <c r="AB123" s="702">
        <v>24002.687099999999</v>
      </c>
      <c r="AC123" s="702">
        <v>123789</v>
      </c>
      <c r="AD123" s="702">
        <v>0</v>
      </c>
      <c r="AE123" s="702">
        <v>0</v>
      </c>
      <c r="AF123" s="702">
        <v>0</v>
      </c>
      <c r="AG123" s="702">
        <v>123789</v>
      </c>
      <c r="AH123" s="702">
        <v>0</v>
      </c>
      <c r="AI123" s="702">
        <v>0</v>
      </c>
      <c r="AJ123" s="698">
        <v>4</v>
      </c>
      <c r="AK123" s="698" t="s">
        <v>921</v>
      </c>
      <c r="AL123" s="699" t="s">
        <v>1512</v>
      </c>
      <c r="AM123" s="698" t="s">
        <v>10</v>
      </c>
      <c r="AN123" s="699" t="s">
        <v>214</v>
      </c>
      <c r="AO123" s="699">
        <v>24002.687099999999</v>
      </c>
      <c r="AP123" s="703">
        <f t="shared" ref="AP123:AP133" si="19">AR123+AT123+AU123+AV123+AX123+AY123+AZ123+BD123+BF123+BG123+BH123+BJ123+BK123+(BL123+BM123+BN123)/1000+(0.1*BO123)</f>
        <v>8</v>
      </c>
      <c r="AQ123" s="703">
        <f t="shared" si="12"/>
        <v>9</v>
      </c>
      <c r="AR123" s="697">
        <v>0</v>
      </c>
      <c r="AS123" s="697">
        <v>0</v>
      </c>
      <c r="AT123" s="697">
        <v>4</v>
      </c>
      <c r="AU123" s="697">
        <v>3</v>
      </c>
      <c r="AV123" s="697">
        <v>0</v>
      </c>
      <c r="AW123" s="697">
        <v>0</v>
      </c>
      <c r="AX123" s="697">
        <v>0</v>
      </c>
      <c r="AY123" s="697">
        <v>1</v>
      </c>
      <c r="AZ123" s="697">
        <v>0</v>
      </c>
      <c r="BA123" s="697">
        <v>0</v>
      </c>
      <c r="BB123" s="697">
        <v>0</v>
      </c>
      <c r="BC123" s="697">
        <v>1</v>
      </c>
      <c r="BD123" s="697">
        <v>0</v>
      </c>
      <c r="BE123" s="697">
        <v>0</v>
      </c>
      <c r="BF123" s="697">
        <v>0</v>
      </c>
      <c r="BG123" s="697">
        <v>0</v>
      </c>
      <c r="BH123" s="697">
        <v>0</v>
      </c>
      <c r="BI123" s="697">
        <v>0</v>
      </c>
      <c r="BJ123" s="697">
        <v>0</v>
      </c>
      <c r="BK123" s="697">
        <v>0</v>
      </c>
      <c r="BL123" s="697">
        <v>0</v>
      </c>
      <c r="BM123" s="697">
        <v>0</v>
      </c>
      <c r="BN123" s="697">
        <v>0</v>
      </c>
      <c r="BO123" s="697">
        <v>0</v>
      </c>
    </row>
    <row r="124" spans="1:95" ht="15" customHeight="1" x14ac:dyDescent="0.2">
      <c r="A124" s="697">
        <v>1506</v>
      </c>
      <c r="B124" s="697"/>
      <c r="C124" s="698" t="s">
        <v>215</v>
      </c>
      <c r="D124" s="699" t="s">
        <v>215</v>
      </c>
      <c r="E124" s="700">
        <f t="shared" si="13"/>
        <v>134223.53880000001</v>
      </c>
      <c r="F124" s="700">
        <v>428123</v>
      </c>
      <c r="G124" s="701">
        <f t="shared" si="18"/>
        <v>562346.53879999998</v>
      </c>
      <c r="H124" s="698" t="s">
        <v>10</v>
      </c>
      <c r="I124" s="699" t="s">
        <v>1416</v>
      </c>
      <c r="J124" s="699" t="s">
        <v>1417</v>
      </c>
      <c r="K124" s="699" t="s">
        <v>19</v>
      </c>
      <c r="L124" s="699" t="s">
        <v>1412</v>
      </c>
      <c r="M124" s="702">
        <v>50</v>
      </c>
      <c r="N124" s="702">
        <v>0.77900000000000003</v>
      </c>
      <c r="O124" s="702">
        <v>0.77900000000000003</v>
      </c>
      <c r="P124" s="702">
        <v>0.86</v>
      </c>
      <c r="Q124" s="702">
        <v>0.88200000000000001</v>
      </c>
      <c r="R124" s="702">
        <v>442056</v>
      </c>
      <c r="S124" s="702">
        <v>385257</v>
      </c>
      <c r="T124" s="7">
        <f t="shared" si="11"/>
        <v>131511.66</v>
      </c>
      <c r="U124" s="702">
        <v>252444</v>
      </c>
      <c r="V124" s="702">
        <v>132813</v>
      </c>
      <c r="W124" s="702">
        <v>1926</v>
      </c>
      <c r="X124" s="702">
        <v>559634.66</v>
      </c>
      <c r="Y124" s="702">
        <v>131511.66</v>
      </c>
      <c r="Z124" s="702">
        <v>428123</v>
      </c>
      <c r="AA124" s="702">
        <v>-42866</v>
      </c>
      <c r="AB124" s="702">
        <v>0</v>
      </c>
      <c r="AC124" s="702">
        <v>-42866</v>
      </c>
      <c r="AD124" s="702">
        <v>0</v>
      </c>
      <c r="AE124" s="702">
        <v>428123</v>
      </c>
      <c r="AF124" s="702">
        <v>0</v>
      </c>
      <c r="AG124" s="702">
        <v>-42866</v>
      </c>
      <c r="AH124" s="702">
        <v>0</v>
      </c>
      <c r="AI124" s="702">
        <v>0</v>
      </c>
      <c r="AJ124" s="698">
        <v>4</v>
      </c>
      <c r="AK124" s="698" t="s">
        <v>899</v>
      </c>
      <c r="AL124" s="699" t="s">
        <v>1416</v>
      </c>
      <c r="AM124" s="698" t="s">
        <v>10</v>
      </c>
      <c r="AN124" s="699" t="s">
        <v>215</v>
      </c>
      <c r="AO124" s="699">
        <v>559634.66</v>
      </c>
      <c r="AP124" s="703">
        <f t="shared" si="19"/>
        <v>48.385300000000001</v>
      </c>
      <c r="AQ124" s="703">
        <f t="shared" si="12"/>
        <v>50.385300000000001</v>
      </c>
      <c r="AR124" s="697">
        <v>20</v>
      </c>
      <c r="AS124" s="697">
        <v>0</v>
      </c>
      <c r="AT124" s="697">
        <v>13</v>
      </c>
      <c r="AU124" s="697">
        <v>5</v>
      </c>
      <c r="AV124" s="697">
        <v>0</v>
      </c>
      <c r="AW124" s="697">
        <v>0</v>
      </c>
      <c r="AX124" s="697">
        <v>1</v>
      </c>
      <c r="AY124" s="697">
        <v>2</v>
      </c>
      <c r="AZ124" s="697">
        <v>0</v>
      </c>
      <c r="BA124" s="697">
        <v>0</v>
      </c>
      <c r="BB124" s="697">
        <v>2</v>
      </c>
      <c r="BC124" s="697">
        <v>0</v>
      </c>
      <c r="BD124" s="697">
        <v>0</v>
      </c>
      <c r="BE124" s="697">
        <v>0</v>
      </c>
      <c r="BF124" s="697">
        <v>0</v>
      </c>
      <c r="BG124" s="697">
        <v>0</v>
      </c>
      <c r="BH124" s="697">
        <v>0</v>
      </c>
      <c r="BI124" s="697">
        <v>0</v>
      </c>
      <c r="BJ124" s="697">
        <v>0</v>
      </c>
      <c r="BK124" s="697">
        <v>0</v>
      </c>
      <c r="BL124" s="697">
        <v>0</v>
      </c>
      <c r="BM124" s="697">
        <v>0</v>
      </c>
      <c r="BN124" s="697">
        <v>0</v>
      </c>
      <c r="BO124" s="697">
        <v>73.852999999999994</v>
      </c>
    </row>
    <row r="125" spans="1:95" ht="15" customHeight="1" x14ac:dyDescent="0.2">
      <c r="A125" s="697">
        <v>2531</v>
      </c>
      <c r="B125" s="697"/>
      <c r="C125" s="698" t="s">
        <v>217</v>
      </c>
      <c r="D125" s="699" t="s">
        <v>217</v>
      </c>
      <c r="E125" s="700">
        <f t="shared" si="13"/>
        <v>19201.723099999999</v>
      </c>
      <c r="F125" s="700">
        <v>0</v>
      </c>
      <c r="G125" s="701">
        <f t="shared" si="18"/>
        <v>19201.723099999999</v>
      </c>
      <c r="H125" s="698" t="s">
        <v>10</v>
      </c>
      <c r="I125" s="699" t="s">
        <v>1512</v>
      </c>
      <c r="J125" s="699" t="s">
        <v>10</v>
      </c>
      <c r="K125" s="699" t="s">
        <v>19</v>
      </c>
      <c r="L125" s="699" t="s">
        <v>10</v>
      </c>
      <c r="M125" s="702">
        <v>9</v>
      </c>
      <c r="N125" s="702">
        <v>1</v>
      </c>
      <c r="O125" s="702">
        <v>1</v>
      </c>
      <c r="P125" s="702">
        <v>1</v>
      </c>
      <c r="Q125" s="702">
        <v>1</v>
      </c>
      <c r="R125" s="702">
        <v>0</v>
      </c>
      <c r="S125" s="702">
        <v>99029</v>
      </c>
      <c r="T125" s="7">
        <f t="shared" si="11"/>
        <v>19201.723099999999</v>
      </c>
      <c r="U125" s="702">
        <v>72104</v>
      </c>
      <c r="V125" s="702">
        <v>26925</v>
      </c>
      <c r="W125" s="702">
        <v>600</v>
      </c>
      <c r="X125" s="702">
        <v>0</v>
      </c>
      <c r="Y125" s="702">
        <v>0</v>
      </c>
      <c r="Z125" s="702">
        <v>0</v>
      </c>
      <c r="AA125" s="702">
        <v>118230.7231</v>
      </c>
      <c r="AB125" s="702">
        <v>19201.723099999999</v>
      </c>
      <c r="AC125" s="702">
        <v>99029</v>
      </c>
      <c r="AD125" s="702">
        <v>0</v>
      </c>
      <c r="AE125" s="702">
        <v>0</v>
      </c>
      <c r="AF125" s="702">
        <v>0</v>
      </c>
      <c r="AG125" s="702">
        <v>99029</v>
      </c>
      <c r="AH125" s="702">
        <v>0</v>
      </c>
      <c r="AI125" s="702">
        <v>0</v>
      </c>
      <c r="AJ125" s="698">
        <v>4</v>
      </c>
      <c r="AK125" s="698" t="s">
        <v>913</v>
      </c>
      <c r="AL125" s="699" t="s">
        <v>1512</v>
      </c>
      <c r="AM125" s="698" t="s">
        <v>10</v>
      </c>
      <c r="AN125" s="699" t="s">
        <v>217</v>
      </c>
      <c r="AO125" s="699">
        <v>19201.723099999999</v>
      </c>
      <c r="AP125" s="703">
        <f t="shared" si="19"/>
        <v>5.7869960000000003</v>
      </c>
      <c r="AQ125" s="703">
        <f t="shared" si="12"/>
        <v>5.7869960000000003</v>
      </c>
      <c r="AR125" s="697">
        <v>0</v>
      </c>
      <c r="AS125" s="697">
        <v>0</v>
      </c>
      <c r="AT125" s="697">
        <v>4</v>
      </c>
      <c r="AU125" s="697">
        <v>0</v>
      </c>
      <c r="AV125" s="697">
        <v>0</v>
      </c>
      <c r="AW125" s="697">
        <v>0</v>
      </c>
      <c r="AX125" s="697">
        <v>0</v>
      </c>
      <c r="AY125" s="697">
        <v>0</v>
      </c>
      <c r="AZ125" s="697">
        <v>0</v>
      </c>
      <c r="BA125" s="697">
        <v>0</v>
      </c>
      <c r="BB125" s="697">
        <v>0</v>
      </c>
      <c r="BC125" s="697">
        <v>0</v>
      </c>
      <c r="BD125" s="697">
        <v>0</v>
      </c>
      <c r="BE125" s="697">
        <v>0</v>
      </c>
      <c r="BF125" s="697">
        <v>0</v>
      </c>
      <c r="BG125" s="697">
        <v>0</v>
      </c>
      <c r="BH125" s="697">
        <v>0</v>
      </c>
      <c r="BI125" s="697">
        <v>0</v>
      </c>
      <c r="BJ125" s="697">
        <v>0</v>
      </c>
      <c r="BK125" s="697">
        <v>0</v>
      </c>
      <c r="BL125" s="697">
        <v>0</v>
      </c>
      <c r="BM125" s="697">
        <v>0</v>
      </c>
      <c r="BN125" s="697">
        <v>0</v>
      </c>
      <c r="BO125" s="697">
        <v>17.869959999999999</v>
      </c>
    </row>
    <row r="126" spans="1:95" ht="15" customHeight="1" x14ac:dyDescent="0.2">
      <c r="A126" s="697">
        <v>2544</v>
      </c>
      <c r="B126" s="697"/>
      <c r="C126" s="698" t="s">
        <v>218</v>
      </c>
      <c r="D126" s="699" t="s">
        <v>218</v>
      </c>
      <c r="E126" s="700">
        <f t="shared" si="13"/>
        <v>18373.770099999998</v>
      </c>
      <c r="F126" s="700">
        <v>0</v>
      </c>
      <c r="G126" s="701">
        <f t="shared" si="18"/>
        <v>18373.770099999998</v>
      </c>
      <c r="H126" s="698" t="s">
        <v>10</v>
      </c>
      <c r="I126" s="699" t="s">
        <v>1512</v>
      </c>
      <c r="J126" s="699" t="s">
        <v>10</v>
      </c>
      <c r="K126" s="699" t="s">
        <v>188</v>
      </c>
      <c r="L126" s="699" t="s">
        <v>10</v>
      </c>
      <c r="M126" s="702">
        <v>3</v>
      </c>
      <c r="N126" s="702">
        <v>0.97099999999999997</v>
      </c>
      <c r="O126" s="702">
        <v>0.97099999999999997</v>
      </c>
      <c r="P126" s="702">
        <v>0.97099999999999997</v>
      </c>
      <c r="Q126" s="702">
        <v>0.97099999999999997</v>
      </c>
      <c r="R126" s="702">
        <v>0</v>
      </c>
      <c r="S126" s="702">
        <v>94759</v>
      </c>
      <c r="T126" s="7">
        <f t="shared" si="11"/>
        <v>18373.770099999998</v>
      </c>
      <c r="U126" s="702">
        <v>88470</v>
      </c>
      <c r="V126" s="702">
        <v>6289</v>
      </c>
      <c r="W126" s="702">
        <v>584</v>
      </c>
      <c r="X126" s="702">
        <v>0</v>
      </c>
      <c r="Y126" s="702">
        <v>0</v>
      </c>
      <c r="Z126" s="702">
        <v>0</v>
      </c>
      <c r="AA126" s="702">
        <v>113132.77009999999</v>
      </c>
      <c r="AB126" s="702">
        <v>18373.770100000002</v>
      </c>
      <c r="AC126" s="702">
        <v>94759</v>
      </c>
      <c r="AD126" s="702">
        <v>0</v>
      </c>
      <c r="AE126" s="702">
        <v>0</v>
      </c>
      <c r="AF126" s="702">
        <v>0</v>
      </c>
      <c r="AG126" s="702">
        <v>94759</v>
      </c>
      <c r="AH126" s="702">
        <v>0</v>
      </c>
      <c r="AI126" s="702">
        <v>0</v>
      </c>
      <c r="AJ126" s="698" t="s">
        <v>900</v>
      </c>
      <c r="AK126" s="698" t="s">
        <v>905</v>
      </c>
      <c r="AL126" s="699" t="s">
        <v>1512</v>
      </c>
      <c r="AM126" s="698" t="s">
        <v>10</v>
      </c>
      <c r="AN126" s="699" t="s">
        <v>218</v>
      </c>
      <c r="AO126" s="699">
        <v>18373.770100000002</v>
      </c>
      <c r="AP126" s="703">
        <f t="shared" si="19"/>
        <v>0</v>
      </c>
      <c r="AQ126" s="703">
        <f t="shared" si="12"/>
        <v>0</v>
      </c>
      <c r="AR126" s="697">
        <v>0</v>
      </c>
      <c r="AS126" s="697">
        <v>0</v>
      </c>
      <c r="AT126" s="697">
        <v>0</v>
      </c>
      <c r="AU126" s="697">
        <v>0</v>
      </c>
      <c r="AV126" s="697">
        <v>0</v>
      </c>
      <c r="AW126" s="697">
        <v>0</v>
      </c>
      <c r="AX126" s="697">
        <v>0</v>
      </c>
      <c r="AY126" s="697">
        <v>0</v>
      </c>
      <c r="AZ126" s="697">
        <v>0</v>
      </c>
      <c r="BA126" s="697">
        <v>0</v>
      </c>
      <c r="BB126" s="697">
        <v>0</v>
      </c>
      <c r="BC126" s="697">
        <v>0</v>
      </c>
      <c r="BD126" s="697">
        <v>0</v>
      </c>
      <c r="BE126" s="697">
        <v>0</v>
      </c>
      <c r="BF126" s="697">
        <v>0</v>
      </c>
      <c r="BG126" s="697">
        <v>0</v>
      </c>
      <c r="BH126" s="697">
        <v>0</v>
      </c>
      <c r="BI126" s="697">
        <v>0</v>
      </c>
      <c r="BJ126" s="697">
        <v>0</v>
      </c>
      <c r="BK126" s="697">
        <v>0</v>
      </c>
      <c r="BL126" s="697">
        <v>0</v>
      </c>
      <c r="BM126" s="697">
        <v>0</v>
      </c>
      <c r="BN126" s="697">
        <v>0</v>
      </c>
      <c r="BO126" s="697">
        <v>0</v>
      </c>
    </row>
    <row r="127" spans="1:95" ht="15" customHeight="1" x14ac:dyDescent="0.2">
      <c r="A127" s="697">
        <v>1583</v>
      </c>
      <c r="B127" s="697"/>
      <c r="C127" s="698" t="s">
        <v>234</v>
      </c>
      <c r="D127" s="699" t="s">
        <v>234</v>
      </c>
      <c r="E127" s="700">
        <f t="shared" si="13"/>
        <v>19865.248899999999</v>
      </c>
      <c r="F127" s="700">
        <v>0</v>
      </c>
      <c r="G127" s="701">
        <f t="shared" si="18"/>
        <v>19865.248899999999</v>
      </c>
      <c r="H127" s="698" t="s">
        <v>10</v>
      </c>
      <c r="I127" s="699" t="s">
        <v>1512</v>
      </c>
      <c r="J127" s="699" t="s">
        <v>10</v>
      </c>
      <c r="K127" s="699" t="s">
        <v>1565</v>
      </c>
      <c r="L127" s="699" t="s">
        <v>10</v>
      </c>
      <c r="M127" s="702">
        <v>11</v>
      </c>
      <c r="N127" s="702">
        <v>0.876</v>
      </c>
      <c r="O127" s="702">
        <v>0.876</v>
      </c>
      <c r="P127" s="702">
        <v>0.876</v>
      </c>
      <c r="Q127" s="702">
        <v>1</v>
      </c>
      <c r="R127" s="702">
        <v>0</v>
      </c>
      <c r="S127" s="702">
        <v>102451</v>
      </c>
      <c r="T127" s="7">
        <f t="shared" si="11"/>
        <v>19865.248899999999</v>
      </c>
      <c r="U127" s="702">
        <v>45427</v>
      </c>
      <c r="V127" s="702">
        <v>57024</v>
      </c>
      <c r="W127" s="702">
        <v>590</v>
      </c>
      <c r="X127" s="702">
        <v>0</v>
      </c>
      <c r="Y127" s="702">
        <v>0</v>
      </c>
      <c r="Z127" s="702">
        <v>0</v>
      </c>
      <c r="AA127" s="702">
        <v>122316.24890000001</v>
      </c>
      <c r="AB127" s="702">
        <v>19865.248899999999</v>
      </c>
      <c r="AC127" s="702">
        <v>102451</v>
      </c>
      <c r="AD127" s="702">
        <v>0</v>
      </c>
      <c r="AE127" s="702">
        <v>0</v>
      </c>
      <c r="AF127" s="702">
        <v>0</v>
      </c>
      <c r="AG127" s="702">
        <v>102451</v>
      </c>
      <c r="AH127" s="702">
        <v>0</v>
      </c>
      <c r="AI127" s="702">
        <v>0</v>
      </c>
      <c r="AJ127" s="698">
        <v>4</v>
      </c>
      <c r="AK127" s="698" t="s">
        <v>913</v>
      </c>
      <c r="AL127" s="699" t="s">
        <v>1512</v>
      </c>
      <c r="AM127" s="698" t="s">
        <v>10</v>
      </c>
      <c r="AN127" s="699" t="s">
        <v>234</v>
      </c>
      <c r="AO127" s="699">
        <v>19865.248899999999</v>
      </c>
      <c r="AP127" s="703">
        <f t="shared" si="19"/>
        <v>14</v>
      </c>
      <c r="AQ127" s="703">
        <f t="shared" si="12"/>
        <v>14</v>
      </c>
      <c r="AR127" s="697">
        <v>0</v>
      </c>
      <c r="AS127" s="697">
        <v>0</v>
      </c>
      <c r="AT127" s="697">
        <v>7</v>
      </c>
      <c r="AU127" s="697">
        <v>5</v>
      </c>
      <c r="AV127" s="697">
        <v>0</v>
      </c>
      <c r="AW127" s="697">
        <v>0</v>
      </c>
      <c r="AX127" s="697">
        <v>0</v>
      </c>
      <c r="AY127" s="697">
        <v>2</v>
      </c>
      <c r="AZ127" s="697">
        <v>0</v>
      </c>
      <c r="BA127" s="697">
        <v>0</v>
      </c>
      <c r="BB127" s="697">
        <v>0</v>
      </c>
      <c r="BC127" s="697">
        <v>0</v>
      </c>
      <c r="BD127" s="697">
        <v>0</v>
      </c>
      <c r="BE127" s="697">
        <v>0</v>
      </c>
      <c r="BF127" s="697">
        <v>0</v>
      </c>
      <c r="BG127" s="697">
        <v>0</v>
      </c>
      <c r="BH127" s="697">
        <v>0</v>
      </c>
      <c r="BI127" s="697">
        <v>0</v>
      </c>
      <c r="BJ127" s="697">
        <v>0</v>
      </c>
      <c r="BK127" s="697">
        <v>0</v>
      </c>
      <c r="BL127" s="697">
        <v>0</v>
      </c>
      <c r="BM127" s="697">
        <v>0</v>
      </c>
      <c r="BN127" s="697">
        <v>0</v>
      </c>
      <c r="BO127" s="697">
        <v>0</v>
      </c>
    </row>
    <row r="128" spans="1:95" ht="15" customHeight="1" x14ac:dyDescent="0.2">
      <c r="A128" s="697">
        <v>2614</v>
      </c>
      <c r="B128" s="697"/>
      <c r="C128" s="698" t="s">
        <v>235</v>
      </c>
      <c r="D128" s="699" t="s">
        <v>235</v>
      </c>
      <c r="E128" s="700">
        <f t="shared" si="13"/>
        <v>51859.5245</v>
      </c>
      <c r="F128" s="700">
        <v>0</v>
      </c>
      <c r="G128" s="701">
        <f t="shared" si="18"/>
        <v>51859.5245</v>
      </c>
      <c r="H128" s="698" t="s">
        <v>10</v>
      </c>
      <c r="I128" s="699" t="s">
        <v>1512</v>
      </c>
      <c r="J128" s="699" t="s">
        <v>10</v>
      </c>
      <c r="K128" s="699" t="s">
        <v>1545</v>
      </c>
      <c r="L128" s="699" t="s">
        <v>10</v>
      </c>
      <c r="M128" s="702">
        <v>14</v>
      </c>
      <c r="N128" s="702">
        <v>0.88600000000000001</v>
      </c>
      <c r="O128" s="702">
        <v>0.86</v>
      </c>
      <c r="P128" s="702">
        <v>0.86</v>
      </c>
      <c r="Q128" s="702">
        <v>0.86399999999999999</v>
      </c>
      <c r="R128" s="702">
        <v>0</v>
      </c>
      <c r="S128" s="702">
        <v>267455</v>
      </c>
      <c r="T128" s="7">
        <f t="shared" si="11"/>
        <v>51859.5245</v>
      </c>
      <c r="U128" s="702">
        <v>230855</v>
      </c>
      <c r="V128" s="702">
        <v>36600</v>
      </c>
      <c r="W128" s="702">
        <v>1232</v>
      </c>
      <c r="X128" s="702">
        <v>0</v>
      </c>
      <c r="Y128" s="702">
        <v>0</v>
      </c>
      <c r="Z128" s="702">
        <v>0</v>
      </c>
      <c r="AA128" s="702">
        <v>319314.5245</v>
      </c>
      <c r="AB128" s="702">
        <v>51859.5245</v>
      </c>
      <c r="AC128" s="702">
        <v>267455</v>
      </c>
      <c r="AD128" s="702">
        <v>0</v>
      </c>
      <c r="AE128" s="702">
        <v>0</v>
      </c>
      <c r="AF128" s="702">
        <v>0</v>
      </c>
      <c r="AG128" s="702">
        <v>267455</v>
      </c>
      <c r="AH128" s="702">
        <v>0</v>
      </c>
      <c r="AI128" s="702">
        <v>0</v>
      </c>
      <c r="AJ128" s="698">
        <v>4</v>
      </c>
      <c r="AK128" s="698" t="s">
        <v>899</v>
      </c>
      <c r="AL128" s="699" t="s">
        <v>1512</v>
      </c>
      <c r="AM128" s="698" t="s">
        <v>10</v>
      </c>
      <c r="AN128" s="699" t="s">
        <v>235</v>
      </c>
      <c r="AO128" s="699">
        <v>51859.5245</v>
      </c>
      <c r="AP128" s="703">
        <f t="shared" si="19"/>
        <v>16</v>
      </c>
      <c r="AQ128" s="703">
        <f t="shared" si="12"/>
        <v>19</v>
      </c>
      <c r="AR128" s="697">
        <v>0</v>
      </c>
      <c r="AS128" s="697">
        <v>0</v>
      </c>
      <c r="AT128" s="697">
        <v>12</v>
      </c>
      <c r="AU128" s="697">
        <v>4</v>
      </c>
      <c r="AV128" s="697">
        <v>0</v>
      </c>
      <c r="AW128" s="697">
        <v>0</v>
      </c>
      <c r="AX128" s="697">
        <v>0</v>
      </c>
      <c r="AY128" s="697">
        <v>0</v>
      </c>
      <c r="AZ128" s="697">
        <v>0</v>
      </c>
      <c r="BA128" s="697">
        <v>2</v>
      </c>
      <c r="BB128" s="697">
        <v>3</v>
      </c>
      <c r="BC128" s="697">
        <v>0</v>
      </c>
      <c r="BD128" s="697">
        <v>0</v>
      </c>
      <c r="BE128" s="697">
        <v>0</v>
      </c>
      <c r="BF128" s="697">
        <v>0</v>
      </c>
      <c r="BG128" s="697">
        <v>0</v>
      </c>
      <c r="BH128" s="697">
        <v>0</v>
      </c>
      <c r="BI128" s="697">
        <v>0</v>
      </c>
      <c r="BJ128" s="697">
        <v>0</v>
      </c>
      <c r="BK128" s="697">
        <v>0</v>
      </c>
      <c r="BL128" s="697">
        <v>0</v>
      </c>
      <c r="BM128" s="697">
        <v>0</v>
      </c>
      <c r="BN128" s="697">
        <v>0</v>
      </c>
      <c r="BO128" s="697">
        <v>0</v>
      </c>
    </row>
    <row r="129" spans="1:116" ht="15" customHeight="1" x14ac:dyDescent="0.2">
      <c r="A129" s="697">
        <v>2547</v>
      </c>
      <c r="B129" s="697"/>
      <c r="C129" s="698" t="s">
        <v>237</v>
      </c>
      <c r="D129" s="699" t="s">
        <v>237</v>
      </c>
      <c r="E129" s="700">
        <f t="shared" si="13"/>
        <v>265371.054</v>
      </c>
      <c r="F129" s="700">
        <v>276347</v>
      </c>
      <c r="G129" s="701">
        <f t="shared" si="18"/>
        <v>541718.054</v>
      </c>
      <c r="H129" s="698" t="s">
        <v>10</v>
      </c>
      <c r="I129" s="699" t="s">
        <v>1416</v>
      </c>
      <c r="J129" s="699" t="s">
        <v>1417</v>
      </c>
      <c r="K129" s="699" t="s">
        <v>240</v>
      </c>
      <c r="L129" s="699" t="s">
        <v>1412</v>
      </c>
      <c r="M129" s="702">
        <v>83</v>
      </c>
      <c r="N129" s="702">
        <v>0.86399999999999999</v>
      </c>
      <c r="O129" s="702">
        <v>0.96399999999999997</v>
      </c>
      <c r="P129" s="702">
        <v>0.95099999999999996</v>
      </c>
      <c r="Q129" s="702">
        <v>0.95399999999999996</v>
      </c>
      <c r="R129" s="702">
        <v>862393</v>
      </c>
      <c r="S129" s="702">
        <v>761685</v>
      </c>
      <c r="T129" s="7">
        <f t="shared" si="11"/>
        <v>256561.91749999998</v>
      </c>
      <c r="U129" s="702">
        <v>554156</v>
      </c>
      <c r="V129" s="702">
        <v>207529</v>
      </c>
      <c r="W129" s="702">
        <v>3815</v>
      </c>
      <c r="X129" s="702">
        <v>532908.91749999998</v>
      </c>
      <c r="Y129" s="702">
        <v>256561.91750000001</v>
      </c>
      <c r="Z129" s="702">
        <v>276347</v>
      </c>
      <c r="AA129" s="702">
        <v>485338</v>
      </c>
      <c r="AB129" s="702">
        <v>0</v>
      </c>
      <c r="AC129" s="702">
        <v>485338</v>
      </c>
      <c r="AD129" s="702">
        <v>0</v>
      </c>
      <c r="AE129" s="702">
        <v>276347</v>
      </c>
      <c r="AF129" s="702">
        <v>0</v>
      </c>
      <c r="AG129" s="702">
        <v>485338</v>
      </c>
      <c r="AH129" s="702">
        <v>0</v>
      </c>
      <c r="AI129" s="702">
        <v>0</v>
      </c>
      <c r="AJ129" s="698" t="s">
        <v>900</v>
      </c>
      <c r="AK129" s="698" t="s">
        <v>922</v>
      </c>
      <c r="AL129" s="699" t="s">
        <v>1416</v>
      </c>
      <c r="AM129" s="698" t="s">
        <v>10</v>
      </c>
      <c r="AN129" s="699" t="s">
        <v>237</v>
      </c>
      <c r="AO129" s="699">
        <v>532908.91749999998</v>
      </c>
      <c r="AP129" s="703">
        <f t="shared" si="19"/>
        <v>669.21280000000002</v>
      </c>
      <c r="AQ129" s="703">
        <f t="shared" si="12"/>
        <v>691.21280000000002</v>
      </c>
      <c r="AR129" s="697">
        <v>199</v>
      </c>
      <c r="AS129" s="697">
        <v>0</v>
      </c>
      <c r="AT129" s="697">
        <v>72</v>
      </c>
      <c r="AU129" s="697">
        <v>7</v>
      </c>
      <c r="AV129" s="697">
        <v>0</v>
      </c>
      <c r="AW129" s="697">
        <v>0</v>
      </c>
      <c r="AX129" s="697">
        <v>0</v>
      </c>
      <c r="AY129" s="697">
        <v>0</v>
      </c>
      <c r="AZ129" s="697">
        <v>14</v>
      </c>
      <c r="BA129" s="697">
        <v>7</v>
      </c>
      <c r="BB129" s="697">
        <v>21</v>
      </c>
      <c r="BC129" s="697">
        <v>1</v>
      </c>
      <c r="BD129" s="697">
        <v>21</v>
      </c>
      <c r="BE129" s="697">
        <v>0</v>
      </c>
      <c r="BF129" s="697">
        <v>0</v>
      </c>
      <c r="BG129" s="697">
        <v>0</v>
      </c>
      <c r="BH129" s="697">
        <v>59</v>
      </c>
      <c r="BI129" s="697">
        <v>0</v>
      </c>
      <c r="BJ129" s="697">
        <v>0</v>
      </c>
      <c r="BK129" s="697">
        <v>0</v>
      </c>
      <c r="BL129" s="697">
        <v>0</v>
      </c>
      <c r="BM129" s="697">
        <v>0</v>
      </c>
      <c r="BN129" s="697">
        <v>250209</v>
      </c>
      <c r="BO129" s="697">
        <v>470.03800000000001</v>
      </c>
    </row>
    <row r="130" spans="1:116" ht="15" customHeight="1" x14ac:dyDescent="0.2">
      <c r="A130" s="697">
        <v>9133</v>
      </c>
      <c r="B130" s="697"/>
      <c r="C130" s="698" t="s">
        <v>241</v>
      </c>
      <c r="D130" s="699" t="s">
        <v>241</v>
      </c>
      <c r="E130" s="700">
        <f t="shared" si="13"/>
        <v>257892.2996</v>
      </c>
      <c r="F130" s="700">
        <v>0</v>
      </c>
      <c r="G130" s="701">
        <f t="shared" si="18"/>
        <v>257892.2996</v>
      </c>
      <c r="H130" s="698" t="s">
        <v>10</v>
      </c>
      <c r="I130" s="699" t="s">
        <v>1416</v>
      </c>
      <c r="J130" s="699" t="s">
        <v>10</v>
      </c>
      <c r="K130" s="699" t="s">
        <v>1552</v>
      </c>
      <c r="L130" s="699" t="s">
        <v>10</v>
      </c>
      <c r="M130" s="702">
        <v>141</v>
      </c>
      <c r="N130" s="702">
        <v>0.85099999999999998</v>
      </c>
      <c r="O130" s="702">
        <v>0.85599999999999998</v>
      </c>
      <c r="P130" s="702">
        <v>0.80600000000000005</v>
      </c>
      <c r="Q130" s="702">
        <v>0.81499999999999995</v>
      </c>
      <c r="R130" s="702">
        <v>771233</v>
      </c>
      <c r="S130" s="702">
        <v>740219</v>
      </c>
      <c r="T130" s="7">
        <f t="shared" si="11"/>
        <v>229441.81749999998</v>
      </c>
      <c r="U130" s="702">
        <v>472605</v>
      </c>
      <c r="V130" s="702">
        <v>267614</v>
      </c>
      <c r="W130" s="702">
        <v>3892</v>
      </c>
      <c r="X130" s="702">
        <v>0</v>
      </c>
      <c r="Y130" s="702">
        <v>0</v>
      </c>
      <c r="Z130" s="702">
        <v>0</v>
      </c>
      <c r="AA130" s="702">
        <v>969660.8175</v>
      </c>
      <c r="AB130" s="702">
        <v>229441.8175</v>
      </c>
      <c r="AC130" s="702">
        <v>740219</v>
      </c>
      <c r="AD130" s="702">
        <v>0</v>
      </c>
      <c r="AE130" s="702">
        <v>0</v>
      </c>
      <c r="AF130" s="702">
        <v>0</v>
      </c>
      <c r="AG130" s="702">
        <v>740219</v>
      </c>
      <c r="AH130" s="702">
        <v>0</v>
      </c>
      <c r="AI130" s="702">
        <v>0</v>
      </c>
      <c r="AJ130" s="698" t="s">
        <v>900</v>
      </c>
      <c r="AK130" s="698" t="s">
        <v>907</v>
      </c>
      <c r="AL130" s="699" t="s">
        <v>1416</v>
      </c>
      <c r="AM130" s="698" t="s">
        <v>10</v>
      </c>
      <c r="AN130" s="699" t="s">
        <v>241</v>
      </c>
      <c r="AO130" s="699">
        <v>229441.8175</v>
      </c>
      <c r="AP130" s="703">
        <f t="shared" si="19"/>
        <v>227.90770000000003</v>
      </c>
      <c r="AQ130" s="703">
        <f t="shared" si="12"/>
        <v>239.90770000000003</v>
      </c>
      <c r="AR130" s="697">
        <v>0</v>
      </c>
      <c r="AS130" s="697">
        <v>0</v>
      </c>
      <c r="AT130" s="697">
        <v>103</v>
      </c>
      <c r="AU130" s="697">
        <v>9</v>
      </c>
      <c r="AV130" s="697">
        <v>0</v>
      </c>
      <c r="AW130" s="697">
        <v>0</v>
      </c>
      <c r="AX130" s="697">
        <v>2</v>
      </c>
      <c r="AY130" s="697">
        <v>0</v>
      </c>
      <c r="AZ130" s="697">
        <v>0</v>
      </c>
      <c r="BA130" s="697">
        <v>0</v>
      </c>
      <c r="BB130" s="697">
        <v>11</v>
      </c>
      <c r="BC130" s="697">
        <v>1</v>
      </c>
      <c r="BD130" s="697">
        <v>0</v>
      </c>
      <c r="BE130" s="697">
        <v>0</v>
      </c>
      <c r="BF130" s="697">
        <v>0</v>
      </c>
      <c r="BG130" s="697">
        <v>0</v>
      </c>
      <c r="BH130" s="697">
        <v>0</v>
      </c>
      <c r="BI130" s="697">
        <v>0</v>
      </c>
      <c r="BJ130" s="697">
        <v>0</v>
      </c>
      <c r="BK130" s="697">
        <v>0</v>
      </c>
      <c r="BL130" s="697">
        <v>31780</v>
      </c>
      <c r="BM130" s="697">
        <v>0</v>
      </c>
      <c r="BN130" s="697">
        <v>9128</v>
      </c>
      <c r="BO130" s="697">
        <v>729.99699999999996</v>
      </c>
    </row>
    <row r="131" spans="1:116" ht="15" customHeight="1" x14ac:dyDescent="0.2">
      <c r="A131" s="697">
        <v>1509</v>
      </c>
      <c r="B131" s="697"/>
      <c r="C131" s="698" t="s">
        <v>243</v>
      </c>
      <c r="D131" s="699" t="s">
        <v>243</v>
      </c>
      <c r="E131" s="700">
        <f t="shared" si="13"/>
        <v>147240.11119999998</v>
      </c>
      <c r="F131" s="700">
        <v>0</v>
      </c>
      <c r="G131" s="701">
        <f t="shared" si="18"/>
        <v>147240.11119999998</v>
      </c>
      <c r="H131" s="698" t="s">
        <v>10</v>
      </c>
      <c r="I131" s="699" t="s">
        <v>1416</v>
      </c>
      <c r="J131" s="699" t="s">
        <v>1417</v>
      </c>
      <c r="K131" s="699" t="s">
        <v>81</v>
      </c>
      <c r="L131" s="699" t="s">
        <v>10</v>
      </c>
      <c r="M131" s="702">
        <v>43</v>
      </c>
      <c r="N131" s="702">
        <v>0.999</v>
      </c>
      <c r="O131" s="702">
        <v>1</v>
      </c>
      <c r="P131" s="702">
        <v>1</v>
      </c>
      <c r="Q131" s="702">
        <v>0.89700000000000002</v>
      </c>
      <c r="R131" s="702">
        <v>458455</v>
      </c>
      <c r="S131" s="702">
        <v>422618</v>
      </c>
      <c r="T131" s="7">
        <f t="shared" ref="T131:T194" si="20">IF(I131="regional",IF(R131&gt;0,R131*0.2975,S131*0.3484),S131*0.1939)</f>
        <v>136390.36249999999</v>
      </c>
      <c r="U131" s="702">
        <v>307884</v>
      </c>
      <c r="V131" s="702">
        <v>114734</v>
      </c>
      <c r="W131" s="702">
        <v>1868</v>
      </c>
      <c r="X131" s="702">
        <v>0</v>
      </c>
      <c r="Y131" s="702">
        <v>0</v>
      </c>
      <c r="Z131" s="702">
        <v>0</v>
      </c>
      <c r="AA131" s="702">
        <v>559008.36250000005</v>
      </c>
      <c r="AB131" s="702">
        <v>136390.36249999999</v>
      </c>
      <c r="AC131" s="702">
        <v>422618</v>
      </c>
      <c r="AD131" s="702">
        <v>0</v>
      </c>
      <c r="AE131" s="702">
        <v>0</v>
      </c>
      <c r="AF131" s="702">
        <v>0</v>
      </c>
      <c r="AG131" s="702">
        <v>422618</v>
      </c>
      <c r="AH131" s="702">
        <v>0</v>
      </c>
      <c r="AI131" s="702">
        <v>0</v>
      </c>
      <c r="AJ131" s="698">
        <v>4</v>
      </c>
      <c r="AK131" s="698" t="s">
        <v>899</v>
      </c>
      <c r="AL131" s="699" t="s">
        <v>1416</v>
      </c>
      <c r="AM131" s="698" t="s">
        <v>10</v>
      </c>
      <c r="AN131" s="699" t="s">
        <v>243</v>
      </c>
      <c r="AO131" s="699">
        <v>136390.36249999999</v>
      </c>
      <c r="AP131" s="703">
        <f t="shared" si="19"/>
        <v>44.572394000000003</v>
      </c>
      <c r="AQ131" s="703">
        <f t="shared" ref="AQ131:AQ194" si="21">AR131+AT131+AU131+AV131+AX131+AY131+AZ131+BB131+BC131+BD131+BF131+BG131+BH131+BJ131+BK131+(BL131+BM131+BN131)/1000+(0.1*BO131)</f>
        <v>45.572394000000003</v>
      </c>
      <c r="AR131" s="697">
        <v>14</v>
      </c>
      <c r="AS131" s="697">
        <v>0</v>
      </c>
      <c r="AT131" s="697">
        <v>19</v>
      </c>
      <c r="AU131" s="697">
        <v>3</v>
      </c>
      <c r="AV131" s="697">
        <v>0</v>
      </c>
      <c r="AW131" s="697">
        <v>0</v>
      </c>
      <c r="AX131" s="697">
        <v>1</v>
      </c>
      <c r="AY131" s="697">
        <v>1</v>
      </c>
      <c r="AZ131" s="697">
        <v>0</v>
      </c>
      <c r="BA131" s="697">
        <v>0</v>
      </c>
      <c r="BB131" s="697">
        <v>1</v>
      </c>
      <c r="BC131" s="697">
        <v>0</v>
      </c>
      <c r="BD131" s="697">
        <v>0</v>
      </c>
      <c r="BE131" s="697">
        <v>0</v>
      </c>
      <c r="BF131" s="697">
        <v>0</v>
      </c>
      <c r="BG131" s="697">
        <v>0</v>
      </c>
      <c r="BH131" s="697">
        <v>0</v>
      </c>
      <c r="BI131" s="697">
        <v>0</v>
      </c>
      <c r="BJ131" s="697">
        <v>0</v>
      </c>
      <c r="BK131" s="697">
        <v>0</v>
      </c>
      <c r="BL131" s="697">
        <v>0</v>
      </c>
      <c r="BM131" s="697">
        <v>0</v>
      </c>
      <c r="BN131" s="697">
        <v>0</v>
      </c>
      <c r="BO131" s="697">
        <v>65.723939999999999</v>
      </c>
    </row>
    <row r="132" spans="1:116" s="727" customFormat="1" ht="15" customHeight="1" x14ac:dyDescent="0.2">
      <c r="A132" s="697">
        <v>3724</v>
      </c>
      <c r="B132" s="697"/>
      <c r="C132" s="698" t="s">
        <v>245</v>
      </c>
      <c r="D132" s="699" t="s">
        <v>245</v>
      </c>
      <c r="E132" s="700">
        <f t="shared" si="13"/>
        <v>17152.975699999999</v>
      </c>
      <c r="F132" s="700">
        <v>0</v>
      </c>
      <c r="G132" s="701">
        <f t="shared" si="18"/>
        <v>17152.975699999999</v>
      </c>
      <c r="H132" s="698" t="s">
        <v>10</v>
      </c>
      <c r="I132" s="699" t="s">
        <v>1512</v>
      </c>
      <c r="J132" s="699" t="s">
        <v>10</v>
      </c>
      <c r="K132" s="699" t="s">
        <v>81</v>
      </c>
      <c r="L132" s="699" t="s">
        <v>10</v>
      </c>
      <c r="M132" s="702">
        <v>2</v>
      </c>
      <c r="N132" s="702">
        <v>0.48199999999999998</v>
      </c>
      <c r="O132" s="702">
        <v>0.49199999999999999</v>
      </c>
      <c r="P132" s="702">
        <v>0.49199999999999999</v>
      </c>
      <c r="Q132" s="702">
        <v>0.24</v>
      </c>
      <c r="R132" s="702">
        <v>0</v>
      </c>
      <c r="S132" s="702">
        <v>88463</v>
      </c>
      <c r="T132" s="7">
        <f t="shared" si="20"/>
        <v>17152.975699999999</v>
      </c>
      <c r="U132" s="702">
        <v>58820</v>
      </c>
      <c r="V132" s="702">
        <v>29643</v>
      </c>
      <c r="W132" s="702">
        <v>460</v>
      </c>
      <c r="X132" s="702">
        <v>0</v>
      </c>
      <c r="Y132" s="702">
        <v>0</v>
      </c>
      <c r="Z132" s="702">
        <v>0</v>
      </c>
      <c r="AA132" s="702">
        <v>105615.9757</v>
      </c>
      <c r="AB132" s="702">
        <v>17152.975699999999</v>
      </c>
      <c r="AC132" s="702">
        <v>88463</v>
      </c>
      <c r="AD132" s="702">
        <v>0</v>
      </c>
      <c r="AE132" s="702">
        <v>0</v>
      </c>
      <c r="AF132" s="702">
        <v>0</v>
      </c>
      <c r="AG132" s="702">
        <v>88463</v>
      </c>
      <c r="AH132" s="702">
        <v>0</v>
      </c>
      <c r="AI132" s="702">
        <v>0</v>
      </c>
      <c r="AJ132" s="698">
        <v>4</v>
      </c>
      <c r="AK132" s="698" t="s">
        <v>899</v>
      </c>
      <c r="AL132" s="699" t="s">
        <v>1512</v>
      </c>
      <c r="AM132" s="698" t="s">
        <v>10</v>
      </c>
      <c r="AN132" s="699" t="s">
        <v>245</v>
      </c>
      <c r="AO132" s="699">
        <v>17152.975699999999</v>
      </c>
      <c r="AP132" s="703">
        <f t="shared" si="19"/>
        <v>5.3751420000000003</v>
      </c>
      <c r="AQ132" s="703">
        <f t="shared" si="21"/>
        <v>5.3751420000000003</v>
      </c>
      <c r="AR132" s="697">
        <v>0</v>
      </c>
      <c r="AS132" s="697">
        <v>0</v>
      </c>
      <c r="AT132" s="697">
        <v>1</v>
      </c>
      <c r="AU132" s="697">
        <v>0</v>
      </c>
      <c r="AV132" s="697">
        <v>0</v>
      </c>
      <c r="AW132" s="697">
        <v>0</v>
      </c>
      <c r="AX132" s="697">
        <v>0</v>
      </c>
      <c r="AY132" s="697">
        <v>4</v>
      </c>
      <c r="AZ132" s="697">
        <v>0</v>
      </c>
      <c r="BA132" s="697">
        <v>0</v>
      </c>
      <c r="BB132" s="697">
        <v>0</v>
      </c>
      <c r="BC132" s="697">
        <v>0</v>
      </c>
      <c r="BD132" s="697">
        <v>0</v>
      </c>
      <c r="BE132" s="697">
        <v>0</v>
      </c>
      <c r="BF132" s="697">
        <v>0</v>
      </c>
      <c r="BG132" s="697">
        <v>0</v>
      </c>
      <c r="BH132" s="697">
        <v>0</v>
      </c>
      <c r="BI132" s="697">
        <v>0</v>
      </c>
      <c r="BJ132" s="697">
        <v>0</v>
      </c>
      <c r="BK132" s="697">
        <v>0</v>
      </c>
      <c r="BL132" s="697">
        <v>0</v>
      </c>
      <c r="BM132" s="697">
        <v>0</v>
      </c>
      <c r="BN132" s="697">
        <v>0</v>
      </c>
      <c r="BO132" s="697">
        <v>3.75142</v>
      </c>
    </row>
    <row r="133" spans="1:116" s="724" customFormat="1" ht="15" customHeight="1" x14ac:dyDescent="0.2">
      <c r="A133" s="735">
        <v>4666</v>
      </c>
      <c r="B133" s="735"/>
      <c r="C133" s="742" t="s">
        <v>246</v>
      </c>
      <c r="D133" s="699" t="s">
        <v>246</v>
      </c>
      <c r="E133" s="700">
        <f t="shared" si="13"/>
        <v>425807.51199999999</v>
      </c>
      <c r="F133" s="700">
        <v>0</v>
      </c>
      <c r="G133" s="701">
        <f t="shared" si="18"/>
        <v>425807.51199999999</v>
      </c>
      <c r="H133" s="698" t="s">
        <v>10</v>
      </c>
      <c r="I133" s="699" t="s">
        <v>1416</v>
      </c>
      <c r="J133" s="699" t="s">
        <v>1417</v>
      </c>
      <c r="K133" s="699" t="s">
        <v>248</v>
      </c>
      <c r="L133" s="699" t="s">
        <v>10</v>
      </c>
      <c r="M133" s="702">
        <v>170</v>
      </c>
      <c r="N133" s="702">
        <v>0.92700000000000005</v>
      </c>
      <c r="O133" s="702">
        <v>0.96499999999999997</v>
      </c>
      <c r="P133" s="702">
        <v>0.93200000000000005</v>
      </c>
      <c r="Q133" s="702">
        <v>0.95199999999999996</v>
      </c>
      <c r="R133" s="702">
        <v>1421049</v>
      </c>
      <c r="S133" s="702">
        <v>1222180</v>
      </c>
      <c r="T133" s="7">
        <f t="shared" si="20"/>
        <v>422762.07749999996</v>
      </c>
      <c r="U133" s="702">
        <v>587591</v>
      </c>
      <c r="V133" s="702">
        <v>634589</v>
      </c>
      <c r="W133" s="702">
        <v>6700</v>
      </c>
      <c r="X133" s="702">
        <v>0</v>
      </c>
      <c r="Y133" s="702">
        <v>0</v>
      </c>
      <c r="Z133" s="702">
        <v>0</v>
      </c>
      <c r="AA133" s="702">
        <v>1644942.078</v>
      </c>
      <c r="AB133" s="702">
        <v>422762.07750000001</v>
      </c>
      <c r="AC133" s="702">
        <v>1222180</v>
      </c>
      <c r="AD133" s="702">
        <v>0</v>
      </c>
      <c r="AE133" s="702">
        <v>0</v>
      </c>
      <c r="AF133" s="702">
        <v>0</v>
      </c>
      <c r="AG133" s="702">
        <v>1222180</v>
      </c>
      <c r="AH133" s="702">
        <v>0</v>
      </c>
      <c r="AI133" s="702">
        <v>0</v>
      </c>
      <c r="AJ133" s="698" t="s">
        <v>908</v>
      </c>
      <c r="AK133" s="698" t="s">
        <v>909</v>
      </c>
      <c r="AL133" s="699" t="s">
        <v>1416</v>
      </c>
      <c r="AM133" s="698" t="s">
        <v>10</v>
      </c>
      <c r="AN133" s="699" t="s">
        <v>246</v>
      </c>
      <c r="AO133" s="699">
        <v>422762.07750000001</v>
      </c>
      <c r="AP133" s="703">
        <f t="shared" si="19"/>
        <v>1573</v>
      </c>
      <c r="AQ133" s="703">
        <f t="shared" si="21"/>
        <v>1666</v>
      </c>
      <c r="AR133" s="723">
        <v>967</v>
      </c>
      <c r="AS133" s="723">
        <v>0</v>
      </c>
      <c r="AT133" s="723">
        <v>553</v>
      </c>
      <c r="AU133" s="723">
        <v>0</v>
      </c>
      <c r="AV133" s="723">
        <v>0</v>
      </c>
      <c r="AW133" s="723">
        <v>0</v>
      </c>
      <c r="AX133" s="723">
        <v>0</v>
      </c>
      <c r="AY133" s="723">
        <v>0</v>
      </c>
      <c r="AZ133" s="723">
        <v>0</v>
      </c>
      <c r="BA133" s="723">
        <v>165</v>
      </c>
      <c r="BB133" s="723">
        <v>93</v>
      </c>
      <c r="BC133" s="723">
        <v>0</v>
      </c>
      <c r="BD133" s="697">
        <v>11</v>
      </c>
      <c r="BE133" s="697">
        <v>0</v>
      </c>
      <c r="BF133" s="697">
        <v>0</v>
      </c>
      <c r="BG133" s="697">
        <v>0</v>
      </c>
      <c r="BH133" s="697">
        <v>42</v>
      </c>
      <c r="BI133" s="697">
        <v>0</v>
      </c>
      <c r="BJ133" s="697">
        <v>0</v>
      </c>
      <c r="BK133" s="697">
        <v>0</v>
      </c>
      <c r="BL133" s="723">
        <v>0</v>
      </c>
      <c r="BM133" s="723">
        <v>0</v>
      </c>
      <c r="BN133" s="723">
        <v>0</v>
      </c>
      <c r="BO133" s="697">
        <v>0</v>
      </c>
      <c r="BP133" s="392"/>
      <c r="BQ133" s="392"/>
      <c r="BR133" s="392"/>
      <c r="BS133" s="392"/>
      <c r="BT133" s="392"/>
      <c r="BU133" s="392"/>
      <c r="BV133" s="392"/>
      <c r="BW133" s="392"/>
      <c r="BX133" s="392"/>
      <c r="BY133" s="392"/>
      <c r="BZ133" s="392"/>
      <c r="CA133" s="392"/>
      <c r="CB133" s="392"/>
      <c r="CC133" s="392"/>
      <c r="CD133" s="392"/>
      <c r="CE133" s="392"/>
      <c r="CF133" s="392"/>
      <c r="CG133" s="392"/>
      <c r="CH133" s="392"/>
      <c r="CI133" s="392"/>
      <c r="CJ133" s="392"/>
      <c r="CK133" s="392"/>
      <c r="CL133" s="392"/>
      <c r="CM133" s="392"/>
      <c r="CN133" s="392"/>
      <c r="CO133" s="392"/>
      <c r="CP133" s="392"/>
      <c r="CQ133" s="392"/>
      <c r="CR133" s="392"/>
      <c r="CS133" s="392"/>
      <c r="CT133" s="392"/>
      <c r="CU133" s="392"/>
      <c r="CV133" s="392"/>
      <c r="CW133" s="392"/>
      <c r="CX133" s="392"/>
      <c r="CY133" s="392"/>
      <c r="CZ133" s="392"/>
      <c r="DA133" s="392"/>
      <c r="DB133" s="392"/>
      <c r="DC133" s="392"/>
      <c r="DD133" s="392"/>
      <c r="DE133" s="392"/>
      <c r="DF133" s="392"/>
      <c r="DG133" s="392"/>
      <c r="DH133" s="392"/>
      <c r="DI133" s="392"/>
      <c r="DJ133" s="392"/>
      <c r="DK133" s="392"/>
      <c r="DL133" s="392"/>
    </row>
    <row r="134" spans="1:116" s="752" customFormat="1" ht="15" customHeight="1" x14ac:dyDescent="0.2">
      <c r="A134" s="722">
        <v>4667</v>
      </c>
      <c r="B134" s="722" t="s">
        <v>1412</v>
      </c>
      <c r="C134" s="725" t="s">
        <v>939</v>
      </c>
      <c r="D134" s="706" t="s">
        <v>939</v>
      </c>
      <c r="E134" s="700">
        <f t="shared" si="13"/>
        <v>7849.4597999999996</v>
      </c>
      <c r="F134" s="707" t="s">
        <v>10</v>
      </c>
      <c r="G134" s="701" t="e">
        <f t="shared" si="18"/>
        <v>#VALUE!</v>
      </c>
      <c r="H134" s="725" t="s">
        <v>10</v>
      </c>
      <c r="I134" s="706" t="s">
        <v>911</v>
      </c>
      <c r="J134" s="706" t="s">
        <v>10</v>
      </c>
      <c r="K134" s="706" t="s">
        <v>10</v>
      </c>
      <c r="L134" s="706" t="s">
        <v>10</v>
      </c>
      <c r="M134" s="708" t="s">
        <v>10</v>
      </c>
      <c r="N134" s="708" t="s">
        <v>10</v>
      </c>
      <c r="O134" s="708" t="s">
        <v>10</v>
      </c>
      <c r="P134" s="708" t="s">
        <v>10</v>
      </c>
      <c r="Q134" s="708" t="s">
        <v>10</v>
      </c>
      <c r="R134" s="708" t="s">
        <v>10</v>
      </c>
      <c r="S134" s="708">
        <v>40482</v>
      </c>
      <c r="T134" s="7">
        <f t="shared" si="20"/>
        <v>7849.4597999999996</v>
      </c>
      <c r="U134" s="708" t="s">
        <v>10</v>
      </c>
      <c r="V134" s="708" t="s">
        <v>10</v>
      </c>
      <c r="W134" s="708" t="s">
        <v>10</v>
      </c>
      <c r="X134" s="708" t="s">
        <v>10</v>
      </c>
      <c r="Y134" s="708" t="s">
        <v>10</v>
      </c>
      <c r="Z134" s="708" t="s">
        <v>10</v>
      </c>
      <c r="AA134" s="708" t="s">
        <v>10</v>
      </c>
      <c r="AB134" s="708" t="s">
        <v>10</v>
      </c>
      <c r="AC134" s="708" t="s">
        <v>10</v>
      </c>
      <c r="AD134" s="708" t="s">
        <v>10</v>
      </c>
      <c r="AE134" s="708" t="s">
        <v>10</v>
      </c>
      <c r="AF134" s="708" t="s">
        <v>10</v>
      </c>
      <c r="AG134" s="708" t="s">
        <v>10</v>
      </c>
      <c r="AH134" s="708" t="s">
        <v>10</v>
      </c>
      <c r="AI134" s="708" t="s">
        <v>10</v>
      </c>
      <c r="AJ134" s="725" t="s">
        <v>908</v>
      </c>
      <c r="AK134" s="725" t="s">
        <v>909</v>
      </c>
      <c r="AL134" s="718" t="s">
        <v>911</v>
      </c>
      <c r="AM134" s="725" t="s">
        <v>10</v>
      </c>
      <c r="AN134" s="718" t="s">
        <v>939</v>
      </c>
      <c r="AO134" s="718">
        <v>0</v>
      </c>
      <c r="AP134" s="719">
        <v>0</v>
      </c>
      <c r="AQ134" s="703">
        <f t="shared" si="21"/>
        <v>159</v>
      </c>
      <c r="AR134" s="720">
        <v>0</v>
      </c>
      <c r="AS134" s="720">
        <v>0</v>
      </c>
      <c r="AT134" s="720">
        <v>136</v>
      </c>
      <c r="AU134" s="720">
        <v>0</v>
      </c>
      <c r="AV134" s="720">
        <v>0</v>
      </c>
      <c r="AW134" s="720">
        <v>0</v>
      </c>
      <c r="AX134" s="720">
        <v>15</v>
      </c>
      <c r="AY134" s="720">
        <v>0</v>
      </c>
      <c r="AZ134" s="720">
        <v>0</v>
      </c>
      <c r="BA134" s="720">
        <v>0</v>
      </c>
      <c r="BB134" s="720">
        <v>2</v>
      </c>
      <c r="BC134" s="720">
        <v>0</v>
      </c>
      <c r="BD134" s="704">
        <v>0</v>
      </c>
      <c r="BE134" s="704">
        <v>0</v>
      </c>
      <c r="BF134" s="704">
        <v>0</v>
      </c>
      <c r="BG134" s="704">
        <v>0</v>
      </c>
      <c r="BH134" s="704">
        <v>0</v>
      </c>
      <c r="BI134" s="704">
        <v>0</v>
      </c>
      <c r="BJ134" s="704">
        <v>0</v>
      </c>
      <c r="BK134" s="704">
        <v>0</v>
      </c>
      <c r="BL134" s="704">
        <v>0</v>
      </c>
      <c r="BM134" s="729">
        <v>6000</v>
      </c>
      <c r="BN134" s="729">
        <v>0</v>
      </c>
      <c r="BO134" s="722">
        <v>0</v>
      </c>
      <c r="BP134" s="392"/>
      <c r="BQ134" s="392"/>
      <c r="BR134" s="392"/>
      <c r="BS134" s="392"/>
      <c r="BT134" s="392"/>
      <c r="BU134" s="392"/>
      <c r="BV134" s="392"/>
      <c r="BW134" s="392"/>
      <c r="BX134" s="392"/>
      <c r="BY134" s="392"/>
      <c r="BZ134" s="392"/>
      <c r="CA134" s="392"/>
      <c r="CB134" s="392"/>
      <c r="CC134" s="392"/>
      <c r="CD134" s="392"/>
      <c r="CE134" s="392"/>
      <c r="CF134" s="392"/>
      <c r="CG134" s="392"/>
      <c r="CH134" s="392"/>
      <c r="CI134" s="392"/>
      <c r="CJ134" s="392"/>
      <c r="CK134" s="392"/>
      <c r="CL134" s="392"/>
      <c r="CM134" s="392"/>
      <c r="CN134" s="392"/>
      <c r="CO134" s="392"/>
      <c r="CP134" s="392"/>
      <c r="CQ134" s="392"/>
      <c r="CR134" s="392"/>
      <c r="CS134" s="392"/>
      <c r="CT134" s="392"/>
      <c r="CU134" s="392"/>
      <c r="CV134" s="392"/>
      <c r="CW134" s="392"/>
      <c r="CX134" s="392"/>
      <c r="CY134" s="392"/>
      <c r="CZ134" s="392"/>
      <c r="DA134" s="392"/>
      <c r="DB134" s="392"/>
      <c r="DC134" s="392"/>
      <c r="DD134" s="392"/>
      <c r="DE134" s="392"/>
      <c r="DF134" s="392"/>
      <c r="DG134" s="392"/>
      <c r="DH134" s="392"/>
      <c r="DI134" s="392"/>
      <c r="DJ134" s="392"/>
      <c r="DK134" s="392"/>
      <c r="DL134" s="392"/>
    </row>
    <row r="135" spans="1:116" s="752" customFormat="1" ht="15" customHeight="1" x14ac:dyDescent="0.2">
      <c r="A135" s="704">
        <v>9780</v>
      </c>
      <c r="B135" s="704"/>
      <c r="C135" s="705" t="s">
        <v>250</v>
      </c>
      <c r="D135" s="699" t="s">
        <v>250</v>
      </c>
      <c r="E135" s="700">
        <f t="shared" si="13"/>
        <v>303954.26360000001</v>
      </c>
      <c r="F135" s="700">
        <v>0</v>
      </c>
      <c r="G135" s="701">
        <f t="shared" si="18"/>
        <v>303954.26360000001</v>
      </c>
      <c r="H135" s="705" t="s">
        <v>1417</v>
      </c>
      <c r="I135" s="699" t="s">
        <v>1416</v>
      </c>
      <c r="J135" s="699" t="s">
        <v>1417</v>
      </c>
      <c r="K135" s="699" t="s">
        <v>1552</v>
      </c>
      <c r="L135" s="699" t="s">
        <v>10</v>
      </c>
      <c r="M135" s="702">
        <v>141</v>
      </c>
      <c r="N135" s="702">
        <v>0.91800000000000004</v>
      </c>
      <c r="O135" s="702">
        <v>0.91900000000000004</v>
      </c>
      <c r="P135" s="702">
        <v>0.95699999999999996</v>
      </c>
      <c r="Q135" s="702">
        <v>0.94499999999999995</v>
      </c>
      <c r="R135" s="702">
        <v>1030690</v>
      </c>
      <c r="S135" s="702">
        <v>872429</v>
      </c>
      <c r="T135" s="7">
        <f t="shared" si="20"/>
        <v>306630.27499999997</v>
      </c>
      <c r="U135" s="702">
        <v>683308</v>
      </c>
      <c r="V135" s="702">
        <v>189121</v>
      </c>
      <c r="W135" s="702">
        <v>4984</v>
      </c>
      <c r="X135" s="702">
        <v>0</v>
      </c>
      <c r="Y135" s="702">
        <v>0</v>
      </c>
      <c r="Z135" s="702">
        <v>0</v>
      </c>
      <c r="AA135" s="702">
        <v>1179059.2749999999</v>
      </c>
      <c r="AB135" s="702">
        <v>306630.27500000002</v>
      </c>
      <c r="AC135" s="702">
        <v>872429</v>
      </c>
      <c r="AD135" s="702">
        <v>0</v>
      </c>
      <c r="AE135" s="702">
        <v>0</v>
      </c>
      <c r="AF135" s="702">
        <v>0</v>
      </c>
      <c r="AG135" s="702">
        <v>872429</v>
      </c>
      <c r="AH135" s="702">
        <v>0</v>
      </c>
      <c r="AI135" s="702">
        <v>0</v>
      </c>
      <c r="AJ135" s="705" t="s">
        <v>900</v>
      </c>
      <c r="AK135" s="705" t="s">
        <v>907</v>
      </c>
      <c r="AL135" s="709" t="s">
        <v>1416</v>
      </c>
      <c r="AM135" s="705" t="s">
        <v>1417</v>
      </c>
      <c r="AN135" s="709" t="s">
        <v>250</v>
      </c>
      <c r="AO135" s="709">
        <v>306630.27500000002</v>
      </c>
      <c r="AP135" s="710">
        <f>AR135+AT135+AU135+AV135+AX135+AY135+AZ135+BD135+BF135+BG135+BH135+BJ135+BK135+(BL135+BM135+BN135)/1000+(0.1*BO135)</f>
        <v>460.12</v>
      </c>
      <c r="AQ135" s="703">
        <f t="shared" si="21"/>
        <v>496.12</v>
      </c>
      <c r="AR135" s="704">
        <v>0</v>
      </c>
      <c r="AS135" s="704">
        <v>0</v>
      </c>
      <c r="AT135" s="704">
        <v>251</v>
      </c>
      <c r="AU135" s="704">
        <v>3</v>
      </c>
      <c r="AV135" s="704">
        <v>0</v>
      </c>
      <c r="AW135" s="704">
        <v>0</v>
      </c>
      <c r="AX135" s="704">
        <v>1</v>
      </c>
      <c r="AY135" s="704">
        <v>0</v>
      </c>
      <c r="AZ135" s="704">
        <v>0</v>
      </c>
      <c r="BA135" s="704">
        <v>0</v>
      </c>
      <c r="BB135" s="704">
        <v>36</v>
      </c>
      <c r="BC135" s="704">
        <v>0</v>
      </c>
      <c r="BD135" s="704">
        <v>0</v>
      </c>
      <c r="BE135" s="704">
        <v>0</v>
      </c>
      <c r="BF135" s="704">
        <v>0</v>
      </c>
      <c r="BG135" s="704">
        <v>0</v>
      </c>
      <c r="BH135" s="704">
        <v>0</v>
      </c>
      <c r="BI135" s="704">
        <v>0</v>
      </c>
      <c r="BJ135" s="704">
        <v>0</v>
      </c>
      <c r="BK135" s="704">
        <v>0</v>
      </c>
      <c r="BL135" s="704">
        <v>0</v>
      </c>
      <c r="BM135" s="704">
        <v>81652</v>
      </c>
      <c r="BN135" s="704">
        <v>0</v>
      </c>
      <c r="BO135" s="704">
        <v>1234.68</v>
      </c>
      <c r="BP135" s="392"/>
      <c r="BQ135" s="392"/>
      <c r="BR135" s="392"/>
      <c r="BS135" s="392"/>
      <c r="BT135" s="392"/>
      <c r="BU135" s="392"/>
      <c r="BV135" s="392"/>
      <c r="BW135" s="392"/>
      <c r="BX135" s="392"/>
      <c r="BY135" s="392"/>
      <c r="BZ135" s="392"/>
      <c r="CA135" s="392"/>
      <c r="CB135" s="392"/>
      <c r="CC135" s="392"/>
      <c r="CD135" s="392"/>
      <c r="CE135" s="392"/>
      <c r="CF135" s="392"/>
      <c r="CG135" s="392"/>
      <c r="CH135" s="392"/>
      <c r="CI135" s="392"/>
      <c r="CJ135" s="392"/>
      <c r="CK135" s="392"/>
      <c r="CL135" s="392"/>
      <c r="CM135" s="392"/>
      <c r="CN135" s="392"/>
      <c r="CO135" s="392"/>
      <c r="CP135" s="392"/>
      <c r="CQ135" s="392"/>
      <c r="CR135" s="392"/>
      <c r="CS135" s="392"/>
      <c r="CT135" s="392"/>
      <c r="CU135" s="392"/>
      <c r="CV135" s="392"/>
      <c r="CW135" s="392"/>
      <c r="CX135" s="392"/>
      <c r="CY135" s="392"/>
      <c r="CZ135" s="392"/>
      <c r="DA135" s="392"/>
      <c r="DB135" s="392"/>
      <c r="DC135" s="392"/>
      <c r="DD135" s="392"/>
      <c r="DE135" s="392"/>
      <c r="DF135" s="392"/>
      <c r="DG135" s="392"/>
      <c r="DH135" s="392"/>
      <c r="DI135" s="392"/>
      <c r="DJ135" s="392"/>
      <c r="DK135" s="392"/>
      <c r="DL135" s="392"/>
    </row>
    <row r="136" spans="1:116" s="724" customFormat="1" ht="15" customHeight="1" x14ac:dyDescent="0.2">
      <c r="A136" s="704">
        <v>2580</v>
      </c>
      <c r="B136" s="704" t="s">
        <v>1412</v>
      </c>
      <c r="C136" s="705" t="s">
        <v>251</v>
      </c>
      <c r="D136" s="699" t="s">
        <v>251</v>
      </c>
      <c r="E136" s="700">
        <f t="shared" ref="E136:E199" si="22">IF(I136="regional",IF(R136*0.2975,S136*0.3484),S136*0.1939)</f>
        <v>219659.92879999999</v>
      </c>
      <c r="F136" s="700">
        <v>0</v>
      </c>
      <c r="G136" s="701">
        <f t="shared" si="18"/>
        <v>219659.92879999999</v>
      </c>
      <c r="H136" s="705" t="s">
        <v>10</v>
      </c>
      <c r="I136" s="699" t="s">
        <v>1416</v>
      </c>
      <c r="J136" s="699" t="s">
        <v>1412</v>
      </c>
      <c r="K136" s="699" t="s">
        <v>1568</v>
      </c>
      <c r="L136" s="699" t="s">
        <v>10</v>
      </c>
      <c r="M136" s="702">
        <v>104</v>
      </c>
      <c r="N136" s="702">
        <v>0.82899999999999996</v>
      </c>
      <c r="O136" s="702">
        <v>0.83199999999999996</v>
      </c>
      <c r="P136" s="702">
        <v>0.89</v>
      </c>
      <c r="Q136" s="702">
        <v>0.78700000000000003</v>
      </c>
      <c r="R136" s="702">
        <v>767081</v>
      </c>
      <c r="S136" s="702">
        <v>630482</v>
      </c>
      <c r="T136" s="7">
        <f t="shared" si="20"/>
        <v>228206.5975</v>
      </c>
      <c r="U136" s="702">
        <v>376198</v>
      </c>
      <c r="V136" s="702">
        <v>254284</v>
      </c>
      <c r="W136" s="702">
        <v>3600</v>
      </c>
      <c r="X136" s="702">
        <v>0</v>
      </c>
      <c r="Y136" s="702">
        <v>0</v>
      </c>
      <c r="Z136" s="702">
        <v>0</v>
      </c>
      <c r="AA136" s="702">
        <v>858688.59750000003</v>
      </c>
      <c r="AB136" s="702">
        <v>228206.5975</v>
      </c>
      <c r="AC136" s="702">
        <v>630482</v>
      </c>
      <c r="AD136" s="702">
        <v>0</v>
      </c>
      <c r="AE136" s="702">
        <v>0</v>
      </c>
      <c r="AF136" s="702">
        <v>630482</v>
      </c>
      <c r="AG136" s="702">
        <v>0</v>
      </c>
      <c r="AH136" s="702">
        <v>586000</v>
      </c>
      <c r="AI136" s="702">
        <v>484000</v>
      </c>
      <c r="AJ136" s="705" t="s">
        <v>900</v>
      </c>
      <c r="AK136" s="705" t="s">
        <v>901</v>
      </c>
      <c r="AL136" s="709" t="s">
        <v>1416</v>
      </c>
      <c r="AM136" s="705" t="s">
        <v>10</v>
      </c>
      <c r="AN136" s="709" t="s">
        <v>251</v>
      </c>
      <c r="AO136" s="709">
        <v>228206.5975</v>
      </c>
      <c r="AP136" s="710">
        <f>AR136+AT136+AU136+AV136+AX136+AY136+AZ136+BD136+BF136+BG136+BH136+BJ136+BK136+(BL136+BM136+BN136)/1000+(0.1*BO136)</f>
        <v>238.64669999999998</v>
      </c>
      <c r="AQ136" s="703">
        <f t="shared" si="21"/>
        <v>268.64670000000001</v>
      </c>
      <c r="AR136" s="755">
        <v>35</v>
      </c>
      <c r="AS136" s="755">
        <v>484</v>
      </c>
      <c r="AT136" s="755">
        <v>85</v>
      </c>
      <c r="AU136" s="755">
        <v>40</v>
      </c>
      <c r="AV136" s="704">
        <v>0</v>
      </c>
      <c r="AW136" s="704">
        <v>0</v>
      </c>
      <c r="AX136" s="704">
        <v>0</v>
      </c>
      <c r="AY136" s="704">
        <v>0</v>
      </c>
      <c r="AZ136" s="755">
        <v>0</v>
      </c>
      <c r="BA136" s="755">
        <v>17</v>
      </c>
      <c r="BB136" s="755">
        <v>30</v>
      </c>
      <c r="BC136" s="755">
        <v>0</v>
      </c>
      <c r="BD136" s="755">
        <v>22</v>
      </c>
      <c r="BE136" s="755">
        <v>0</v>
      </c>
      <c r="BF136" s="755">
        <v>0</v>
      </c>
      <c r="BG136" s="755">
        <v>0</v>
      </c>
      <c r="BH136" s="755">
        <v>0</v>
      </c>
      <c r="BI136" s="755">
        <v>0</v>
      </c>
      <c r="BJ136" s="755">
        <v>0</v>
      </c>
      <c r="BK136" s="755">
        <v>0</v>
      </c>
      <c r="BL136" s="755">
        <v>8534</v>
      </c>
      <c r="BM136" s="755">
        <v>0</v>
      </c>
      <c r="BN136" s="755">
        <v>10755</v>
      </c>
      <c r="BO136" s="704">
        <v>373.577</v>
      </c>
      <c r="BP136" s="392"/>
      <c r="BQ136" s="392"/>
      <c r="BR136" s="392"/>
      <c r="BS136" s="392"/>
      <c r="BT136" s="392"/>
      <c r="BU136" s="392"/>
      <c r="BV136" s="392"/>
      <c r="BW136" s="392"/>
      <c r="BX136" s="392"/>
      <c r="BY136" s="392"/>
      <c r="BZ136" s="392"/>
      <c r="CA136" s="392"/>
      <c r="CB136" s="392"/>
      <c r="CC136" s="392"/>
      <c r="CD136" s="392"/>
      <c r="CE136" s="392"/>
      <c r="CF136" s="392"/>
      <c r="CG136" s="392"/>
      <c r="CH136" s="392"/>
      <c r="CI136" s="392"/>
      <c r="CJ136" s="392"/>
      <c r="CK136" s="392"/>
      <c r="CL136" s="392"/>
      <c r="CM136" s="392"/>
      <c r="CN136" s="392"/>
      <c r="CO136" s="392"/>
      <c r="CP136" s="392"/>
      <c r="CQ136" s="392"/>
      <c r="CR136" s="392"/>
      <c r="CS136" s="392"/>
      <c r="CT136" s="392"/>
      <c r="CU136" s="392"/>
      <c r="CV136" s="392"/>
      <c r="CW136" s="392"/>
      <c r="CX136" s="392"/>
      <c r="CY136" s="392"/>
      <c r="CZ136" s="392"/>
      <c r="DA136" s="392"/>
      <c r="DB136" s="392"/>
      <c r="DC136" s="392"/>
      <c r="DD136" s="392"/>
      <c r="DE136" s="392"/>
      <c r="DF136" s="392"/>
      <c r="DG136" s="392"/>
      <c r="DH136" s="392"/>
      <c r="DI136" s="392"/>
      <c r="DJ136" s="392"/>
      <c r="DK136" s="392"/>
      <c r="DL136" s="392"/>
    </row>
    <row r="137" spans="1:116" ht="15" customHeight="1" x14ac:dyDescent="0.2">
      <c r="A137" s="722">
        <v>3854</v>
      </c>
      <c r="B137" s="722" t="s">
        <v>1412</v>
      </c>
      <c r="C137" s="725" t="s">
        <v>253</v>
      </c>
      <c r="D137" s="699" t="s">
        <v>253</v>
      </c>
      <c r="E137" s="700">
        <f t="shared" si="22"/>
        <v>0</v>
      </c>
      <c r="F137" s="700">
        <v>0</v>
      </c>
      <c r="G137" s="701">
        <f t="shared" si="18"/>
        <v>0</v>
      </c>
      <c r="H137" s="725" t="s">
        <v>1417</v>
      </c>
      <c r="I137" s="706" t="s">
        <v>1416</v>
      </c>
      <c r="J137" s="699" t="s">
        <v>10</v>
      </c>
      <c r="K137" s="699" t="s">
        <v>10</v>
      </c>
      <c r="L137" s="699" t="s">
        <v>1412</v>
      </c>
      <c r="M137" s="702">
        <v>0</v>
      </c>
      <c r="N137" s="702">
        <v>0</v>
      </c>
      <c r="O137" s="702">
        <v>0</v>
      </c>
      <c r="P137" s="702">
        <v>0</v>
      </c>
      <c r="Q137" s="702">
        <v>0</v>
      </c>
      <c r="R137" s="702">
        <v>727381</v>
      </c>
      <c r="S137" s="702">
        <v>0</v>
      </c>
      <c r="T137" s="7">
        <f t="shared" si="20"/>
        <v>216395.8475</v>
      </c>
      <c r="U137" s="702">
        <v>0</v>
      </c>
      <c r="V137" s="702">
        <v>0</v>
      </c>
      <c r="W137" s="702">
        <v>0</v>
      </c>
      <c r="X137" s="702">
        <v>0</v>
      </c>
      <c r="Y137" s="702">
        <v>0</v>
      </c>
      <c r="Z137" s="702">
        <v>0</v>
      </c>
      <c r="AA137" s="702">
        <v>0</v>
      </c>
      <c r="AB137" s="702">
        <v>0</v>
      </c>
      <c r="AC137" s="702">
        <v>0</v>
      </c>
      <c r="AD137" s="702">
        <v>0</v>
      </c>
      <c r="AE137" s="702">
        <v>0</v>
      </c>
      <c r="AF137" s="702">
        <v>0</v>
      </c>
      <c r="AG137" s="702">
        <v>0</v>
      </c>
      <c r="AH137" s="702">
        <v>364000</v>
      </c>
      <c r="AI137" s="702">
        <v>360000</v>
      </c>
      <c r="AJ137" s="725" t="s">
        <v>900</v>
      </c>
      <c r="AK137" s="725" t="s">
        <v>901</v>
      </c>
      <c r="AL137" s="718" t="s">
        <v>911</v>
      </c>
      <c r="AM137" s="705" t="s">
        <v>1417</v>
      </c>
      <c r="AN137" s="718" t="s">
        <v>253</v>
      </c>
      <c r="AO137" s="718">
        <v>0</v>
      </c>
      <c r="AP137" s="719">
        <v>0</v>
      </c>
      <c r="AQ137" s="703">
        <f t="shared" si="21"/>
        <v>237</v>
      </c>
      <c r="AR137" s="720">
        <v>113</v>
      </c>
      <c r="AS137" s="720">
        <v>360</v>
      </c>
      <c r="AT137" s="720">
        <v>83</v>
      </c>
      <c r="AU137" s="720">
        <v>-2</v>
      </c>
      <c r="AV137" s="704">
        <v>0</v>
      </c>
      <c r="AW137" s="704">
        <v>0</v>
      </c>
      <c r="AX137" s="704">
        <v>0</v>
      </c>
      <c r="AY137" s="704">
        <v>0</v>
      </c>
      <c r="AZ137" s="720">
        <v>0</v>
      </c>
      <c r="BA137" s="720">
        <v>25</v>
      </c>
      <c r="BB137" s="720">
        <v>29</v>
      </c>
      <c r="BC137" s="720">
        <v>0</v>
      </c>
      <c r="BD137" s="753">
        <v>0</v>
      </c>
      <c r="BE137" s="753">
        <v>0</v>
      </c>
      <c r="BF137" s="753">
        <v>0</v>
      </c>
      <c r="BG137" s="753">
        <v>0</v>
      </c>
      <c r="BH137" s="720">
        <v>0</v>
      </c>
      <c r="BI137" s="720">
        <v>3</v>
      </c>
      <c r="BJ137" s="720">
        <v>0</v>
      </c>
      <c r="BK137" s="720">
        <v>0</v>
      </c>
      <c r="BL137" s="720">
        <v>0</v>
      </c>
      <c r="BM137" s="720">
        <v>9000</v>
      </c>
      <c r="BN137" s="720">
        <v>5000</v>
      </c>
      <c r="BO137" s="722">
        <v>0</v>
      </c>
    </row>
    <row r="138" spans="1:116" ht="15" customHeight="1" x14ac:dyDescent="0.2">
      <c r="A138" s="697">
        <v>732</v>
      </c>
      <c r="B138" s="697" t="s">
        <v>1412</v>
      </c>
      <c r="C138" s="698" t="s">
        <v>254</v>
      </c>
      <c r="D138" s="699" t="s">
        <v>254</v>
      </c>
      <c r="E138" s="700">
        <f t="shared" si="22"/>
        <v>205036.5356</v>
      </c>
      <c r="F138" s="700">
        <v>0</v>
      </c>
      <c r="G138" s="701">
        <f t="shared" si="18"/>
        <v>205036.5356</v>
      </c>
      <c r="H138" s="698" t="s">
        <v>10</v>
      </c>
      <c r="I138" s="699" t="s">
        <v>1416</v>
      </c>
      <c r="J138" s="699" t="s">
        <v>1412</v>
      </c>
      <c r="K138" s="699" t="s">
        <v>258</v>
      </c>
      <c r="L138" s="699" t="s">
        <v>10</v>
      </c>
      <c r="M138" s="702">
        <v>108</v>
      </c>
      <c r="N138" s="702">
        <v>0.95499999999999996</v>
      </c>
      <c r="O138" s="702">
        <v>0.96199999999999997</v>
      </c>
      <c r="P138" s="702">
        <v>0.91300000000000003</v>
      </c>
      <c r="Q138" s="702">
        <v>0.91</v>
      </c>
      <c r="R138" s="702">
        <v>913969</v>
      </c>
      <c r="S138" s="702">
        <v>588509</v>
      </c>
      <c r="T138" s="7">
        <f t="shared" si="20"/>
        <v>271905.77749999997</v>
      </c>
      <c r="U138" s="702">
        <v>545891</v>
      </c>
      <c r="V138" s="702">
        <v>42618</v>
      </c>
      <c r="W138" s="702">
        <v>3442</v>
      </c>
      <c r="X138" s="702">
        <v>0</v>
      </c>
      <c r="Y138" s="702">
        <v>0</v>
      </c>
      <c r="Z138" s="702">
        <v>0</v>
      </c>
      <c r="AA138" s="702">
        <v>860414.77749999997</v>
      </c>
      <c r="AB138" s="702">
        <v>271905.77750000003</v>
      </c>
      <c r="AC138" s="702">
        <v>588509</v>
      </c>
      <c r="AD138" s="702">
        <v>0</v>
      </c>
      <c r="AE138" s="702">
        <v>0</v>
      </c>
      <c r="AF138" s="702">
        <v>588509</v>
      </c>
      <c r="AG138" s="702">
        <v>0</v>
      </c>
      <c r="AH138" s="702">
        <v>1079000</v>
      </c>
      <c r="AI138" s="702">
        <v>876000</v>
      </c>
      <c r="AJ138" s="698">
        <v>4</v>
      </c>
      <c r="AK138" s="698" t="s">
        <v>921</v>
      </c>
      <c r="AL138" s="699" t="s">
        <v>1416</v>
      </c>
      <c r="AM138" s="698" t="s">
        <v>10</v>
      </c>
      <c r="AN138" s="699" t="s">
        <v>254</v>
      </c>
      <c r="AO138" s="699">
        <v>271905.77750000003</v>
      </c>
      <c r="AP138" s="703">
        <f t="shared" ref="AP138:AP145" si="23">AR138+AT138+AU138+AV138+AX138+AY138+AZ138+BD138+BF138+BG138+BH138+BJ138+BK138+(BL138+BM138+BN138)/1000+(0.1*BO138)</f>
        <v>169.918924</v>
      </c>
      <c r="AQ138" s="703">
        <f t="shared" si="21"/>
        <v>178.918924</v>
      </c>
      <c r="AR138" s="697">
        <v>26</v>
      </c>
      <c r="AS138" s="697">
        <v>876</v>
      </c>
      <c r="AT138" s="697">
        <v>92</v>
      </c>
      <c r="AU138" s="697">
        <v>19</v>
      </c>
      <c r="AV138" s="697">
        <v>0</v>
      </c>
      <c r="AW138" s="697">
        <v>9</v>
      </c>
      <c r="AX138" s="697">
        <v>9</v>
      </c>
      <c r="AY138" s="697">
        <v>3</v>
      </c>
      <c r="AZ138" s="697">
        <v>0</v>
      </c>
      <c r="BA138" s="697">
        <v>50</v>
      </c>
      <c r="BB138" s="697">
        <v>9</v>
      </c>
      <c r="BC138" s="697">
        <v>0</v>
      </c>
      <c r="BD138" s="697">
        <v>0</v>
      </c>
      <c r="BE138" s="697">
        <v>0</v>
      </c>
      <c r="BF138" s="697">
        <v>0</v>
      </c>
      <c r="BG138" s="697">
        <v>0</v>
      </c>
      <c r="BH138" s="697">
        <v>0</v>
      </c>
      <c r="BI138" s="697">
        <v>0</v>
      </c>
      <c r="BJ138" s="697">
        <v>0</v>
      </c>
      <c r="BK138" s="697">
        <v>0</v>
      </c>
      <c r="BL138" s="697">
        <v>0</v>
      </c>
      <c r="BM138" s="697">
        <v>0</v>
      </c>
      <c r="BN138" s="697">
        <v>0</v>
      </c>
      <c r="BO138" s="697">
        <v>209.18924000000001</v>
      </c>
    </row>
    <row r="139" spans="1:116" ht="15" customHeight="1" x14ac:dyDescent="0.2">
      <c r="A139" s="697">
        <v>9180</v>
      </c>
      <c r="B139" s="697"/>
      <c r="C139" s="698" t="s">
        <v>259</v>
      </c>
      <c r="D139" s="699" t="s">
        <v>259</v>
      </c>
      <c r="E139" s="700">
        <f t="shared" si="22"/>
        <v>285050.0796</v>
      </c>
      <c r="F139" s="700">
        <v>0</v>
      </c>
      <c r="G139" s="701">
        <f t="shared" si="18"/>
        <v>285050.0796</v>
      </c>
      <c r="H139" s="698" t="s">
        <v>10</v>
      </c>
      <c r="I139" s="699" t="s">
        <v>1416</v>
      </c>
      <c r="J139" s="699" t="s">
        <v>1417</v>
      </c>
      <c r="K139" s="699" t="s">
        <v>261</v>
      </c>
      <c r="L139" s="699" t="s">
        <v>10</v>
      </c>
      <c r="M139" s="702">
        <v>137</v>
      </c>
      <c r="N139" s="702">
        <v>0.35599999999999998</v>
      </c>
      <c r="O139" s="702">
        <v>0.38600000000000001</v>
      </c>
      <c r="P139" s="702">
        <v>0.48799999999999999</v>
      </c>
      <c r="Q139" s="702">
        <v>0.63800000000000001</v>
      </c>
      <c r="R139" s="702">
        <v>987234</v>
      </c>
      <c r="S139" s="702">
        <v>818169</v>
      </c>
      <c r="T139" s="7">
        <f t="shared" si="20"/>
        <v>293702.11499999999</v>
      </c>
      <c r="U139" s="702">
        <v>519434</v>
      </c>
      <c r="V139" s="702">
        <v>298735</v>
      </c>
      <c r="W139" s="702">
        <v>5040</v>
      </c>
      <c r="X139" s="702">
        <v>0</v>
      </c>
      <c r="Y139" s="702">
        <v>0</v>
      </c>
      <c r="Z139" s="702">
        <v>0</v>
      </c>
      <c r="AA139" s="702">
        <v>1111871.115</v>
      </c>
      <c r="AB139" s="702">
        <v>293702.11499999999</v>
      </c>
      <c r="AC139" s="702">
        <v>818169</v>
      </c>
      <c r="AD139" s="702">
        <v>0</v>
      </c>
      <c r="AE139" s="702">
        <v>0</v>
      </c>
      <c r="AF139" s="702">
        <v>0</v>
      </c>
      <c r="AG139" s="702">
        <v>818169</v>
      </c>
      <c r="AH139" s="702">
        <v>0</v>
      </c>
      <c r="AI139" s="702">
        <v>0</v>
      </c>
      <c r="AJ139" s="698" t="s">
        <v>914</v>
      </c>
      <c r="AK139" s="698" t="s">
        <v>1555</v>
      </c>
      <c r="AL139" s="699" t="s">
        <v>1416</v>
      </c>
      <c r="AM139" s="698" t="s">
        <v>10</v>
      </c>
      <c r="AN139" s="699" t="s">
        <v>259</v>
      </c>
      <c r="AO139" s="699">
        <v>293702.11499999999</v>
      </c>
      <c r="AP139" s="703">
        <f t="shared" si="23"/>
        <v>247.0497</v>
      </c>
      <c r="AQ139" s="703">
        <f t="shared" si="21"/>
        <v>320.04970000000003</v>
      </c>
      <c r="AR139" s="697">
        <v>0</v>
      </c>
      <c r="AS139" s="697">
        <v>0</v>
      </c>
      <c r="AT139" s="697">
        <v>174</v>
      </c>
      <c r="AU139" s="697">
        <v>15</v>
      </c>
      <c r="AV139" s="697">
        <v>0</v>
      </c>
      <c r="AW139" s="697">
        <v>0</v>
      </c>
      <c r="AX139" s="697">
        <v>0</v>
      </c>
      <c r="AY139" s="697">
        <v>0</v>
      </c>
      <c r="AZ139" s="697">
        <v>0</v>
      </c>
      <c r="BA139" s="697">
        <v>0</v>
      </c>
      <c r="BB139" s="697">
        <v>79</v>
      </c>
      <c r="BC139" s="697">
        <v>-6</v>
      </c>
      <c r="BD139" s="697">
        <v>0</v>
      </c>
      <c r="BE139" s="697">
        <v>0</v>
      </c>
      <c r="BF139" s="697">
        <v>0</v>
      </c>
      <c r="BG139" s="697">
        <v>0</v>
      </c>
      <c r="BH139" s="697">
        <v>0</v>
      </c>
      <c r="BI139" s="697">
        <v>0</v>
      </c>
      <c r="BJ139" s="697">
        <v>0</v>
      </c>
      <c r="BK139" s="697">
        <v>0</v>
      </c>
      <c r="BL139" s="697">
        <v>0</v>
      </c>
      <c r="BM139" s="697">
        <v>0</v>
      </c>
      <c r="BN139" s="697">
        <v>5000</v>
      </c>
      <c r="BO139" s="697">
        <v>530.49699999999996</v>
      </c>
    </row>
    <row r="140" spans="1:116" ht="15" customHeight="1" x14ac:dyDescent="0.2">
      <c r="A140" s="697">
        <v>2568</v>
      </c>
      <c r="B140" s="697"/>
      <c r="C140" s="698" t="s">
        <v>262</v>
      </c>
      <c r="D140" s="699" t="s">
        <v>262</v>
      </c>
      <c r="E140" s="700">
        <f t="shared" si="22"/>
        <v>137713.46159999998</v>
      </c>
      <c r="F140" s="700">
        <v>0</v>
      </c>
      <c r="G140" s="701">
        <f t="shared" si="18"/>
        <v>137713.46159999998</v>
      </c>
      <c r="H140" s="698" t="s">
        <v>10</v>
      </c>
      <c r="I140" s="699" t="s">
        <v>1416</v>
      </c>
      <c r="J140" s="699" t="s">
        <v>1417</v>
      </c>
      <c r="K140" s="699" t="s">
        <v>263</v>
      </c>
      <c r="L140" s="699" t="s">
        <v>10</v>
      </c>
      <c r="M140" s="702">
        <v>38</v>
      </c>
      <c r="N140" s="702">
        <v>0.77100000000000002</v>
      </c>
      <c r="O140" s="702">
        <v>0.77100000000000002</v>
      </c>
      <c r="P140" s="702">
        <v>0.874</v>
      </c>
      <c r="Q140" s="702">
        <v>0.84</v>
      </c>
      <c r="R140" s="702">
        <v>447368</v>
      </c>
      <c r="S140" s="702">
        <v>395274</v>
      </c>
      <c r="T140" s="7">
        <f t="shared" si="20"/>
        <v>133091.97999999998</v>
      </c>
      <c r="U140" s="702">
        <v>292256</v>
      </c>
      <c r="V140" s="702">
        <v>103018</v>
      </c>
      <c r="W140" s="702">
        <v>2565</v>
      </c>
      <c r="X140" s="702">
        <v>0</v>
      </c>
      <c r="Y140" s="702">
        <v>0</v>
      </c>
      <c r="Z140" s="702">
        <v>0</v>
      </c>
      <c r="AA140" s="702">
        <v>528365.98</v>
      </c>
      <c r="AB140" s="702">
        <v>133091.98000000001</v>
      </c>
      <c r="AC140" s="702">
        <v>395274</v>
      </c>
      <c r="AD140" s="702">
        <v>0</v>
      </c>
      <c r="AE140" s="702">
        <v>0</v>
      </c>
      <c r="AF140" s="702">
        <v>0</v>
      </c>
      <c r="AG140" s="702">
        <v>395274</v>
      </c>
      <c r="AH140" s="702">
        <v>0</v>
      </c>
      <c r="AI140" s="702">
        <v>0</v>
      </c>
      <c r="AJ140" s="698">
        <v>4</v>
      </c>
      <c r="AK140" s="698" t="s">
        <v>913</v>
      </c>
      <c r="AL140" s="699" t="s">
        <v>1416</v>
      </c>
      <c r="AM140" s="698" t="s">
        <v>10</v>
      </c>
      <c r="AN140" s="699" t="s">
        <v>262</v>
      </c>
      <c r="AO140" s="699">
        <v>133091.98000000001</v>
      </c>
      <c r="AP140" s="703">
        <f t="shared" si="23"/>
        <v>238.226</v>
      </c>
      <c r="AQ140" s="703">
        <f t="shared" si="21"/>
        <v>242.226</v>
      </c>
      <c r="AR140" s="697">
        <v>10</v>
      </c>
      <c r="AS140" s="697">
        <v>0</v>
      </c>
      <c r="AT140" s="697">
        <v>33</v>
      </c>
      <c r="AU140" s="697">
        <v>6</v>
      </c>
      <c r="AV140" s="697">
        <v>0</v>
      </c>
      <c r="AW140" s="697">
        <v>0</v>
      </c>
      <c r="AX140" s="697">
        <v>13</v>
      </c>
      <c r="AY140" s="697">
        <v>1</v>
      </c>
      <c r="AZ140" s="697">
        <v>0</v>
      </c>
      <c r="BA140" s="697">
        <v>2</v>
      </c>
      <c r="BB140" s="697">
        <v>3</v>
      </c>
      <c r="BC140" s="697">
        <v>1</v>
      </c>
      <c r="BD140" s="697">
        <v>0</v>
      </c>
      <c r="BE140" s="697">
        <v>0</v>
      </c>
      <c r="BF140" s="697">
        <v>0</v>
      </c>
      <c r="BG140" s="697">
        <v>0</v>
      </c>
      <c r="BH140" s="697">
        <v>0</v>
      </c>
      <c r="BI140" s="697">
        <v>0</v>
      </c>
      <c r="BJ140" s="697">
        <v>0</v>
      </c>
      <c r="BK140" s="697">
        <v>0</v>
      </c>
      <c r="BL140" s="697">
        <v>0</v>
      </c>
      <c r="BM140" s="697">
        <v>0</v>
      </c>
      <c r="BN140" s="697">
        <v>175226</v>
      </c>
      <c r="BO140" s="697">
        <v>0</v>
      </c>
    </row>
    <row r="141" spans="1:116" ht="15" customHeight="1" x14ac:dyDescent="0.2">
      <c r="A141" s="697">
        <v>520</v>
      </c>
      <c r="B141" s="697"/>
      <c r="C141" s="698" t="s">
        <v>940</v>
      </c>
      <c r="D141" s="699" t="s">
        <v>940</v>
      </c>
      <c r="E141" s="700">
        <f t="shared" si="22"/>
        <v>1454.25</v>
      </c>
      <c r="F141" s="700">
        <v>0</v>
      </c>
      <c r="G141" s="701">
        <f t="shared" si="18"/>
        <v>1454.25</v>
      </c>
      <c r="H141" s="698" t="s">
        <v>10</v>
      </c>
      <c r="I141" s="699" t="s">
        <v>1512</v>
      </c>
      <c r="J141" s="699" t="s">
        <v>10</v>
      </c>
      <c r="K141" s="699" t="s">
        <v>263</v>
      </c>
      <c r="L141" s="699" t="s">
        <v>10</v>
      </c>
      <c r="M141" s="702">
        <v>1</v>
      </c>
      <c r="N141" s="702">
        <v>1</v>
      </c>
      <c r="O141" s="702">
        <v>1</v>
      </c>
      <c r="P141" s="702">
        <v>1</v>
      </c>
      <c r="Q141" s="702">
        <v>1</v>
      </c>
      <c r="R141" s="702">
        <v>0</v>
      </c>
      <c r="S141" s="702">
        <v>7500</v>
      </c>
      <c r="T141" s="7">
        <f t="shared" si="20"/>
        <v>1454.25</v>
      </c>
      <c r="U141" s="702">
        <v>7500</v>
      </c>
      <c r="V141" s="702">
        <v>0</v>
      </c>
      <c r="W141" s="702">
        <v>0</v>
      </c>
      <c r="X141" s="702">
        <v>0</v>
      </c>
      <c r="Y141" s="702">
        <v>0</v>
      </c>
      <c r="Z141" s="702">
        <v>0</v>
      </c>
      <c r="AA141" s="702">
        <v>8954.25</v>
      </c>
      <c r="AB141" s="702">
        <v>1454.25</v>
      </c>
      <c r="AC141" s="702">
        <v>7500</v>
      </c>
      <c r="AD141" s="702">
        <v>0</v>
      </c>
      <c r="AE141" s="702">
        <v>0</v>
      </c>
      <c r="AF141" s="702">
        <v>0</v>
      </c>
      <c r="AG141" s="702">
        <v>7500</v>
      </c>
      <c r="AH141" s="702">
        <v>0</v>
      </c>
      <c r="AI141" s="702">
        <v>0</v>
      </c>
      <c r="AJ141" s="698">
        <v>4</v>
      </c>
      <c r="AK141" s="698" t="s">
        <v>913</v>
      </c>
      <c r="AL141" s="699" t="s">
        <v>1512</v>
      </c>
      <c r="AM141" s="698" t="s">
        <v>10</v>
      </c>
      <c r="AN141" s="699" t="s">
        <v>262</v>
      </c>
      <c r="AO141" s="699">
        <v>1454.25</v>
      </c>
      <c r="AP141" s="703">
        <f t="shared" si="23"/>
        <v>9.7268000000000008</v>
      </c>
      <c r="AQ141" s="703">
        <f t="shared" si="21"/>
        <v>9.7268000000000008</v>
      </c>
      <c r="AR141" s="697">
        <v>0</v>
      </c>
      <c r="AS141" s="697">
        <v>0</v>
      </c>
      <c r="AT141" s="697">
        <v>0</v>
      </c>
      <c r="AU141" s="697">
        <v>0</v>
      </c>
      <c r="AV141" s="697">
        <v>0</v>
      </c>
      <c r="AW141" s="697">
        <v>0</v>
      </c>
      <c r="AX141" s="697">
        <v>0</v>
      </c>
      <c r="AY141" s="697">
        <v>0</v>
      </c>
      <c r="AZ141" s="697">
        <v>0</v>
      </c>
      <c r="BA141" s="697">
        <v>0</v>
      </c>
      <c r="BB141" s="697">
        <v>0</v>
      </c>
      <c r="BC141" s="697">
        <v>0</v>
      </c>
      <c r="BD141" s="697">
        <v>0</v>
      </c>
      <c r="BE141" s="697">
        <v>0</v>
      </c>
      <c r="BF141" s="697">
        <v>0</v>
      </c>
      <c r="BG141" s="697">
        <v>0</v>
      </c>
      <c r="BH141" s="697">
        <v>0</v>
      </c>
      <c r="BI141" s="697">
        <v>0</v>
      </c>
      <c r="BJ141" s="697">
        <v>0</v>
      </c>
      <c r="BK141" s="697">
        <v>0</v>
      </c>
      <c r="BL141" s="697">
        <v>0</v>
      </c>
      <c r="BM141" s="697">
        <v>0</v>
      </c>
      <c r="BN141" s="697">
        <v>0</v>
      </c>
      <c r="BO141" s="697">
        <v>97.268000000000001</v>
      </c>
    </row>
    <row r="142" spans="1:116" ht="15" customHeight="1" x14ac:dyDescent="0.2">
      <c r="A142" s="697">
        <v>1584</v>
      </c>
      <c r="B142" s="697"/>
      <c r="C142" s="698" t="s">
        <v>264</v>
      </c>
      <c r="D142" s="699" t="s">
        <v>264</v>
      </c>
      <c r="E142" s="700">
        <f t="shared" si="22"/>
        <v>228399.5428</v>
      </c>
      <c r="F142" s="700">
        <v>0</v>
      </c>
      <c r="G142" s="701">
        <f t="shared" si="18"/>
        <v>228399.5428</v>
      </c>
      <c r="H142" s="698" t="s">
        <v>10</v>
      </c>
      <c r="I142" s="699" t="s">
        <v>1416</v>
      </c>
      <c r="J142" s="699" t="s">
        <v>1417</v>
      </c>
      <c r="K142" s="699" t="s">
        <v>188</v>
      </c>
      <c r="L142" s="699" t="s">
        <v>10</v>
      </c>
      <c r="M142" s="702">
        <v>61</v>
      </c>
      <c r="N142" s="702">
        <v>0.90100000000000002</v>
      </c>
      <c r="O142" s="702">
        <v>0.92</v>
      </c>
      <c r="P142" s="702">
        <v>0.89800000000000002</v>
      </c>
      <c r="Q142" s="702">
        <v>0.85399999999999998</v>
      </c>
      <c r="R142" s="702">
        <v>705862</v>
      </c>
      <c r="S142" s="702">
        <v>655567</v>
      </c>
      <c r="T142" s="7">
        <f t="shared" si="20"/>
        <v>209993.94499999998</v>
      </c>
      <c r="U142" s="702">
        <v>435956</v>
      </c>
      <c r="V142" s="702">
        <v>219611</v>
      </c>
      <c r="W142" s="702">
        <v>3222</v>
      </c>
      <c r="X142" s="702">
        <v>0</v>
      </c>
      <c r="Y142" s="702">
        <v>0</v>
      </c>
      <c r="Z142" s="702">
        <v>0</v>
      </c>
      <c r="AA142" s="702">
        <v>865560.94499999995</v>
      </c>
      <c r="AB142" s="702">
        <v>209993.94500000001</v>
      </c>
      <c r="AC142" s="702">
        <v>655567</v>
      </c>
      <c r="AD142" s="702">
        <v>0</v>
      </c>
      <c r="AE142" s="702">
        <v>0</v>
      </c>
      <c r="AF142" s="702">
        <v>0</v>
      </c>
      <c r="AG142" s="702">
        <v>655567</v>
      </c>
      <c r="AH142" s="702">
        <v>0</v>
      </c>
      <c r="AI142" s="702">
        <v>0</v>
      </c>
      <c r="AJ142" s="698">
        <v>4</v>
      </c>
      <c r="AK142" s="698" t="s">
        <v>913</v>
      </c>
      <c r="AL142" s="699" t="s">
        <v>1416</v>
      </c>
      <c r="AM142" s="698" t="s">
        <v>10</v>
      </c>
      <c r="AN142" s="699" t="s">
        <v>264</v>
      </c>
      <c r="AO142" s="699">
        <v>209993.94500000001</v>
      </c>
      <c r="AP142" s="703">
        <f t="shared" si="23"/>
        <v>271.185</v>
      </c>
      <c r="AQ142" s="703">
        <f t="shared" si="21"/>
        <v>285.185</v>
      </c>
      <c r="AR142" s="697">
        <v>43</v>
      </c>
      <c r="AS142" s="697">
        <v>0</v>
      </c>
      <c r="AT142" s="697">
        <v>61</v>
      </c>
      <c r="AU142" s="697">
        <v>17</v>
      </c>
      <c r="AV142" s="697">
        <v>0</v>
      </c>
      <c r="AW142" s="697">
        <v>0</v>
      </c>
      <c r="AX142" s="697">
        <v>8</v>
      </c>
      <c r="AY142" s="697">
        <v>1</v>
      </c>
      <c r="AZ142" s="697">
        <v>0</v>
      </c>
      <c r="BA142" s="697">
        <v>0</v>
      </c>
      <c r="BB142" s="697">
        <v>12</v>
      </c>
      <c r="BC142" s="697">
        <v>2</v>
      </c>
      <c r="BD142" s="697">
        <v>0</v>
      </c>
      <c r="BE142" s="697">
        <v>0</v>
      </c>
      <c r="BF142" s="697">
        <v>0</v>
      </c>
      <c r="BG142" s="697">
        <v>0</v>
      </c>
      <c r="BH142" s="697">
        <v>0</v>
      </c>
      <c r="BI142" s="697">
        <v>0</v>
      </c>
      <c r="BJ142" s="697">
        <v>0</v>
      </c>
      <c r="BK142" s="697">
        <v>0</v>
      </c>
      <c r="BL142" s="697">
        <v>0</v>
      </c>
      <c r="BM142" s="697">
        <v>0</v>
      </c>
      <c r="BN142" s="697">
        <v>90213</v>
      </c>
      <c r="BO142" s="697">
        <v>509.72</v>
      </c>
    </row>
    <row r="143" spans="1:116" ht="15" customHeight="1" x14ac:dyDescent="0.2">
      <c r="A143" s="697">
        <v>2654</v>
      </c>
      <c r="B143" s="697"/>
      <c r="C143" s="698" t="s">
        <v>266</v>
      </c>
      <c r="D143" s="699" t="s">
        <v>266</v>
      </c>
      <c r="E143" s="700">
        <f t="shared" si="22"/>
        <v>29762.874399999997</v>
      </c>
      <c r="F143" s="700">
        <v>0</v>
      </c>
      <c r="G143" s="701">
        <f t="shared" si="18"/>
        <v>29762.874399999997</v>
      </c>
      <c r="H143" s="698" t="s">
        <v>10</v>
      </c>
      <c r="I143" s="699" t="s">
        <v>1512</v>
      </c>
      <c r="J143" s="699" t="s">
        <v>10</v>
      </c>
      <c r="K143" s="699" t="s">
        <v>188</v>
      </c>
      <c r="L143" s="699" t="s">
        <v>10</v>
      </c>
      <c r="M143" s="702">
        <v>0</v>
      </c>
      <c r="N143" s="702">
        <v>0.94599999999999995</v>
      </c>
      <c r="O143" s="702">
        <v>0.89900000000000002</v>
      </c>
      <c r="P143" s="702">
        <v>1</v>
      </c>
      <c r="Q143" s="702">
        <v>0.86799999999999999</v>
      </c>
      <c r="R143" s="702">
        <v>0</v>
      </c>
      <c r="S143" s="702">
        <v>153496</v>
      </c>
      <c r="T143" s="7">
        <f t="shared" si="20"/>
        <v>29762.874399999997</v>
      </c>
      <c r="U143" s="702">
        <v>153496</v>
      </c>
      <c r="V143" s="702">
        <v>0</v>
      </c>
      <c r="W143" s="702">
        <v>0</v>
      </c>
      <c r="X143" s="702">
        <v>0</v>
      </c>
      <c r="Y143" s="702">
        <v>0</v>
      </c>
      <c r="Z143" s="702">
        <v>0</v>
      </c>
      <c r="AA143" s="702">
        <v>183258.8744</v>
      </c>
      <c r="AB143" s="702">
        <v>29762.874400000001</v>
      </c>
      <c r="AC143" s="702">
        <v>153496</v>
      </c>
      <c r="AD143" s="702">
        <v>0</v>
      </c>
      <c r="AE143" s="702">
        <v>0</v>
      </c>
      <c r="AF143" s="702">
        <v>0</v>
      </c>
      <c r="AG143" s="702">
        <v>153496</v>
      </c>
      <c r="AH143" s="702">
        <v>0</v>
      </c>
      <c r="AI143" s="702">
        <v>0</v>
      </c>
      <c r="AJ143" s="698">
        <v>4</v>
      </c>
      <c r="AK143" s="698" t="s">
        <v>913</v>
      </c>
      <c r="AL143" s="699" t="s">
        <v>1512</v>
      </c>
      <c r="AM143" s="698" t="s">
        <v>10</v>
      </c>
      <c r="AN143" s="699" t="s">
        <v>266</v>
      </c>
      <c r="AO143" s="699">
        <v>29762.874400000001</v>
      </c>
      <c r="AP143" s="703">
        <f t="shared" si="23"/>
        <v>23.870999999999999</v>
      </c>
      <c r="AQ143" s="703">
        <f t="shared" si="21"/>
        <v>31.870999999999999</v>
      </c>
      <c r="AR143" s="697">
        <v>0</v>
      </c>
      <c r="AS143" s="697">
        <v>0</v>
      </c>
      <c r="AT143" s="697">
        <v>11</v>
      </c>
      <c r="AU143" s="697">
        <v>4</v>
      </c>
      <c r="AV143" s="697">
        <v>0</v>
      </c>
      <c r="AW143" s="697">
        <v>0</v>
      </c>
      <c r="AX143" s="697">
        <v>0</v>
      </c>
      <c r="AY143" s="697">
        <v>1</v>
      </c>
      <c r="AZ143" s="697">
        <v>0</v>
      </c>
      <c r="BA143" s="697">
        <v>0</v>
      </c>
      <c r="BB143" s="697">
        <v>3</v>
      </c>
      <c r="BC143" s="697">
        <v>5</v>
      </c>
      <c r="BD143" s="697">
        <v>0</v>
      </c>
      <c r="BE143" s="697">
        <v>0</v>
      </c>
      <c r="BF143" s="697">
        <v>0</v>
      </c>
      <c r="BG143" s="697">
        <v>0</v>
      </c>
      <c r="BH143" s="697">
        <v>0</v>
      </c>
      <c r="BI143" s="697">
        <v>0</v>
      </c>
      <c r="BJ143" s="697">
        <v>0</v>
      </c>
      <c r="BK143" s="697">
        <v>0</v>
      </c>
      <c r="BL143" s="697">
        <v>0</v>
      </c>
      <c r="BM143" s="697">
        <v>0</v>
      </c>
      <c r="BN143" s="697">
        <v>0</v>
      </c>
      <c r="BO143" s="697">
        <v>78.709999999999994</v>
      </c>
    </row>
    <row r="144" spans="1:116" ht="15" customHeight="1" x14ac:dyDescent="0.2">
      <c r="A144" s="697">
        <v>4830</v>
      </c>
      <c r="B144" s="697" t="s">
        <v>1412</v>
      </c>
      <c r="C144" s="698" t="s">
        <v>941</v>
      </c>
      <c r="D144" s="699" t="s">
        <v>662</v>
      </c>
      <c r="E144" s="700">
        <f t="shared" si="22"/>
        <v>317044</v>
      </c>
      <c r="F144" s="700">
        <v>396000</v>
      </c>
      <c r="G144" s="701">
        <f t="shared" si="18"/>
        <v>713044</v>
      </c>
      <c r="H144" s="698" t="s">
        <v>10</v>
      </c>
      <c r="I144" s="699" t="s">
        <v>1416</v>
      </c>
      <c r="J144" s="699" t="s">
        <v>1417</v>
      </c>
      <c r="K144" s="699" t="s">
        <v>269</v>
      </c>
      <c r="L144" s="699" t="s">
        <v>1412</v>
      </c>
      <c r="M144" s="702">
        <v>24</v>
      </c>
      <c r="N144" s="702">
        <v>0.90400000000000003</v>
      </c>
      <c r="O144" s="702">
        <v>0.93100000000000005</v>
      </c>
      <c r="P144" s="702">
        <v>0.92500000000000004</v>
      </c>
      <c r="Q144" s="702">
        <v>0.95199999999999996</v>
      </c>
      <c r="R144" s="702">
        <v>980009</v>
      </c>
      <c r="S144" s="702">
        <v>910000</v>
      </c>
      <c r="T144" s="7">
        <f t="shared" si="20"/>
        <v>291552.67749999999</v>
      </c>
      <c r="U144" s="702">
        <v>592700</v>
      </c>
      <c r="V144" s="702">
        <v>317300</v>
      </c>
      <c r="W144" s="702">
        <v>4000</v>
      </c>
      <c r="X144" s="702">
        <v>687552.67749999999</v>
      </c>
      <c r="Y144" s="702">
        <v>291552.67749999999</v>
      </c>
      <c r="Z144" s="702">
        <v>396000</v>
      </c>
      <c r="AA144" s="702">
        <v>514000</v>
      </c>
      <c r="AB144" s="702">
        <v>0</v>
      </c>
      <c r="AC144" s="702">
        <v>514000</v>
      </c>
      <c r="AD144" s="702">
        <v>0</v>
      </c>
      <c r="AE144" s="702">
        <v>396000</v>
      </c>
      <c r="AF144" s="702">
        <v>0</v>
      </c>
      <c r="AG144" s="702">
        <v>514000</v>
      </c>
      <c r="AH144" s="702">
        <v>275000</v>
      </c>
      <c r="AI144" s="702">
        <v>593000</v>
      </c>
      <c r="AJ144" s="698">
        <v>4</v>
      </c>
      <c r="AK144" s="698" t="s">
        <v>917</v>
      </c>
      <c r="AL144" s="699" t="s">
        <v>1416</v>
      </c>
      <c r="AM144" s="698" t="s">
        <v>10</v>
      </c>
      <c r="AN144" s="699" t="s">
        <v>662</v>
      </c>
      <c r="AO144" s="699">
        <v>687552.67749999999</v>
      </c>
      <c r="AP144" s="703">
        <f t="shared" si="23"/>
        <v>1267.9439</v>
      </c>
      <c r="AQ144" s="703">
        <f t="shared" si="21"/>
        <v>1293.9439</v>
      </c>
      <c r="AR144" s="697">
        <v>662</v>
      </c>
      <c r="AS144" s="697">
        <v>593</v>
      </c>
      <c r="AT144" s="697">
        <v>314</v>
      </c>
      <c r="AU144" s="697">
        <v>6</v>
      </c>
      <c r="AV144" s="697">
        <v>0</v>
      </c>
      <c r="AW144" s="697">
        <v>0</v>
      </c>
      <c r="AX144" s="697">
        <v>64</v>
      </c>
      <c r="AY144" s="697">
        <v>1</v>
      </c>
      <c r="AZ144" s="697">
        <v>13</v>
      </c>
      <c r="BA144" s="697">
        <v>32</v>
      </c>
      <c r="BB144" s="697">
        <v>25</v>
      </c>
      <c r="BC144" s="697">
        <v>1</v>
      </c>
      <c r="BD144" s="697">
        <v>25</v>
      </c>
      <c r="BE144" s="697">
        <v>3</v>
      </c>
      <c r="BF144" s="697">
        <v>0</v>
      </c>
      <c r="BG144" s="697">
        <v>0</v>
      </c>
      <c r="BH144" s="697">
        <v>175</v>
      </c>
      <c r="BI144" s="697">
        <v>0</v>
      </c>
      <c r="BJ144" s="697">
        <v>0</v>
      </c>
      <c r="BK144" s="697">
        <v>0</v>
      </c>
      <c r="BL144" s="697">
        <v>0</v>
      </c>
      <c r="BM144" s="697">
        <v>0</v>
      </c>
      <c r="BN144" s="697">
        <v>0</v>
      </c>
      <c r="BO144" s="697">
        <v>79.438999999999993</v>
      </c>
    </row>
    <row r="145" spans="1:112" ht="15" customHeight="1" x14ac:dyDescent="0.2">
      <c r="A145" s="697">
        <v>1585</v>
      </c>
      <c r="B145" s="697"/>
      <c r="C145" s="698" t="s">
        <v>270</v>
      </c>
      <c r="D145" s="699" t="s">
        <v>270</v>
      </c>
      <c r="E145" s="700">
        <f t="shared" si="22"/>
        <v>17770.934999999998</v>
      </c>
      <c r="F145" s="700">
        <v>0</v>
      </c>
      <c r="G145" s="701">
        <f t="shared" si="18"/>
        <v>17770.934999999998</v>
      </c>
      <c r="H145" s="698" t="s">
        <v>10</v>
      </c>
      <c r="I145" s="699" t="s">
        <v>1512</v>
      </c>
      <c r="J145" s="699" t="s">
        <v>10</v>
      </c>
      <c r="K145" s="699" t="s">
        <v>19</v>
      </c>
      <c r="L145" s="699" t="s">
        <v>10</v>
      </c>
      <c r="M145" s="702">
        <v>7</v>
      </c>
      <c r="N145" s="702">
        <v>1</v>
      </c>
      <c r="O145" s="702">
        <v>1</v>
      </c>
      <c r="P145" s="702">
        <v>1</v>
      </c>
      <c r="Q145" s="702">
        <v>1</v>
      </c>
      <c r="R145" s="702">
        <v>0</v>
      </c>
      <c r="S145" s="702">
        <v>91650</v>
      </c>
      <c r="T145" s="7">
        <f t="shared" si="20"/>
        <v>17770.934999999998</v>
      </c>
      <c r="U145" s="702">
        <v>24912</v>
      </c>
      <c r="V145" s="702">
        <v>66738</v>
      </c>
      <c r="W145" s="702">
        <v>502</v>
      </c>
      <c r="X145" s="702">
        <v>0</v>
      </c>
      <c r="Y145" s="702">
        <v>0</v>
      </c>
      <c r="Z145" s="702">
        <v>0</v>
      </c>
      <c r="AA145" s="702">
        <v>109420.935</v>
      </c>
      <c r="AB145" s="702">
        <v>17770.935000000001</v>
      </c>
      <c r="AC145" s="702">
        <v>91650</v>
      </c>
      <c r="AD145" s="702">
        <v>0</v>
      </c>
      <c r="AE145" s="702">
        <v>0</v>
      </c>
      <c r="AF145" s="702">
        <v>0</v>
      </c>
      <c r="AG145" s="702">
        <v>91650</v>
      </c>
      <c r="AH145" s="702">
        <v>0</v>
      </c>
      <c r="AI145" s="702">
        <v>0</v>
      </c>
      <c r="AJ145" s="698">
        <v>4</v>
      </c>
      <c r="AK145" s="698" t="s">
        <v>913</v>
      </c>
      <c r="AL145" s="699" t="s">
        <v>1512</v>
      </c>
      <c r="AM145" s="698" t="s">
        <v>10</v>
      </c>
      <c r="AN145" s="699" t="s">
        <v>270</v>
      </c>
      <c r="AO145" s="699">
        <v>17770.935000000001</v>
      </c>
      <c r="AP145" s="703">
        <f t="shared" si="23"/>
        <v>13</v>
      </c>
      <c r="AQ145" s="703">
        <f t="shared" si="21"/>
        <v>13</v>
      </c>
      <c r="AR145" s="697">
        <v>0</v>
      </c>
      <c r="AS145" s="697">
        <v>0</v>
      </c>
      <c r="AT145" s="697">
        <v>8</v>
      </c>
      <c r="AU145" s="697">
        <v>5</v>
      </c>
      <c r="AV145" s="697">
        <v>0</v>
      </c>
      <c r="AW145" s="697">
        <v>0</v>
      </c>
      <c r="AX145" s="697">
        <v>0</v>
      </c>
      <c r="AY145" s="697">
        <v>0</v>
      </c>
      <c r="AZ145" s="697">
        <v>0</v>
      </c>
      <c r="BA145" s="697">
        <v>0</v>
      </c>
      <c r="BB145" s="697">
        <v>0</v>
      </c>
      <c r="BC145" s="697">
        <v>0</v>
      </c>
      <c r="BD145" s="697">
        <v>0</v>
      </c>
      <c r="BE145" s="697">
        <v>0</v>
      </c>
      <c r="BF145" s="697">
        <v>0</v>
      </c>
      <c r="BG145" s="697">
        <v>0</v>
      </c>
      <c r="BH145" s="697">
        <v>0</v>
      </c>
      <c r="BI145" s="697">
        <v>0</v>
      </c>
      <c r="BJ145" s="697">
        <v>0</v>
      </c>
      <c r="BK145" s="697">
        <v>0</v>
      </c>
      <c r="BL145" s="697">
        <v>0</v>
      </c>
      <c r="BM145" s="697">
        <v>0</v>
      </c>
      <c r="BN145" s="697">
        <v>0</v>
      </c>
      <c r="BO145" s="697">
        <v>0</v>
      </c>
    </row>
    <row r="146" spans="1:112" s="724" customFormat="1" ht="15" customHeight="1" x14ac:dyDescent="0.2">
      <c r="A146" s="704">
        <v>9395</v>
      </c>
      <c r="B146" s="704"/>
      <c r="C146" s="705" t="s">
        <v>272</v>
      </c>
      <c r="D146" s="699" t="s">
        <v>272</v>
      </c>
      <c r="E146" s="700">
        <f t="shared" si="22"/>
        <v>94375.589699999997</v>
      </c>
      <c r="F146" s="700">
        <v>0</v>
      </c>
      <c r="G146" s="701">
        <f t="shared" si="18"/>
        <v>94375.589699999997</v>
      </c>
      <c r="H146" s="705" t="s">
        <v>10</v>
      </c>
      <c r="I146" s="699" t="s">
        <v>275</v>
      </c>
      <c r="J146" s="699" t="s">
        <v>1417</v>
      </c>
      <c r="K146" s="699" t="s">
        <v>276</v>
      </c>
      <c r="L146" s="699" t="s">
        <v>10</v>
      </c>
      <c r="M146" s="702">
        <v>115</v>
      </c>
      <c r="N146" s="702">
        <v>0.63700000000000001</v>
      </c>
      <c r="O146" s="702">
        <v>0.61899999999999999</v>
      </c>
      <c r="P146" s="702">
        <v>0.55200000000000005</v>
      </c>
      <c r="Q146" s="702">
        <v>0.53700000000000003</v>
      </c>
      <c r="R146" s="702">
        <v>640416</v>
      </c>
      <c r="S146" s="708">
        <v>486723</v>
      </c>
      <c r="T146" s="7">
        <f t="shared" si="20"/>
        <v>94375.589699999997</v>
      </c>
      <c r="U146" s="702">
        <v>331831</v>
      </c>
      <c r="V146" s="702">
        <v>205099</v>
      </c>
      <c r="W146" s="702">
        <v>3610</v>
      </c>
      <c r="X146" s="702">
        <v>0</v>
      </c>
      <c r="Y146" s="702">
        <v>0</v>
      </c>
      <c r="Z146" s="702">
        <v>0</v>
      </c>
      <c r="AA146" s="702">
        <v>641040.72699999996</v>
      </c>
      <c r="AB146" s="702">
        <v>104110.727</v>
      </c>
      <c r="AC146" s="702">
        <v>536930</v>
      </c>
      <c r="AD146" s="702">
        <v>0</v>
      </c>
      <c r="AE146" s="702">
        <v>0</v>
      </c>
      <c r="AF146" s="702">
        <v>0</v>
      </c>
      <c r="AG146" s="702">
        <v>536930</v>
      </c>
      <c r="AH146" s="702">
        <v>0</v>
      </c>
      <c r="AI146" s="702">
        <v>0</v>
      </c>
      <c r="AJ146" s="705" t="s">
        <v>900</v>
      </c>
      <c r="AK146" s="705" t="s">
        <v>922</v>
      </c>
      <c r="AL146" s="709" t="s">
        <v>942</v>
      </c>
      <c r="AM146" s="705" t="s">
        <v>10</v>
      </c>
      <c r="AN146" s="718" t="s">
        <v>943</v>
      </c>
      <c r="AO146" s="718">
        <v>0</v>
      </c>
      <c r="AP146" s="719">
        <v>0</v>
      </c>
      <c r="AQ146" s="703">
        <f t="shared" si="21"/>
        <v>846</v>
      </c>
      <c r="AR146" s="747">
        <v>0</v>
      </c>
      <c r="AS146" s="747">
        <v>0</v>
      </c>
      <c r="AT146" s="747">
        <v>762</v>
      </c>
      <c r="AU146" s="747">
        <v>0</v>
      </c>
      <c r="AV146" s="704">
        <v>0</v>
      </c>
      <c r="AW146" s="704">
        <v>0</v>
      </c>
      <c r="AX146" s="704">
        <v>0</v>
      </c>
      <c r="AY146" s="704">
        <v>0</v>
      </c>
      <c r="AZ146" s="747">
        <v>0</v>
      </c>
      <c r="BA146" s="747">
        <v>0</v>
      </c>
      <c r="BB146" s="747">
        <v>72</v>
      </c>
      <c r="BC146" s="747">
        <v>0</v>
      </c>
      <c r="BD146" s="779">
        <v>0</v>
      </c>
      <c r="BE146" s="779">
        <v>0</v>
      </c>
      <c r="BF146" s="779">
        <v>0</v>
      </c>
      <c r="BG146" s="779">
        <v>0</v>
      </c>
      <c r="BH146" s="747">
        <v>0</v>
      </c>
      <c r="BI146" s="747">
        <v>0</v>
      </c>
      <c r="BJ146" s="747">
        <v>0</v>
      </c>
      <c r="BK146" s="747">
        <v>0</v>
      </c>
      <c r="BL146" s="747">
        <v>0</v>
      </c>
      <c r="BM146" s="747">
        <v>12000</v>
      </c>
      <c r="BN146" s="747">
        <v>0</v>
      </c>
      <c r="BO146" s="785"/>
      <c r="BP146" s="392"/>
      <c r="BQ146" s="392"/>
      <c r="BR146" s="392"/>
      <c r="BS146" s="392"/>
      <c r="BT146" s="392"/>
      <c r="BU146" s="392"/>
      <c r="BV146" s="392"/>
      <c r="BW146" s="392"/>
      <c r="BX146" s="392"/>
      <c r="BY146" s="392"/>
      <c r="BZ146" s="392"/>
      <c r="CA146" s="392"/>
      <c r="CB146" s="392"/>
      <c r="CC146" s="392"/>
      <c r="CD146" s="392"/>
      <c r="CE146" s="392"/>
      <c r="CF146" s="392"/>
      <c r="CG146" s="392"/>
      <c r="CH146" s="392"/>
      <c r="CI146" s="392"/>
      <c r="CJ146" s="392"/>
      <c r="CK146" s="392"/>
      <c r="CL146" s="392"/>
      <c r="CM146" s="392"/>
      <c r="CN146" s="392"/>
      <c r="CO146" s="392"/>
      <c r="CP146" s="392"/>
      <c r="CQ146" s="392"/>
      <c r="CR146" s="392"/>
      <c r="CS146" s="392"/>
      <c r="CT146" s="392"/>
      <c r="CU146" s="392"/>
      <c r="CV146" s="392"/>
      <c r="CW146" s="392"/>
      <c r="CX146" s="392"/>
      <c r="CY146" s="392"/>
      <c r="CZ146" s="392"/>
      <c r="DA146" s="392"/>
    </row>
    <row r="147" spans="1:112" ht="15" customHeight="1" x14ac:dyDescent="0.2">
      <c r="A147" s="697">
        <v>9397</v>
      </c>
      <c r="B147" s="697"/>
      <c r="C147" s="698" t="s">
        <v>272</v>
      </c>
      <c r="D147" s="706" t="s">
        <v>272</v>
      </c>
      <c r="E147" s="700" t="e">
        <f t="shared" si="22"/>
        <v>#VALUE!</v>
      </c>
      <c r="F147" s="707" t="s">
        <v>10</v>
      </c>
      <c r="G147" s="701" t="e">
        <f t="shared" si="18"/>
        <v>#VALUE!</v>
      </c>
      <c r="H147" s="698" t="s">
        <v>10</v>
      </c>
      <c r="I147" s="706" t="s">
        <v>911</v>
      </c>
      <c r="J147" s="706" t="s">
        <v>10</v>
      </c>
      <c r="K147" s="706" t="s">
        <v>10</v>
      </c>
      <c r="L147" s="706" t="s">
        <v>10</v>
      </c>
      <c r="M147" s="708" t="s">
        <v>10</v>
      </c>
      <c r="N147" s="708" t="s">
        <v>10</v>
      </c>
      <c r="O147" s="708" t="s">
        <v>10</v>
      </c>
      <c r="P147" s="708" t="s">
        <v>10</v>
      </c>
      <c r="Q147" s="708" t="s">
        <v>10</v>
      </c>
      <c r="R147" s="708" t="s">
        <v>10</v>
      </c>
      <c r="S147" s="708" t="s">
        <v>10</v>
      </c>
      <c r="T147" s="7" t="e">
        <f t="shared" si="20"/>
        <v>#VALUE!</v>
      </c>
      <c r="U147" s="708" t="s">
        <v>10</v>
      </c>
      <c r="V147" s="708" t="s">
        <v>10</v>
      </c>
      <c r="W147" s="708" t="s">
        <v>10</v>
      </c>
      <c r="X147" s="708" t="s">
        <v>10</v>
      </c>
      <c r="Y147" s="708" t="s">
        <v>10</v>
      </c>
      <c r="Z147" s="708" t="s">
        <v>10</v>
      </c>
      <c r="AA147" s="708" t="s">
        <v>10</v>
      </c>
      <c r="AB147" s="708" t="s">
        <v>10</v>
      </c>
      <c r="AC147" s="708" t="s">
        <v>10</v>
      </c>
      <c r="AD147" s="708" t="s">
        <v>10</v>
      </c>
      <c r="AE147" s="708" t="s">
        <v>10</v>
      </c>
      <c r="AF147" s="708" t="s">
        <v>10</v>
      </c>
      <c r="AG147" s="708" t="s">
        <v>10</v>
      </c>
      <c r="AH147" s="708" t="s">
        <v>10</v>
      </c>
      <c r="AI147" s="708" t="s">
        <v>10</v>
      </c>
      <c r="AJ147" s="698" t="s">
        <v>900</v>
      </c>
      <c r="AK147" s="698" t="s">
        <v>922</v>
      </c>
      <c r="AL147" s="699" t="s">
        <v>275</v>
      </c>
      <c r="AM147" s="698" t="s">
        <v>10</v>
      </c>
      <c r="AN147" s="699" t="s">
        <v>272</v>
      </c>
      <c r="AO147" s="699">
        <v>104110.727</v>
      </c>
      <c r="AP147" s="703">
        <f>AR147+AT147+AU147+AV147+AX147+AY147+AZ147+BD147+BF147+BG147+BH147+BJ147+BK147+(BL147+BM147+BN147)/1000+(0.1*BO147)</f>
        <v>397.38239999999996</v>
      </c>
      <c r="AQ147" s="703">
        <f t="shared" si="21"/>
        <v>464.38239999999996</v>
      </c>
      <c r="AR147" s="697">
        <v>199</v>
      </c>
      <c r="AS147" s="697">
        <v>0</v>
      </c>
      <c r="AT147" s="697">
        <v>116</v>
      </c>
      <c r="AU147" s="697">
        <v>-49</v>
      </c>
      <c r="AV147" s="697">
        <v>0</v>
      </c>
      <c r="AW147" s="697">
        <v>0</v>
      </c>
      <c r="AX147" s="697">
        <v>0</v>
      </c>
      <c r="AY147" s="697">
        <v>0</v>
      </c>
      <c r="AZ147" s="697">
        <v>0</v>
      </c>
      <c r="BA147" s="697">
        <v>0</v>
      </c>
      <c r="BB147" s="697">
        <v>67</v>
      </c>
      <c r="BC147" s="697">
        <v>0</v>
      </c>
      <c r="BD147" s="697">
        <v>12</v>
      </c>
      <c r="BE147" s="697">
        <v>0</v>
      </c>
      <c r="BF147" s="697">
        <v>0</v>
      </c>
      <c r="BG147" s="697">
        <v>0</v>
      </c>
      <c r="BH147" s="697">
        <v>27</v>
      </c>
      <c r="BI147" s="697">
        <v>0</v>
      </c>
      <c r="BJ147" s="697">
        <v>0</v>
      </c>
      <c r="BK147" s="697">
        <v>0</v>
      </c>
      <c r="BL147" s="697">
        <v>16458</v>
      </c>
      <c r="BM147" s="697">
        <v>0</v>
      </c>
      <c r="BN147" s="697">
        <v>0</v>
      </c>
      <c r="BO147" s="697">
        <v>759.24400000000003</v>
      </c>
    </row>
    <row r="148" spans="1:112" ht="15" customHeight="1" x14ac:dyDescent="0.2">
      <c r="A148" s="697">
        <v>2810</v>
      </c>
      <c r="B148" s="697" t="s">
        <v>1412</v>
      </c>
      <c r="C148" s="698" t="s">
        <v>277</v>
      </c>
      <c r="D148" s="699" t="s">
        <v>277</v>
      </c>
      <c r="E148" s="700">
        <f t="shared" si="22"/>
        <v>320775.01559999998</v>
      </c>
      <c r="F148" s="700">
        <v>699163</v>
      </c>
      <c r="G148" s="701">
        <f t="shared" si="18"/>
        <v>1019938.0156</v>
      </c>
      <c r="H148" s="698" t="s">
        <v>1417</v>
      </c>
      <c r="I148" s="699" t="s">
        <v>1416</v>
      </c>
      <c r="J148" s="699" t="s">
        <v>1412</v>
      </c>
      <c r="K148" s="699" t="s">
        <v>279</v>
      </c>
      <c r="L148" s="699" t="s">
        <v>1412</v>
      </c>
      <c r="M148" s="702">
        <v>126</v>
      </c>
      <c r="N148" s="702">
        <v>0.93899999999999995</v>
      </c>
      <c r="O148" s="702">
        <v>0.93200000000000005</v>
      </c>
      <c r="P148" s="702">
        <v>0.92900000000000005</v>
      </c>
      <c r="Q148" s="702">
        <v>0.92700000000000005</v>
      </c>
      <c r="R148" s="702">
        <v>1400573</v>
      </c>
      <c r="S148" s="702">
        <v>920709</v>
      </c>
      <c r="T148" s="7">
        <f t="shared" si="20"/>
        <v>416670.46749999997</v>
      </c>
      <c r="U148" s="702">
        <v>530971</v>
      </c>
      <c r="V148" s="702">
        <v>389738</v>
      </c>
      <c r="W148" s="702">
        <v>4500</v>
      </c>
      <c r="X148" s="702">
        <v>1115833.4680000001</v>
      </c>
      <c r="Y148" s="702">
        <v>416670.46750000003</v>
      </c>
      <c r="Z148" s="702">
        <v>699163</v>
      </c>
      <c r="AA148" s="702">
        <v>221546</v>
      </c>
      <c r="AB148" s="702">
        <v>0</v>
      </c>
      <c r="AC148" s="702">
        <v>221546</v>
      </c>
      <c r="AD148" s="702">
        <v>699163</v>
      </c>
      <c r="AE148" s="702">
        <v>0</v>
      </c>
      <c r="AF148" s="702">
        <v>221546</v>
      </c>
      <c r="AG148" s="702">
        <v>0</v>
      </c>
      <c r="AH148" s="702">
        <v>1021000</v>
      </c>
      <c r="AI148" s="702">
        <v>969000</v>
      </c>
      <c r="AJ148" s="698" t="s">
        <v>908</v>
      </c>
      <c r="AK148" s="698" t="s">
        <v>909</v>
      </c>
      <c r="AL148" s="699" t="s">
        <v>1416</v>
      </c>
      <c r="AM148" s="698" t="s">
        <v>1417</v>
      </c>
      <c r="AN148" s="699" t="s">
        <v>277</v>
      </c>
      <c r="AO148" s="699">
        <v>1115833.4675</v>
      </c>
      <c r="AP148" s="703">
        <f>AR148+AT148+AU148+AV148+AX148+AY148+AZ148+BD148+BF148+BG148+BH148+BJ148+BK148+(BL148+BM148+BN148)/1000+(0.1*BO148)</f>
        <v>1100.0844000000002</v>
      </c>
      <c r="AQ148" s="703">
        <f t="shared" si="21"/>
        <v>1268.0844000000002</v>
      </c>
      <c r="AR148" s="697">
        <v>476</v>
      </c>
      <c r="AS148" s="697">
        <v>969</v>
      </c>
      <c r="AT148" s="697">
        <v>278</v>
      </c>
      <c r="AU148" s="697">
        <v>0</v>
      </c>
      <c r="AV148" s="697">
        <v>33</v>
      </c>
      <c r="AW148" s="697">
        <v>17</v>
      </c>
      <c r="AX148" s="697">
        <v>0</v>
      </c>
      <c r="AY148" s="697">
        <v>0</v>
      </c>
      <c r="AZ148" s="697">
        <v>29</v>
      </c>
      <c r="BA148" s="697">
        <v>48</v>
      </c>
      <c r="BB148" s="697">
        <v>168</v>
      </c>
      <c r="BC148" s="697">
        <v>0</v>
      </c>
      <c r="BD148" s="697">
        <v>69</v>
      </c>
      <c r="BE148" s="697">
        <v>0</v>
      </c>
      <c r="BF148" s="697">
        <v>0</v>
      </c>
      <c r="BG148" s="697">
        <v>0</v>
      </c>
      <c r="BH148" s="697">
        <v>152</v>
      </c>
      <c r="BI148" s="697">
        <v>0</v>
      </c>
      <c r="BJ148" s="697">
        <v>0</v>
      </c>
      <c r="BK148" s="697">
        <v>0</v>
      </c>
      <c r="BL148" s="697">
        <v>41063</v>
      </c>
      <c r="BM148" s="697">
        <v>0</v>
      </c>
      <c r="BN148" s="697">
        <v>0</v>
      </c>
      <c r="BO148" s="697">
        <v>220.214</v>
      </c>
    </row>
    <row r="149" spans="1:112" ht="15" customHeight="1" x14ac:dyDescent="0.2">
      <c r="A149" s="711">
        <v>2811</v>
      </c>
      <c r="B149" s="711"/>
      <c r="C149" s="711" t="s">
        <v>944</v>
      </c>
      <c r="D149" s="712" t="s">
        <v>944</v>
      </c>
      <c r="E149" s="700">
        <f t="shared" si="22"/>
        <v>0</v>
      </c>
      <c r="F149" s="713"/>
      <c r="G149" s="701">
        <f t="shared" si="18"/>
        <v>0</v>
      </c>
      <c r="H149" s="711"/>
      <c r="I149" s="712" t="s">
        <v>1512</v>
      </c>
      <c r="J149" s="712"/>
      <c r="K149" s="712"/>
      <c r="L149" s="712"/>
      <c r="M149" s="712"/>
      <c r="N149" s="712"/>
      <c r="O149" s="712"/>
      <c r="P149" s="712"/>
      <c r="Q149" s="712"/>
      <c r="R149" s="712"/>
      <c r="S149" s="712"/>
      <c r="T149" s="7">
        <f t="shared" si="20"/>
        <v>0</v>
      </c>
      <c r="U149" s="712"/>
      <c r="V149" s="712"/>
      <c r="W149" s="712"/>
      <c r="X149" s="712"/>
      <c r="Y149" s="712"/>
      <c r="Z149" s="712"/>
      <c r="AA149" s="712"/>
      <c r="AB149" s="712"/>
      <c r="AC149" s="712"/>
      <c r="AD149" s="712"/>
      <c r="AE149" s="712"/>
      <c r="AF149" s="712"/>
      <c r="AG149" s="712"/>
      <c r="AH149" s="712"/>
      <c r="AI149" s="712"/>
      <c r="AJ149" s="711"/>
      <c r="AK149" s="711"/>
      <c r="AL149" s="711" t="s">
        <v>1512</v>
      </c>
      <c r="AM149" s="711"/>
      <c r="AN149" s="711"/>
      <c r="AO149" s="711"/>
      <c r="AP149" s="714"/>
      <c r="AQ149" s="703">
        <f t="shared" si="21"/>
        <v>12</v>
      </c>
      <c r="AR149" s="720">
        <v>0</v>
      </c>
      <c r="AS149" s="720">
        <v>0</v>
      </c>
      <c r="AT149" s="720">
        <v>12</v>
      </c>
      <c r="AU149" s="720">
        <v>0</v>
      </c>
      <c r="AV149" s="720">
        <v>0</v>
      </c>
      <c r="AW149" s="720">
        <v>0</v>
      </c>
      <c r="AX149" s="720">
        <v>0</v>
      </c>
      <c r="AY149" s="720">
        <v>0</v>
      </c>
      <c r="AZ149" s="720">
        <v>0</v>
      </c>
      <c r="BA149" s="720">
        <v>6</v>
      </c>
      <c r="BB149" s="720">
        <v>0</v>
      </c>
      <c r="BC149" s="720">
        <v>0</v>
      </c>
      <c r="BD149" s="711"/>
      <c r="BE149" s="711"/>
      <c r="BF149" s="711"/>
      <c r="BG149" s="711"/>
      <c r="BH149" s="711"/>
      <c r="BI149" s="711"/>
      <c r="BJ149" s="711"/>
      <c r="BK149" s="711"/>
      <c r="BL149" s="711"/>
      <c r="BM149" s="711"/>
      <c r="BN149" s="711"/>
      <c r="BO149" s="711"/>
    </row>
    <row r="150" spans="1:112" ht="15" customHeight="1" x14ac:dyDescent="0.2">
      <c r="A150" s="697">
        <v>1540</v>
      </c>
      <c r="B150" s="697"/>
      <c r="C150" s="698" t="s">
        <v>280</v>
      </c>
      <c r="D150" s="699" t="s">
        <v>280</v>
      </c>
      <c r="E150" s="700">
        <f t="shared" si="22"/>
        <v>397718.11040000001</v>
      </c>
      <c r="F150" s="700">
        <v>0</v>
      </c>
      <c r="G150" s="701">
        <f t="shared" si="18"/>
        <v>397718.11040000001</v>
      </c>
      <c r="H150" s="698" t="s">
        <v>10</v>
      </c>
      <c r="I150" s="699" t="s">
        <v>1416</v>
      </c>
      <c r="J150" s="699" t="s">
        <v>1417</v>
      </c>
      <c r="K150" s="699" t="s">
        <v>1568</v>
      </c>
      <c r="L150" s="699" t="s">
        <v>10</v>
      </c>
      <c r="M150" s="702">
        <v>113</v>
      </c>
      <c r="N150" s="702">
        <v>0.74399999999999999</v>
      </c>
      <c r="O150" s="702">
        <v>0.879</v>
      </c>
      <c r="P150" s="702">
        <v>0.88400000000000001</v>
      </c>
      <c r="Q150" s="702">
        <v>0.86499999999999999</v>
      </c>
      <c r="R150" s="702">
        <v>1288322</v>
      </c>
      <c r="S150" s="702">
        <v>1141556</v>
      </c>
      <c r="T150" s="7">
        <f t="shared" si="20"/>
        <v>383275.79499999998</v>
      </c>
      <c r="U150" s="702">
        <v>839873</v>
      </c>
      <c r="V150" s="702">
        <v>301683</v>
      </c>
      <c r="W150" s="702">
        <v>6055</v>
      </c>
      <c r="X150" s="702">
        <v>0</v>
      </c>
      <c r="Y150" s="702">
        <v>0</v>
      </c>
      <c r="Z150" s="702">
        <v>0</v>
      </c>
      <c r="AA150" s="702">
        <v>1524831.7949999999</v>
      </c>
      <c r="AB150" s="702">
        <v>383275.79499999998</v>
      </c>
      <c r="AC150" s="702">
        <v>1141556</v>
      </c>
      <c r="AD150" s="702">
        <v>0</v>
      </c>
      <c r="AE150" s="702">
        <v>0</v>
      </c>
      <c r="AF150" s="702">
        <v>0</v>
      </c>
      <c r="AG150" s="702">
        <v>1141556</v>
      </c>
      <c r="AH150" s="702">
        <v>0</v>
      </c>
      <c r="AI150" s="702">
        <v>0</v>
      </c>
      <c r="AJ150" s="698" t="s">
        <v>900</v>
      </c>
      <c r="AK150" s="698" t="s">
        <v>901</v>
      </c>
      <c r="AL150" s="699" t="s">
        <v>1416</v>
      </c>
      <c r="AM150" s="698" t="s">
        <v>10</v>
      </c>
      <c r="AN150" s="699" t="s">
        <v>280</v>
      </c>
      <c r="AO150" s="699">
        <v>383275.79499999998</v>
      </c>
      <c r="AP150" s="703">
        <f t="shared" ref="AP150:AP161" si="24">AR150+AT150+AU150+AV150+AX150+AY150+AZ150+BD150+BF150+BG150+BH150+BJ150+BK150+(BL150+BM150+BN150)/1000+(0.1*BO150)</f>
        <v>320.13380000000001</v>
      </c>
      <c r="AQ150" s="703">
        <f t="shared" si="21"/>
        <v>385.13380000000001</v>
      </c>
      <c r="AR150" s="697">
        <v>116</v>
      </c>
      <c r="AS150" s="697">
        <v>6</v>
      </c>
      <c r="AT150" s="697">
        <v>113</v>
      </c>
      <c r="AU150" s="697">
        <v>53</v>
      </c>
      <c r="AV150" s="697">
        <v>0</v>
      </c>
      <c r="AW150" s="697">
        <v>0</v>
      </c>
      <c r="AX150" s="697">
        <v>1</v>
      </c>
      <c r="AY150" s="697">
        <v>0</v>
      </c>
      <c r="AZ150" s="697">
        <v>0</v>
      </c>
      <c r="BA150" s="697">
        <v>4</v>
      </c>
      <c r="BB150" s="697">
        <v>64</v>
      </c>
      <c r="BC150" s="697">
        <v>1</v>
      </c>
      <c r="BD150" s="697">
        <v>0</v>
      </c>
      <c r="BE150" s="697">
        <v>0</v>
      </c>
      <c r="BF150" s="697">
        <v>0</v>
      </c>
      <c r="BG150" s="697">
        <v>0</v>
      </c>
      <c r="BH150" s="697">
        <v>0</v>
      </c>
      <c r="BI150" s="697">
        <v>0</v>
      </c>
      <c r="BJ150" s="697">
        <v>0</v>
      </c>
      <c r="BK150" s="697">
        <v>0</v>
      </c>
      <c r="BL150" s="697">
        <v>0</v>
      </c>
      <c r="BM150" s="697">
        <v>0</v>
      </c>
      <c r="BN150" s="697">
        <v>0</v>
      </c>
      <c r="BO150" s="697">
        <v>371.33800000000002</v>
      </c>
    </row>
    <row r="151" spans="1:112" ht="15" customHeight="1" x14ac:dyDescent="0.2">
      <c r="A151" s="697">
        <v>4771</v>
      </c>
      <c r="B151" s="697" t="s">
        <v>1412</v>
      </c>
      <c r="C151" s="698" t="s">
        <v>674</v>
      </c>
      <c r="D151" s="699" t="s">
        <v>674</v>
      </c>
      <c r="E151" s="700">
        <f t="shared" si="22"/>
        <v>345946.91560000001</v>
      </c>
      <c r="F151" s="700">
        <v>426000</v>
      </c>
      <c r="G151" s="701">
        <f t="shared" si="18"/>
        <v>771946.91559999995</v>
      </c>
      <c r="H151" s="698" t="s">
        <v>1417</v>
      </c>
      <c r="I151" s="699" t="s">
        <v>1416</v>
      </c>
      <c r="J151" s="699" t="s">
        <v>1412</v>
      </c>
      <c r="K151" s="699" t="s">
        <v>290</v>
      </c>
      <c r="L151" s="699" t="s">
        <v>1412</v>
      </c>
      <c r="M151" s="702">
        <v>120</v>
      </c>
      <c r="N151" s="702">
        <v>0.85</v>
      </c>
      <c r="O151" s="702">
        <v>0.86599999999999999</v>
      </c>
      <c r="P151" s="702">
        <v>0.92500000000000004</v>
      </c>
      <c r="Q151" s="702">
        <v>0.95199999999999996</v>
      </c>
      <c r="R151" s="702">
        <v>1133987</v>
      </c>
      <c r="S151" s="702">
        <v>992959</v>
      </c>
      <c r="T151" s="7">
        <f t="shared" si="20"/>
        <v>337361.13250000001</v>
      </c>
      <c r="U151" s="702">
        <v>651533</v>
      </c>
      <c r="V151" s="702">
        <v>341426</v>
      </c>
      <c r="W151" s="702">
        <v>5829</v>
      </c>
      <c r="X151" s="702">
        <v>763361.13249999995</v>
      </c>
      <c r="Y151" s="702">
        <v>337361.13250000001</v>
      </c>
      <c r="Z151" s="702">
        <v>426000</v>
      </c>
      <c r="AA151" s="702">
        <v>566959</v>
      </c>
      <c r="AB151" s="702">
        <v>0</v>
      </c>
      <c r="AC151" s="702">
        <v>566959</v>
      </c>
      <c r="AD151" s="702">
        <v>426000</v>
      </c>
      <c r="AE151" s="702">
        <v>0</v>
      </c>
      <c r="AF151" s="702">
        <v>566959</v>
      </c>
      <c r="AG151" s="702">
        <v>0</v>
      </c>
      <c r="AH151" s="702">
        <v>373000</v>
      </c>
      <c r="AI151" s="702">
        <v>185000</v>
      </c>
      <c r="AJ151" s="698">
        <v>4</v>
      </c>
      <c r="AK151" s="698" t="s">
        <v>921</v>
      </c>
      <c r="AL151" s="699" t="s">
        <v>1416</v>
      </c>
      <c r="AM151" s="698" t="s">
        <v>1417</v>
      </c>
      <c r="AN151" s="699" t="s">
        <v>674</v>
      </c>
      <c r="AO151" s="699">
        <v>763361.13250000007</v>
      </c>
      <c r="AP151" s="703">
        <f t="shared" si="24"/>
        <v>398.43189999999998</v>
      </c>
      <c r="AQ151" s="703">
        <f t="shared" si="21"/>
        <v>422.43189999999998</v>
      </c>
      <c r="AR151" s="697">
        <v>0</v>
      </c>
      <c r="AS151" s="697">
        <v>185</v>
      </c>
      <c r="AT151" s="697">
        <v>268</v>
      </c>
      <c r="AU151" s="697">
        <v>48</v>
      </c>
      <c r="AV151" s="697">
        <v>0</v>
      </c>
      <c r="AW151" s="697">
        <v>6</v>
      </c>
      <c r="AX151" s="697">
        <v>11</v>
      </c>
      <c r="AY151" s="697">
        <v>11</v>
      </c>
      <c r="AZ151" s="697">
        <v>0</v>
      </c>
      <c r="BA151" s="697">
        <v>34</v>
      </c>
      <c r="BB151" s="697">
        <v>24</v>
      </c>
      <c r="BC151" s="697">
        <v>0</v>
      </c>
      <c r="BD151" s="697">
        <v>0</v>
      </c>
      <c r="BE151" s="697">
        <v>0</v>
      </c>
      <c r="BF151" s="697">
        <v>0</v>
      </c>
      <c r="BG151" s="697">
        <v>0</v>
      </c>
      <c r="BH151" s="697">
        <v>0</v>
      </c>
      <c r="BI151" s="697">
        <v>0</v>
      </c>
      <c r="BJ151" s="697">
        <v>0</v>
      </c>
      <c r="BK151" s="697">
        <v>0</v>
      </c>
      <c r="BL151" s="697">
        <v>31510</v>
      </c>
      <c r="BM151" s="697">
        <v>0</v>
      </c>
      <c r="BN151" s="697">
        <v>0</v>
      </c>
      <c r="BO151" s="697">
        <v>289.21899999999999</v>
      </c>
    </row>
    <row r="152" spans="1:112" ht="15" customHeight="1" x14ac:dyDescent="0.2">
      <c r="A152" s="697">
        <v>1926</v>
      </c>
      <c r="B152" s="697"/>
      <c r="C152" s="698" t="s">
        <v>291</v>
      </c>
      <c r="D152" s="699" t="s">
        <v>291</v>
      </c>
      <c r="E152" s="700">
        <f t="shared" si="22"/>
        <v>47662.171199999997</v>
      </c>
      <c r="F152" s="700">
        <v>0</v>
      </c>
      <c r="G152" s="701">
        <f t="shared" si="18"/>
        <v>47662.171199999997</v>
      </c>
      <c r="H152" s="698" t="s">
        <v>10</v>
      </c>
      <c r="I152" s="699" t="s">
        <v>1512</v>
      </c>
      <c r="J152" s="699" t="s">
        <v>10</v>
      </c>
      <c r="K152" s="699" t="s">
        <v>1545</v>
      </c>
      <c r="L152" s="699" t="s">
        <v>10</v>
      </c>
      <c r="M152" s="702">
        <v>11</v>
      </c>
      <c r="N152" s="702">
        <v>0.98</v>
      </c>
      <c r="O152" s="702">
        <v>0.98</v>
      </c>
      <c r="P152" s="702">
        <v>1</v>
      </c>
      <c r="Q152" s="702">
        <v>1</v>
      </c>
      <c r="R152" s="702">
        <v>0</v>
      </c>
      <c r="S152" s="702">
        <v>245808</v>
      </c>
      <c r="T152" s="7">
        <f t="shared" si="20"/>
        <v>47662.171199999997</v>
      </c>
      <c r="U152" s="702">
        <v>208925</v>
      </c>
      <c r="V152" s="702">
        <v>36883</v>
      </c>
      <c r="W152" s="702">
        <v>1600</v>
      </c>
      <c r="X152" s="702">
        <v>0</v>
      </c>
      <c r="Y152" s="702">
        <v>0</v>
      </c>
      <c r="Z152" s="702">
        <v>0</v>
      </c>
      <c r="AA152" s="702">
        <v>293470.17119999998</v>
      </c>
      <c r="AB152" s="702">
        <v>47662.171199999997</v>
      </c>
      <c r="AC152" s="702">
        <v>245808</v>
      </c>
      <c r="AD152" s="702">
        <v>0</v>
      </c>
      <c r="AE152" s="702">
        <v>0</v>
      </c>
      <c r="AF152" s="702">
        <v>0</v>
      </c>
      <c r="AG152" s="702">
        <v>245808</v>
      </c>
      <c r="AH152" s="702">
        <v>0</v>
      </c>
      <c r="AI152" s="702">
        <v>0</v>
      </c>
      <c r="AJ152" s="698">
        <v>4</v>
      </c>
      <c r="AK152" s="698" t="s">
        <v>899</v>
      </c>
      <c r="AL152" s="699" t="s">
        <v>1512</v>
      </c>
      <c r="AM152" s="698" t="s">
        <v>10</v>
      </c>
      <c r="AN152" s="699" t="s">
        <v>291</v>
      </c>
      <c r="AO152" s="699">
        <v>47662.171199999997</v>
      </c>
      <c r="AP152" s="703">
        <f t="shared" si="24"/>
        <v>-11</v>
      </c>
      <c r="AQ152" s="703">
        <f t="shared" si="21"/>
        <v>-10</v>
      </c>
      <c r="AR152" s="697">
        <v>0</v>
      </c>
      <c r="AS152" s="697">
        <v>0</v>
      </c>
      <c r="AT152" s="697">
        <v>1</v>
      </c>
      <c r="AU152" s="697">
        <v>-12</v>
      </c>
      <c r="AV152" s="697">
        <v>0</v>
      </c>
      <c r="AW152" s="697">
        <v>0</v>
      </c>
      <c r="AX152" s="697">
        <v>0</v>
      </c>
      <c r="AY152" s="697">
        <v>0</v>
      </c>
      <c r="AZ152" s="697">
        <v>0</v>
      </c>
      <c r="BA152" s="697">
        <v>0</v>
      </c>
      <c r="BB152" s="697">
        <v>0</v>
      </c>
      <c r="BC152" s="697">
        <v>1</v>
      </c>
      <c r="BD152" s="697">
        <v>0</v>
      </c>
      <c r="BE152" s="697">
        <v>0</v>
      </c>
      <c r="BF152" s="697">
        <v>0</v>
      </c>
      <c r="BG152" s="697">
        <v>0</v>
      </c>
      <c r="BH152" s="697">
        <v>0</v>
      </c>
      <c r="BI152" s="697">
        <v>0</v>
      </c>
      <c r="BJ152" s="697">
        <v>0</v>
      </c>
      <c r="BK152" s="697">
        <v>0</v>
      </c>
      <c r="BL152" s="697">
        <v>0</v>
      </c>
      <c r="BM152" s="697">
        <v>0</v>
      </c>
      <c r="BN152" s="697">
        <v>0</v>
      </c>
      <c r="BO152" s="697">
        <v>0</v>
      </c>
    </row>
    <row r="153" spans="1:112" ht="15" customHeight="1" x14ac:dyDescent="0.2">
      <c r="A153" s="697">
        <v>3527</v>
      </c>
      <c r="B153" s="697"/>
      <c r="C153" s="698" t="s">
        <v>293</v>
      </c>
      <c r="D153" s="699" t="s">
        <v>293</v>
      </c>
      <c r="E153" s="700">
        <f t="shared" si="22"/>
        <v>22114.4889</v>
      </c>
      <c r="F153" s="700">
        <v>0</v>
      </c>
      <c r="G153" s="701">
        <f t="shared" si="18"/>
        <v>22114.4889</v>
      </c>
      <c r="H153" s="698" t="s">
        <v>10</v>
      </c>
      <c r="I153" s="699" t="s">
        <v>1512</v>
      </c>
      <c r="J153" s="699" t="s">
        <v>1417</v>
      </c>
      <c r="K153" s="699" t="s">
        <v>1545</v>
      </c>
      <c r="L153" s="699" t="s">
        <v>10</v>
      </c>
      <c r="M153" s="702">
        <v>20</v>
      </c>
      <c r="N153" s="702">
        <v>0.95499999999999996</v>
      </c>
      <c r="O153" s="702">
        <v>0.95499999999999996</v>
      </c>
      <c r="P153" s="702">
        <v>0.91</v>
      </c>
      <c r="Q153" s="702">
        <v>0.95499999999999996</v>
      </c>
      <c r="R153" s="702">
        <v>0</v>
      </c>
      <c r="S153" s="702">
        <v>114051</v>
      </c>
      <c r="T153" s="7">
        <f t="shared" si="20"/>
        <v>22114.4889</v>
      </c>
      <c r="U153" s="702">
        <v>78587</v>
      </c>
      <c r="V153" s="702">
        <v>35464</v>
      </c>
      <c r="W153" s="702">
        <v>548</v>
      </c>
      <c r="X153" s="702">
        <v>0</v>
      </c>
      <c r="Y153" s="702">
        <v>0</v>
      </c>
      <c r="Z153" s="702">
        <v>0</v>
      </c>
      <c r="AA153" s="702">
        <v>136165.4889</v>
      </c>
      <c r="AB153" s="702">
        <v>22114.4889</v>
      </c>
      <c r="AC153" s="702">
        <v>114051</v>
      </c>
      <c r="AD153" s="702">
        <v>0</v>
      </c>
      <c r="AE153" s="702">
        <v>0</v>
      </c>
      <c r="AF153" s="702">
        <v>0</v>
      </c>
      <c r="AG153" s="702">
        <v>114051</v>
      </c>
      <c r="AH153" s="702">
        <v>0</v>
      </c>
      <c r="AI153" s="702">
        <v>0</v>
      </c>
      <c r="AJ153" s="698">
        <v>4</v>
      </c>
      <c r="AK153" s="698" t="s">
        <v>899</v>
      </c>
      <c r="AL153" s="699" t="s">
        <v>1512</v>
      </c>
      <c r="AM153" s="698" t="s">
        <v>10</v>
      </c>
      <c r="AN153" s="699" t="s">
        <v>293</v>
      </c>
      <c r="AO153" s="699">
        <v>22114.4889</v>
      </c>
      <c r="AP153" s="703">
        <f t="shared" si="24"/>
        <v>27</v>
      </c>
      <c r="AQ153" s="703">
        <f t="shared" si="21"/>
        <v>27</v>
      </c>
      <c r="AR153" s="697">
        <v>0</v>
      </c>
      <c r="AS153" s="697">
        <v>0</v>
      </c>
      <c r="AT153" s="697">
        <v>7</v>
      </c>
      <c r="AU153" s="697">
        <v>19</v>
      </c>
      <c r="AV153" s="697">
        <v>0</v>
      </c>
      <c r="AW153" s="697">
        <v>0</v>
      </c>
      <c r="AX153" s="697">
        <v>0</v>
      </c>
      <c r="AY153" s="697">
        <v>1</v>
      </c>
      <c r="AZ153" s="697">
        <v>0</v>
      </c>
      <c r="BA153" s="697">
        <v>0</v>
      </c>
      <c r="BB153" s="697">
        <v>0</v>
      </c>
      <c r="BC153" s="697">
        <v>0</v>
      </c>
      <c r="BD153" s="697">
        <v>0</v>
      </c>
      <c r="BE153" s="697">
        <v>0</v>
      </c>
      <c r="BF153" s="697">
        <v>0</v>
      </c>
      <c r="BG153" s="697">
        <v>0</v>
      </c>
      <c r="BH153" s="697">
        <v>0</v>
      </c>
      <c r="BI153" s="697">
        <v>0</v>
      </c>
      <c r="BJ153" s="697">
        <v>0</v>
      </c>
      <c r="BK153" s="697">
        <v>0</v>
      </c>
      <c r="BL153" s="697">
        <v>0</v>
      </c>
      <c r="BM153" s="697">
        <v>0</v>
      </c>
      <c r="BN153" s="697">
        <v>0</v>
      </c>
      <c r="BO153" s="697">
        <v>0</v>
      </c>
    </row>
    <row r="154" spans="1:112" ht="15" customHeight="1" x14ac:dyDescent="0.2">
      <c r="A154" s="697">
        <v>2717</v>
      </c>
      <c r="B154" s="697" t="s">
        <v>1412</v>
      </c>
      <c r="C154" s="698" t="s">
        <v>295</v>
      </c>
      <c r="D154" s="699" t="s">
        <v>295</v>
      </c>
      <c r="E154" s="700">
        <f t="shared" si="22"/>
        <v>264148.5184</v>
      </c>
      <c r="F154" s="700">
        <v>0</v>
      </c>
      <c r="G154" s="701">
        <f t="shared" si="18"/>
        <v>264148.5184</v>
      </c>
      <c r="H154" s="698" t="s">
        <v>10</v>
      </c>
      <c r="I154" s="699" t="s">
        <v>1416</v>
      </c>
      <c r="J154" s="699" t="s">
        <v>1412</v>
      </c>
      <c r="K154" s="699" t="s">
        <v>297</v>
      </c>
      <c r="L154" s="699" t="s">
        <v>10</v>
      </c>
      <c r="M154" s="702">
        <v>101</v>
      </c>
      <c r="N154" s="702">
        <v>0.68500000000000005</v>
      </c>
      <c r="O154" s="702">
        <v>0.70599999999999996</v>
      </c>
      <c r="P154" s="702">
        <v>0.72799999999999998</v>
      </c>
      <c r="Q154" s="702">
        <v>0.78600000000000003</v>
      </c>
      <c r="R154" s="702">
        <v>861645</v>
      </c>
      <c r="S154" s="702">
        <v>758176</v>
      </c>
      <c r="T154" s="7">
        <f t="shared" si="20"/>
        <v>256339.38749999998</v>
      </c>
      <c r="U154" s="702">
        <v>480230</v>
      </c>
      <c r="V154" s="702">
        <v>277946</v>
      </c>
      <c r="W154" s="702">
        <v>4200</v>
      </c>
      <c r="X154" s="702">
        <v>0</v>
      </c>
      <c r="Y154" s="702">
        <v>0</v>
      </c>
      <c r="Z154" s="702">
        <v>0</v>
      </c>
      <c r="AA154" s="702">
        <v>1014515.388</v>
      </c>
      <c r="AB154" s="702">
        <v>256339.38750000001</v>
      </c>
      <c r="AC154" s="702">
        <v>758176</v>
      </c>
      <c r="AD154" s="702">
        <v>0</v>
      </c>
      <c r="AE154" s="702">
        <v>0</v>
      </c>
      <c r="AF154" s="702">
        <v>758176</v>
      </c>
      <c r="AG154" s="702">
        <v>0</v>
      </c>
      <c r="AH154" s="702">
        <v>593000</v>
      </c>
      <c r="AI154" s="702">
        <v>683000</v>
      </c>
      <c r="AJ154" s="698">
        <v>4</v>
      </c>
      <c r="AK154" s="698" t="s">
        <v>913</v>
      </c>
      <c r="AL154" s="699" t="s">
        <v>1416</v>
      </c>
      <c r="AM154" s="698" t="s">
        <v>10</v>
      </c>
      <c r="AN154" s="699" t="s">
        <v>295</v>
      </c>
      <c r="AO154" s="699">
        <v>256339.38750000001</v>
      </c>
      <c r="AP154" s="703">
        <f t="shared" si="24"/>
        <v>241.73830000000001</v>
      </c>
      <c r="AQ154" s="703">
        <f t="shared" si="21"/>
        <v>274.73829999999998</v>
      </c>
      <c r="AR154" s="697">
        <v>54</v>
      </c>
      <c r="AS154" s="697">
        <v>683</v>
      </c>
      <c r="AT154" s="697">
        <v>114</v>
      </c>
      <c r="AU154" s="697">
        <v>0</v>
      </c>
      <c r="AV154" s="697">
        <v>0</v>
      </c>
      <c r="AW154" s="697">
        <v>0</v>
      </c>
      <c r="AX154" s="697">
        <v>0</v>
      </c>
      <c r="AY154" s="697">
        <v>0</v>
      </c>
      <c r="AZ154" s="697">
        <v>0</v>
      </c>
      <c r="BA154" s="697">
        <v>13</v>
      </c>
      <c r="BB154" s="697">
        <v>33</v>
      </c>
      <c r="BC154" s="697">
        <v>0</v>
      </c>
      <c r="BD154" s="697">
        <v>0</v>
      </c>
      <c r="BE154" s="697">
        <v>0</v>
      </c>
      <c r="BF154" s="697">
        <v>0</v>
      </c>
      <c r="BG154" s="697">
        <v>0</v>
      </c>
      <c r="BH154" s="697">
        <v>0</v>
      </c>
      <c r="BI154" s="697">
        <v>0</v>
      </c>
      <c r="BJ154" s="697">
        <v>0</v>
      </c>
      <c r="BK154" s="697">
        <v>0</v>
      </c>
      <c r="BL154" s="697">
        <v>0</v>
      </c>
      <c r="BM154" s="697">
        <v>0</v>
      </c>
      <c r="BN154" s="697">
        <v>18095</v>
      </c>
      <c r="BO154" s="697">
        <v>556.43299999999999</v>
      </c>
    </row>
    <row r="155" spans="1:112" ht="15" customHeight="1" x14ac:dyDescent="0.2">
      <c r="A155" s="697">
        <v>9245</v>
      </c>
      <c r="B155" s="697"/>
      <c r="C155" s="698" t="s">
        <v>298</v>
      </c>
      <c r="D155" s="699" t="s">
        <v>298</v>
      </c>
      <c r="E155" s="700">
        <f t="shared" si="22"/>
        <v>194821.0992</v>
      </c>
      <c r="F155" s="700">
        <v>0</v>
      </c>
      <c r="G155" s="701">
        <f t="shared" ref="G155:G186" si="25">E155+F155</f>
        <v>194821.0992</v>
      </c>
      <c r="H155" s="698" t="s">
        <v>1417</v>
      </c>
      <c r="I155" s="699" t="s">
        <v>1416</v>
      </c>
      <c r="J155" s="699" t="s">
        <v>1417</v>
      </c>
      <c r="K155" s="699" t="s">
        <v>1545</v>
      </c>
      <c r="L155" s="699" t="s">
        <v>10</v>
      </c>
      <c r="M155" s="702">
        <v>112</v>
      </c>
      <c r="N155" s="702">
        <v>0.78600000000000003</v>
      </c>
      <c r="O155" s="702">
        <v>0.78600000000000003</v>
      </c>
      <c r="P155" s="702">
        <v>0.755</v>
      </c>
      <c r="Q155" s="702">
        <v>0.70599999999999996</v>
      </c>
      <c r="R155" s="702">
        <v>695498</v>
      </c>
      <c r="S155" s="702">
        <v>559188</v>
      </c>
      <c r="T155" s="7">
        <f t="shared" si="20"/>
        <v>206910.655</v>
      </c>
      <c r="U155" s="702">
        <v>310994</v>
      </c>
      <c r="V155" s="702">
        <v>248194</v>
      </c>
      <c r="W155" s="702">
        <v>3155</v>
      </c>
      <c r="X155" s="702">
        <v>0</v>
      </c>
      <c r="Y155" s="702">
        <v>0</v>
      </c>
      <c r="Z155" s="702">
        <v>0</v>
      </c>
      <c r="AA155" s="702">
        <v>766098.65500000003</v>
      </c>
      <c r="AB155" s="702">
        <v>206910.655</v>
      </c>
      <c r="AC155" s="702">
        <v>559188</v>
      </c>
      <c r="AD155" s="702">
        <v>0</v>
      </c>
      <c r="AE155" s="702">
        <v>0</v>
      </c>
      <c r="AF155" s="702">
        <v>0</v>
      </c>
      <c r="AG155" s="702">
        <v>559188</v>
      </c>
      <c r="AH155" s="702">
        <v>0</v>
      </c>
      <c r="AI155" s="702">
        <v>0</v>
      </c>
      <c r="AJ155" s="698">
        <v>4</v>
      </c>
      <c r="AK155" s="698" t="s">
        <v>899</v>
      </c>
      <c r="AL155" s="699" t="s">
        <v>1416</v>
      </c>
      <c r="AM155" s="698" t="s">
        <v>1417</v>
      </c>
      <c r="AN155" s="699" t="s">
        <v>298</v>
      </c>
      <c r="AO155" s="699">
        <v>206910.655</v>
      </c>
      <c r="AP155" s="703">
        <f t="shared" si="24"/>
        <v>161</v>
      </c>
      <c r="AQ155" s="703">
        <f t="shared" si="21"/>
        <v>170</v>
      </c>
      <c r="AR155" s="697">
        <v>0</v>
      </c>
      <c r="AS155" s="697">
        <v>0</v>
      </c>
      <c r="AT155" s="697">
        <v>145</v>
      </c>
      <c r="AU155" s="697">
        <v>2</v>
      </c>
      <c r="AV155" s="697">
        <v>0</v>
      </c>
      <c r="AW155" s="697">
        <v>0</v>
      </c>
      <c r="AX155" s="697">
        <v>14</v>
      </c>
      <c r="AY155" s="697">
        <v>0</v>
      </c>
      <c r="AZ155" s="697">
        <v>0</v>
      </c>
      <c r="BA155" s="697">
        <v>0</v>
      </c>
      <c r="BB155" s="697">
        <v>9</v>
      </c>
      <c r="BC155" s="697">
        <v>0</v>
      </c>
      <c r="BD155" s="697">
        <v>0</v>
      </c>
      <c r="BE155" s="697">
        <v>0</v>
      </c>
      <c r="BF155" s="697">
        <v>0</v>
      </c>
      <c r="BG155" s="697">
        <v>0</v>
      </c>
      <c r="BH155" s="697">
        <v>0</v>
      </c>
      <c r="BI155" s="697">
        <v>0</v>
      </c>
      <c r="BJ155" s="697">
        <v>0</v>
      </c>
      <c r="BK155" s="697">
        <v>0</v>
      </c>
      <c r="BL155" s="697">
        <v>0</v>
      </c>
      <c r="BM155" s="697">
        <v>0</v>
      </c>
      <c r="BN155" s="697">
        <v>0</v>
      </c>
      <c r="BO155" s="697">
        <v>0</v>
      </c>
    </row>
    <row r="156" spans="1:112" ht="15" customHeight="1" x14ac:dyDescent="0.2">
      <c r="A156" s="697">
        <v>9250</v>
      </c>
      <c r="B156" s="697"/>
      <c r="C156" s="698" t="s">
        <v>300</v>
      </c>
      <c r="D156" s="699" t="s">
        <v>300</v>
      </c>
      <c r="E156" s="700">
        <f t="shared" si="22"/>
        <v>385258.978</v>
      </c>
      <c r="F156" s="700">
        <v>0</v>
      </c>
      <c r="G156" s="701">
        <f t="shared" si="25"/>
        <v>385258.978</v>
      </c>
      <c r="H156" s="698" t="s">
        <v>10</v>
      </c>
      <c r="I156" s="699" t="s">
        <v>1416</v>
      </c>
      <c r="J156" s="699" t="s">
        <v>1417</v>
      </c>
      <c r="K156" s="699" t="s">
        <v>302</v>
      </c>
      <c r="L156" s="699" t="s">
        <v>10</v>
      </c>
      <c r="M156" s="702">
        <v>112</v>
      </c>
      <c r="N156" s="702">
        <v>0.90300000000000002</v>
      </c>
      <c r="O156" s="702">
        <v>0.93100000000000005</v>
      </c>
      <c r="P156" s="702">
        <v>0.86499999999999999</v>
      </c>
      <c r="Q156" s="702">
        <v>0.91900000000000004</v>
      </c>
      <c r="R156" s="702">
        <v>1197680</v>
      </c>
      <c r="S156" s="702">
        <v>1105795</v>
      </c>
      <c r="T156" s="7">
        <f t="shared" si="20"/>
        <v>356309.8</v>
      </c>
      <c r="U156" s="702">
        <v>680555</v>
      </c>
      <c r="V156" s="702">
        <v>425240</v>
      </c>
      <c r="W156" s="702">
        <v>7000</v>
      </c>
      <c r="X156" s="702">
        <v>0</v>
      </c>
      <c r="Y156" s="702">
        <v>0</v>
      </c>
      <c r="Z156" s="702">
        <v>0</v>
      </c>
      <c r="AA156" s="702">
        <v>1462104.8</v>
      </c>
      <c r="AB156" s="702">
        <v>356309.8</v>
      </c>
      <c r="AC156" s="702">
        <v>1105795</v>
      </c>
      <c r="AD156" s="702">
        <v>0</v>
      </c>
      <c r="AE156" s="702">
        <v>0</v>
      </c>
      <c r="AF156" s="702">
        <v>0</v>
      </c>
      <c r="AG156" s="702">
        <v>1105795</v>
      </c>
      <c r="AH156" s="702">
        <v>0</v>
      </c>
      <c r="AI156" s="702">
        <v>0</v>
      </c>
      <c r="AJ156" s="698">
        <v>4</v>
      </c>
      <c r="AK156" s="698" t="s">
        <v>904</v>
      </c>
      <c r="AL156" s="699" t="s">
        <v>1416</v>
      </c>
      <c r="AM156" s="698" t="s">
        <v>10</v>
      </c>
      <c r="AN156" s="699" t="s">
        <v>300</v>
      </c>
      <c r="AO156" s="699">
        <v>356309.8</v>
      </c>
      <c r="AP156" s="703">
        <f t="shared" si="24"/>
        <v>458.16929999999996</v>
      </c>
      <c r="AQ156" s="703">
        <f t="shared" si="21"/>
        <v>741.16930000000002</v>
      </c>
      <c r="AR156" s="697">
        <v>0</v>
      </c>
      <c r="AS156" s="697">
        <v>0</v>
      </c>
      <c r="AT156" s="697">
        <v>111</v>
      </c>
      <c r="AU156" s="697">
        <v>2</v>
      </c>
      <c r="AV156" s="697">
        <v>0</v>
      </c>
      <c r="AW156" s="697">
        <v>0</v>
      </c>
      <c r="AX156" s="697">
        <v>67</v>
      </c>
      <c r="AY156" s="697">
        <v>1</v>
      </c>
      <c r="AZ156" s="697">
        <v>0</v>
      </c>
      <c r="BA156" s="697">
        <v>0</v>
      </c>
      <c r="BB156" s="697">
        <v>107</v>
      </c>
      <c r="BC156" s="697">
        <v>176</v>
      </c>
      <c r="BD156" s="697">
        <v>0</v>
      </c>
      <c r="BE156" s="697">
        <v>0</v>
      </c>
      <c r="BF156" s="697">
        <v>0</v>
      </c>
      <c r="BG156" s="697">
        <v>0</v>
      </c>
      <c r="BH156" s="697">
        <v>67</v>
      </c>
      <c r="BI156" s="697">
        <v>0</v>
      </c>
      <c r="BJ156" s="697">
        <v>0</v>
      </c>
      <c r="BK156" s="697">
        <v>0</v>
      </c>
      <c r="BL156" s="697">
        <v>82314</v>
      </c>
      <c r="BM156" s="697">
        <v>0</v>
      </c>
      <c r="BN156" s="697">
        <v>45586</v>
      </c>
      <c r="BO156" s="697">
        <v>822.69299999999998</v>
      </c>
    </row>
    <row r="157" spans="1:112" ht="15" customHeight="1" x14ac:dyDescent="0.2">
      <c r="A157" s="697">
        <v>4831</v>
      </c>
      <c r="B157" s="697"/>
      <c r="C157" s="698" t="s">
        <v>945</v>
      </c>
      <c r="D157" s="699" t="s">
        <v>303</v>
      </c>
      <c r="E157" s="700">
        <f t="shared" si="22"/>
        <v>330980</v>
      </c>
      <c r="F157" s="700">
        <v>356000</v>
      </c>
      <c r="G157" s="701">
        <f t="shared" si="25"/>
        <v>686980</v>
      </c>
      <c r="H157" s="698" t="s">
        <v>10</v>
      </c>
      <c r="I157" s="699" t="s">
        <v>1416</v>
      </c>
      <c r="J157" s="699" t="s">
        <v>1417</v>
      </c>
      <c r="K157" s="699" t="s">
        <v>126</v>
      </c>
      <c r="L157" s="699" t="s">
        <v>1412</v>
      </c>
      <c r="M157" s="702">
        <v>126</v>
      </c>
      <c r="N157" s="702">
        <v>0.92700000000000005</v>
      </c>
      <c r="O157" s="702">
        <v>0.93799999999999994</v>
      </c>
      <c r="P157" s="702">
        <v>0.92500000000000004</v>
      </c>
      <c r="Q157" s="702">
        <v>0.95199999999999996</v>
      </c>
      <c r="R157" s="702">
        <v>1151275</v>
      </c>
      <c r="S157" s="702">
        <v>950000</v>
      </c>
      <c r="T157" s="7">
        <f t="shared" si="20"/>
        <v>342504.3125</v>
      </c>
      <c r="U157" s="702">
        <v>665100</v>
      </c>
      <c r="V157" s="702">
        <v>284900</v>
      </c>
      <c r="W157" s="702">
        <v>5000</v>
      </c>
      <c r="X157" s="702">
        <v>698504.3125</v>
      </c>
      <c r="Y157" s="702">
        <v>342504.3125</v>
      </c>
      <c r="Z157" s="702">
        <v>356000</v>
      </c>
      <c r="AA157" s="702">
        <v>594000</v>
      </c>
      <c r="AB157" s="702">
        <v>0</v>
      </c>
      <c r="AC157" s="702">
        <v>594000</v>
      </c>
      <c r="AD157" s="702">
        <v>0</v>
      </c>
      <c r="AE157" s="702">
        <v>356000</v>
      </c>
      <c r="AF157" s="702">
        <v>0</v>
      </c>
      <c r="AG157" s="702">
        <v>594000</v>
      </c>
      <c r="AH157" s="702">
        <v>0</v>
      </c>
      <c r="AI157" s="702">
        <v>0</v>
      </c>
      <c r="AJ157" s="698" t="s">
        <v>900</v>
      </c>
      <c r="AK157" s="698" t="s">
        <v>905</v>
      </c>
      <c r="AL157" s="699" t="s">
        <v>1416</v>
      </c>
      <c r="AM157" s="698" t="s">
        <v>10</v>
      </c>
      <c r="AN157" s="699" t="s">
        <v>303</v>
      </c>
      <c r="AO157" s="699">
        <v>698504.3125</v>
      </c>
      <c r="AP157" s="703">
        <f t="shared" si="24"/>
        <v>491.80500000000001</v>
      </c>
      <c r="AQ157" s="703">
        <f t="shared" si="21"/>
        <v>496.80500000000001</v>
      </c>
      <c r="AR157" s="697">
        <v>259</v>
      </c>
      <c r="AS157" s="697">
        <v>0</v>
      </c>
      <c r="AT157" s="697">
        <v>204</v>
      </c>
      <c r="AU157" s="697">
        <v>8</v>
      </c>
      <c r="AV157" s="697">
        <v>0</v>
      </c>
      <c r="AW157" s="697">
        <v>0</v>
      </c>
      <c r="AX157" s="697">
        <v>0</v>
      </c>
      <c r="AY157" s="697">
        <v>0</v>
      </c>
      <c r="AZ157" s="697">
        <v>2</v>
      </c>
      <c r="BA157" s="697">
        <v>26</v>
      </c>
      <c r="BB157" s="697">
        <v>5</v>
      </c>
      <c r="BC157" s="697">
        <v>0</v>
      </c>
      <c r="BD157" s="697">
        <v>6</v>
      </c>
      <c r="BE157" s="697">
        <v>0</v>
      </c>
      <c r="BF157" s="697">
        <v>0</v>
      </c>
      <c r="BG157" s="697">
        <v>0</v>
      </c>
      <c r="BH157" s="697">
        <v>10</v>
      </c>
      <c r="BI157" s="697">
        <v>0</v>
      </c>
      <c r="BJ157" s="697">
        <v>0</v>
      </c>
      <c r="BK157" s="697">
        <v>0</v>
      </c>
      <c r="BL157" s="697">
        <v>0</v>
      </c>
      <c r="BM157" s="697">
        <v>0</v>
      </c>
      <c r="BN157" s="697">
        <v>0</v>
      </c>
      <c r="BO157" s="697">
        <v>28.05</v>
      </c>
    </row>
    <row r="158" spans="1:112" ht="15" customHeight="1" x14ac:dyDescent="0.2">
      <c r="A158" s="697">
        <v>544</v>
      </c>
      <c r="B158" s="697"/>
      <c r="C158" s="698" t="s">
        <v>304</v>
      </c>
      <c r="D158" s="699" t="s">
        <v>304</v>
      </c>
      <c r="E158" s="700">
        <f t="shared" si="22"/>
        <v>38417.988699999994</v>
      </c>
      <c r="F158" s="700">
        <v>0</v>
      </c>
      <c r="G158" s="701">
        <f t="shared" si="25"/>
        <v>38417.988699999994</v>
      </c>
      <c r="H158" s="698" t="s">
        <v>10</v>
      </c>
      <c r="I158" s="699" t="s">
        <v>1512</v>
      </c>
      <c r="J158" s="699" t="s">
        <v>10</v>
      </c>
      <c r="K158" s="699" t="s">
        <v>188</v>
      </c>
      <c r="L158" s="699" t="s">
        <v>10</v>
      </c>
      <c r="M158" s="702">
        <v>22</v>
      </c>
      <c r="N158" s="702">
        <v>0.91500000000000004</v>
      </c>
      <c r="O158" s="702">
        <v>0.91500000000000004</v>
      </c>
      <c r="P158" s="702">
        <v>0.97899999999999998</v>
      </c>
      <c r="Q158" s="702">
        <v>0.92100000000000004</v>
      </c>
      <c r="R158" s="702">
        <v>0</v>
      </c>
      <c r="S158" s="702">
        <v>198133</v>
      </c>
      <c r="T158" s="7">
        <f t="shared" si="20"/>
        <v>38417.988699999994</v>
      </c>
      <c r="U158" s="702">
        <v>118304</v>
      </c>
      <c r="V158" s="702">
        <v>79829</v>
      </c>
      <c r="W158" s="702">
        <v>991</v>
      </c>
      <c r="X158" s="702">
        <v>0</v>
      </c>
      <c r="Y158" s="702">
        <v>0</v>
      </c>
      <c r="Z158" s="702">
        <v>0</v>
      </c>
      <c r="AA158" s="702">
        <v>236550.98869999999</v>
      </c>
      <c r="AB158" s="702">
        <v>38417.988700000002</v>
      </c>
      <c r="AC158" s="702">
        <v>198133</v>
      </c>
      <c r="AD158" s="702">
        <v>0</v>
      </c>
      <c r="AE158" s="702">
        <v>0</v>
      </c>
      <c r="AF158" s="702">
        <v>0</v>
      </c>
      <c r="AG158" s="702">
        <v>198133</v>
      </c>
      <c r="AH158" s="702">
        <v>0</v>
      </c>
      <c r="AI158" s="702">
        <v>0</v>
      </c>
      <c r="AJ158" s="698">
        <v>4</v>
      </c>
      <c r="AK158" s="698" t="s">
        <v>913</v>
      </c>
      <c r="AL158" s="699" t="s">
        <v>1512</v>
      </c>
      <c r="AM158" s="698" t="s">
        <v>10</v>
      </c>
      <c r="AN158" s="699" t="s">
        <v>304</v>
      </c>
      <c r="AO158" s="699">
        <v>38417.988700000002</v>
      </c>
      <c r="AP158" s="703">
        <f t="shared" si="24"/>
        <v>36</v>
      </c>
      <c r="AQ158" s="703">
        <f t="shared" si="21"/>
        <v>50</v>
      </c>
      <c r="AR158" s="697">
        <v>0</v>
      </c>
      <c r="AS158" s="697">
        <v>0</v>
      </c>
      <c r="AT158" s="697">
        <v>30</v>
      </c>
      <c r="AU158" s="697">
        <v>6</v>
      </c>
      <c r="AV158" s="697">
        <v>0</v>
      </c>
      <c r="AW158" s="697">
        <v>0</v>
      </c>
      <c r="AX158" s="697">
        <v>0</v>
      </c>
      <c r="AY158" s="697">
        <v>0</v>
      </c>
      <c r="AZ158" s="697">
        <v>0</v>
      </c>
      <c r="BA158" s="697">
        <v>8</v>
      </c>
      <c r="BB158" s="697">
        <v>14</v>
      </c>
      <c r="BC158" s="697">
        <v>0</v>
      </c>
      <c r="BD158" s="697">
        <v>0</v>
      </c>
      <c r="BE158" s="697">
        <v>0</v>
      </c>
      <c r="BF158" s="697">
        <v>0</v>
      </c>
      <c r="BG158" s="697">
        <v>0</v>
      </c>
      <c r="BH158" s="697">
        <v>0</v>
      </c>
      <c r="BI158" s="697">
        <v>0</v>
      </c>
      <c r="BJ158" s="697">
        <v>0</v>
      </c>
      <c r="BK158" s="697">
        <v>0</v>
      </c>
      <c r="BL158" s="697">
        <v>0</v>
      </c>
      <c r="BM158" s="697">
        <v>0</v>
      </c>
      <c r="BN158" s="697">
        <v>0</v>
      </c>
      <c r="BO158" s="697">
        <v>0</v>
      </c>
    </row>
    <row r="159" spans="1:112" ht="15" customHeight="1" x14ac:dyDescent="0.2">
      <c r="A159" s="697">
        <v>2525</v>
      </c>
      <c r="B159" s="697"/>
      <c r="C159" s="698" t="s">
        <v>306</v>
      </c>
      <c r="D159" s="699" t="s">
        <v>306</v>
      </c>
      <c r="E159" s="700">
        <f t="shared" si="22"/>
        <v>35418.937399999995</v>
      </c>
      <c r="F159" s="700">
        <v>0</v>
      </c>
      <c r="G159" s="701">
        <f t="shared" si="25"/>
        <v>35418.937399999995</v>
      </c>
      <c r="H159" s="698" t="s">
        <v>10</v>
      </c>
      <c r="I159" s="699" t="s">
        <v>1512</v>
      </c>
      <c r="J159" s="699" t="s">
        <v>1417</v>
      </c>
      <c r="K159" s="699" t="s">
        <v>188</v>
      </c>
      <c r="L159" s="699" t="s">
        <v>10</v>
      </c>
      <c r="M159" s="702">
        <v>18</v>
      </c>
      <c r="N159" s="702">
        <v>0.79700000000000004</v>
      </c>
      <c r="O159" s="702">
        <v>0.95499999999999996</v>
      </c>
      <c r="P159" s="702">
        <v>0.89900000000000002</v>
      </c>
      <c r="Q159" s="702">
        <v>1</v>
      </c>
      <c r="R159" s="702">
        <v>0</v>
      </c>
      <c r="S159" s="702">
        <v>182666</v>
      </c>
      <c r="T159" s="7">
        <f t="shared" si="20"/>
        <v>35418.937399999995</v>
      </c>
      <c r="U159" s="702">
        <v>124028</v>
      </c>
      <c r="V159" s="702">
        <v>58638</v>
      </c>
      <c r="W159" s="702">
        <v>1077</v>
      </c>
      <c r="X159" s="702">
        <v>0</v>
      </c>
      <c r="Y159" s="702">
        <v>0</v>
      </c>
      <c r="Z159" s="702">
        <v>0</v>
      </c>
      <c r="AA159" s="702">
        <v>218084.9374</v>
      </c>
      <c r="AB159" s="702">
        <v>35418.937400000003</v>
      </c>
      <c r="AC159" s="702">
        <v>182666</v>
      </c>
      <c r="AD159" s="702">
        <v>0</v>
      </c>
      <c r="AE159" s="702">
        <v>0</v>
      </c>
      <c r="AF159" s="702">
        <v>0</v>
      </c>
      <c r="AG159" s="702">
        <v>182666</v>
      </c>
      <c r="AH159" s="702">
        <v>0</v>
      </c>
      <c r="AI159" s="702">
        <v>0</v>
      </c>
      <c r="AJ159" s="698">
        <v>4</v>
      </c>
      <c r="AK159" s="698" t="s">
        <v>913</v>
      </c>
      <c r="AL159" s="699" t="s">
        <v>1512</v>
      </c>
      <c r="AM159" s="698" t="s">
        <v>10</v>
      </c>
      <c r="AN159" s="699" t="s">
        <v>306</v>
      </c>
      <c r="AO159" s="699">
        <v>35418.937400000003</v>
      </c>
      <c r="AP159" s="703">
        <f t="shared" si="24"/>
        <v>24</v>
      </c>
      <c r="AQ159" s="703">
        <f t="shared" si="21"/>
        <v>24</v>
      </c>
      <c r="AR159" s="697">
        <v>0</v>
      </c>
      <c r="AS159" s="697">
        <v>0</v>
      </c>
      <c r="AT159" s="697">
        <v>18</v>
      </c>
      <c r="AU159" s="697">
        <v>6</v>
      </c>
      <c r="AV159" s="697">
        <v>0</v>
      </c>
      <c r="AW159" s="697">
        <v>0</v>
      </c>
      <c r="AX159" s="697">
        <v>0</v>
      </c>
      <c r="AY159" s="697">
        <v>0</v>
      </c>
      <c r="AZ159" s="697">
        <v>0</v>
      </c>
      <c r="BA159" s="697">
        <v>1</v>
      </c>
      <c r="BB159" s="697">
        <v>0</v>
      </c>
      <c r="BC159" s="697">
        <v>0</v>
      </c>
      <c r="BD159" s="697">
        <v>0</v>
      </c>
      <c r="BE159" s="697">
        <v>0</v>
      </c>
      <c r="BF159" s="697">
        <v>0</v>
      </c>
      <c r="BG159" s="697">
        <v>0</v>
      </c>
      <c r="BH159" s="697">
        <v>0</v>
      </c>
      <c r="BI159" s="697">
        <v>0</v>
      </c>
      <c r="BJ159" s="697">
        <v>0</v>
      </c>
      <c r="BK159" s="697">
        <v>0</v>
      </c>
      <c r="BL159" s="697">
        <v>0</v>
      </c>
      <c r="BM159" s="697">
        <v>0</v>
      </c>
      <c r="BN159" s="697">
        <v>0</v>
      </c>
      <c r="BO159" s="697">
        <v>0</v>
      </c>
    </row>
    <row r="160" spans="1:112" s="724" customFormat="1" ht="15" customHeight="1" x14ac:dyDescent="0.2">
      <c r="A160" s="697">
        <v>2743</v>
      </c>
      <c r="B160" s="697" t="s">
        <v>1412</v>
      </c>
      <c r="C160" s="698" t="s">
        <v>308</v>
      </c>
      <c r="D160" s="699" t="s">
        <v>308</v>
      </c>
      <c r="E160" s="700">
        <f t="shared" si="22"/>
        <v>231369.65279999998</v>
      </c>
      <c r="F160" s="700">
        <v>455134</v>
      </c>
      <c r="G160" s="701">
        <f t="shared" si="25"/>
        <v>686503.65280000004</v>
      </c>
      <c r="H160" s="698" t="s">
        <v>10</v>
      </c>
      <c r="I160" s="699" t="s">
        <v>1416</v>
      </c>
      <c r="J160" s="699" t="s">
        <v>1412</v>
      </c>
      <c r="K160" s="699" t="s">
        <v>310</v>
      </c>
      <c r="L160" s="699" t="s">
        <v>1412</v>
      </c>
      <c r="M160" s="702">
        <v>106</v>
      </c>
      <c r="N160" s="702">
        <v>0.90900000000000003</v>
      </c>
      <c r="O160" s="702">
        <v>0.91200000000000003</v>
      </c>
      <c r="P160" s="702">
        <v>0.94899999999999995</v>
      </c>
      <c r="Q160" s="702">
        <v>0.92800000000000005</v>
      </c>
      <c r="R160" s="702">
        <v>748702</v>
      </c>
      <c r="S160" s="702">
        <v>664092</v>
      </c>
      <c r="T160" s="7">
        <f t="shared" si="20"/>
        <v>222738.845</v>
      </c>
      <c r="U160" s="702">
        <v>445389</v>
      </c>
      <c r="V160" s="702">
        <v>218703</v>
      </c>
      <c r="W160" s="702">
        <v>3270</v>
      </c>
      <c r="X160" s="702">
        <v>677872.84499999997</v>
      </c>
      <c r="Y160" s="702">
        <v>222738.845</v>
      </c>
      <c r="Z160" s="702">
        <v>455134</v>
      </c>
      <c r="AA160" s="702">
        <v>208958</v>
      </c>
      <c r="AB160" s="702">
        <v>0</v>
      </c>
      <c r="AC160" s="702">
        <v>208958</v>
      </c>
      <c r="AD160" s="702">
        <v>455134</v>
      </c>
      <c r="AE160" s="702">
        <v>0</v>
      </c>
      <c r="AF160" s="702">
        <v>208958</v>
      </c>
      <c r="AG160" s="702">
        <v>0</v>
      </c>
      <c r="AH160" s="702">
        <v>326000</v>
      </c>
      <c r="AI160" s="702">
        <v>281000</v>
      </c>
      <c r="AJ160" s="698">
        <v>4</v>
      </c>
      <c r="AK160" s="698" t="s">
        <v>899</v>
      </c>
      <c r="AL160" s="699" t="s">
        <v>1416</v>
      </c>
      <c r="AM160" s="698" t="s">
        <v>10</v>
      </c>
      <c r="AN160" s="699" t="s">
        <v>308</v>
      </c>
      <c r="AO160" s="699">
        <v>677872.84499999997</v>
      </c>
      <c r="AP160" s="703">
        <f t="shared" si="24"/>
        <v>800.84580000000005</v>
      </c>
      <c r="AQ160" s="703">
        <f t="shared" si="21"/>
        <v>819.84580000000005</v>
      </c>
      <c r="AR160" s="723">
        <v>189</v>
      </c>
      <c r="AS160" s="723">
        <v>281</v>
      </c>
      <c r="AT160" s="723">
        <v>27</v>
      </c>
      <c r="AU160" s="723">
        <v>0</v>
      </c>
      <c r="AV160" s="723">
        <v>34</v>
      </c>
      <c r="AW160" s="723">
        <v>0</v>
      </c>
      <c r="AX160" s="723">
        <v>1</v>
      </c>
      <c r="AY160" s="723">
        <v>0</v>
      </c>
      <c r="AZ160" s="723">
        <v>16</v>
      </c>
      <c r="BA160" s="723">
        <v>17</v>
      </c>
      <c r="BB160" s="723">
        <v>19</v>
      </c>
      <c r="BC160" s="723">
        <v>0</v>
      </c>
      <c r="BD160" s="697">
        <v>28</v>
      </c>
      <c r="BE160" s="697">
        <v>0</v>
      </c>
      <c r="BF160" s="697">
        <v>0</v>
      </c>
      <c r="BG160" s="697">
        <v>0</v>
      </c>
      <c r="BH160" s="697">
        <v>95</v>
      </c>
      <c r="BI160" s="697">
        <v>0</v>
      </c>
      <c r="BJ160" s="697">
        <v>0</v>
      </c>
      <c r="BK160" s="697">
        <v>0</v>
      </c>
      <c r="BL160" s="723">
        <v>0</v>
      </c>
      <c r="BM160" s="723">
        <v>0</v>
      </c>
      <c r="BN160" s="723">
        <v>324699</v>
      </c>
      <c r="BO160" s="723">
        <v>861.46799999999996</v>
      </c>
      <c r="BP160" s="392"/>
      <c r="BQ160" s="392"/>
      <c r="BR160" s="392"/>
      <c r="BS160" s="392"/>
      <c r="BT160" s="392"/>
      <c r="BU160" s="392"/>
      <c r="BV160" s="392"/>
      <c r="BW160" s="392"/>
      <c r="BX160" s="392"/>
      <c r="BY160" s="392"/>
      <c r="BZ160" s="392"/>
      <c r="CA160" s="392"/>
      <c r="CB160" s="392"/>
      <c r="CC160" s="392"/>
      <c r="CD160" s="392"/>
      <c r="CE160" s="392"/>
      <c r="CF160" s="392"/>
      <c r="CG160" s="392"/>
      <c r="CH160" s="392"/>
      <c r="CI160" s="392"/>
      <c r="CJ160" s="392"/>
      <c r="CK160" s="392"/>
      <c r="CL160" s="392"/>
      <c r="CM160" s="392"/>
      <c r="CN160" s="392"/>
      <c r="CO160" s="392"/>
      <c r="CP160" s="392"/>
      <c r="CQ160" s="392"/>
      <c r="CR160" s="392"/>
      <c r="CS160" s="392"/>
      <c r="CT160" s="392"/>
      <c r="CU160" s="392"/>
      <c r="CV160" s="392"/>
      <c r="CW160" s="392"/>
      <c r="CX160" s="392"/>
      <c r="CY160" s="392"/>
      <c r="CZ160" s="392"/>
      <c r="DA160" s="392"/>
      <c r="DB160" s="392"/>
      <c r="DC160" s="392"/>
      <c r="DD160" s="392"/>
      <c r="DE160" s="392"/>
      <c r="DF160" s="392"/>
      <c r="DG160" s="392"/>
      <c r="DH160" s="392"/>
    </row>
    <row r="161" spans="1:112" s="724" customFormat="1" ht="15" customHeight="1" x14ac:dyDescent="0.2">
      <c r="A161" s="697">
        <v>4668</v>
      </c>
      <c r="B161" s="697"/>
      <c r="C161" s="698" t="s">
        <v>311</v>
      </c>
      <c r="D161" s="699" t="s">
        <v>311</v>
      </c>
      <c r="E161" s="700">
        <f t="shared" si="22"/>
        <v>251445.50599999999</v>
      </c>
      <c r="F161" s="700">
        <v>0</v>
      </c>
      <c r="G161" s="701">
        <f t="shared" si="25"/>
        <v>251445.50599999999</v>
      </c>
      <c r="H161" s="698" t="s">
        <v>10</v>
      </c>
      <c r="I161" s="699" t="s">
        <v>1416</v>
      </c>
      <c r="J161" s="699" t="s">
        <v>1417</v>
      </c>
      <c r="K161" s="699" t="s">
        <v>313</v>
      </c>
      <c r="L161" s="699" t="s">
        <v>10</v>
      </c>
      <c r="M161" s="702">
        <v>76</v>
      </c>
      <c r="N161" s="702">
        <v>0.82099999999999995</v>
      </c>
      <c r="O161" s="702">
        <v>0.84699999999999998</v>
      </c>
      <c r="P161" s="702">
        <v>0.9</v>
      </c>
      <c r="Q161" s="702">
        <v>0.95199999999999996</v>
      </c>
      <c r="R161" s="702">
        <v>877189</v>
      </c>
      <c r="S161" s="702">
        <v>721715</v>
      </c>
      <c r="T161" s="7">
        <f t="shared" si="20"/>
        <v>260963.72749999998</v>
      </c>
      <c r="U161" s="702">
        <v>535500</v>
      </c>
      <c r="V161" s="702">
        <v>186215</v>
      </c>
      <c r="W161" s="702">
        <v>2000</v>
      </c>
      <c r="X161" s="702">
        <v>0</v>
      </c>
      <c r="Y161" s="702">
        <v>0</v>
      </c>
      <c r="Z161" s="702">
        <v>0</v>
      </c>
      <c r="AA161" s="702">
        <v>982678.72750000004</v>
      </c>
      <c r="AB161" s="702">
        <v>260963.72750000001</v>
      </c>
      <c r="AC161" s="702">
        <v>721715</v>
      </c>
      <c r="AD161" s="702">
        <v>0</v>
      </c>
      <c r="AE161" s="702">
        <v>0</v>
      </c>
      <c r="AF161" s="702">
        <v>0</v>
      </c>
      <c r="AG161" s="702">
        <v>721715</v>
      </c>
      <c r="AH161" s="702">
        <v>0</v>
      </c>
      <c r="AI161" s="702">
        <v>0</v>
      </c>
      <c r="AJ161" s="698" t="s">
        <v>900</v>
      </c>
      <c r="AK161" s="698" t="s">
        <v>905</v>
      </c>
      <c r="AL161" s="699" t="s">
        <v>1416</v>
      </c>
      <c r="AM161" s="698" t="s">
        <v>10</v>
      </c>
      <c r="AN161" s="699" t="s">
        <v>311</v>
      </c>
      <c r="AO161" s="699">
        <v>260963.72750000001</v>
      </c>
      <c r="AP161" s="703">
        <f t="shared" si="24"/>
        <v>289.49829999999997</v>
      </c>
      <c r="AQ161" s="703">
        <f t="shared" si="21"/>
        <v>324.49829999999997</v>
      </c>
      <c r="AR161" s="723">
        <v>0</v>
      </c>
      <c r="AS161" s="723">
        <v>0</v>
      </c>
      <c r="AT161" s="723">
        <v>189</v>
      </c>
      <c r="AU161" s="723">
        <v>1</v>
      </c>
      <c r="AV161" s="723">
        <v>0</v>
      </c>
      <c r="AW161" s="723">
        <v>0</v>
      </c>
      <c r="AX161" s="723">
        <v>15</v>
      </c>
      <c r="AY161" s="723">
        <v>0</v>
      </c>
      <c r="AZ161" s="723">
        <v>0</v>
      </c>
      <c r="BA161" s="723">
        <v>0</v>
      </c>
      <c r="BB161" s="723">
        <v>35</v>
      </c>
      <c r="BC161" s="723">
        <v>0</v>
      </c>
      <c r="BD161" s="697">
        <v>0</v>
      </c>
      <c r="BE161" s="697">
        <v>0</v>
      </c>
      <c r="BF161" s="697">
        <v>0</v>
      </c>
      <c r="BG161" s="697">
        <v>0</v>
      </c>
      <c r="BH161" s="723">
        <v>0</v>
      </c>
      <c r="BI161" s="723">
        <v>0</v>
      </c>
      <c r="BJ161" s="723">
        <v>0</v>
      </c>
      <c r="BK161" s="723">
        <v>0</v>
      </c>
      <c r="BL161" s="697">
        <v>0</v>
      </c>
      <c r="BM161" s="697">
        <v>0</v>
      </c>
      <c r="BN161" s="697">
        <v>9761</v>
      </c>
      <c r="BO161" s="697">
        <v>747.37300000000005</v>
      </c>
      <c r="BP161" s="392"/>
      <c r="BQ161" s="392"/>
      <c r="BR161" s="392"/>
      <c r="BS161" s="392"/>
      <c r="BT161" s="392"/>
      <c r="BU161" s="392"/>
      <c r="BV161" s="392"/>
      <c r="BW161" s="392"/>
      <c r="BX161" s="392"/>
      <c r="BY161" s="392"/>
      <c r="BZ161" s="392"/>
      <c r="CA161" s="392"/>
      <c r="CB161" s="392"/>
      <c r="CC161" s="392"/>
      <c r="CD161" s="392"/>
      <c r="CE161" s="392"/>
      <c r="CF161" s="392"/>
      <c r="CG161" s="392"/>
      <c r="CH161" s="392"/>
      <c r="CI161" s="392"/>
      <c r="CJ161" s="392"/>
      <c r="CK161" s="392"/>
      <c r="CL161" s="392"/>
      <c r="CM161" s="392"/>
      <c r="CN161" s="392"/>
      <c r="CO161" s="392"/>
      <c r="CP161" s="392"/>
      <c r="CQ161" s="392"/>
      <c r="CR161" s="392"/>
      <c r="CS161" s="392"/>
      <c r="CT161" s="392"/>
      <c r="CU161" s="392"/>
      <c r="CV161" s="392"/>
      <c r="CW161" s="392"/>
      <c r="CX161" s="392"/>
      <c r="CY161" s="392"/>
      <c r="CZ161" s="392"/>
      <c r="DA161" s="392"/>
      <c r="DB161" s="392"/>
      <c r="DC161" s="392"/>
      <c r="DD161" s="392"/>
      <c r="DE161" s="392"/>
      <c r="DF161" s="392"/>
      <c r="DG161" s="392"/>
      <c r="DH161" s="392"/>
    </row>
    <row r="162" spans="1:112" s="752" customFormat="1" ht="15" customHeight="1" x14ac:dyDescent="0.2">
      <c r="A162" s="722">
        <v>4669</v>
      </c>
      <c r="B162" s="722"/>
      <c r="C162" s="725" t="s">
        <v>946</v>
      </c>
      <c r="D162" s="706" t="s">
        <v>946</v>
      </c>
      <c r="E162" s="700">
        <f t="shared" si="22"/>
        <v>0</v>
      </c>
      <c r="F162" s="707" t="s">
        <v>10</v>
      </c>
      <c r="G162" s="701" t="e">
        <f t="shared" si="25"/>
        <v>#VALUE!</v>
      </c>
      <c r="H162" s="725" t="s">
        <v>10</v>
      </c>
      <c r="I162" s="706" t="s">
        <v>911</v>
      </c>
      <c r="J162" s="706" t="s">
        <v>10</v>
      </c>
      <c r="K162" s="706" t="s">
        <v>10</v>
      </c>
      <c r="L162" s="706" t="s">
        <v>10</v>
      </c>
      <c r="M162" s="708" t="s">
        <v>10</v>
      </c>
      <c r="N162" s="708" t="s">
        <v>10</v>
      </c>
      <c r="O162" s="708" t="s">
        <v>10</v>
      </c>
      <c r="P162" s="708" t="s">
        <v>10</v>
      </c>
      <c r="Q162" s="708" t="s">
        <v>10</v>
      </c>
      <c r="R162" s="708" t="s">
        <v>10</v>
      </c>
      <c r="S162" s="754"/>
      <c r="T162" s="7">
        <f t="shared" si="20"/>
        <v>0</v>
      </c>
      <c r="U162" s="708" t="s">
        <v>10</v>
      </c>
      <c r="V162" s="708" t="s">
        <v>10</v>
      </c>
      <c r="W162" s="708" t="s">
        <v>10</v>
      </c>
      <c r="X162" s="708" t="s">
        <v>10</v>
      </c>
      <c r="Y162" s="708" t="s">
        <v>10</v>
      </c>
      <c r="Z162" s="708" t="s">
        <v>10</v>
      </c>
      <c r="AA162" s="708" t="s">
        <v>10</v>
      </c>
      <c r="AB162" s="708" t="s">
        <v>10</v>
      </c>
      <c r="AC162" s="708" t="s">
        <v>10</v>
      </c>
      <c r="AD162" s="708" t="s">
        <v>10</v>
      </c>
      <c r="AE162" s="708" t="s">
        <v>10</v>
      </c>
      <c r="AF162" s="708" t="s">
        <v>10</v>
      </c>
      <c r="AG162" s="708" t="s">
        <v>10</v>
      </c>
      <c r="AH162" s="708" t="s">
        <v>10</v>
      </c>
      <c r="AI162" s="708" t="s">
        <v>10</v>
      </c>
      <c r="AJ162" s="725" t="s">
        <v>900</v>
      </c>
      <c r="AK162" s="725" t="s">
        <v>905</v>
      </c>
      <c r="AL162" s="718" t="s">
        <v>911</v>
      </c>
      <c r="AM162" s="725" t="s">
        <v>10</v>
      </c>
      <c r="AN162" s="718" t="s">
        <v>946</v>
      </c>
      <c r="AO162" s="718">
        <v>0</v>
      </c>
      <c r="AP162" s="719">
        <v>0</v>
      </c>
      <c r="AQ162" s="703">
        <f t="shared" si="21"/>
        <v>225</v>
      </c>
      <c r="AR162" s="720">
        <v>0</v>
      </c>
      <c r="AS162" s="720">
        <v>0</v>
      </c>
      <c r="AT162" s="720">
        <v>210</v>
      </c>
      <c r="AU162" s="720">
        <v>0</v>
      </c>
      <c r="AV162" s="720">
        <v>0</v>
      </c>
      <c r="AW162" s="720">
        <v>0</v>
      </c>
      <c r="AX162" s="720">
        <v>10</v>
      </c>
      <c r="AY162" s="720">
        <v>0</v>
      </c>
      <c r="AZ162" s="720">
        <v>0</v>
      </c>
      <c r="BA162" s="720">
        <v>0</v>
      </c>
      <c r="BB162" s="720">
        <v>5</v>
      </c>
      <c r="BC162" s="720">
        <v>0</v>
      </c>
      <c r="BD162" s="704">
        <v>0</v>
      </c>
      <c r="BE162" s="704">
        <v>0</v>
      </c>
      <c r="BF162" s="704">
        <v>0</v>
      </c>
      <c r="BG162" s="704">
        <v>0</v>
      </c>
      <c r="BH162" s="704">
        <v>0</v>
      </c>
      <c r="BI162" s="704">
        <v>0</v>
      </c>
      <c r="BJ162" s="704">
        <v>0</v>
      </c>
      <c r="BK162" s="704">
        <v>0</v>
      </c>
      <c r="BL162" s="753">
        <v>0</v>
      </c>
      <c r="BM162" s="753">
        <v>0</v>
      </c>
      <c r="BN162" s="753">
        <v>0</v>
      </c>
      <c r="BO162" s="730"/>
    </row>
    <row r="163" spans="1:112" s="752" customFormat="1" ht="15" customHeight="1" x14ac:dyDescent="0.2">
      <c r="A163" s="722">
        <v>2905</v>
      </c>
      <c r="B163" s="722" t="s">
        <v>1412</v>
      </c>
      <c r="C163" s="725" t="s">
        <v>314</v>
      </c>
      <c r="D163" s="699" t="s">
        <v>314</v>
      </c>
      <c r="E163" s="700">
        <f t="shared" si="22"/>
        <v>0</v>
      </c>
      <c r="F163" s="700">
        <v>0</v>
      </c>
      <c r="G163" s="701">
        <f t="shared" si="25"/>
        <v>0</v>
      </c>
      <c r="H163" s="725" t="s">
        <v>1417</v>
      </c>
      <c r="I163" s="699" t="s">
        <v>1416</v>
      </c>
      <c r="J163" s="699" t="s">
        <v>10</v>
      </c>
      <c r="K163" s="699" t="s">
        <v>10</v>
      </c>
      <c r="L163" s="699" t="s">
        <v>1412</v>
      </c>
      <c r="M163" s="702">
        <v>0</v>
      </c>
      <c r="N163" s="702">
        <v>0</v>
      </c>
      <c r="O163" s="702">
        <v>0</v>
      </c>
      <c r="P163" s="702">
        <v>0</v>
      </c>
      <c r="Q163" s="702">
        <v>0</v>
      </c>
      <c r="R163" s="702">
        <v>699931</v>
      </c>
      <c r="S163" s="702">
        <v>0</v>
      </c>
      <c r="T163" s="7">
        <f t="shared" si="20"/>
        <v>208229.4725</v>
      </c>
      <c r="U163" s="702">
        <v>0</v>
      </c>
      <c r="V163" s="702">
        <v>0</v>
      </c>
      <c r="W163" s="702">
        <v>0</v>
      </c>
      <c r="X163" s="702">
        <v>0</v>
      </c>
      <c r="Y163" s="702">
        <v>0</v>
      </c>
      <c r="Z163" s="702">
        <v>0</v>
      </c>
      <c r="AA163" s="702">
        <v>0</v>
      </c>
      <c r="AB163" s="702">
        <v>0</v>
      </c>
      <c r="AC163" s="702">
        <v>0</v>
      </c>
      <c r="AD163" s="702">
        <v>0</v>
      </c>
      <c r="AE163" s="702">
        <v>0</v>
      </c>
      <c r="AF163" s="702">
        <v>0</v>
      </c>
      <c r="AG163" s="702">
        <v>0</v>
      </c>
      <c r="AH163" s="702">
        <v>308000</v>
      </c>
      <c r="AI163" s="702">
        <v>314000</v>
      </c>
      <c r="AJ163" s="705" t="s">
        <v>900</v>
      </c>
      <c r="AK163" s="705" t="s">
        <v>922</v>
      </c>
      <c r="AL163" s="718" t="s">
        <v>1416</v>
      </c>
      <c r="AM163" s="725" t="s">
        <v>1417</v>
      </c>
      <c r="AN163" s="718" t="s">
        <v>314</v>
      </c>
      <c r="AO163" s="718">
        <v>0</v>
      </c>
      <c r="AP163" s="719">
        <v>0</v>
      </c>
      <c r="AQ163" s="703">
        <f t="shared" si="21"/>
        <v>130.43860000000001</v>
      </c>
      <c r="AR163" s="747">
        <v>33</v>
      </c>
      <c r="AS163" s="747">
        <v>314</v>
      </c>
      <c r="AT163" s="747">
        <v>45</v>
      </c>
      <c r="AU163" s="747">
        <v>10</v>
      </c>
      <c r="AV163" s="747">
        <v>0</v>
      </c>
      <c r="AW163" s="747">
        <v>0</v>
      </c>
      <c r="AX163" s="747">
        <v>0</v>
      </c>
      <c r="AY163" s="747">
        <v>1</v>
      </c>
      <c r="AZ163" s="747">
        <v>0</v>
      </c>
      <c r="BA163" s="747">
        <v>29</v>
      </c>
      <c r="BB163" s="747">
        <v>12</v>
      </c>
      <c r="BC163" s="783">
        <v>1</v>
      </c>
      <c r="BD163" s="755">
        <v>0</v>
      </c>
      <c r="BE163" s="755">
        <v>0</v>
      </c>
      <c r="BF163" s="755">
        <v>0</v>
      </c>
      <c r="BG163" s="755">
        <v>0</v>
      </c>
      <c r="BH163" s="747">
        <v>0</v>
      </c>
      <c r="BI163" s="747">
        <v>3</v>
      </c>
      <c r="BJ163" s="747">
        <v>0</v>
      </c>
      <c r="BK163" s="747">
        <v>0</v>
      </c>
      <c r="BL163" s="704">
        <f>-BM1665</f>
        <v>0</v>
      </c>
      <c r="BM163" s="704">
        <v>9000</v>
      </c>
      <c r="BN163" s="704">
        <v>5000</v>
      </c>
      <c r="BO163" s="704">
        <v>144.386</v>
      </c>
    </row>
    <row r="164" spans="1:112" s="392" customFormat="1" ht="15" customHeight="1" x14ac:dyDescent="0.2">
      <c r="A164" s="722">
        <v>4832</v>
      </c>
      <c r="B164" s="722"/>
      <c r="C164" s="725" t="s">
        <v>315</v>
      </c>
      <c r="D164" s="699" t="s">
        <v>315</v>
      </c>
      <c r="E164" s="700">
        <f t="shared" si="22"/>
        <v>303108</v>
      </c>
      <c r="F164" s="700">
        <v>0</v>
      </c>
      <c r="G164" s="701">
        <f t="shared" si="25"/>
        <v>303108</v>
      </c>
      <c r="H164" s="725" t="s">
        <v>10</v>
      </c>
      <c r="I164" s="699" t="s">
        <v>1416</v>
      </c>
      <c r="J164" s="699" t="s">
        <v>1417</v>
      </c>
      <c r="K164" s="699" t="s">
        <v>199</v>
      </c>
      <c r="L164" s="699" t="s">
        <v>10</v>
      </c>
      <c r="M164" s="702">
        <v>113</v>
      </c>
      <c r="N164" s="702">
        <v>0.97099999999999997</v>
      </c>
      <c r="O164" s="702">
        <v>0.96</v>
      </c>
      <c r="P164" s="702">
        <v>0.92500000000000004</v>
      </c>
      <c r="Q164" s="702">
        <v>0.95199999999999996</v>
      </c>
      <c r="R164" s="702">
        <v>999838</v>
      </c>
      <c r="S164" s="702">
        <v>870000</v>
      </c>
      <c r="T164" s="7">
        <f t="shared" si="20"/>
        <v>297451.80499999999</v>
      </c>
      <c r="U164" s="702">
        <v>596500</v>
      </c>
      <c r="V164" s="702">
        <v>273500</v>
      </c>
      <c r="W164" s="702">
        <v>4700</v>
      </c>
      <c r="X164" s="702">
        <v>0</v>
      </c>
      <c r="Y164" s="702">
        <v>0</v>
      </c>
      <c r="Z164" s="702">
        <v>0</v>
      </c>
      <c r="AA164" s="702">
        <v>1167451.8049999999</v>
      </c>
      <c r="AB164" s="702">
        <v>297451.80499999999</v>
      </c>
      <c r="AC164" s="702">
        <v>870000</v>
      </c>
      <c r="AD164" s="702">
        <v>0</v>
      </c>
      <c r="AE164" s="702">
        <v>0</v>
      </c>
      <c r="AF164" s="702">
        <v>0</v>
      </c>
      <c r="AG164" s="702">
        <v>870000</v>
      </c>
      <c r="AH164" s="702">
        <v>0</v>
      </c>
      <c r="AI164" s="702">
        <v>0</v>
      </c>
      <c r="AJ164" s="725" t="s">
        <v>908</v>
      </c>
      <c r="AK164" s="725" t="s">
        <v>909</v>
      </c>
      <c r="AL164" s="718" t="s">
        <v>1416</v>
      </c>
      <c r="AM164" s="725" t="s">
        <v>10</v>
      </c>
      <c r="AN164" s="718" t="s">
        <v>315</v>
      </c>
      <c r="AO164" s="718">
        <v>297451.80499999999</v>
      </c>
      <c r="AP164" s="710">
        <f>AR164+AT164+AU164+AV164+AX164+AY164+AZ164+BD164+BF164+BG164+BH164+BJ164+BK164+(BL164+BM164+BN164)/1000+(0.1*BO164)</f>
        <v>253.63829999999999</v>
      </c>
      <c r="AQ164" s="703">
        <f t="shared" si="21"/>
        <v>294.63830000000002</v>
      </c>
      <c r="AR164" s="704">
        <v>0</v>
      </c>
      <c r="AS164" s="704">
        <v>0</v>
      </c>
      <c r="AT164" s="704">
        <v>242</v>
      </c>
      <c r="AU164" s="704">
        <v>5</v>
      </c>
      <c r="AV164" s="704">
        <v>0</v>
      </c>
      <c r="AW164" s="704">
        <v>0</v>
      </c>
      <c r="AX164" s="704">
        <v>0</v>
      </c>
      <c r="AY164" s="704">
        <v>0</v>
      </c>
      <c r="AZ164" s="704">
        <v>0</v>
      </c>
      <c r="BA164" s="704">
        <v>0</v>
      </c>
      <c r="BB164" s="704">
        <v>40</v>
      </c>
      <c r="BC164" s="704">
        <v>1</v>
      </c>
      <c r="BD164" s="704">
        <v>0</v>
      </c>
      <c r="BE164" s="704">
        <v>1</v>
      </c>
      <c r="BF164" s="704">
        <v>0</v>
      </c>
      <c r="BG164" s="704">
        <v>0</v>
      </c>
      <c r="BH164" s="704">
        <v>4</v>
      </c>
      <c r="BI164" s="704">
        <v>0</v>
      </c>
      <c r="BJ164" s="704">
        <v>0</v>
      </c>
      <c r="BK164" s="704">
        <v>0</v>
      </c>
      <c r="BL164" s="704">
        <v>0</v>
      </c>
      <c r="BM164" s="704">
        <v>0</v>
      </c>
      <c r="BN164" s="704">
        <v>0</v>
      </c>
      <c r="BO164" s="704">
        <v>26.382999999999999</v>
      </c>
    </row>
    <row r="165" spans="1:112" s="752" customFormat="1" ht="15" customHeight="1" x14ac:dyDescent="0.2">
      <c r="A165" s="715">
        <v>1625</v>
      </c>
      <c r="B165" s="715"/>
      <c r="C165" s="716" t="s">
        <v>317</v>
      </c>
      <c r="D165" s="706" t="s">
        <v>317</v>
      </c>
      <c r="E165" s="700">
        <f t="shared" si="22"/>
        <v>48636.712599999999</v>
      </c>
      <c r="F165" s="707" t="s">
        <v>10</v>
      </c>
      <c r="G165" s="701" t="e">
        <f t="shared" si="25"/>
        <v>#VALUE!</v>
      </c>
      <c r="H165" s="705" t="s">
        <v>10</v>
      </c>
      <c r="I165" s="706" t="s">
        <v>911</v>
      </c>
      <c r="J165" s="706" t="s">
        <v>10</v>
      </c>
      <c r="K165" s="706" t="s">
        <v>10</v>
      </c>
      <c r="L165" s="706" t="s">
        <v>10</v>
      </c>
      <c r="M165" s="708" t="s">
        <v>10</v>
      </c>
      <c r="N165" s="708" t="s">
        <v>10</v>
      </c>
      <c r="O165" s="708" t="s">
        <v>10</v>
      </c>
      <c r="P165" s="708" t="s">
        <v>10</v>
      </c>
      <c r="Q165" s="708" t="s">
        <v>10</v>
      </c>
      <c r="R165" s="708" t="s">
        <v>10</v>
      </c>
      <c r="S165" s="754">
        <v>250834</v>
      </c>
      <c r="T165" s="7">
        <f t="shared" si="20"/>
        <v>48636.712599999999</v>
      </c>
      <c r="U165" s="708" t="s">
        <v>10</v>
      </c>
      <c r="V165" s="708" t="s">
        <v>10</v>
      </c>
      <c r="W165" s="708" t="s">
        <v>10</v>
      </c>
      <c r="X165" s="708" t="s">
        <v>10</v>
      </c>
      <c r="Y165" s="708" t="s">
        <v>10</v>
      </c>
      <c r="Z165" s="708" t="s">
        <v>10</v>
      </c>
      <c r="AA165" s="708" t="s">
        <v>10</v>
      </c>
      <c r="AB165" s="708" t="s">
        <v>10</v>
      </c>
      <c r="AC165" s="708" t="s">
        <v>10</v>
      </c>
      <c r="AD165" s="708" t="s">
        <v>10</v>
      </c>
      <c r="AE165" s="708" t="s">
        <v>10</v>
      </c>
      <c r="AF165" s="708" t="s">
        <v>10</v>
      </c>
      <c r="AG165" s="708" t="s">
        <v>10</v>
      </c>
      <c r="AH165" s="708" t="s">
        <v>10</v>
      </c>
      <c r="AI165" s="708" t="s">
        <v>10</v>
      </c>
      <c r="AJ165" s="705">
        <v>4</v>
      </c>
      <c r="AK165" s="705" t="s">
        <v>899</v>
      </c>
      <c r="AL165" s="726" t="s">
        <v>911</v>
      </c>
      <c r="AM165" s="705" t="s">
        <v>10</v>
      </c>
      <c r="AN165" s="709" t="s">
        <v>947</v>
      </c>
      <c r="AO165" s="726">
        <v>0</v>
      </c>
      <c r="AP165" s="710">
        <f>AR165+AT165+AU165+AV165+AX165+AY165+AZ165+BD165+BF165+BG165+BH165+BJ165+BK165+(BL165+BM165+BN165)/1000+(0.1*BO165)</f>
        <v>267.5</v>
      </c>
      <c r="AQ165" s="703">
        <f t="shared" si="21"/>
        <v>289.5</v>
      </c>
      <c r="AR165" s="704">
        <v>0</v>
      </c>
      <c r="AS165" s="704">
        <v>0</v>
      </c>
      <c r="AT165" s="704">
        <v>232</v>
      </c>
      <c r="AU165" s="704">
        <v>-25</v>
      </c>
      <c r="AV165" s="704">
        <v>0</v>
      </c>
      <c r="AW165" s="704">
        <v>0</v>
      </c>
      <c r="AX165" s="704">
        <v>1</v>
      </c>
      <c r="AY165" s="704">
        <v>0</v>
      </c>
      <c r="AZ165" s="704">
        <v>0</v>
      </c>
      <c r="BA165" s="704">
        <v>0</v>
      </c>
      <c r="BB165" s="704">
        <v>2</v>
      </c>
      <c r="BC165" s="704">
        <v>20</v>
      </c>
      <c r="BD165" s="704">
        <v>0</v>
      </c>
      <c r="BE165" s="704">
        <v>0</v>
      </c>
      <c r="BF165" s="704">
        <v>0</v>
      </c>
      <c r="BG165" s="704">
        <v>0</v>
      </c>
      <c r="BH165" s="704">
        <v>35</v>
      </c>
      <c r="BI165" s="704">
        <v>0</v>
      </c>
      <c r="BJ165" s="704">
        <v>0</v>
      </c>
      <c r="BK165" s="704">
        <v>0</v>
      </c>
      <c r="BL165" s="704">
        <v>24500</v>
      </c>
      <c r="BM165" s="704">
        <v>0</v>
      </c>
      <c r="BN165" s="704">
        <v>0</v>
      </c>
      <c r="BO165" s="704">
        <v>0</v>
      </c>
    </row>
    <row r="166" spans="1:112" s="752" customFormat="1" ht="15" customHeight="1" x14ac:dyDescent="0.2">
      <c r="A166" s="704">
        <v>1626</v>
      </c>
      <c r="B166" s="704"/>
      <c r="C166" s="705" t="s">
        <v>317</v>
      </c>
      <c r="D166" s="699" t="s">
        <v>317</v>
      </c>
      <c r="E166" s="700">
        <f t="shared" si="22"/>
        <v>96185.646199999988</v>
      </c>
      <c r="F166" s="700">
        <v>0</v>
      </c>
      <c r="G166" s="701">
        <f t="shared" si="25"/>
        <v>96185.646199999988</v>
      </c>
      <c r="H166" s="705" t="s">
        <v>10</v>
      </c>
      <c r="I166" s="706" t="s">
        <v>911</v>
      </c>
      <c r="J166" s="699" t="s">
        <v>10</v>
      </c>
      <c r="K166" s="699" t="s">
        <v>10</v>
      </c>
      <c r="L166" s="699" t="s">
        <v>10</v>
      </c>
      <c r="M166" s="702">
        <v>0</v>
      </c>
      <c r="N166" s="702">
        <v>0</v>
      </c>
      <c r="O166" s="702">
        <v>0</v>
      </c>
      <c r="P166" s="702">
        <v>0</v>
      </c>
      <c r="Q166" s="702">
        <v>0</v>
      </c>
      <c r="R166" s="702">
        <v>0</v>
      </c>
      <c r="S166" s="702">
        <v>496058</v>
      </c>
      <c r="T166" s="7">
        <f t="shared" si="20"/>
        <v>96185.646199999988</v>
      </c>
      <c r="U166" s="702">
        <v>0</v>
      </c>
      <c r="V166" s="702">
        <v>496058</v>
      </c>
      <c r="W166" s="702">
        <v>0</v>
      </c>
      <c r="X166" s="702">
        <v>0</v>
      </c>
      <c r="Y166" s="702">
        <v>0</v>
      </c>
      <c r="Z166" s="702">
        <v>0</v>
      </c>
      <c r="AA166" s="702">
        <v>592243.64619999996</v>
      </c>
      <c r="AB166" s="702">
        <v>96185.646200000003</v>
      </c>
      <c r="AC166" s="702">
        <v>496058</v>
      </c>
      <c r="AD166" s="702">
        <v>0</v>
      </c>
      <c r="AE166" s="702">
        <v>0</v>
      </c>
      <c r="AF166" s="702">
        <v>0</v>
      </c>
      <c r="AG166" s="702">
        <v>496058</v>
      </c>
      <c r="AH166" s="702">
        <v>0</v>
      </c>
      <c r="AI166" s="702">
        <v>0</v>
      </c>
      <c r="AJ166" s="705">
        <v>4</v>
      </c>
      <c r="AK166" s="705" t="s">
        <v>899</v>
      </c>
      <c r="AL166" s="709" t="s">
        <v>275</v>
      </c>
      <c r="AM166" s="705" t="s">
        <v>10</v>
      </c>
      <c r="AN166" s="709" t="s">
        <v>317</v>
      </c>
      <c r="AO166" s="709">
        <v>96185.646200000003</v>
      </c>
      <c r="AP166" s="710">
        <v>0</v>
      </c>
      <c r="AQ166" s="703">
        <f t="shared" si="21"/>
        <v>350</v>
      </c>
      <c r="AR166" s="720">
        <v>0</v>
      </c>
      <c r="AS166" s="720">
        <v>0</v>
      </c>
      <c r="AT166" s="720">
        <v>289</v>
      </c>
      <c r="AU166" s="782">
        <v>12</v>
      </c>
      <c r="AV166" s="720">
        <v>0</v>
      </c>
      <c r="AW166" s="720">
        <v>0</v>
      </c>
      <c r="AX166" s="720">
        <v>1</v>
      </c>
      <c r="AY166" s="720">
        <v>0</v>
      </c>
      <c r="AZ166" s="720">
        <v>0</v>
      </c>
      <c r="BA166" s="720">
        <v>0</v>
      </c>
      <c r="BB166" s="720">
        <v>2</v>
      </c>
      <c r="BC166" s="720">
        <v>12</v>
      </c>
      <c r="BD166" s="720">
        <v>0</v>
      </c>
      <c r="BE166" s="720">
        <v>0</v>
      </c>
      <c r="BF166" s="720">
        <v>0</v>
      </c>
      <c r="BG166" s="720">
        <v>0</v>
      </c>
      <c r="BH166" s="720">
        <v>34</v>
      </c>
      <c r="BI166" s="720">
        <v>0</v>
      </c>
      <c r="BJ166" s="720">
        <v>0</v>
      </c>
      <c r="BK166" s="720">
        <v>0</v>
      </c>
      <c r="BL166" s="720">
        <v>0</v>
      </c>
      <c r="BM166" s="720">
        <v>0</v>
      </c>
      <c r="BN166" s="720">
        <v>0</v>
      </c>
      <c r="BO166" s="720">
        <v>0</v>
      </c>
    </row>
    <row r="167" spans="1:112" s="752" customFormat="1" ht="15" customHeight="1" x14ac:dyDescent="0.2">
      <c r="A167" s="704">
        <v>2924</v>
      </c>
      <c r="B167" s="704"/>
      <c r="C167" s="705" t="s">
        <v>319</v>
      </c>
      <c r="D167" s="699" t="s">
        <v>319</v>
      </c>
      <c r="E167" s="700">
        <f t="shared" si="22"/>
        <v>319077.26240000001</v>
      </c>
      <c r="F167" s="700">
        <v>0</v>
      </c>
      <c r="G167" s="701">
        <f t="shared" si="25"/>
        <v>319077.26240000001</v>
      </c>
      <c r="H167" s="705" t="s">
        <v>10</v>
      </c>
      <c r="I167" s="699" t="s">
        <v>1416</v>
      </c>
      <c r="J167" s="699" t="s">
        <v>1417</v>
      </c>
      <c r="K167" s="699" t="s">
        <v>320</v>
      </c>
      <c r="L167" s="699" t="s">
        <v>10</v>
      </c>
      <c r="M167" s="702">
        <v>100</v>
      </c>
      <c r="N167" s="702">
        <v>0.93600000000000005</v>
      </c>
      <c r="O167" s="702">
        <v>0.94599999999999995</v>
      </c>
      <c r="P167" s="702">
        <v>0.90900000000000003</v>
      </c>
      <c r="Q167" s="702">
        <v>0.90200000000000002</v>
      </c>
      <c r="R167" s="702">
        <v>1132074</v>
      </c>
      <c r="S167" s="702">
        <v>915836</v>
      </c>
      <c r="T167" s="7">
        <f t="shared" si="20"/>
        <v>336792.01500000001</v>
      </c>
      <c r="U167" s="702">
        <v>534180</v>
      </c>
      <c r="V167" s="702">
        <v>381656</v>
      </c>
      <c r="W167" s="702">
        <v>4280</v>
      </c>
      <c r="X167" s="702">
        <v>0</v>
      </c>
      <c r="Y167" s="702">
        <v>0</v>
      </c>
      <c r="Z167" s="702">
        <v>0</v>
      </c>
      <c r="AA167" s="702">
        <v>1252628.0149999999</v>
      </c>
      <c r="AB167" s="702">
        <v>336792.01500000001</v>
      </c>
      <c r="AC167" s="702">
        <v>915836</v>
      </c>
      <c r="AD167" s="702">
        <v>0</v>
      </c>
      <c r="AE167" s="702">
        <v>0</v>
      </c>
      <c r="AF167" s="702">
        <v>0</v>
      </c>
      <c r="AG167" s="702">
        <v>915836</v>
      </c>
      <c r="AH167" s="702">
        <v>0</v>
      </c>
      <c r="AI167" s="702">
        <v>0</v>
      </c>
      <c r="AJ167" s="705" t="s">
        <v>900</v>
      </c>
      <c r="AK167" s="705" t="s">
        <v>907</v>
      </c>
      <c r="AL167" s="709" t="s">
        <v>1416</v>
      </c>
      <c r="AM167" s="705" t="s">
        <v>10</v>
      </c>
      <c r="AN167" s="709" t="s">
        <v>319</v>
      </c>
      <c r="AO167" s="709">
        <v>336792.01500000001</v>
      </c>
      <c r="AP167" s="710">
        <f>AR167+AT167+AU167+AV167+AX167+AY167+AZ167+BD167+BF167+BG167+BH167+BJ167+BK167+(BL167+BM167+BN167)/1000+(0.1*BO167)</f>
        <v>358.64500000000004</v>
      </c>
      <c r="AQ167" s="703">
        <f t="shared" si="21"/>
        <v>390.64500000000004</v>
      </c>
      <c r="AR167" s="704">
        <v>0</v>
      </c>
      <c r="AS167" s="704">
        <v>0</v>
      </c>
      <c r="AT167" s="704">
        <v>173</v>
      </c>
      <c r="AU167" s="704">
        <v>17</v>
      </c>
      <c r="AV167" s="704">
        <v>0</v>
      </c>
      <c r="AW167" s="704">
        <v>0</v>
      </c>
      <c r="AX167" s="704">
        <v>0</v>
      </c>
      <c r="AY167" s="704">
        <v>0</v>
      </c>
      <c r="AZ167" s="704">
        <v>0</v>
      </c>
      <c r="BA167" s="704">
        <v>37</v>
      </c>
      <c r="BB167" s="704">
        <v>32</v>
      </c>
      <c r="BC167" s="704">
        <v>0</v>
      </c>
      <c r="BD167" s="704">
        <v>0</v>
      </c>
      <c r="BE167" s="704">
        <v>0</v>
      </c>
      <c r="BF167" s="704">
        <v>0</v>
      </c>
      <c r="BG167" s="704">
        <v>0</v>
      </c>
      <c r="BH167" s="704">
        <v>0</v>
      </c>
      <c r="BI167" s="704">
        <v>0</v>
      </c>
      <c r="BJ167" s="704">
        <v>0</v>
      </c>
      <c r="BK167" s="704">
        <v>0</v>
      </c>
      <c r="BL167" s="704">
        <v>99165</v>
      </c>
      <c r="BM167" s="704">
        <v>0</v>
      </c>
      <c r="BN167" s="704">
        <v>0</v>
      </c>
      <c r="BO167" s="704">
        <v>694.8</v>
      </c>
    </row>
    <row r="168" spans="1:112" s="724" customFormat="1" ht="15" customHeight="1" x14ac:dyDescent="0.2">
      <c r="A168" s="704">
        <v>4670</v>
      </c>
      <c r="B168" s="704"/>
      <c r="C168" s="705" t="s">
        <v>321</v>
      </c>
      <c r="D168" s="699" t="s">
        <v>321</v>
      </c>
      <c r="E168" s="700">
        <f t="shared" si="22"/>
        <v>418590.0576</v>
      </c>
      <c r="F168" s="700">
        <v>562000</v>
      </c>
      <c r="G168" s="701">
        <f t="shared" si="25"/>
        <v>980590.05759999994</v>
      </c>
      <c r="H168" s="705" t="s">
        <v>10</v>
      </c>
      <c r="I168" s="699" t="s">
        <v>1416</v>
      </c>
      <c r="J168" s="699" t="s">
        <v>1417</v>
      </c>
      <c r="K168" s="699" t="s">
        <v>1545</v>
      </c>
      <c r="L168" s="699" t="s">
        <v>1412</v>
      </c>
      <c r="M168" s="702">
        <v>155</v>
      </c>
      <c r="N168" s="702">
        <v>0.91100000000000003</v>
      </c>
      <c r="O168" s="702">
        <v>0.91700000000000004</v>
      </c>
      <c r="P168" s="702">
        <v>0.96299999999999997</v>
      </c>
      <c r="Q168" s="702">
        <v>0.95199999999999996</v>
      </c>
      <c r="R168" s="702">
        <v>1456971</v>
      </c>
      <c r="S168" s="702">
        <v>1201464</v>
      </c>
      <c r="T168" s="7">
        <f t="shared" si="20"/>
        <v>433448.8725</v>
      </c>
      <c r="U168" s="702">
        <v>735737</v>
      </c>
      <c r="V168" s="702">
        <v>465727</v>
      </c>
      <c r="W168" s="702">
        <v>6800</v>
      </c>
      <c r="X168" s="702">
        <v>995448.87250000006</v>
      </c>
      <c r="Y168" s="702">
        <v>433448.8725</v>
      </c>
      <c r="Z168" s="702">
        <v>562000</v>
      </c>
      <c r="AA168" s="702">
        <v>639464</v>
      </c>
      <c r="AB168" s="702">
        <v>0</v>
      </c>
      <c r="AC168" s="702">
        <v>639464</v>
      </c>
      <c r="AD168" s="702">
        <v>0</v>
      </c>
      <c r="AE168" s="702">
        <v>562000</v>
      </c>
      <c r="AF168" s="702">
        <v>0</v>
      </c>
      <c r="AG168" s="702">
        <v>639464</v>
      </c>
      <c r="AH168" s="702">
        <v>0</v>
      </c>
      <c r="AI168" s="702">
        <v>0</v>
      </c>
      <c r="AJ168" s="705">
        <v>4</v>
      </c>
      <c r="AK168" s="705" t="s">
        <v>899</v>
      </c>
      <c r="AL168" s="709" t="s">
        <v>1416</v>
      </c>
      <c r="AM168" s="705" t="s">
        <v>10</v>
      </c>
      <c r="AN168" s="709" t="s">
        <v>321</v>
      </c>
      <c r="AO168" s="709">
        <v>995448.87250000006</v>
      </c>
      <c r="AP168" s="710">
        <f>AR168+AT168+AU168+AV168+AX168+AY168+AZ168+BD168+BF168+BG168+BH168+BJ168+BK168+(BL168+BM168+BN168)/1000+(0.1*BO168)</f>
        <v>1982</v>
      </c>
      <c r="AQ168" s="703">
        <f t="shared" si="21"/>
        <v>1983</v>
      </c>
      <c r="AR168" s="755">
        <v>1520</v>
      </c>
      <c r="AS168" s="755">
        <v>0</v>
      </c>
      <c r="AT168" s="755">
        <v>64</v>
      </c>
      <c r="AU168" s="755">
        <v>-46</v>
      </c>
      <c r="AV168" s="755">
        <v>0</v>
      </c>
      <c r="AW168" s="755">
        <v>0</v>
      </c>
      <c r="AX168" s="755">
        <v>0</v>
      </c>
      <c r="AY168" s="755">
        <v>0</v>
      </c>
      <c r="AZ168" s="755">
        <v>29</v>
      </c>
      <c r="BA168" s="755">
        <v>0</v>
      </c>
      <c r="BB168" s="755">
        <v>1</v>
      </c>
      <c r="BC168" s="755">
        <v>0</v>
      </c>
      <c r="BD168" s="704">
        <v>0</v>
      </c>
      <c r="BE168" s="704">
        <v>0</v>
      </c>
      <c r="BF168" s="704">
        <v>0</v>
      </c>
      <c r="BG168" s="704">
        <v>0</v>
      </c>
      <c r="BH168" s="704">
        <v>415</v>
      </c>
      <c r="BI168" s="704">
        <v>0</v>
      </c>
      <c r="BJ168" s="704">
        <v>0</v>
      </c>
      <c r="BK168" s="704">
        <v>0</v>
      </c>
      <c r="BL168" s="704">
        <v>0</v>
      </c>
      <c r="BM168" s="704">
        <v>0</v>
      </c>
      <c r="BN168" s="704">
        <v>0</v>
      </c>
      <c r="BO168" s="704">
        <v>0</v>
      </c>
      <c r="BP168" s="392"/>
      <c r="BQ168" s="392"/>
      <c r="BR168" s="392"/>
      <c r="BS168" s="392"/>
      <c r="BT168" s="392"/>
      <c r="BU168" s="392"/>
      <c r="BV168" s="392"/>
      <c r="BW168" s="392"/>
      <c r="BX168" s="392"/>
      <c r="BY168" s="392"/>
      <c r="BZ168" s="392"/>
      <c r="CA168" s="392"/>
      <c r="CB168" s="392"/>
      <c r="CC168" s="392"/>
      <c r="CD168" s="392"/>
      <c r="CE168" s="392"/>
      <c r="CF168" s="392"/>
      <c r="CG168" s="392"/>
      <c r="CH168" s="392"/>
      <c r="CI168" s="392"/>
      <c r="CJ168" s="392"/>
      <c r="CK168" s="392"/>
      <c r="CL168" s="392"/>
      <c r="CM168" s="392"/>
      <c r="CN168" s="392"/>
      <c r="CO168" s="392"/>
      <c r="CP168" s="392"/>
      <c r="CQ168" s="392"/>
      <c r="CR168" s="392"/>
      <c r="CS168" s="392"/>
      <c r="CT168" s="392"/>
      <c r="CU168" s="392"/>
      <c r="CV168" s="392"/>
      <c r="CW168" s="392"/>
      <c r="CX168" s="392"/>
      <c r="CY168" s="392"/>
      <c r="CZ168" s="392"/>
      <c r="DA168" s="392"/>
    </row>
    <row r="169" spans="1:112" ht="15" customHeight="1" x14ac:dyDescent="0.2">
      <c r="A169" s="704">
        <v>9353</v>
      </c>
      <c r="B169" s="704"/>
      <c r="C169" s="705" t="s">
        <v>322</v>
      </c>
      <c r="D169" s="699" t="s">
        <v>322</v>
      </c>
      <c r="E169" s="700">
        <f t="shared" si="22"/>
        <v>230444.30239999999</v>
      </c>
      <c r="F169" s="700">
        <v>0</v>
      </c>
      <c r="G169" s="701">
        <f t="shared" si="25"/>
        <v>230444.30239999999</v>
      </c>
      <c r="H169" s="705" t="s">
        <v>10</v>
      </c>
      <c r="I169" s="699" t="s">
        <v>1416</v>
      </c>
      <c r="J169" s="699" t="s">
        <v>10</v>
      </c>
      <c r="K169" s="699" t="s">
        <v>99</v>
      </c>
      <c r="L169" s="699" t="s">
        <v>10</v>
      </c>
      <c r="M169" s="702">
        <v>91</v>
      </c>
      <c r="N169" s="702">
        <v>0.97899999999999998</v>
      </c>
      <c r="O169" s="702">
        <v>0.98799999999999999</v>
      </c>
      <c r="P169" s="702">
        <v>1</v>
      </c>
      <c r="Q169" s="702">
        <v>0.96399999999999997</v>
      </c>
      <c r="R169" s="702">
        <v>661436</v>
      </c>
      <c r="S169" s="708">
        <v>661436</v>
      </c>
      <c r="T169" s="7">
        <f t="shared" si="20"/>
        <v>196777.21</v>
      </c>
      <c r="U169" s="702">
        <v>387378</v>
      </c>
      <c r="V169" s="702">
        <v>172654</v>
      </c>
      <c r="W169" s="702">
        <v>3045</v>
      </c>
      <c r="X169" s="702">
        <v>0</v>
      </c>
      <c r="Y169" s="702">
        <v>0</v>
      </c>
      <c r="Z169" s="702">
        <v>0</v>
      </c>
      <c r="AA169" s="702">
        <v>756809.21</v>
      </c>
      <c r="AB169" s="702">
        <v>196777.21</v>
      </c>
      <c r="AC169" s="702">
        <v>560032</v>
      </c>
      <c r="AD169" s="702">
        <v>0</v>
      </c>
      <c r="AE169" s="702">
        <v>0</v>
      </c>
      <c r="AF169" s="702">
        <v>0</v>
      </c>
      <c r="AG169" s="702">
        <v>560032</v>
      </c>
      <c r="AH169" s="702">
        <v>0</v>
      </c>
      <c r="AI169" s="702">
        <v>0</v>
      </c>
      <c r="AJ169" s="705" t="s">
        <v>900</v>
      </c>
      <c r="AK169" s="705" t="s">
        <v>907</v>
      </c>
      <c r="AL169" s="709" t="s">
        <v>1416</v>
      </c>
      <c r="AM169" s="705" t="s">
        <v>10</v>
      </c>
      <c r="AN169" s="709" t="s">
        <v>322</v>
      </c>
      <c r="AO169" s="709">
        <v>196777.21</v>
      </c>
      <c r="AP169" s="710">
        <f>AR169+AT169+AU169+AV169+AX169+AY169+AZ169+BD169+BF169+BG169+BH169+BJ169+BK169+(BL169+BM169+BN169)/1000+(0.1*BO169)</f>
        <v>184.49799999999999</v>
      </c>
      <c r="AQ169" s="703">
        <f t="shared" si="21"/>
        <v>244.49799999999999</v>
      </c>
      <c r="AR169" s="704">
        <v>0</v>
      </c>
      <c r="AS169" s="704">
        <v>0</v>
      </c>
      <c r="AT169" s="704">
        <v>163</v>
      </c>
      <c r="AU169" s="704">
        <v>0</v>
      </c>
      <c r="AV169" s="704">
        <v>0</v>
      </c>
      <c r="AW169" s="704">
        <v>0</v>
      </c>
      <c r="AX169" s="704">
        <v>0</v>
      </c>
      <c r="AY169" s="704">
        <v>0</v>
      </c>
      <c r="AZ169" s="704">
        <v>0</v>
      </c>
      <c r="BA169" s="704">
        <v>0</v>
      </c>
      <c r="BB169" s="704">
        <v>60</v>
      </c>
      <c r="BC169" s="704">
        <v>0</v>
      </c>
      <c r="BD169" s="704">
        <v>0</v>
      </c>
      <c r="BE169" s="704">
        <v>0</v>
      </c>
      <c r="BF169" s="704">
        <v>0</v>
      </c>
      <c r="BG169" s="704">
        <v>0</v>
      </c>
      <c r="BH169" s="704">
        <v>0</v>
      </c>
      <c r="BI169" s="704">
        <v>0</v>
      </c>
      <c r="BJ169" s="704">
        <v>0</v>
      </c>
      <c r="BK169" s="704">
        <v>0</v>
      </c>
      <c r="BL169" s="704">
        <v>14498</v>
      </c>
      <c r="BM169" s="704">
        <v>0</v>
      </c>
      <c r="BN169" s="704">
        <v>7000</v>
      </c>
      <c r="BO169" s="704">
        <v>0</v>
      </c>
    </row>
    <row r="170" spans="1:112" ht="15" customHeight="1" x14ac:dyDescent="0.2">
      <c r="A170" s="715">
        <v>9363</v>
      </c>
      <c r="B170" s="715"/>
      <c r="C170" s="716" t="s">
        <v>323</v>
      </c>
      <c r="D170" s="699" t="s">
        <v>323</v>
      </c>
      <c r="E170" s="700">
        <f t="shared" si="22"/>
        <v>440103.06079999998</v>
      </c>
      <c r="F170" s="700">
        <v>0</v>
      </c>
      <c r="G170" s="701">
        <f t="shared" si="25"/>
        <v>440103.06079999998</v>
      </c>
      <c r="H170" s="705" t="s">
        <v>10</v>
      </c>
      <c r="I170" s="699" t="s">
        <v>1416</v>
      </c>
      <c r="J170" s="699" t="s">
        <v>1417</v>
      </c>
      <c r="K170" s="699" t="s">
        <v>325</v>
      </c>
      <c r="L170" s="699" t="s">
        <v>10</v>
      </c>
      <c r="M170" s="702">
        <v>135</v>
      </c>
      <c r="N170" s="702">
        <v>0.93799999999999994</v>
      </c>
      <c r="O170" s="702">
        <v>0.93799999999999994</v>
      </c>
      <c r="P170" s="702">
        <v>0.90700000000000003</v>
      </c>
      <c r="Q170" s="702">
        <v>0.91500000000000004</v>
      </c>
      <c r="R170" s="702">
        <v>1280382</v>
      </c>
      <c r="S170" s="702">
        <v>1263212</v>
      </c>
      <c r="T170" s="7">
        <f t="shared" si="20"/>
        <v>380913.64499999996</v>
      </c>
      <c r="U170" s="702">
        <v>904288</v>
      </c>
      <c r="V170" s="702">
        <v>358924</v>
      </c>
      <c r="W170" s="702">
        <v>3168</v>
      </c>
      <c r="X170" s="702">
        <v>0</v>
      </c>
      <c r="Y170" s="702">
        <v>0</v>
      </c>
      <c r="Z170" s="702">
        <v>0</v>
      </c>
      <c r="AA170" s="702">
        <v>1644125.645</v>
      </c>
      <c r="AB170" s="702">
        <v>380913.64500000002</v>
      </c>
      <c r="AC170" s="702">
        <v>1263212</v>
      </c>
      <c r="AD170" s="702">
        <v>0</v>
      </c>
      <c r="AE170" s="702">
        <v>0</v>
      </c>
      <c r="AF170" s="702">
        <v>0</v>
      </c>
      <c r="AG170" s="702">
        <v>1263212</v>
      </c>
      <c r="AH170" s="702">
        <v>0</v>
      </c>
      <c r="AI170" s="702">
        <v>0</v>
      </c>
      <c r="AJ170" s="705" t="s">
        <v>900</v>
      </c>
      <c r="AK170" s="705" t="s">
        <v>907</v>
      </c>
      <c r="AL170" s="709" t="s">
        <v>1578</v>
      </c>
      <c r="AM170" s="705" t="s">
        <v>10</v>
      </c>
      <c r="AN170" s="709" t="s">
        <v>948</v>
      </c>
      <c r="AO170" s="726">
        <v>0</v>
      </c>
      <c r="AP170" s="750">
        <v>0</v>
      </c>
      <c r="AQ170" s="703">
        <f t="shared" si="21"/>
        <v>634.59910000000002</v>
      </c>
      <c r="AR170" s="720">
        <v>0</v>
      </c>
      <c r="AS170" s="720">
        <v>0</v>
      </c>
      <c r="AT170" s="720">
        <v>259</v>
      </c>
      <c r="AU170" s="720">
        <v>13</v>
      </c>
      <c r="AV170" s="720">
        <v>0</v>
      </c>
      <c r="AW170" s="720">
        <v>0</v>
      </c>
      <c r="AX170" s="720">
        <v>1</v>
      </c>
      <c r="AY170" s="720">
        <v>0</v>
      </c>
      <c r="AZ170" s="720">
        <v>0</v>
      </c>
      <c r="BA170" s="720">
        <v>0</v>
      </c>
      <c r="BB170" s="720">
        <v>259</v>
      </c>
      <c r="BC170" s="720">
        <v>0</v>
      </c>
      <c r="BD170" s="704">
        <v>0</v>
      </c>
      <c r="BE170" s="704">
        <v>0</v>
      </c>
      <c r="BF170" s="704">
        <v>0</v>
      </c>
      <c r="BG170" s="704">
        <v>0</v>
      </c>
      <c r="BH170" s="704">
        <v>0</v>
      </c>
      <c r="BI170" s="704">
        <v>0</v>
      </c>
      <c r="BJ170" s="704">
        <v>0</v>
      </c>
      <c r="BK170" s="704">
        <v>0</v>
      </c>
      <c r="BL170" s="704">
        <v>0</v>
      </c>
      <c r="BM170" s="704">
        <v>0</v>
      </c>
      <c r="BN170" s="756">
        <v>195</v>
      </c>
      <c r="BO170" s="704">
        <v>1024.0409999999999</v>
      </c>
    </row>
    <row r="171" spans="1:112" ht="15" customHeight="1" x14ac:dyDescent="0.2">
      <c r="A171" s="697">
        <v>1536</v>
      </c>
      <c r="B171" s="697"/>
      <c r="C171" s="698" t="s">
        <v>326</v>
      </c>
      <c r="D171" s="699" t="s">
        <v>326</v>
      </c>
      <c r="E171" s="700">
        <f t="shared" si="22"/>
        <v>21542.483899999999</v>
      </c>
      <c r="F171" s="700">
        <v>0</v>
      </c>
      <c r="G171" s="701">
        <f t="shared" si="25"/>
        <v>21542.483899999999</v>
      </c>
      <c r="H171" s="698" t="s">
        <v>10</v>
      </c>
      <c r="I171" s="699" t="s">
        <v>1512</v>
      </c>
      <c r="J171" s="699" t="s">
        <v>10</v>
      </c>
      <c r="K171" s="699" t="s">
        <v>329</v>
      </c>
      <c r="L171" s="699" t="s">
        <v>10</v>
      </c>
      <c r="M171" s="702">
        <v>4</v>
      </c>
      <c r="N171" s="702">
        <v>1</v>
      </c>
      <c r="O171" s="702">
        <v>1</v>
      </c>
      <c r="P171" s="702">
        <v>1</v>
      </c>
      <c r="Q171" s="702">
        <v>1</v>
      </c>
      <c r="R171" s="702">
        <v>0</v>
      </c>
      <c r="S171" s="702">
        <v>111101</v>
      </c>
      <c r="T171" s="7">
        <f t="shared" si="20"/>
        <v>21542.483899999999</v>
      </c>
      <c r="U171" s="702">
        <v>82398</v>
      </c>
      <c r="V171" s="702">
        <v>28703</v>
      </c>
      <c r="W171" s="702">
        <v>752</v>
      </c>
      <c r="X171" s="702">
        <v>0</v>
      </c>
      <c r="Y171" s="702">
        <v>0</v>
      </c>
      <c r="Z171" s="702">
        <v>0</v>
      </c>
      <c r="AA171" s="702">
        <v>132643.48389999999</v>
      </c>
      <c r="AB171" s="702">
        <v>21542.483899999999</v>
      </c>
      <c r="AC171" s="702">
        <v>111101</v>
      </c>
      <c r="AD171" s="702">
        <v>0</v>
      </c>
      <c r="AE171" s="702">
        <v>0</v>
      </c>
      <c r="AF171" s="702">
        <v>0</v>
      </c>
      <c r="AG171" s="702">
        <v>111101</v>
      </c>
      <c r="AH171" s="702">
        <v>0</v>
      </c>
      <c r="AI171" s="702">
        <v>0</v>
      </c>
      <c r="AJ171" s="698">
        <v>4</v>
      </c>
      <c r="AK171" s="698" t="s">
        <v>913</v>
      </c>
      <c r="AL171" s="699" t="s">
        <v>1512</v>
      </c>
      <c r="AM171" s="698" t="s">
        <v>10</v>
      </c>
      <c r="AN171" s="699" t="s">
        <v>326</v>
      </c>
      <c r="AO171" s="699">
        <v>21542.483899999999</v>
      </c>
      <c r="AP171" s="703">
        <f t="shared" ref="AP171:AP184" si="26">AR171+AT171+AU171+AV171+AX171+AY171+AZ171+BD171+BF171+BG171+BH171+BJ171+BK171+(BL171+BM171+BN171)/1000+(0.1*BO171)</f>
        <v>5</v>
      </c>
      <c r="AQ171" s="703">
        <f t="shared" si="21"/>
        <v>5</v>
      </c>
      <c r="AR171" s="697">
        <v>0</v>
      </c>
      <c r="AS171" s="697">
        <v>0</v>
      </c>
      <c r="AT171" s="697">
        <v>5</v>
      </c>
      <c r="AU171" s="697">
        <v>0</v>
      </c>
      <c r="AV171" s="697">
        <v>0</v>
      </c>
      <c r="AW171" s="697">
        <v>0</v>
      </c>
      <c r="AX171" s="697">
        <v>0</v>
      </c>
      <c r="AY171" s="697">
        <v>0</v>
      </c>
      <c r="AZ171" s="697">
        <v>0</v>
      </c>
      <c r="BA171" s="697">
        <v>0</v>
      </c>
      <c r="BB171" s="697">
        <v>0</v>
      </c>
      <c r="BC171" s="697">
        <v>0</v>
      </c>
      <c r="BD171" s="697">
        <v>0</v>
      </c>
      <c r="BE171" s="697">
        <v>0</v>
      </c>
      <c r="BF171" s="697">
        <v>0</v>
      </c>
      <c r="BG171" s="697">
        <v>0</v>
      </c>
      <c r="BH171" s="697">
        <v>0</v>
      </c>
      <c r="BI171" s="697">
        <v>0</v>
      </c>
      <c r="BJ171" s="697">
        <v>0</v>
      </c>
      <c r="BK171" s="697">
        <v>0</v>
      </c>
      <c r="BL171" s="697">
        <v>0</v>
      </c>
      <c r="BM171" s="697">
        <v>0</v>
      </c>
      <c r="BN171" s="697">
        <v>0</v>
      </c>
      <c r="BO171" s="697">
        <v>0</v>
      </c>
    </row>
    <row r="172" spans="1:112" ht="15" customHeight="1" x14ac:dyDescent="0.2">
      <c r="A172" s="697">
        <v>4834</v>
      </c>
      <c r="B172" s="697" t="s">
        <v>1412</v>
      </c>
      <c r="C172" s="698" t="s">
        <v>949</v>
      </c>
      <c r="D172" s="699" t="s">
        <v>663</v>
      </c>
      <c r="E172" s="700">
        <f t="shared" si="22"/>
        <v>285688</v>
      </c>
      <c r="F172" s="700">
        <v>491000</v>
      </c>
      <c r="G172" s="701">
        <f t="shared" si="25"/>
        <v>776688</v>
      </c>
      <c r="H172" s="698" t="s">
        <v>10</v>
      </c>
      <c r="I172" s="699" t="s">
        <v>1416</v>
      </c>
      <c r="J172" s="699" t="s">
        <v>1412</v>
      </c>
      <c r="K172" s="699" t="s">
        <v>126</v>
      </c>
      <c r="L172" s="699" t="s">
        <v>1412</v>
      </c>
      <c r="M172" s="702">
        <v>110</v>
      </c>
      <c r="N172" s="702">
        <v>0.86399999999999999</v>
      </c>
      <c r="O172" s="702">
        <v>0.86699999999999999</v>
      </c>
      <c r="P172" s="702">
        <v>0.92500000000000004</v>
      </c>
      <c r="Q172" s="702">
        <v>0.95199999999999996</v>
      </c>
      <c r="R172" s="702">
        <v>1008030</v>
      </c>
      <c r="S172" s="702">
        <v>820000</v>
      </c>
      <c r="T172" s="7">
        <f t="shared" si="20"/>
        <v>299888.92499999999</v>
      </c>
      <c r="U172" s="702">
        <v>427000</v>
      </c>
      <c r="V172" s="702">
        <v>393000</v>
      </c>
      <c r="W172" s="702">
        <v>4100</v>
      </c>
      <c r="X172" s="702">
        <v>790888.92500000005</v>
      </c>
      <c r="Y172" s="702">
        <v>299888.92499999999</v>
      </c>
      <c r="Z172" s="702">
        <v>491000</v>
      </c>
      <c r="AA172" s="702">
        <v>329000</v>
      </c>
      <c r="AB172" s="702">
        <v>0</v>
      </c>
      <c r="AC172" s="702">
        <v>329000</v>
      </c>
      <c r="AD172" s="702">
        <v>491000</v>
      </c>
      <c r="AE172" s="702">
        <v>0</v>
      </c>
      <c r="AF172" s="702">
        <v>329000</v>
      </c>
      <c r="AG172" s="702">
        <v>0</v>
      </c>
      <c r="AH172" s="702">
        <v>566000</v>
      </c>
      <c r="AI172" s="702">
        <v>540000</v>
      </c>
      <c r="AJ172" s="698" t="s">
        <v>900</v>
      </c>
      <c r="AK172" s="698" t="s">
        <v>905</v>
      </c>
      <c r="AL172" s="699" t="s">
        <v>1416</v>
      </c>
      <c r="AM172" s="698" t="s">
        <v>10</v>
      </c>
      <c r="AN172" s="699" t="s">
        <v>663</v>
      </c>
      <c r="AO172" s="699">
        <v>790888.92500000005</v>
      </c>
      <c r="AP172" s="703">
        <f t="shared" si="26"/>
        <v>643.15120000000002</v>
      </c>
      <c r="AQ172" s="703">
        <f t="shared" si="21"/>
        <v>735.15120000000002</v>
      </c>
      <c r="AR172" s="697">
        <v>327</v>
      </c>
      <c r="AS172" s="697">
        <v>540</v>
      </c>
      <c r="AT172" s="697">
        <v>215</v>
      </c>
      <c r="AU172" s="697">
        <v>0</v>
      </c>
      <c r="AV172" s="697">
        <v>0</v>
      </c>
      <c r="AW172" s="697">
        <v>0</v>
      </c>
      <c r="AX172" s="697">
        <v>0</v>
      </c>
      <c r="AY172" s="697">
        <v>0</v>
      </c>
      <c r="AZ172" s="697">
        <v>32</v>
      </c>
      <c r="BA172" s="697">
        <v>85</v>
      </c>
      <c r="BB172" s="697">
        <v>92</v>
      </c>
      <c r="BC172" s="697">
        <v>0</v>
      </c>
      <c r="BD172" s="697">
        <v>9</v>
      </c>
      <c r="BE172" s="697">
        <v>1</v>
      </c>
      <c r="BF172" s="697">
        <v>0</v>
      </c>
      <c r="BG172" s="697">
        <v>0</v>
      </c>
      <c r="BH172" s="697">
        <v>60</v>
      </c>
      <c r="BI172" s="697">
        <v>0</v>
      </c>
      <c r="BJ172" s="697">
        <v>0</v>
      </c>
      <c r="BK172" s="697">
        <v>0</v>
      </c>
      <c r="BL172" s="697">
        <v>0</v>
      </c>
      <c r="BM172" s="697">
        <v>0</v>
      </c>
      <c r="BN172" s="697">
        <v>0</v>
      </c>
      <c r="BO172" s="697">
        <v>1.512</v>
      </c>
    </row>
    <row r="173" spans="1:112" ht="15" customHeight="1" x14ac:dyDescent="0.2">
      <c r="A173" s="697">
        <v>728</v>
      </c>
      <c r="B173" s="697"/>
      <c r="C173" s="698" t="s">
        <v>331</v>
      </c>
      <c r="D173" s="699" t="s">
        <v>331</v>
      </c>
      <c r="E173" s="700">
        <f t="shared" si="22"/>
        <v>59805.352599999998</v>
      </c>
      <c r="F173" s="700">
        <v>0</v>
      </c>
      <c r="G173" s="701">
        <f t="shared" si="25"/>
        <v>59805.352599999998</v>
      </c>
      <c r="H173" s="698" t="s">
        <v>1417</v>
      </c>
      <c r="I173" s="699" t="s">
        <v>1512</v>
      </c>
      <c r="J173" s="699" t="s">
        <v>10</v>
      </c>
      <c r="K173" s="699" t="s">
        <v>334</v>
      </c>
      <c r="L173" s="699" t="s">
        <v>10</v>
      </c>
      <c r="M173" s="702">
        <v>25</v>
      </c>
      <c r="N173" s="702">
        <v>0.93300000000000005</v>
      </c>
      <c r="O173" s="702">
        <v>0.94099999999999995</v>
      </c>
      <c r="P173" s="702">
        <v>0.65600000000000003</v>
      </c>
      <c r="Q173" s="702">
        <v>0.94399999999999995</v>
      </c>
      <c r="R173" s="702">
        <v>0</v>
      </c>
      <c r="S173" s="702">
        <v>308434</v>
      </c>
      <c r="T173" s="7">
        <f t="shared" si="20"/>
        <v>59805.352599999998</v>
      </c>
      <c r="U173" s="702">
        <v>250749</v>
      </c>
      <c r="V173" s="702">
        <v>57685</v>
      </c>
      <c r="W173" s="702">
        <v>2854</v>
      </c>
      <c r="X173" s="702">
        <v>0</v>
      </c>
      <c r="Y173" s="702">
        <v>0</v>
      </c>
      <c r="Z173" s="702">
        <v>0</v>
      </c>
      <c r="AA173" s="702">
        <v>368239.35259999998</v>
      </c>
      <c r="AB173" s="702">
        <v>59805.352599999998</v>
      </c>
      <c r="AC173" s="702">
        <v>308434</v>
      </c>
      <c r="AD173" s="702">
        <v>0</v>
      </c>
      <c r="AE173" s="702">
        <v>0</v>
      </c>
      <c r="AF173" s="702">
        <v>0</v>
      </c>
      <c r="AG173" s="702">
        <v>308434</v>
      </c>
      <c r="AH173" s="702">
        <v>0</v>
      </c>
      <c r="AI173" s="702">
        <v>0</v>
      </c>
      <c r="AJ173" s="698">
        <v>4</v>
      </c>
      <c r="AK173" s="698" t="s">
        <v>915</v>
      </c>
      <c r="AL173" s="699" t="s">
        <v>1512</v>
      </c>
      <c r="AM173" s="698" t="s">
        <v>1417</v>
      </c>
      <c r="AN173" s="699" t="s">
        <v>331</v>
      </c>
      <c r="AO173" s="699">
        <v>59805.352599999998</v>
      </c>
      <c r="AP173" s="703">
        <f t="shared" si="26"/>
        <v>56</v>
      </c>
      <c r="AQ173" s="703">
        <f t="shared" si="21"/>
        <v>57</v>
      </c>
      <c r="AR173" s="697">
        <v>0</v>
      </c>
      <c r="AS173" s="697">
        <v>0</v>
      </c>
      <c r="AT173" s="697">
        <v>30</v>
      </c>
      <c r="AU173" s="697">
        <v>21</v>
      </c>
      <c r="AV173" s="697">
        <v>0</v>
      </c>
      <c r="AW173" s="697">
        <v>0</v>
      </c>
      <c r="AX173" s="697">
        <v>0</v>
      </c>
      <c r="AY173" s="697">
        <v>5</v>
      </c>
      <c r="AZ173" s="697">
        <v>0</v>
      </c>
      <c r="BA173" s="697">
        <v>11</v>
      </c>
      <c r="BB173" s="697">
        <v>0</v>
      </c>
      <c r="BC173" s="697">
        <v>1</v>
      </c>
      <c r="BD173" s="697">
        <v>0</v>
      </c>
      <c r="BE173" s="697">
        <v>0</v>
      </c>
      <c r="BF173" s="697">
        <v>0</v>
      </c>
      <c r="BG173" s="697">
        <v>0</v>
      </c>
      <c r="BH173" s="697">
        <v>0</v>
      </c>
      <c r="BI173" s="697">
        <v>0</v>
      </c>
      <c r="BJ173" s="697">
        <v>0</v>
      </c>
      <c r="BK173" s="697">
        <v>0</v>
      </c>
      <c r="BL173" s="697">
        <v>0</v>
      </c>
      <c r="BM173" s="697">
        <v>0</v>
      </c>
      <c r="BN173" s="697">
        <v>0</v>
      </c>
      <c r="BO173" s="697">
        <v>0</v>
      </c>
    </row>
    <row r="174" spans="1:112" ht="15" customHeight="1" x14ac:dyDescent="0.2">
      <c r="A174" s="697">
        <v>9903</v>
      </c>
      <c r="B174" s="697"/>
      <c r="C174" s="698" t="s">
        <v>335</v>
      </c>
      <c r="D174" s="699" t="s">
        <v>335</v>
      </c>
      <c r="E174" s="700">
        <f t="shared" si="22"/>
        <v>272582.23719999997</v>
      </c>
      <c r="F174" s="700">
        <v>0</v>
      </c>
      <c r="G174" s="701">
        <f t="shared" si="25"/>
        <v>272582.23719999997</v>
      </c>
      <c r="H174" s="698" t="s">
        <v>1417</v>
      </c>
      <c r="I174" s="699" t="s">
        <v>1416</v>
      </c>
      <c r="J174" s="699" t="s">
        <v>1417</v>
      </c>
      <c r="K174" s="699" t="s">
        <v>325</v>
      </c>
      <c r="L174" s="699" t="s">
        <v>10</v>
      </c>
      <c r="M174" s="702">
        <v>132</v>
      </c>
      <c r="N174" s="702">
        <v>0.70499999999999996</v>
      </c>
      <c r="O174" s="702">
        <v>0.71699999999999997</v>
      </c>
      <c r="P174" s="702">
        <v>0.746</v>
      </c>
      <c r="Q174" s="702">
        <v>0.73599999999999999</v>
      </c>
      <c r="R174" s="702">
        <v>944410</v>
      </c>
      <c r="S174" s="702">
        <v>782383</v>
      </c>
      <c r="T174" s="7">
        <f t="shared" si="20"/>
        <v>280961.97499999998</v>
      </c>
      <c r="U174" s="702">
        <v>458554</v>
      </c>
      <c r="V174" s="702">
        <v>323829</v>
      </c>
      <c r="W174" s="702">
        <v>3671</v>
      </c>
      <c r="X174" s="702">
        <v>0</v>
      </c>
      <c r="Y174" s="702">
        <v>0</v>
      </c>
      <c r="Z174" s="702">
        <v>0</v>
      </c>
      <c r="AA174" s="702">
        <v>1063344.9750000001</v>
      </c>
      <c r="AB174" s="702">
        <v>280961.97499999998</v>
      </c>
      <c r="AC174" s="702">
        <v>782383</v>
      </c>
      <c r="AD174" s="702">
        <v>0</v>
      </c>
      <c r="AE174" s="702">
        <v>0</v>
      </c>
      <c r="AF174" s="702">
        <v>0</v>
      </c>
      <c r="AG174" s="702">
        <v>782383</v>
      </c>
      <c r="AH174" s="702">
        <v>0</v>
      </c>
      <c r="AI174" s="702">
        <v>0</v>
      </c>
      <c r="AJ174" s="698" t="s">
        <v>900</v>
      </c>
      <c r="AK174" s="698" t="s">
        <v>907</v>
      </c>
      <c r="AL174" s="699" t="s">
        <v>1416</v>
      </c>
      <c r="AM174" s="698" t="s">
        <v>1417</v>
      </c>
      <c r="AN174" s="699" t="s">
        <v>335</v>
      </c>
      <c r="AO174" s="699">
        <v>280961.97499999998</v>
      </c>
      <c r="AP174" s="703">
        <f t="shared" si="26"/>
        <v>331.42560000000003</v>
      </c>
      <c r="AQ174" s="703">
        <f t="shared" si="21"/>
        <v>392.42560000000003</v>
      </c>
      <c r="AR174" s="697">
        <v>0</v>
      </c>
      <c r="AS174" s="697">
        <v>0</v>
      </c>
      <c r="AT174" s="697">
        <v>223</v>
      </c>
      <c r="AU174" s="697">
        <v>2</v>
      </c>
      <c r="AV174" s="697">
        <v>0</v>
      </c>
      <c r="AW174" s="697">
        <v>0</v>
      </c>
      <c r="AX174" s="697">
        <v>4</v>
      </c>
      <c r="AY174" s="697">
        <v>0</v>
      </c>
      <c r="AZ174" s="697">
        <v>0</v>
      </c>
      <c r="BA174" s="697">
        <v>0</v>
      </c>
      <c r="BB174" s="697">
        <v>52</v>
      </c>
      <c r="BC174" s="697">
        <v>9</v>
      </c>
      <c r="BD174" s="697">
        <v>0</v>
      </c>
      <c r="BE174" s="697">
        <v>0</v>
      </c>
      <c r="BF174" s="697">
        <v>0</v>
      </c>
      <c r="BG174" s="697">
        <v>0</v>
      </c>
      <c r="BH174" s="697">
        <v>1</v>
      </c>
      <c r="BI174" s="697">
        <v>0</v>
      </c>
      <c r="BJ174" s="697">
        <v>0</v>
      </c>
      <c r="BK174" s="697">
        <v>0</v>
      </c>
      <c r="BL174" s="697">
        <v>0</v>
      </c>
      <c r="BM174" s="697">
        <v>0</v>
      </c>
      <c r="BN174" s="697">
        <v>39651</v>
      </c>
      <c r="BO174" s="697">
        <v>617.74599999999998</v>
      </c>
    </row>
    <row r="175" spans="1:112" ht="15" customHeight="1" x14ac:dyDescent="0.2">
      <c r="A175" s="697">
        <v>2318</v>
      </c>
      <c r="B175" s="697" t="s">
        <v>1412</v>
      </c>
      <c r="C175" s="698" t="s">
        <v>337</v>
      </c>
      <c r="D175" s="699" t="s">
        <v>337</v>
      </c>
      <c r="E175" s="700">
        <f t="shared" si="22"/>
        <v>272448.8</v>
      </c>
      <c r="F175" s="700">
        <v>0</v>
      </c>
      <c r="G175" s="701">
        <f t="shared" si="25"/>
        <v>272448.8</v>
      </c>
      <c r="H175" s="698" t="s">
        <v>10</v>
      </c>
      <c r="I175" s="699" t="s">
        <v>1416</v>
      </c>
      <c r="J175" s="699" t="s">
        <v>1412</v>
      </c>
      <c r="K175" s="699" t="s">
        <v>276</v>
      </c>
      <c r="L175" s="699" t="s">
        <v>10</v>
      </c>
      <c r="M175" s="702">
        <v>53</v>
      </c>
      <c r="N175" s="702">
        <v>0.93</v>
      </c>
      <c r="O175" s="702">
        <v>0.92300000000000004</v>
      </c>
      <c r="P175" s="702">
        <v>0.91900000000000004</v>
      </c>
      <c r="Q175" s="702">
        <v>0.94399999999999995</v>
      </c>
      <c r="R175" s="702">
        <v>804218</v>
      </c>
      <c r="S175" s="702">
        <v>782000</v>
      </c>
      <c r="T175" s="7">
        <f t="shared" si="20"/>
        <v>239254.85499999998</v>
      </c>
      <c r="U175" s="702">
        <v>600982</v>
      </c>
      <c r="V175" s="702">
        <v>181018</v>
      </c>
      <c r="W175" s="702">
        <v>2352</v>
      </c>
      <c r="X175" s="702">
        <v>0</v>
      </c>
      <c r="Y175" s="702">
        <v>0</v>
      </c>
      <c r="Z175" s="702">
        <v>0</v>
      </c>
      <c r="AA175" s="702">
        <v>1021254.855</v>
      </c>
      <c r="AB175" s="702">
        <v>239254.85500000001</v>
      </c>
      <c r="AC175" s="702">
        <v>782000</v>
      </c>
      <c r="AD175" s="702">
        <v>0</v>
      </c>
      <c r="AE175" s="702">
        <v>0</v>
      </c>
      <c r="AF175" s="702">
        <v>782000</v>
      </c>
      <c r="AG175" s="702">
        <v>0</v>
      </c>
      <c r="AH175" s="702">
        <v>60000</v>
      </c>
      <c r="AI175" s="702">
        <v>61000</v>
      </c>
      <c r="AJ175" s="698" t="s">
        <v>900</v>
      </c>
      <c r="AK175" s="698" t="s">
        <v>922</v>
      </c>
      <c r="AL175" s="699" t="s">
        <v>1416</v>
      </c>
      <c r="AM175" s="698" t="s">
        <v>10</v>
      </c>
      <c r="AN175" s="699" t="s">
        <v>337</v>
      </c>
      <c r="AO175" s="699">
        <v>239254.85500000001</v>
      </c>
      <c r="AP175" s="703">
        <f t="shared" si="26"/>
        <v>137.5335</v>
      </c>
      <c r="AQ175" s="703">
        <f t="shared" si="21"/>
        <v>141.5335</v>
      </c>
      <c r="AR175" s="697">
        <v>51</v>
      </c>
      <c r="AS175" s="697">
        <v>61</v>
      </c>
      <c r="AT175" s="697">
        <v>24</v>
      </c>
      <c r="AU175" s="697">
        <v>1</v>
      </c>
      <c r="AV175" s="697">
        <v>0</v>
      </c>
      <c r="AW175" s="697">
        <v>0</v>
      </c>
      <c r="AX175" s="697">
        <v>2</v>
      </c>
      <c r="AY175" s="697">
        <v>0</v>
      </c>
      <c r="AZ175" s="697">
        <v>0</v>
      </c>
      <c r="BA175" s="697">
        <v>1</v>
      </c>
      <c r="BB175" s="697">
        <v>4</v>
      </c>
      <c r="BC175" s="697">
        <v>0</v>
      </c>
      <c r="BD175" s="697">
        <v>0</v>
      </c>
      <c r="BE175" s="697">
        <v>0</v>
      </c>
      <c r="BF175" s="697">
        <v>0</v>
      </c>
      <c r="BG175" s="697">
        <v>0</v>
      </c>
      <c r="BH175" s="697">
        <v>0</v>
      </c>
      <c r="BI175" s="697">
        <v>0</v>
      </c>
      <c r="BJ175" s="697">
        <v>0</v>
      </c>
      <c r="BK175" s="697">
        <v>0</v>
      </c>
      <c r="BL175" s="697">
        <v>9776</v>
      </c>
      <c r="BM175" s="697">
        <v>0</v>
      </c>
      <c r="BN175" s="697">
        <v>14515</v>
      </c>
      <c r="BO175" s="697">
        <v>352.42500000000001</v>
      </c>
    </row>
    <row r="176" spans="1:112" ht="15" customHeight="1" x14ac:dyDescent="0.2">
      <c r="A176" s="697">
        <v>9419</v>
      </c>
      <c r="B176" s="697"/>
      <c r="C176" s="698" t="s">
        <v>339</v>
      </c>
      <c r="D176" s="699" t="s">
        <v>339</v>
      </c>
      <c r="E176" s="700">
        <f t="shared" si="22"/>
        <v>315224.30679999996</v>
      </c>
      <c r="F176" s="700">
        <v>0</v>
      </c>
      <c r="G176" s="701">
        <f t="shared" si="25"/>
        <v>315224.30679999996</v>
      </c>
      <c r="H176" s="698" t="s">
        <v>10</v>
      </c>
      <c r="I176" s="699" t="s">
        <v>1416</v>
      </c>
      <c r="J176" s="699" t="s">
        <v>1417</v>
      </c>
      <c r="K176" s="699" t="s">
        <v>340</v>
      </c>
      <c r="L176" s="699" t="s">
        <v>10</v>
      </c>
      <c r="M176" s="702">
        <v>73</v>
      </c>
      <c r="N176" s="702">
        <v>0.65700000000000003</v>
      </c>
      <c r="O176" s="702">
        <v>0.69799999999999995</v>
      </c>
      <c r="P176" s="702">
        <v>0.69199999999999995</v>
      </c>
      <c r="Q176" s="702">
        <v>0.68</v>
      </c>
      <c r="R176" s="702">
        <v>974410</v>
      </c>
      <c r="S176" s="702">
        <v>904777</v>
      </c>
      <c r="T176" s="7">
        <f t="shared" si="20"/>
        <v>289886.97499999998</v>
      </c>
      <c r="U176" s="702">
        <v>691230</v>
      </c>
      <c r="V176" s="702">
        <v>213547</v>
      </c>
      <c r="W176" s="702">
        <v>4584</v>
      </c>
      <c r="X176" s="702">
        <v>0</v>
      </c>
      <c r="Y176" s="702">
        <v>0</v>
      </c>
      <c r="Z176" s="702">
        <v>0</v>
      </c>
      <c r="AA176" s="702">
        <v>1194663.9750000001</v>
      </c>
      <c r="AB176" s="702">
        <v>289886.97499999998</v>
      </c>
      <c r="AC176" s="702">
        <v>904777</v>
      </c>
      <c r="AD176" s="702">
        <v>0</v>
      </c>
      <c r="AE176" s="702">
        <v>0</v>
      </c>
      <c r="AF176" s="702">
        <v>0</v>
      </c>
      <c r="AG176" s="702">
        <v>904777</v>
      </c>
      <c r="AH176" s="702">
        <v>0</v>
      </c>
      <c r="AI176" s="702">
        <v>0</v>
      </c>
      <c r="AJ176" s="698" t="s">
        <v>900</v>
      </c>
      <c r="AK176" s="698" t="s">
        <v>905</v>
      </c>
      <c r="AL176" s="699" t="s">
        <v>1416</v>
      </c>
      <c r="AM176" s="698" t="s">
        <v>10</v>
      </c>
      <c r="AN176" s="699" t="s">
        <v>339</v>
      </c>
      <c r="AO176" s="699">
        <v>289886.97499999998</v>
      </c>
      <c r="AP176" s="703">
        <f t="shared" si="26"/>
        <v>227.6824</v>
      </c>
      <c r="AQ176" s="703">
        <f t="shared" si="21"/>
        <v>237.6824</v>
      </c>
      <c r="AR176" s="697">
        <v>0</v>
      </c>
      <c r="AS176" s="697">
        <v>0</v>
      </c>
      <c r="AT176" s="697">
        <v>62</v>
      </c>
      <c r="AU176" s="697">
        <v>26</v>
      </c>
      <c r="AV176" s="697">
        <v>0</v>
      </c>
      <c r="AW176" s="697">
        <v>0</v>
      </c>
      <c r="AX176" s="697">
        <v>6</v>
      </c>
      <c r="AY176" s="697">
        <v>2</v>
      </c>
      <c r="AZ176" s="697">
        <v>0</v>
      </c>
      <c r="BA176" s="697">
        <v>0</v>
      </c>
      <c r="BB176" s="697">
        <v>7</v>
      </c>
      <c r="BC176" s="697">
        <v>3</v>
      </c>
      <c r="BD176" s="697">
        <v>0</v>
      </c>
      <c r="BE176" s="697">
        <v>0</v>
      </c>
      <c r="BF176" s="697">
        <v>0</v>
      </c>
      <c r="BG176" s="697">
        <v>0</v>
      </c>
      <c r="BH176" s="697">
        <v>0</v>
      </c>
      <c r="BI176" s="697">
        <v>0</v>
      </c>
      <c r="BJ176" s="697">
        <v>0</v>
      </c>
      <c r="BK176" s="697">
        <v>0</v>
      </c>
      <c r="BL176" s="697">
        <v>88626</v>
      </c>
      <c r="BM176" s="697">
        <v>0</v>
      </c>
      <c r="BN176" s="697">
        <v>0</v>
      </c>
      <c r="BO176" s="697">
        <v>430.56400000000002</v>
      </c>
    </row>
    <row r="177" spans="1:109" ht="15" customHeight="1" x14ac:dyDescent="0.2">
      <c r="A177" s="697">
        <v>9421</v>
      </c>
      <c r="B177" s="697"/>
      <c r="C177" s="698" t="s">
        <v>341</v>
      </c>
      <c r="D177" s="699" t="s">
        <v>341</v>
      </c>
      <c r="E177" s="700">
        <f t="shared" si="22"/>
        <v>551665.96679999994</v>
      </c>
      <c r="F177" s="700">
        <v>0</v>
      </c>
      <c r="G177" s="701">
        <f t="shared" si="25"/>
        <v>551665.96679999994</v>
      </c>
      <c r="H177" s="698" t="s">
        <v>10</v>
      </c>
      <c r="I177" s="699" t="s">
        <v>1416</v>
      </c>
      <c r="J177" s="699" t="s">
        <v>10</v>
      </c>
      <c r="K177" s="699" t="s">
        <v>109</v>
      </c>
      <c r="L177" s="699" t="s">
        <v>10</v>
      </c>
      <c r="M177" s="702">
        <v>174</v>
      </c>
      <c r="N177" s="702">
        <v>0.66200000000000003</v>
      </c>
      <c r="O177" s="702">
        <v>0.65100000000000002</v>
      </c>
      <c r="P177" s="702">
        <v>0.64800000000000002</v>
      </c>
      <c r="Q177" s="702">
        <v>0.64900000000000002</v>
      </c>
      <c r="R177" s="702">
        <v>205220</v>
      </c>
      <c r="S177" s="702">
        <v>1583427</v>
      </c>
      <c r="T177" s="7">
        <f t="shared" si="20"/>
        <v>61052.95</v>
      </c>
      <c r="U177" s="702">
        <v>1126240</v>
      </c>
      <c r="V177" s="702">
        <v>457187</v>
      </c>
      <c r="W177" s="702">
        <v>8016</v>
      </c>
      <c r="X177" s="702">
        <v>0</v>
      </c>
      <c r="Y177" s="702">
        <v>0</v>
      </c>
      <c r="Z177" s="702">
        <v>0</v>
      </c>
      <c r="AA177" s="702">
        <v>1644479.95</v>
      </c>
      <c r="AB177" s="702">
        <v>61052.95</v>
      </c>
      <c r="AC177" s="702">
        <v>1583427</v>
      </c>
      <c r="AD177" s="702">
        <v>0</v>
      </c>
      <c r="AE177" s="702">
        <v>0</v>
      </c>
      <c r="AF177" s="702">
        <v>0</v>
      </c>
      <c r="AG177" s="702">
        <v>1583427</v>
      </c>
      <c r="AH177" s="702">
        <v>0</v>
      </c>
      <c r="AI177" s="702">
        <v>0</v>
      </c>
      <c r="AJ177" s="698">
        <v>4</v>
      </c>
      <c r="AK177" s="698" t="s">
        <v>913</v>
      </c>
      <c r="AL177" s="699" t="s">
        <v>1416</v>
      </c>
      <c r="AM177" s="698" t="s">
        <v>10</v>
      </c>
      <c r="AN177" s="699" t="s">
        <v>341</v>
      </c>
      <c r="AO177" s="699">
        <v>61052.95</v>
      </c>
      <c r="AP177" s="703">
        <f t="shared" si="26"/>
        <v>519.27170000000001</v>
      </c>
      <c r="AQ177" s="703">
        <f t="shared" si="21"/>
        <v>635.27170000000001</v>
      </c>
      <c r="AR177" s="697">
        <v>0</v>
      </c>
      <c r="AS177" s="697">
        <v>0</v>
      </c>
      <c r="AT177" s="697">
        <v>382</v>
      </c>
      <c r="AU177" s="697">
        <v>10</v>
      </c>
      <c r="AV177" s="697">
        <v>0</v>
      </c>
      <c r="AW177" s="697">
        <v>0</v>
      </c>
      <c r="AX177" s="697">
        <v>16</v>
      </c>
      <c r="AY177" s="697">
        <v>14</v>
      </c>
      <c r="AZ177" s="697">
        <v>0</v>
      </c>
      <c r="BA177" s="697">
        <v>0</v>
      </c>
      <c r="BB177" s="697">
        <v>116</v>
      </c>
      <c r="BC177" s="697">
        <v>0</v>
      </c>
      <c r="BD177" s="697">
        <v>0</v>
      </c>
      <c r="BE177" s="697">
        <v>0</v>
      </c>
      <c r="BF177" s="697">
        <v>0</v>
      </c>
      <c r="BG177" s="697">
        <v>0</v>
      </c>
      <c r="BH177" s="697">
        <v>0</v>
      </c>
      <c r="BI177" s="697">
        <v>0</v>
      </c>
      <c r="BJ177" s="697">
        <v>0</v>
      </c>
      <c r="BK177" s="697">
        <v>0</v>
      </c>
      <c r="BL177" s="697">
        <v>0</v>
      </c>
      <c r="BM177" s="697">
        <v>0</v>
      </c>
      <c r="BN177" s="697">
        <v>0</v>
      </c>
      <c r="BO177" s="697">
        <v>972.71699999999998</v>
      </c>
    </row>
    <row r="178" spans="1:109" ht="15" customHeight="1" x14ac:dyDescent="0.2">
      <c r="A178" s="697">
        <v>3518</v>
      </c>
      <c r="B178" s="697"/>
      <c r="C178" s="698" t="s">
        <v>343</v>
      </c>
      <c r="D178" s="699" t="s">
        <v>343</v>
      </c>
      <c r="E178" s="700">
        <f t="shared" si="22"/>
        <v>53746.559299999994</v>
      </c>
      <c r="F178" s="700">
        <v>0</v>
      </c>
      <c r="G178" s="701">
        <f t="shared" si="25"/>
        <v>53746.559299999994</v>
      </c>
      <c r="H178" s="698" t="s">
        <v>10</v>
      </c>
      <c r="I178" s="699" t="s">
        <v>1512</v>
      </c>
      <c r="J178" s="699" t="s">
        <v>10</v>
      </c>
      <c r="K178" s="699" t="s">
        <v>1418</v>
      </c>
      <c r="L178" s="699" t="s">
        <v>10</v>
      </c>
      <c r="M178" s="702">
        <v>10</v>
      </c>
      <c r="N178" s="702">
        <v>1</v>
      </c>
      <c r="O178" s="702">
        <v>1</v>
      </c>
      <c r="P178" s="702">
        <v>1</v>
      </c>
      <c r="Q178" s="702">
        <v>1</v>
      </c>
      <c r="R178" s="702">
        <v>0</v>
      </c>
      <c r="S178" s="702">
        <v>277187</v>
      </c>
      <c r="T178" s="7">
        <f t="shared" si="20"/>
        <v>53746.559299999994</v>
      </c>
      <c r="U178" s="702">
        <v>210627</v>
      </c>
      <c r="V178" s="702">
        <v>66560</v>
      </c>
      <c r="W178" s="702">
        <v>1262</v>
      </c>
      <c r="X178" s="702">
        <v>0</v>
      </c>
      <c r="Y178" s="702">
        <v>0</v>
      </c>
      <c r="Z178" s="702">
        <v>0</v>
      </c>
      <c r="AA178" s="702">
        <v>330933.55930000002</v>
      </c>
      <c r="AB178" s="702">
        <v>53746.559300000001</v>
      </c>
      <c r="AC178" s="702">
        <v>277187</v>
      </c>
      <c r="AD178" s="702">
        <v>0</v>
      </c>
      <c r="AE178" s="702">
        <v>0</v>
      </c>
      <c r="AF178" s="702">
        <v>0</v>
      </c>
      <c r="AG178" s="702">
        <v>277187</v>
      </c>
      <c r="AH178" s="702">
        <v>0</v>
      </c>
      <c r="AI178" s="702">
        <v>0</v>
      </c>
      <c r="AJ178" s="698">
        <v>4</v>
      </c>
      <c r="AK178" s="698" t="s">
        <v>899</v>
      </c>
      <c r="AL178" s="699" t="s">
        <v>1512</v>
      </c>
      <c r="AM178" s="698" t="s">
        <v>10</v>
      </c>
      <c r="AN178" s="699" t="s">
        <v>343</v>
      </c>
      <c r="AO178" s="699">
        <v>53746.559300000001</v>
      </c>
      <c r="AP178" s="703">
        <f t="shared" si="26"/>
        <v>17.540399999999998</v>
      </c>
      <c r="AQ178" s="703">
        <f t="shared" si="21"/>
        <v>17.540399999999998</v>
      </c>
      <c r="AR178" s="697">
        <v>0</v>
      </c>
      <c r="AS178" s="697">
        <v>0</v>
      </c>
      <c r="AT178" s="697">
        <v>10</v>
      </c>
      <c r="AU178" s="697">
        <v>0</v>
      </c>
      <c r="AV178" s="697">
        <v>0</v>
      </c>
      <c r="AW178" s="697">
        <v>0</v>
      </c>
      <c r="AX178" s="697">
        <v>0</v>
      </c>
      <c r="AY178" s="697">
        <v>0</v>
      </c>
      <c r="AZ178" s="697">
        <v>0</v>
      </c>
      <c r="BA178" s="697">
        <v>0</v>
      </c>
      <c r="BB178" s="697">
        <v>0</v>
      </c>
      <c r="BC178" s="697">
        <v>0</v>
      </c>
      <c r="BD178" s="697">
        <v>0</v>
      </c>
      <c r="BE178" s="697">
        <v>0</v>
      </c>
      <c r="BF178" s="697">
        <v>0</v>
      </c>
      <c r="BG178" s="697">
        <v>0</v>
      </c>
      <c r="BH178" s="697">
        <v>0</v>
      </c>
      <c r="BI178" s="697">
        <v>0</v>
      </c>
      <c r="BJ178" s="697">
        <v>0</v>
      </c>
      <c r="BK178" s="697">
        <v>0</v>
      </c>
      <c r="BL178" s="697">
        <v>0</v>
      </c>
      <c r="BM178" s="697">
        <v>0</v>
      </c>
      <c r="BN178" s="697">
        <v>0</v>
      </c>
      <c r="BO178" s="697">
        <v>75.403999999999996</v>
      </c>
    </row>
    <row r="179" spans="1:109" ht="15" customHeight="1" x14ac:dyDescent="0.2">
      <c r="A179" s="697">
        <v>9555</v>
      </c>
      <c r="B179" s="697"/>
      <c r="C179" s="698" t="s">
        <v>345</v>
      </c>
      <c r="D179" s="699" t="s">
        <v>345</v>
      </c>
      <c r="E179" s="700">
        <f t="shared" si="22"/>
        <v>299748.72719999996</v>
      </c>
      <c r="F179" s="700">
        <v>0</v>
      </c>
      <c r="G179" s="701">
        <f t="shared" si="25"/>
        <v>299748.72719999996</v>
      </c>
      <c r="H179" s="698" t="s">
        <v>10</v>
      </c>
      <c r="I179" s="699" t="s">
        <v>1416</v>
      </c>
      <c r="J179" s="699" t="s">
        <v>10</v>
      </c>
      <c r="K179" s="699" t="s">
        <v>1568</v>
      </c>
      <c r="L179" s="699" t="s">
        <v>10</v>
      </c>
      <c r="M179" s="702">
        <v>106</v>
      </c>
      <c r="N179" s="702">
        <v>0.77400000000000002</v>
      </c>
      <c r="O179" s="702">
        <v>0.78500000000000003</v>
      </c>
      <c r="P179" s="702">
        <v>0.61199999999999999</v>
      </c>
      <c r="Q179" s="702">
        <v>0.51500000000000001</v>
      </c>
      <c r="R179" s="702">
        <v>890408</v>
      </c>
      <c r="S179" s="702">
        <v>860358</v>
      </c>
      <c r="T179" s="7">
        <f t="shared" si="20"/>
        <v>264896.38</v>
      </c>
      <c r="U179" s="702">
        <v>598255</v>
      </c>
      <c r="V179" s="702">
        <v>262103</v>
      </c>
      <c r="W179" s="702">
        <v>4721</v>
      </c>
      <c r="X179" s="702">
        <v>0</v>
      </c>
      <c r="Y179" s="702">
        <v>0</v>
      </c>
      <c r="Z179" s="702">
        <v>0</v>
      </c>
      <c r="AA179" s="702">
        <v>1125254.3799999999</v>
      </c>
      <c r="AB179" s="702">
        <v>264896.38</v>
      </c>
      <c r="AC179" s="702">
        <v>860358</v>
      </c>
      <c r="AD179" s="702">
        <v>0</v>
      </c>
      <c r="AE179" s="702">
        <v>0</v>
      </c>
      <c r="AF179" s="702">
        <v>0</v>
      </c>
      <c r="AG179" s="702">
        <v>860358</v>
      </c>
      <c r="AH179" s="702">
        <v>0</v>
      </c>
      <c r="AI179" s="702">
        <v>0</v>
      </c>
      <c r="AJ179" s="698" t="s">
        <v>900</v>
      </c>
      <c r="AK179" s="698" t="s">
        <v>901</v>
      </c>
      <c r="AL179" s="699" t="s">
        <v>1416</v>
      </c>
      <c r="AM179" s="698" t="s">
        <v>10</v>
      </c>
      <c r="AN179" s="699" t="s">
        <v>345</v>
      </c>
      <c r="AO179" s="699">
        <v>264896.38</v>
      </c>
      <c r="AP179" s="703">
        <f t="shared" si="26"/>
        <v>243.43119999999999</v>
      </c>
      <c r="AQ179" s="703">
        <f t="shared" si="21"/>
        <v>263.43119999999999</v>
      </c>
      <c r="AR179" s="697">
        <v>0</v>
      </c>
      <c r="AS179" s="697">
        <v>0</v>
      </c>
      <c r="AT179" s="697">
        <v>168</v>
      </c>
      <c r="AU179" s="697">
        <v>10</v>
      </c>
      <c r="AV179" s="697">
        <v>0</v>
      </c>
      <c r="AW179" s="697">
        <v>0</v>
      </c>
      <c r="AX179" s="697">
        <v>6</v>
      </c>
      <c r="AY179" s="697">
        <v>0</v>
      </c>
      <c r="AZ179" s="697">
        <v>0</v>
      </c>
      <c r="BA179" s="697">
        <v>0</v>
      </c>
      <c r="BB179" s="697">
        <v>20</v>
      </c>
      <c r="BC179" s="697">
        <v>0</v>
      </c>
      <c r="BD179" s="697">
        <v>0</v>
      </c>
      <c r="BE179" s="697">
        <v>0</v>
      </c>
      <c r="BF179" s="697">
        <v>0</v>
      </c>
      <c r="BG179" s="697">
        <v>0</v>
      </c>
      <c r="BH179" s="697">
        <v>0</v>
      </c>
      <c r="BI179" s="697">
        <v>0</v>
      </c>
      <c r="BJ179" s="697">
        <v>0</v>
      </c>
      <c r="BK179" s="697">
        <v>0</v>
      </c>
      <c r="BL179" s="697">
        <v>13500</v>
      </c>
      <c r="BM179" s="697">
        <v>0</v>
      </c>
      <c r="BN179" s="697">
        <v>0</v>
      </c>
      <c r="BO179" s="697">
        <v>459.31200000000001</v>
      </c>
    </row>
    <row r="180" spans="1:109" ht="15" customHeight="1" x14ac:dyDescent="0.2">
      <c r="A180" s="697">
        <v>9448</v>
      </c>
      <c r="B180" s="697"/>
      <c r="C180" s="698" t="s">
        <v>364</v>
      </c>
      <c r="D180" s="699" t="s">
        <v>364</v>
      </c>
      <c r="E180" s="700">
        <f t="shared" si="22"/>
        <v>136710.41800000001</v>
      </c>
      <c r="F180" s="700">
        <v>0</v>
      </c>
      <c r="G180" s="701">
        <f t="shared" si="25"/>
        <v>136710.41800000001</v>
      </c>
      <c r="H180" s="698" t="s">
        <v>10</v>
      </c>
      <c r="I180" s="699" t="s">
        <v>1416</v>
      </c>
      <c r="J180" s="699" t="s">
        <v>1417</v>
      </c>
      <c r="K180" s="699" t="s">
        <v>366</v>
      </c>
      <c r="L180" s="699" t="s">
        <v>10</v>
      </c>
      <c r="M180" s="702">
        <v>45</v>
      </c>
      <c r="N180" s="702">
        <v>0.89900000000000002</v>
      </c>
      <c r="O180" s="702">
        <v>0.86799999999999999</v>
      </c>
      <c r="P180" s="702">
        <v>0.80600000000000005</v>
      </c>
      <c r="Q180" s="702">
        <v>0.77600000000000002</v>
      </c>
      <c r="R180" s="702">
        <v>457256</v>
      </c>
      <c r="S180" s="702">
        <v>392395</v>
      </c>
      <c r="T180" s="7">
        <f t="shared" si="20"/>
        <v>136033.66</v>
      </c>
      <c r="U180" s="702">
        <v>283103</v>
      </c>
      <c r="V180" s="702">
        <v>109292</v>
      </c>
      <c r="W180" s="702">
        <v>2000</v>
      </c>
      <c r="X180" s="702">
        <v>0</v>
      </c>
      <c r="Y180" s="702">
        <v>0</v>
      </c>
      <c r="Z180" s="702">
        <v>0</v>
      </c>
      <c r="AA180" s="702">
        <v>528428.66</v>
      </c>
      <c r="AB180" s="702">
        <v>136033.66</v>
      </c>
      <c r="AC180" s="702">
        <v>392395</v>
      </c>
      <c r="AD180" s="702">
        <v>0</v>
      </c>
      <c r="AE180" s="702">
        <v>0</v>
      </c>
      <c r="AF180" s="702">
        <v>0</v>
      </c>
      <c r="AG180" s="702">
        <v>392395</v>
      </c>
      <c r="AH180" s="702">
        <v>0</v>
      </c>
      <c r="AI180" s="702">
        <v>0</v>
      </c>
      <c r="AJ180" s="698">
        <v>4</v>
      </c>
      <c r="AK180" s="698" t="s">
        <v>913</v>
      </c>
      <c r="AL180" s="699" t="s">
        <v>1416</v>
      </c>
      <c r="AM180" s="698" t="s">
        <v>10</v>
      </c>
      <c r="AN180" s="699" t="s">
        <v>364</v>
      </c>
      <c r="AO180" s="699">
        <v>136033.66</v>
      </c>
      <c r="AP180" s="703">
        <f t="shared" si="26"/>
        <v>90.6858</v>
      </c>
      <c r="AQ180" s="703">
        <f t="shared" si="21"/>
        <v>96.6858</v>
      </c>
      <c r="AR180" s="697">
        <v>0</v>
      </c>
      <c r="AS180" s="697">
        <v>0</v>
      </c>
      <c r="AT180" s="697">
        <v>28</v>
      </c>
      <c r="AU180" s="697">
        <v>9</v>
      </c>
      <c r="AV180" s="697">
        <v>0</v>
      </c>
      <c r="AW180" s="697">
        <v>0</v>
      </c>
      <c r="AX180" s="697">
        <v>2</v>
      </c>
      <c r="AY180" s="697">
        <v>2</v>
      </c>
      <c r="AZ180" s="697">
        <v>0</v>
      </c>
      <c r="BA180" s="697">
        <v>0</v>
      </c>
      <c r="BB180" s="697">
        <v>5</v>
      </c>
      <c r="BC180" s="697">
        <v>1</v>
      </c>
      <c r="BD180" s="697">
        <v>0</v>
      </c>
      <c r="BE180" s="697">
        <v>0</v>
      </c>
      <c r="BF180" s="697">
        <v>0</v>
      </c>
      <c r="BG180" s="697">
        <v>0</v>
      </c>
      <c r="BH180" s="697">
        <v>0</v>
      </c>
      <c r="BI180" s="697">
        <v>0</v>
      </c>
      <c r="BJ180" s="697">
        <v>0</v>
      </c>
      <c r="BK180" s="697">
        <v>0</v>
      </c>
      <c r="BL180" s="697">
        <v>0</v>
      </c>
      <c r="BM180" s="697">
        <v>0</v>
      </c>
      <c r="BN180" s="697">
        <v>25926</v>
      </c>
      <c r="BO180" s="697">
        <v>237.59800000000001</v>
      </c>
    </row>
    <row r="181" spans="1:109" ht="15" customHeight="1" x14ac:dyDescent="0.2">
      <c r="A181" s="697">
        <v>9445</v>
      </c>
      <c r="B181" s="697"/>
      <c r="C181" s="698" t="s">
        <v>367</v>
      </c>
      <c r="D181" s="699" t="s">
        <v>367</v>
      </c>
      <c r="E181" s="700">
        <f t="shared" si="22"/>
        <v>304202.6728</v>
      </c>
      <c r="F181" s="700">
        <v>0</v>
      </c>
      <c r="G181" s="701">
        <f t="shared" si="25"/>
        <v>304202.6728</v>
      </c>
      <c r="H181" s="698" t="s">
        <v>10</v>
      </c>
      <c r="I181" s="699" t="s">
        <v>1416</v>
      </c>
      <c r="J181" s="699" t="s">
        <v>1417</v>
      </c>
      <c r="K181" s="699" t="s">
        <v>109</v>
      </c>
      <c r="L181" s="699" t="s">
        <v>10</v>
      </c>
      <c r="M181" s="702">
        <v>94</v>
      </c>
      <c r="N181" s="702">
        <v>0.38300000000000001</v>
      </c>
      <c r="O181" s="702">
        <v>0.43099999999999999</v>
      </c>
      <c r="P181" s="702">
        <v>0.64800000000000002</v>
      </c>
      <c r="Q181" s="702">
        <v>0.64900000000000002</v>
      </c>
      <c r="R181" s="702">
        <v>898374</v>
      </c>
      <c r="S181" s="702">
        <v>873142</v>
      </c>
      <c r="T181" s="7">
        <f t="shared" si="20"/>
        <v>267266.26500000001</v>
      </c>
      <c r="U181" s="702">
        <v>587036</v>
      </c>
      <c r="V181" s="702">
        <v>286106</v>
      </c>
      <c r="W181" s="702">
        <v>4865</v>
      </c>
      <c r="X181" s="702">
        <v>0</v>
      </c>
      <c r="Y181" s="702">
        <v>0</v>
      </c>
      <c r="Z181" s="702">
        <v>0</v>
      </c>
      <c r="AA181" s="702">
        <v>1140408.2649999999</v>
      </c>
      <c r="AB181" s="702">
        <v>267266.26500000001</v>
      </c>
      <c r="AC181" s="702">
        <v>873142</v>
      </c>
      <c r="AD181" s="702">
        <v>0</v>
      </c>
      <c r="AE181" s="702">
        <v>0</v>
      </c>
      <c r="AF181" s="702">
        <v>0</v>
      </c>
      <c r="AG181" s="702">
        <v>873142</v>
      </c>
      <c r="AH181" s="702">
        <v>0</v>
      </c>
      <c r="AI181" s="702">
        <v>0</v>
      </c>
      <c r="AJ181" s="698">
        <v>4</v>
      </c>
      <c r="AK181" s="698" t="s">
        <v>913</v>
      </c>
      <c r="AL181" s="699" t="s">
        <v>1416</v>
      </c>
      <c r="AM181" s="698" t="s">
        <v>10</v>
      </c>
      <c r="AN181" s="699" t="s">
        <v>367</v>
      </c>
      <c r="AO181" s="699">
        <v>267266.26500000001</v>
      </c>
      <c r="AP181" s="703">
        <f t="shared" si="26"/>
        <v>185.322</v>
      </c>
      <c r="AQ181" s="703">
        <f t="shared" si="21"/>
        <v>287.322</v>
      </c>
      <c r="AR181" s="697">
        <v>0</v>
      </c>
      <c r="AS181" s="697">
        <v>1</v>
      </c>
      <c r="AT181" s="697">
        <v>92</v>
      </c>
      <c r="AU181" s="697">
        <v>37</v>
      </c>
      <c r="AV181" s="697">
        <v>0</v>
      </c>
      <c r="AW181" s="697">
        <v>0</v>
      </c>
      <c r="AX181" s="697">
        <v>14</v>
      </c>
      <c r="AY181" s="697">
        <v>12</v>
      </c>
      <c r="AZ181" s="697">
        <v>0</v>
      </c>
      <c r="BA181" s="697">
        <v>0</v>
      </c>
      <c r="BB181" s="697">
        <v>102</v>
      </c>
      <c r="BC181" s="697">
        <v>0</v>
      </c>
      <c r="BD181" s="697">
        <v>0</v>
      </c>
      <c r="BE181" s="697">
        <v>0</v>
      </c>
      <c r="BF181" s="697">
        <v>0</v>
      </c>
      <c r="BG181" s="697">
        <v>0</v>
      </c>
      <c r="BH181" s="697">
        <v>0</v>
      </c>
      <c r="BI181" s="697">
        <v>0</v>
      </c>
      <c r="BJ181" s="697">
        <v>0</v>
      </c>
      <c r="BK181" s="697">
        <v>0</v>
      </c>
      <c r="BL181" s="697">
        <v>0</v>
      </c>
      <c r="BM181" s="697">
        <v>0</v>
      </c>
      <c r="BN181" s="697">
        <v>0</v>
      </c>
      <c r="BO181" s="697">
        <v>303.22000000000003</v>
      </c>
    </row>
    <row r="182" spans="1:109" ht="15" customHeight="1" x14ac:dyDescent="0.2">
      <c r="A182" s="697">
        <v>7314</v>
      </c>
      <c r="B182" s="697"/>
      <c r="C182" s="698" t="s">
        <v>368</v>
      </c>
      <c r="D182" s="699" t="s">
        <v>368</v>
      </c>
      <c r="E182" s="700">
        <f t="shared" si="22"/>
        <v>34267.559199999996</v>
      </c>
      <c r="F182" s="700">
        <v>0</v>
      </c>
      <c r="G182" s="701">
        <f t="shared" si="25"/>
        <v>34267.559199999996</v>
      </c>
      <c r="H182" s="698" t="s">
        <v>1417</v>
      </c>
      <c r="I182" s="699" t="s">
        <v>1512</v>
      </c>
      <c r="J182" s="699" t="s">
        <v>10</v>
      </c>
      <c r="K182" s="699" t="s">
        <v>1545</v>
      </c>
      <c r="L182" s="699" t="s">
        <v>10</v>
      </c>
      <c r="M182" s="702">
        <v>28</v>
      </c>
      <c r="N182" s="702">
        <v>0.79700000000000004</v>
      </c>
      <c r="O182" s="702">
        <v>0.80200000000000005</v>
      </c>
      <c r="P182" s="702">
        <v>0.81200000000000006</v>
      </c>
      <c r="Q182" s="702">
        <v>0.85499999999999998</v>
      </c>
      <c r="R182" s="702">
        <v>0</v>
      </c>
      <c r="S182" s="702">
        <v>176728</v>
      </c>
      <c r="T182" s="7">
        <f t="shared" si="20"/>
        <v>34267.559199999996</v>
      </c>
      <c r="U182" s="702">
        <v>93667</v>
      </c>
      <c r="V182" s="702">
        <v>83061</v>
      </c>
      <c r="W182" s="702">
        <v>1100</v>
      </c>
      <c r="X182" s="702">
        <v>0</v>
      </c>
      <c r="Y182" s="702">
        <v>0</v>
      </c>
      <c r="Z182" s="702">
        <v>0</v>
      </c>
      <c r="AA182" s="702">
        <v>210995.55919999999</v>
      </c>
      <c r="AB182" s="702">
        <v>34267.559200000003</v>
      </c>
      <c r="AC182" s="702">
        <v>176728</v>
      </c>
      <c r="AD182" s="702">
        <v>0</v>
      </c>
      <c r="AE182" s="702">
        <v>0</v>
      </c>
      <c r="AF182" s="702">
        <v>0</v>
      </c>
      <c r="AG182" s="702">
        <v>176728</v>
      </c>
      <c r="AH182" s="702">
        <v>0</v>
      </c>
      <c r="AI182" s="702">
        <v>0</v>
      </c>
      <c r="AJ182" s="698" t="s">
        <v>900</v>
      </c>
      <c r="AK182" s="698" t="s">
        <v>901</v>
      </c>
      <c r="AL182" s="699" t="s">
        <v>1512</v>
      </c>
      <c r="AM182" s="698" t="s">
        <v>1417</v>
      </c>
      <c r="AN182" s="699" t="s">
        <v>368</v>
      </c>
      <c r="AO182" s="699">
        <v>34267.559200000003</v>
      </c>
      <c r="AP182" s="703">
        <f t="shared" si="26"/>
        <v>26</v>
      </c>
      <c r="AQ182" s="703">
        <f t="shared" si="21"/>
        <v>29</v>
      </c>
      <c r="AR182" s="697">
        <v>0</v>
      </c>
      <c r="AS182" s="697">
        <v>0</v>
      </c>
      <c r="AT182" s="697">
        <v>22</v>
      </c>
      <c r="AU182" s="697">
        <v>4</v>
      </c>
      <c r="AV182" s="697">
        <v>0</v>
      </c>
      <c r="AW182" s="697">
        <v>0</v>
      </c>
      <c r="AX182" s="697">
        <v>0</v>
      </c>
      <c r="AY182" s="697">
        <v>0</v>
      </c>
      <c r="AZ182" s="697">
        <v>0</v>
      </c>
      <c r="BA182" s="697">
        <v>16</v>
      </c>
      <c r="BB182" s="697">
        <v>3</v>
      </c>
      <c r="BC182" s="697">
        <v>0</v>
      </c>
      <c r="BD182" s="697">
        <v>0</v>
      </c>
      <c r="BE182" s="697">
        <v>0</v>
      </c>
      <c r="BF182" s="697">
        <v>0</v>
      </c>
      <c r="BG182" s="697">
        <v>0</v>
      </c>
      <c r="BH182" s="697">
        <v>0</v>
      </c>
      <c r="BI182" s="697">
        <v>0</v>
      </c>
      <c r="BJ182" s="697">
        <v>0</v>
      </c>
      <c r="BK182" s="697">
        <v>0</v>
      </c>
      <c r="BL182" s="697">
        <v>0</v>
      </c>
      <c r="BM182" s="697">
        <v>0</v>
      </c>
      <c r="BN182" s="697">
        <v>0</v>
      </c>
      <c r="BO182" s="697">
        <v>0</v>
      </c>
    </row>
    <row r="183" spans="1:109" s="724" customFormat="1" ht="15" customHeight="1" x14ac:dyDescent="0.2">
      <c r="A183" s="697">
        <v>1904</v>
      </c>
      <c r="B183" s="697"/>
      <c r="C183" s="698" t="s">
        <v>370</v>
      </c>
      <c r="D183" s="699" t="s">
        <v>370</v>
      </c>
      <c r="E183" s="700">
        <f t="shared" si="22"/>
        <v>46699.457699999999</v>
      </c>
      <c r="F183" s="700">
        <v>0</v>
      </c>
      <c r="G183" s="701">
        <f t="shared" si="25"/>
        <v>46699.457699999999</v>
      </c>
      <c r="H183" s="698" t="s">
        <v>1417</v>
      </c>
      <c r="I183" s="699" t="s">
        <v>1512</v>
      </c>
      <c r="J183" s="699" t="s">
        <v>10</v>
      </c>
      <c r="K183" s="699" t="s">
        <v>276</v>
      </c>
      <c r="L183" s="699" t="s">
        <v>10</v>
      </c>
      <c r="M183" s="702">
        <v>20</v>
      </c>
      <c r="N183" s="702">
        <v>0.86099999999999999</v>
      </c>
      <c r="O183" s="702">
        <v>0.86099999999999999</v>
      </c>
      <c r="P183" s="702">
        <v>0.86899999999999999</v>
      </c>
      <c r="Q183" s="702">
        <v>1</v>
      </c>
      <c r="R183" s="702">
        <v>0</v>
      </c>
      <c r="S183" s="702">
        <v>240843</v>
      </c>
      <c r="T183" s="7">
        <f t="shared" si="20"/>
        <v>46699.457699999999</v>
      </c>
      <c r="U183" s="702">
        <v>186175</v>
      </c>
      <c r="V183" s="702">
        <v>54668</v>
      </c>
      <c r="W183" s="702">
        <v>1666</v>
      </c>
      <c r="X183" s="702">
        <v>0</v>
      </c>
      <c r="Y183" s="702">
        <v>0</v>
      </c>
      <c r="Z183" s="702">
        <v>0</v>
      </c>
      <c r="AA183" s="702">
        <v>287542.45770000003</v>
      </c>
      <c r="AB183" s="702">
        <v>46699.457699999999</v>
      </c>
      <c r="AC183" s="702">
        <v>240843</v>
      </c>
      <c r="AD183" s="702">
        <v>0</v>
      </c>
      <c r="AE183" s="702">
        <v>0</v>
      </c>
      <c r="AF183" s="702">
        <v>0</v>
      </c>
      <c r="AG183" s="702">
        <v>240843</v>
      </c>
      <c r="AH183" s="702">
        <v>0</v>
      </c>
      <c r="AI183" s="702">
        <v>0</v>
      </c>
      <c r="AJ183" s="698" t="s">
        <v>900</v>
      </c>
      <c r="AK183" s="698" t="s">
        <v>905</v>
      </c>
      <c r="AL183" s="699" t="s">
        <v>1512</v>
      </c>
      <c r="AM183" s="698" t="s">
        <v>1417</v>
      </c>
      <c r="AN183" s="699" t="s">
        <v>370</v>
      </c>
      <c r="AO183" s="699">
        <v>46699.457699999999</v>
      </c>
      <c r="AP183" s="703">
        <f t="shared" si="26"/>
        <v>17</v>
      </c>
      <c r="AQ183" s="703">
        <f t="shared" si="21"/>
        <v>20</v>
      </c>
      <c r="AR183" s="723">
        <v>0</v>
      </c>
      <c r="AS183" s="723">
        <v>0</v>
      </c>
      <c r="AT183" s="723">
        <v>14</v>
      </c>
      <c r="AU183" s="723">
        <v>3</v>
      </c>
      <c r="AV183" s="723">
        <v>0</v>
      </c>
      <c r="AW183" s="723">
        <v>0</v>
      </c>
      <c r="AX183" s="723">
        <v>0</v>
      </c>
      <c r="AY183" s="723">
        <v>0</v>
      </c>
      <c r="AZ183" s="723">
        <v>0</v>
      </c>
      <c r="BA183" s="723">
        <v>3</v>
      </c>
      <c r="BB183" s="723">
        <v>4</v>
      </c>
      <c r="BC183" s="723">
        <v>-1</v>
      </c>
      <c r="BD183" s="697">
        <v>0</v>
      </c>
      <c r="BE183" s="697">
        <v>0</v>
      </c>
      <c r="BF183" s="697">
        <v>0</v>
      </c>
      <c r="BG183" s="697">
        <v>0</v>
      </c>
      <c r="BH183" s="697">
        <v>0</v>
      </c>
      <c r="BI183" s="697">
        <v>0</v>
      </c>
      <c r="BJ183" s="697">
        <v>0</v>
      </c>
      <c r="BK183" s="697">
        <v>0</v>
      </c>
      <c r="BL183" s="697">
        <v>0</v>
      </c>
      <c r="BM183" s="697">
        <v>0</v>
      </c>
      <c r="BN183" s="697">
        <v>0</v>
      </c>
      <c r="BO183" s="697">
        <v>0</v>
      </c>
      <c r="BP183" s="392"/>
      <c r="BQ183" s="392"/>
      <c r="BR183" s="392"/>
      <c r="BS183" s="392"/>
      <c r="BT183" s="392"/>
      <c r="BU183" s="392"/>
      <c r="BV183" s="392"/>
      <c r="BW183" s="392"/>
      <c r="BX183" s="392"/>
      <c r="BY183" s="392"/>
      <c r="BZ183" s="392"/>
      <c r="CA183" s="392"/>
      <c r="CB183" s="392"/>
      <c r="CC183" s="392"/>
      <c r="CD183" s="392"/>
      <c r="CE183" s="392"/>
      <c r="CF183" s="392"/>
      <c r="CG183" s="392"/>
      <c r="CH183" s="392"/>
      <c r="CI183" s="392"/>
      <c r="CJ183" s="392"/>
      <c r="CK183" s="392"/>
      <c r="CL183" s="392"/>
      <c r="CM183" s="392"/>
      <c r="CN183" s="392"/>
      <c r="CO183" s="392"/>
      <c r="CP183" s="392"/>
      <c r="CQ183" s="392"/>
      <c r="CR183" s="392"/>
      <c r="CS183" s="392"/>
      <c r="CT183" s="392"/>
      <c r="CU183" s="392"/>
      <c r="CV183" s="392"/>
      <c r="CW183" s="392"/>
      <c r="CX183" s="392"/>
      <c r="CY183" s="392"/>
      <c r="CZ183" s="392"/>
      <c r="DA183" s="392"/>
      <c r="DB183" s="392"/>
      <c r="DC183" s="392"/>
      <c r="DD183" s="392"/>
      <c r="DE183" s="392"/>
    </row>
    <row r="184" spans="1:109" s="752" customFormat="1" ht="15" customHeight="1" x14ac:dyDescent="0.2">
      <c r="A184" s="697">
        <v>4671</v>
      </c>
      <c r="B184" s="697"/>
      <c r="C184" s="698" t="s">
        <v>373</v>
      </c>
      <c r="D184" s="699" t="s">
        <v>373</v>
      </c>
      <c r="E184" s="700">
        <f t="shared" si="22"/>
        <v>432888.04519999999</v>
      </c>
      <c r="F184" s="700">
        <v>427000</v>
      </c>
      <c r="G184" s="701">
        <f t="shared" si="25"/>
        <v>859888.04520000005</v>
      </c>
      <c r="H184" s="698" t="s">
        <v>10</v>
      </c>
      <c r="I184" s="699" t="s">
        <v>1416</v>
      </c>
      <c r="J184" s="699" t="s">
        <v>1417</v>
      </c>
      <c r="K184" s="699" t="s">
        <v>10</v>
      </c>
      <c r="L184" s="699" t="s">
        <v>1412</v>
      </c>
      <c r="M184" s="702">
        <v>100</v>
      </c>
      <c r="N184" s="702">
        <v>0.94699999999999995</v>
      </c>
      <c r="O184" s="702">
        <v>0.94899999999999995</v>
      </c>
      <c r="P184" s="702">
        <v>0.91700000000000004</v>
      </c>
      <c r="Q184" s="702">
        <v>0.95199999999999996</v>
      </c>
      <c r="R184" s="702">
        <v>1443739</v>
      </c>
      <c r="S184" s="702">
        <v>1242503</v>
      </c>
      <c r="T184" s="7">
        <f t="shared" si="20"/>
        <v>429512.35249999998</v>
      </c>
      <c r="U184" s="702">
        <v>825706</v>
      </c>
      <c r="V184" s="702">
        <v>416797</v>
      </c>
      <c r="W184" s="702">
        <v>6605</v>
      </c>
      <c r="X184" s="702">
        <v>856512.35250000004</v>
      </c>
      <c r="Y184" s="702">
        <v>429512.35249999998</v>
      </c>
      <c r="Z184" s="702">
        <v>427000</v>
      </c>
      <c r="AA184" s="702">
        <v>815503</v>
      </c>
      <c r="AB184" s="702">
        <v>0</v>
      </c>
      <c r="AC184" s="702">
        <v>815503</v>
      </c>
      <c r="AD184" s="702">
        <v>0</v>
      </c>
      <c r="AE184" s="702">
        <v>427000</v>
      </c>
      <c r="AF184" s="702">
        <v>0</v>
      </c>
      <c r="AG184" s="702">
        <v>815503</v>
      </c>
      <c r="AH184" s="702">
        <v>0</v>
      </c>
      <c r="AI184" s="702">
        <v>0</v>
      </c>
      <c r="AJ184" s="698">
        <v>4</v>
      </c>
      <c r="AK184" s="698" t="s">
        <v>899</v>
      </c>
      <c r="AL184" s="699" t="s">
        <v>1416</v>
      </c>
      <c r="AM184" s="698" t="s">
        <v>10</v>
      </c>
      <c r="AN184" s="699" t="s">
        <v>373</v>
      </c>
      <c r="AO184" s="699">
        <v>856512.35250000004</v>
      </c>
      <c r="AP184" s="703">
        <f t="shared" si="26"/>
        <v>1080</v>
      </c>
      <c r="AQ184" s="703">
        <f t="shared" si="21"/>
        <v>1086</v>
      </c>
      <c r="AR184" s="697">
        <v>277</v>
      </c>
      <c r="AS184" s="697">
        <v>0</v>
      </c>
      <c r="AT184" s="697">
        <v>296</v>
      </c>
      <c r="AU184" s="697">
        <v>4</v>
      </c>
      <c r="AV184" s="697">
        <v>127</v>
      </c>
      <c r="AW184" s="697">
        <v>0</v>
      </c>
      <c r="AX184" s="697">
        <v>5</v>
      </c>
      <c r="AY184" s="697">
        <v>0</v>
      </c>
      <c r="AZ184" s="697">
        <v>18</v>
      </c>
      <c r="BA184" s="697">
        <v>0</v>
      </c>
      <c r="BB184" s="697">
        <v>7</v>
      </c>
      <c r="BC184" s="697">
        <v>-1</v>
      </c>
      <c r="BD184" s="697">
        <v>105</v>
      </c>
      <c r="BE184" s="697">
        <v>0</v>
      </c>
      <c r="BF184" s="697">
        <v>0</v>
      </c>
      <c r="BG184" s="697">
        <v>0</v>
      </c>
      <c r="BH184" s="697">
        <v>248</v>
      </c>
      <c r="BI184" s="697">
        <v>0</v>
      </c>
      <c r="BJ184" s="697">
        <v>0</v>
      </c>
      <c r="BK184" s="697">
        <v>0</v>
      </c>
      <c r="BL184" s="697">
        <v>0</v>
      </c>
      <c r="BM184" s="697">
        <v>0</v>
      </c>
      <c r="BN184" s="697">
        <v>0</v>
      </c>
      <c r="BO184" s="697">
        <v>0</v>
      </c>
    </row>
    <row r="185" spans="1:109" s="724" customFormat="1" ht="15" customHeight="1" x14ac:dyDescent="0.2">
      <c r="A185" s="722">
        <v>4672</v>
      </c>
      <c r="B185" s="722"/>
      <c r="C185" s="725" t="s">
        <v>950</v>
      </c>
      <c r="D185" s="706" t="s">
        <v>950</v>
      </c>
      <c r="E185" s="700" t="e">
        <f t="shared" si="22"/>
        <v>#VALUE!</v>
      </c>
      <c r="F185" s="707" t="s">
        <v>10</v>
      </c>
      <c r="G185" s="701" t="e">
        <f t="shared" si="25"/>
        <v>#VALUE!</v>
      </c>
      <c r="H185" s="725" t="s">
        <v>10</v>
      </c>
      <c r="I185" s="706" t="s">
        <v>911</v>
      </c>
      <c r="J185" s="706" t="s">
        <v>10</v>
      </c>
      <c r="K185" s="706" t="s">
        <v>10</v>
      </c>
      <c r="L185" s="706" t="s">
        <v>10</v>
      </c>
      <c r="M185" s="708" t="s">
        <v>10</v>
      </c>
      <c r="N185" s="708" t="s">
        <v>10</v>
      </c>
      <c r="O185" s="708" t="s">
        <v>10</v>
      </c>
      <c r="P185" s="708" t="s">
        <v>10</v>
      </c>
      <c r="Q185" s="708" t="s">
        <v>10</v>
      </c>
      <c r="R185" s="708" t="s">
        <v>10</v>
      </c>
      <c r="S185" s="708" t="s">
        <v>10</v>
      </c>
      <c r="T185" s="7" t="e">
        <f t="shared" si="20"/>
        <v>#VALUE!</v>
      </c>
      <c r="U185" s="708" t="s">
        <v>10</v>
      </c>
      <c r="V185" s="708" t="s">
        <v>10</v>
      </c>
      <c r="W185" s="708" t="s">
        <v>10</v>
      </c>
      <c r="X185" s="708" t="s">
        <v>10</v>
      </c>
      <c r="Y185" s="708" t="s">
        <v>10</v>
      </c>
      <c r="Z185" s="708" t="s">
        <v>10</v>
      </c>
      <c r="AA185" s="708" t="s">
        <v>10</v>
      </c>
      <c r="AB185" s="708" t="s">
        <v>10</v>
      </c>
      <c r="AC185" s="708" t="s">
        <v>10</v>
      </c>
      <c r="AD185" s="708" t="s">
        <v>10</v>
      </c>
      <c r="AE185" s="708" t="s">
        <v>10</v>
      </c>
      <c r="AF185" s="708" t="s">
        <v>10</v>
      </c>
      <c r="AG185" s="708" t="s">
        <v>10</v>
      </c>
      <c r="AH185" s="708" t="s">
        <v>10</v>
      </c>
      <c r="AI185" s="708" t="s">
        <v>10</v>
      </c>
      <c r="AJ185" s="725">
        <v>4</v>
      </c>
      <c r="AK185" s="725" t="s">
        <v>899</v>
      </c>
      <c r="AL185" s="718" t="s">
        <v>911</v>
      </c>
      <c r="AM185" s="725" t="s">
        <v>10</v>
      </c>
      <c r="AN185" s="718" t="s">
        <v>950</v>
      </c>
      <c r="AO185" s="757">
        <v>0</v>
      </c>
      <c r="AP185" s="758">
        <v>0</v>
      </c>
      <c r="AQ185" s="703">
        <f t="shared" si="21"/>
        <v>129</v>
      </c>
      <c r="AR185" s="747">
        <v>114</v>
      </c>
      <c r="AS185" s="747">
        <v>0</v>
      </c>
      <c r="AT185" s="747">
        <v>7</v>
      </c>
      <c r="AU185" s="747">
        <v>0</v>
      </c>
      <c r="AV185" s="720">
        <v>2</v>
      </c>
      <c r="AW185" s="720">
        <v>0</v>
      </c>
      <c r="AX185" s="720">
        <v>1</v>
      </c>
      <c r="AY185" s="720">
        <v>0</v>
      </c>
      <c r="AZ185" s="747">
        <v>0</v>
      </c>
      <c r="BA185" s="747">
        <v>0</v>
      </c>
      <c r="BB185" s="747">
        <v>5</v>
      </c>
      <c r="BC185" s="747">
        <v>0</v>
      </c>
      <c r="BD185" s="747">
        <v>0</v>
      </c>
      <c r="BE185" s="747">
        <v>0</v>
      </c>
      <c r="BF185" s="747">
        <v>0</v>
      </c>
      <c r="BG185" s="747">
        <v>0</v>
      </c>
      <c r="BH185" s="747">
        <v>0</v>
      </c>
      <c r="BI185" s="747">
        <v>0</v>
      </c>
      <c r="BJ185" s="747">
        <v>0</v>
      </c>
      <c r="BK185" s="747">
        <v>0</v>
      </c>
      <c r="BL185" s="747">
        <v>0</v>
      </c>
      <c r="BM185" s="747">
        <v>0</v>
      </c>
      <c r="BN185" s="747">
        <v>0</v>
      </c>
      <c r="BO185" s="747">
        <v>0</v>
      </c>
      <c r="BP185" s="392"/>
      <c r="BQ185" s="392"/>
      <c r="BR185" s="392"/>
      <c r="BS185" s="392"/>
      <c r="BT185" s="392"/>
      <c r="BU185" s="392"/>
      <c r="BV185" s="392"/>
      <c r="BW185" s="392"/>
      <c r="BX185" s="392"/>
      <c r="BY185" s="392"/>
      <c r="BZ185" s="392"/>
      <c r="CA185" s="392"/>
      <c r="CB185" s="392"/>
      <c r="CC185" s="392"/>
      <c r="CD185" s="392"/>
      <c r="CE185" s="392"/>
      <c r="CF185" s="392"/>
      <c r="CG185" s="392"/>
      <c r="CH185" s="392"/>
      <c r="CI185" s="392"/>
      <c r="CJ185" s="392"/>
      <c r="CK185" s="392"/>
      <c r="CL185" s="392"/>
      <c r="CM185" s="392"/>
      <c r="CN185" s="392"/>
      <c r="CO185" s="392"/>
      <c r="CP185" s="392"/>
      <c r="CQ185" s="392"/>
      <c r="CR185" s="392"/>
      <c r="CS185" s="392"/>
      <c r="CT185" s="392"/>
      <c r="CU185" s="392"/>
    </row>
    <row r="186" spans="1:109" s="724" customFormat="1" ht="15" customHeight="1" x14ac:dyDescent="0.2">
      <c r="A186" s="704">
        <v>3824</v>
      </c>
      <c r="B186" s="704"/>
      <c r="C186" s="705" t="s">
        <v>951</v>
      </c>
      <c r="D186" s="699" t="s">
        <v>414</v>
      </c>
      <c r="E186" s="700">
        <f t="shared" si="22"/>
        <v>158664.1042</v>
      </c>
      <c r="F186" s="700">
        <v>0</v>
      </c>
      <c r="G186" s="701">
        <f t="shared" si="25"/>
        <v>158664.1042</v>
      </c>
      <c r="H186" s="705" t="s">
        <v>10</v>
      </c>
      <c r="I186" s="699" t="s">
        <v>275</v>
      </c>
      <c r="J186" s="699" t="s">
        <v>10</v>
      </c>
      <c r="K186" s="699" t="s">
        <v>1545</v>
      </c>
      <c r="L186" s="699" t="s">
        <v>10</v>
      </c>
      <c r="M186" s="702">
        <v>0</v>
      </c>
      <c r="N186" s="702">
        <v>0</v>
      </c>
      <c r="O186" s="702">
        <v>0</v>
      </c>
      <c r="P186" s="702">
        <v>0</v>
      </c>
      <c r="Q186" s="702">
        <v>0</v>
      </c>
      <c r="R186" s="702">
        <v>0</v>
      </c>
      <c r="S186" s="702">
        <v>818278</v>
      </c>
      <c r="T186" s="7">
        <f t="shared" si="20"/>
        <v>158664.1042</v>
      </c>
      <c r="U186" s="702">
        <v>780000</v>
      </c>
      <c r="V186" s="702">
        <v>38278</v>
      </c>
      <c r="W186" s="702">
        <v>0</v>
      </c>
      <c r="X186" s="702">
        <v>0</v>
      </c>
      <c r="Y186" s="702">
        <v>0</v>
      </c>
      <c r="Z186" s="702">
        <v>0</v>
      </c>
      <c r="AA186" s="702">
        <v>976942.10419999994</v>
      </c>
      <c r="AB186" s="702">
        <v>158664.1042</v>
      </c>
      <c r="AC186" s="702">
        <v>818278</v>
      </c>
      <c r="AD186" s="702">
        <v>0</v>
      </c>
      <c r="AE186" s="702">
        <v>0</v>
      </c>
      <c r="AF186" s="702">
        <v>0</v>
      </c>
      <c r="AG186" s="702">
        <v>818278</v>
      </c>
      <c r="AH186" s="702">
        <v>0</v>
      </c>
      <c r="AI186" s="702">
        <v>0</v>
      </c>
      <c r="AJ186" s="705">
        <v>4</v>
      </c>
      <c r="AK186" s="705" t="s">
        <v>899</v>
      </c>
      <c r="AL186" s="709" t="s">
        <v>275</v>
      </c>
      <c r="AM186" s="705" t="s">
        <v>10</v>
      </c>
      <c r="AN186" s="709" t="s">
        <v>414</v>
      </c>
      <c r="AO186" s="709">
        <v>158664.1042</v>
      </c>
      <c r="AP186" s="710">
        <f>AR186+AT186+AU186+AV186+AX186+AY186+AZ186+BD186+BF186+BG186+BH186+BJ186+BK186+(BL186+BM186+BN186)/1000+(0.1*BO186)</f>
        <v>0</v>
      </c>
      <c r="AQ186" s="703">
        <f t="shared" si="21"/>
        <v>0</v>
      </c>
      <c r="AR186" s="755">
        <v>0</v>
      </c>
      <c r="AS186" s="755">
        <v>0</v>
      </c>
      <c r="AT186" s="755">
        <v>0</v>
      </c>
      <c r="AU186" s="755">
        <v>0</v>
      </c>
      <c r="AV186" s="704">
        <v>0</v>
      </c>
      <c r="AW186" s="704">
        <v>0</v>
      </c>
      <c r="AX186" s="704">
        <v>0</v>
      </c>
      <c r="AY186" s="704">
        <v>0</v>
      </c>
      <c r="AZ186" s="704">
        <v>0</v>
      </c>
      <c r="BA186" s="704">
        <v>0</v>
      </c>
      <c r="BB186" s="704">
        <v>0</v>
      </c>
      <c r="BC186" s="704">
        <v>0</v>
      </c>
      <c r="BD186" s="704">
        <v>0</v>
      </c>
      <c r="BE186" s="704">
        <v>0</v>
      </c>
      <c r="BF186" s="704">
        <v>0</v>
      </c>
      <c r="BG186" s="704">
        <v>0</v>
      </c>
      <c r="BH186" s="704">
        <v>0</v>
      </c>
      <c r="BI186" s="704">
        <v>0</v>
      </c>
      <c r="BJ186" s="704">
        <v>0</v>
      </c>
      <c r="BK186" s="704">
        <v>0</v>
      </c>
      <c r="BL186" s="704">
        <v>0</v>
      </c>
      <c r="BM186" s="704">
        <v>0</v>
      </c>
      <c r="BN186" s="704">
        <v>0</v>
      </c>
      <c r="BO186" s="704">
        <v>0</v>
      </c>
      <c r="BP186" s="392"/>
      <c r="BQ186" s="392"/>
      <c r="BR186" s="392"/>
      <c r="BS186" s="392"/>
      <c r="BT186" s="392"/>
      <c r="BU186" s="392"/>
      <c r="BV186" s="392"/>
      <c r="BW186" s="392"/>
      <c r="BX186" s="392"/>
      <c r="BY186" s="392"/>
      <c r="BZ186" s="392"/>
      <c r="CA186" s="392"/>
      <c r="CB186" s="392"/>
      <c r="CC186" s="392"/>
      <c r="CD186" s="392"/>
      <c r="CE186" s="392"/>
      <c r="CF186" s="392"/>
      <c r="CG186" s="392"/>
      <c r="CH186" s="392"/>
      <c r="CI186" s="392"/>
      <c r="CJ186" s="392"/>
      <c r="CK186" s="392"/>
      <c r="CL186" s="392"/>
      <c r="CM186" s="392"/>
      <c r="CN186" s="392"/>
      <c r="CO186" s="392"/>
      <c r="CP186" s="392"/>
      <c r="CQ186" s="392"/>
      <c r="CR186" s="392"/>
      <c r="CS186" s="392"/>
      <c r="CT186" s="392"/>
      <c r="CU186" s="392"/>
    </row>
    <row r="187" spans="1:109" s="724" customFormat="1" ht="15" customHeight="1" x14ac:dyDescent="0.2">
      <c r="A187" s="704">
        <v>3894</v>
      </c>
      <c r="B187" s="704"/>
      <c r="C187" s="705" t="s">
        <v>952</v>
      </c>
      <c r="D187" s="699"/>
      <c r="E187" s="700" t="b">
        <f t="shared" si="22"/>
        <v>0</v>
      </c>
      <c r="F187" s="700"/>
      <c r="G187" s="701"/>
      <c r="H187" s="705"/>
      <c r="I187" s="699" t="s">
        <v>1416</v>
      </c>
      <c r="J187" s="699"/>
      <c r="K187" s="699"/>
      <c r="L187" s="699"/>
      <c r="M187" s="702"/>
      <c r="N187" s="702"/>
      <c r="O187" s="702"/>
      <c r="P187" s="702"/>
      <c r="Q187" s="702"/>
      <c r="R187" s="702"/>
      <c r="S187" s="702"/>
      <c r="T187" s="7">
        <f t="shared" si="20"/>
        <v>0</v>
      </c>
      <c r="U187" s="702"/>
      <c r="V187" s="702"/>
      <c r="W187" s="702"/>
      <c r="X187" s="702"/>
      <c r="Y187" s="702"/>
      <c r="Z187" s="702"/>
      <c r="AA187" s="702"/>
      <c r="AB187" s="702"/>
      <c r="AC187" s="702"/>
      <c r="AD187" s="702"/>
      <c r="AE187" s="702"/>
      <c r="AF187" s="702"/>
      <c r="AG187" s="702"/>
      <c r="AH187" s="702"/>
      <c r="AI187" s="702"/>
      <c r="AJ187" s="705"/>
      <c r="AK187" s="705"/>
      <c r="AL187" s="709" t="s">
        <v>1416</v>
      </c>
      <c r="AM187" s="705"/>
      <c r="AN187" s="709"/>
      <c r="AO187" s="709"/>
      <c r="AP187" s="710"/>
      <c r="AQ187" s="703">
        <f t="shared" si="21"/>
        <v>375</v>
      </c>
      <c r="AR187" s="747">
        <v>0</v>
      </c>
      <c r="AS187" s="747">
        <v>0</v>
      </c>
      <c r="AT187" s="747">
        <v>0</v>
      </c>
      <c r="AU187" s="747">
        <v>356</v>
      </c>
      <c r="AV187" s="747">
        <v>0</v>
      </c>
      <c r="AW187" s="747">
        <v>0</v>
      </c>
      <c r="AX187" s="747">
        <v>0</v>
      </c>
      <c r="AY187" s="747">
        <v>1</v>
      </c>
      <c r="AZ187" s="747">
        <v>0</v>
      </c>
      <c r="BA187" s="747">
        <v>0</v>
      </c>
      <c r="BB187" s="747">
        <v>0</v>
      </c>
      <c r="BC187" s="747">
        <v>18</v>
      </c>
      <c r="BD187" s="722"/>
      <c r="BE187" s="722"/>
      <c r="BF187" s="722"/>
      <c r="BG187" s="722"/>
      <c r="BH187" s="783">
        <v>0</v>
      </c>
      <c r="BI187" s="783">
        <v>0</v>
      </c>
      <c r="BJ187" s="783">
        <v>0</v>
      </c>
      <c r="BK187" s="783">
        <v>0</v>
      </c>
      <c r="BL187" s="722"/>
      <c r="BM187" s="722"/>
      <c r="BN187" s="722"/>
      <c r="BO187" s="722"/>
      <c r="BP187" s="392"/>
      <c r="BQ187" s="392"/>
      <c r="BR187" s="392"/>
      <c r="BS187" s="392"/>
      <c r="BT187" s="392"/>
      <c r="BU187" s="392"/>
      <c r="BV187" s="392"/>
      <c r="BW187" s="392"/>
      <c r="BX187" s="392"/>
      <c r="BY187" s="392"/>
      <c r="BZ187" s="392"/>
      <c r="CA187" s="392"/>
      <c r="CB187" s="392"/>
      <c r="CC187" s="392"/>
      <c r="CD187" s="392"/>
      <c r="CE187" s="392"/>
      <c r="CF187" s="392"/>
      <c r="CG187" s="392"/>
      <c r="CH187" s="392"/>
      <c r="CI187" s="392"/>
      <c r="CJ187" s="392"/>
      <c r="CK187" s="392"/>
      <c r="CL187" s="392"/>
      <c r="CM187" s="392"/>
      <c r="CN187" s="392"/>
      <c r="CO187" s="392"/>
      <c r="CP187" s="392"/>
      <c r="CQ187" s="392"/>
      <c r="CR187" s="392"/>
      <c r="CS187" s="392"/>
      <c r="CT187" s="392"/>
      <c r="CU187" s="392"/>
    </row>
    <row r="188" spans="1:109" s="752" customFormat="1" ht="15" customHeight="1" x14ac:dyDescent="0.2">
      <c r="A188" s="722">
        <v>4843</v>
      </c>
      <c r="B188" s="722" t="s">
        <v>1412</v>
      </c>
      <c r="C188" s="725" t="s">
        <v>953</v>
      </c>
      <c r="D188" s="706" t="s">
        <v>953</v>
      </c>
      <c r="E188" s="700">
        <f t="shared" si="22"/>
        <v>25013.1</v>
      </c>
      <c r="F188" s="707" t="s">
        <v>10</v>
      </c>
      <c r="G188" s="701" t="e">
        <f t="shared" ref="G188:G219" si="27">E188+F188</f>
        <v>#VALUE!</v>
      </c>
      <c r="H188" s="725" t="s">
        <v>10</v>
      </c>
      <c r="I188" s="706" t="s">
        <v>911</v>
      </c>
      <c r="J188" s="706" t="s">
        <v>10</v>
      </c>
      <c r="K188" s="706" t="s">
        <v>10</v>
      </c>
      <c r="L188" s="706" t="s">
        <v>10</v>
      </c>
      <c r="M188" s="708" t="s">
        <v>10</v>
      </c>
      <c r="N188" s="708" t="s">
        <v>10</v>
      </c>
      <c r="O188" s="708" t="s">
        <v>10</v>
      </c>
      <c r="P188" s="708" t="s">
        <v>10</v>
      </c>
      <c r="Q188" s="708" t="s">
        <v>10</v>
      </c>
      <c r="R188" s="708">
        <v>0</v>
      </c>
      <c r="S188" s="754">
        <v>129000</v>
      </c>
      <c r="T188" s="7">
        <f t="shared" si="20"/>
        <v>25013.1</v>
      </c>
      <c r="U188" s="708" t="s">
        <v>10</v>
      </c>
      <c r="V188" s="708" t="s">
        <v>10</v>
      </c>
      <c r="W188" s="708" t="s">
        <v>10</v>
      </c>
      <c r="X188" s="708" t="s">
        <v>10</v>
      </c>
      <c r="Y188" s="708" t="s">
        <v>10</v>
      </c>
      <c r="Z188" s="708" t="s">
        <v>10</v>
      </c>
      <c r="AA188" s="708" t="s">
        <v>10</v>
      </c>
      <c r="AB188" s="708" t="s">
        <v>10</v>
      </c>
      <c r="AC188" s="708" t="s">
        <v>10</v>
      </c>
      <c r="AD188" s="708" t="s">
        <v>10</v>
      </c>
      <c r="AE188" s="708" t="s">
        <v>10</v>
      </c>
      <c r="AF188" s="708" t="s">
        <v>10</v>
      </c>
      <c r="AG188" s="708" t="s">
        <v>10</v>
      </c>
      <c r="AH188" s="708" t="s">
        <v>10</v>
      </c>
      <c r="AI188" s="708" t="s">
        <v>10</v>
      </c>
      <c r="AJ188" s="725" t="s">
        <v>908</v>
      </c>
      <c r="AK188" s="725" t="s">
        <v>909</v>
      </c>
      <c r="AL188" s="718" t="s">
        <v>1512</v>
      </c>
      <c r="AM188" s="725" t="s">
        <v>10</v>
      </c>
      <c r="AN188" s="717" t="s">
        <v>953</v>
      </c>
      <c r="AO188" s="720">
        <v>26</v>
      </c>
      <c r="AP188" s="760">
        <v>311</v>
      </c>
      <c r="AQ188" s="703">
        <f t="shared" si="21"/>
        <v>91</v>
      </c>
      <c r="AR188" s="720">
        <v>26</v>
      </c>
      <c r="AS188" s="720">
        <v>311</v>
      </c>
      <c r="AT188" s="720">
        <v>65</v>
      </c>
      <c r="AU188" s="720">
        <v>0</v>
      </c>
      <c r="AV188" s="704">
        <v>0</v>
      </c>
      <c r="AW188" s="704">
        <v>0</v>
      </c>
      <c r="AX188" s="704">
        <v>0</v>
      </c>
      <c r="AY188" s="704">
        <v>0</v>
      </c>
      <c r="AZ188" s="761">
        <v>0</v>
      </c>
      <c r="BA188" s="720">
        <v>35</v>
      </c>
      <c r="BB188" s="761">
        <v>0</v>
      </c>
      <c r="BC188" s="761">
        <v>0</v>
      </c>
      <c r="BD188" s="753">
        <v>0</v>
      </c>
      <c r="BE188" s="753">
        <v>0</v>
      </c>
      <c r="BF188" s="753">
        <v>0</v>
      </c>
      <c r="BG188" s="753">
        <v>0</v>
      </c>
      <c r="BH188" s="753">
        <v>0</v>
      </c>
      <c r="BI188" s="753">
        <v>0</v>
      </c>
      <c r="BJ188" s="753">
        <v>0</v>
      </c>
      <c r="BK188" s="753">
        <v>0</v>
      </c>
      <c r="BL188" s="753">
        <v>0</v>
      </c>
      <c r="BM188" s="753">
        <v>0</v>
      </c>
      <c r="BN188" s="753">
        <v>0</v>
      </c>
      <c r="BO188" s="753">
        <v>0</v>
      </c>
      <c r="BP188" s="392"/>
      <c r="BQ188" s="392"/>
      <c r="BR188" s="392"/>
      <c r="BS188" s="392"/>
      <c r="BT188" s="392"/>
      <c r="BU188" s="392"/>
      <c r="BV188" s="392"/>
      <c r="BW188" s="392"/>
      <c r="BX188" s="392"/>
      <c r="BY188" s="392"/>
      <c r="BZ188" s="392"/>
      <c r="CA188" s="392"/>
      <c r="CB188" s="392"/>
      <c r="CC188" s="392"/>
      <c r="CD188" s="392"/>
      <c r="CE188" s="392"/>
      <c r="CF188" s="392"/>
      <c r="CG188" s="392"/>
      <c r="CH188" s="392"/>
      <c r="CI188" s="392"/>
      <c r="CJ188" s="392"/>
      <c r="CK188" s="392"/>
      <c r="CL188" s="392"/>
      <c r="CM188" s="392"/>
      <c r="CN188" s="392"/>
      <c r="CO188" s="392"/>
      <c r="CP188" s="392"/>
      <c r="CQ188" s="392"/>
      <c r="CR188" s="392"/>
      <c r="CS188" s="392"/>
      <c r="CT188" s="392"/>
      <c r="CU188" s="392"/>
    </row>
    <row r="189" spans="1:109" s="752" customFormat="1" ht="15" customHeight="1" x14ac:dyDescent="0.2">
      <c r="A189" s="722">
        <v>4849</v>
      </c>
      <c r="B189" s="722"/>
      <c r="C189" s="725" t="s">
        <v>954</v>
      </c>
      <c r="D189" s="706" t="s">
        <v>954</v>
      </c>
      <c r="E189" s="700">
        <f t="shared" si="22"/>
        <v>0</v>
      </c>
      <c r="F189" s="707" t="s">
        <v>10</v>
      </c>
      <c r="G189" s="701" t="e">
        <f t="shared" si="27"/>
        <v>#VALUE!</v>
      </c>
      <c r="H189" s="725" t="s">
        <v>10</v>
      </c>
      <c r="I189" s="706" t="s">
        <v>911</v>
      </c>
      <c r="J189" s="706" t="s">
        <v>10</v>
      </c>
      <c r="K189" s="706" t="s">
        <v>10</v>
      </c>
      <c r="L189" s="706" t="s">
        <v>10</v>
      </c>
      <c r="M189" s="708" t="s">
        <v>10</v>
      </c>
      <c r="N189" s="708" t="s">
        <v>10</v>
      </c>
      <c r="O189" s="708" t="s">
        <v>10</v>
      </c>
      <c r="P189" s="708" t="s">
        <v>10</v>
      </c>
      <c r="Q189" s="708" t="s">
        <v>10</v>
      </c>
      <c r="R189" s="754">
        <v>90000</v>
      </c>
      <c r="S189" s="776">
        <v>0</v>
      </c>
      <c r="T189" s="7">
        <f t="shared" si="20"/>
        <v>0</v>
      </c>
      <c r="U189" s="708" t="s">
        <v>10</v>
      </c>
      <c r="V189" s="708" t="s">
        <v>10</v>
      </c>
      <c r="W189" s="708" t="s">
        <v>10</v>
      </c>
      <c r="X189" s="708" t="s">
        <v>10</v>
      </c>
      <c r="Y189" s="708" t="s">
        <v>10</v>
      </c>
      <c r="Z189" s="708" t="s">
        <v>10</v>
      </c>
      <c r="AA189" s="708" t="s">
        <v>10</v>
      </c>
      <c r="AB189" s="708" t="s">
        <v>10</v>
      </c>
      <c r="AC189" s="708" t="s">
        <v>10</v>
      </c>
      <c r="AD189" s="708" t="s">
        <v>10</v>
      </c>
      <c r="AE189" s="708" t="s">
        <v>10</v>
      </c>
      <c r="AF189" s="708" t="s">
        <v>10</v>
      </c>
      <c r="AG189" s="708" t="s">
        <v>10</v>
      </c>
      <c r="AH189" s="708" t="s">
        <v>10</v>
      </c>
      <c r="AI189" s="708" t="s">
        <v>10</v>
      </c>
      <c r="AJ189" s="725" t="s">
        <v>908</v>
      </c>
      <c r="AK189" s="725" t="s">
        <v>909</v>
      </c>
      <c r="AL189" s="718" t="s">
        <v>911</v>
      </c>
      <c r="AM189" s="725" t="s">
        <v>10</v>
      </c>
      <c r="AN189" s="717" t="s">
        <v>954</v>
      </c>
      <c r="AO189" s="726">
        <v>0</v>
      </c>
      <c r="AP189" s="719">
        <v>0</v>
      </c>
      <c r="AQ189" s="703">
        <f t="shared" si="21"/>
        <v>74</v>
      </c>
      <c r="AR189" s="720">
        <v>0</v>
      </c>
      <c r="AS189" s="720">
        <v>0</v>
      </c>
      <c r="AT189" s="720">
        <v>74</v>
      </c>
      <c r="AU189" s="720">
        <v>0</v>
      </c>
      <c r="AV189" s="704">
        <v>0</v>
      </c>
      <c r="AW189" s="704">
        <v>0</v>
      </c>
      <c r="AX189" s="704">
        <v>0</v>
      </c>
      <c r="AY189" s="704">
        <v>0</v>
      </c>
      <c r="AZ189" s="704">
        <v>0</v>
      </c>
      <c r="BA189" s="704">
        <v>0</v>
      </c>
      <c r="BB189" s="704">
        <v>0</v>
      </c>
      <c r="BC189" s="704">
        <v>0</v>
      </c>
      <c r="BD189" s="704">
        <v>0</v>
      </c>
      <c r="BE189" s="704">
        <v>0</v>
      </c>
      <c r="BF189" s="704">
        <v>0</v>
      </c>
      <c r="BG189" s="704">
        <v>0</v>
      </c>
      <c r="BH189" s="704">
        <v>0</v>
      </c>
      <c r="BI189" s="704">
        <v>0</v>
      </c>
      <c r="BJ189" s="704">
        <v>0</v>
      </c>
      <c r="BK189" s="704">
        <v>0</v>
      </c>
      <c r="BL189" s="704">
        <v>0</v>
      </c>
      <c r="BM189" s="704">
        <v>0</v>
      </c>
      <c r="BN189" s="704">
        <v>0</v>
      </c>
      <c r="BO189" s="704">
        <v>0</v>
      </c>
      <c r="BP189" s="392"/>
      <c r="BQ189" s="392"/>
      <c r="BR189" s="392"/>
      <c r="BS189" s="392"/>
      <c r="BT189" s="392"/>
      <c r="BU189" s="392"/>
      <c r="BV189" s="392"/>
      <c r="BW189" s="392"/>
      <c r="BX189" s="392"/>
      <c r="BY189" s="392"/>
      <c r="BZ189" s="392"/>
      <c r="CA189" s="392"/>
      <c r="CB189" s="392"/>
      <c r="CC189" s="392"/>
      <c r="CD189" s="392"/>
      <c r="CE189" s="392"/>
      <c r="CF189" s="392"/>
      <c r="CG189" s="392"/>
      <c r="CH189" s="392"/>
      <c r="CI189" s="392"/>
      <c r="CJ189" s="392"/>
      <c r="CK189" s="392"/>
      <c r="CL189" s="392"/>
      <c r="CM189" s="392"/>
      <c r="CN189" s="392"/>
      <c r="CO189" s="392"/>
      <c r="CP189" s="392"/>
      <c r="CQ189" s="392"/>
      <c r="CR189" s="392"/>
      <c r="CS189" s="392"/>
      <c r="CT189" s="392"/>
      <c r="CU189" s="392"/>
    </row>
    <row r="190" spans="1:109" s="752" customFormat="1" ht="15" customHeight="1" x14ac:dyDescent="0.2">
      <c r="A190" s="704">
        <v>4835</v>
      </c>
      <c r="B190" s="704" t="s">
        <v>1412</v>
      </c>
      <c r="C190" s="705" t="s">
        <v>955</v>
      </c>
      <c r="D190" s="699" t="s">
        <v>664</v>
      </c>
      <c r="E190" s="700">
        <f t="shared" si="22"/>
        <v>421564</v>
      </c>
      <c r="F190" s="700">
        <v>558000</v>
      </c>
      <c r="G190" s="701">
        <f t="shared" si="27"/>
        <v>979564</v>
      </c>
      <c r="H190" s="705" t="s">
        <v>10</v>
      </c>
      <c r="I190" s="699" t="s">
        <v>1416</v>
      </c>
      <c r="J190" s="699" t="s">
        <v>1412</v>
      </c>
      <c r="K190" s="699" t="s">
        <v>199</v>
      </c>
      <c r="L190" s="699" t="s">
        <v>1412</v>
      </c>
      <c r="M190" s="702">
        <v>205</v>
      </c>
      <c r="N190" s="702">
        <v>0.92100000000000004</v>
      </c>
      <c r="O190" s="702">
        <v>0.94599999999999995</v>
      </c>
      <c r="P190" s="702">
        <v>0.92500000000000004</v>
      </c>
      <c r="Q190" s="702">
        <v>0.95199999999999996</v>
      </c>
      <c r="R190" s="702">
        <v>127293</v>
      </c>
      <c r="S190" s="702">
        <v>1210000</v>
      </c>
      <c r="T190" s="7">
        <f t="shared" si="20"/>
        <v>37869.667499999996</v>
      </c>
      <c r="U190" s="702">
        <v>763000</v>
      </c>
      <c r="V190" s="702">
        <v>447000</v>
      </c>
      <c r="W190" s="702">
        <v>7200</v>
      </c>
      <c r="X190" s="702">
        <v>595869.66749999998</v>
      </c>
      <c r="Y190" s="702">
        <v>37869.667500000003</v>
      </c>
      <c r="Z190" s="702">
        <v>558000</v>
      </c>
      <c r="AA190" s="702">
        <v>652000</v>
      </c>
      <c r="AB190" s="702">
        <v>0</v>
      </c>
      <c r="AC190" s="702">
        <v>652000</v>
      </c>
      <c r="AD190" s="702">
        <v>558000</v>
      </c>
      <c r="AE190" s="702">
        <v>0</v>
      </c>
      <c r="AF190" s="702">
        <v>652000</v>
      </c>
      <c r="AG190" s="702">
        <v>0</v>
      </c>
      <c r="AH190" s="702">
        <v>1840000</v>
      </c>
      <c r="AI190" s="702">
        <v>1072000</v>
      </c>
      <c r="AJ190" s="705" t="s">
        <v>908</v>
      </c>
      <c r="AK190" s="705" t="s">
        <v>909</v>
      </c>
      <c r="AL190" s="709" t="s">
        <v>1416</v>
      </c>
      <c r="AM190" s="705" t="s">
        <v>10</v>
      </c>
      <c r="AN190" s="709" t="s">
        <v>664</v>
      </c>
      <c r="AO190" s="709">
        <v>595869.66749999998</v>
      </c>
      <c r="AP190" s="710">
        <f>AR190+AT190+AU190+AV190+AX190+AY190+AZ190+BD190+BF190+BG190+BH190+BJ190+BK190+(BL190+BM190+BN190)/1000+(0.1*BO190)</f>
        <v>1447.3493000000001</v>
      </c>
      <c r="AQ190" s="703">
        <f t="shared" si="21"/>
        <v>1447.3493000000001</v>
      </c>
      <c r="AR190" s="704">
        <v>657</v>
      </c>
      <c r="AS190" s="704">
        <v>1072</v>
      </c>
      <c r="AT190" s="704">
        <v>576</v>
      </c>
      <c r="AU190" s="704">
        <v>0</v>
      </c>
      <c r="AV190" s="704">
        <v>0</v>
      </c>
      <c r="AW190" s="704">
        <v>0</v>
      </c>
      <c r="AX190" s="704">
        <v>0</v>
      </c>
      <c r="AY190" s="704">
        <v>0</v>
      </c>
      <c r="AZ190" s="704">
        <v>20</v>
      </c>
      <c r="BA190" s="704">
        <v>119</v>
      </c>
      <c r="BB190" s="704">
        <v>0</v>
      </c>
      <c r="BC190" s="704">
        <v>0</v>
      </c>
      <c r="BD190" s="704">
        <v>72</v>
      </c>
      <c r="BE190" s="704">
        <v>4</v>
      </c>
      <c r="BF190" s="704">
        <v>0</v>
      </c>
      <c r="BG190" s="704">
        <v>0</v>
      </c>
      <c r="BH190" s="704">
        <v>108</v>
      </c>
      <c r="BI190" s="704">
        <v>0</v>
      </c>
      <c r="BJ190" s="704">
        <v>0</v>
      </c>
      <c r="BK190" s="704">
        <v>0</v>
      </c>
      <c r="BL190" s="704">
        <v>0</v>
      </c>
      <c r="BM190" s="704">
        <v>0</v>
      </c>
      <c r="BN190" s="704">
        <v>0</v>
      </c>
      <c r="BO190" s="704">
        <v>143.49299999999999</v>
      </c>
      <c r="BP190" s="392"/>
      <c r="BQ190" s="392"/>
      <c r="BR190" s="392"/>
      <c r="BS190" s="392"/>
      <c r="BT190" s="392"/>
      <c r="BU190" s="392"/>
      <c r="BV190" s="392"/>
      <c r="BW190" s="392"/>
      <c r="BX190" s="392"/>
      <c r="BY190" s="392"/>
      <c r="BZ190" s="392"/>
      <c r="CA190" s="392"/>
      <c r="CB190" s="392"/>
      <c r="CC190" s="392"/>
      <c r="CD190" s="392"/>
      <c r="CE190" s="392"/>
      <c r="CF190" s="392"/>
      <c r="CG190" s="392"/>
      <c r="CH190" s="392"/>
      <c r="CI190" s="392"/>
      <c r="CJ190" s="392"/>
      <c r="CK190" s="392"/>
      <c r="CL190" s="392"/>
      <c r="CM190" s="392"/>
      <c r="CN190" s="392"/>
      <c r="CO190" s="392"/>
      <c r="CP190" s="392"/>
      <c r="CQ190" s="392"/>
      <c r="CR190" s="392"/>
      <c r="CS190" s="392"/>
      <c r="CT190" s="392"/>
      <c r="CU190" s="392"/>
    </row>
    <row r="191" spans="1:109" s="724" customFormat="1" ht="15" customHeight="1" x14ac:dyDescent="0.2">
      <c r="A191" s="704">
        <v>3805</v>
      </c>
      <c r="B191" s="704" t="s">
        <v>1412</v>
      </c>
      <c r="C191" s="705" t="s">
        <v>417</v>
      </c>
      <c r="D191" s="699" t="s">
        <v>417</v>
      </c>
      <c r="E191" s="700">
        <f t="shared" si="22"/>
        <v>263682.35920000001</v>
      </c>
      <c r="F191" s="700">
        <v>407721</v>
      </c>
      <c r="G191" s="701">
        <f t="shared" si="27"/>
        <v>671403.35920000006</v>
      </c>
      <c r="H191" s="705" t="s">
        <v>1412</v>
      </c>
      <c r="I191" s="699" t="s">
        <v>1416</v>
      </c>
      <c r="J191" s="699" t="s">
        <v>1412</v>
      </c>
      <c r="K191" s="699" t="s">
        <v>419</v>
      </c>
      <c r="L191" s="699" t="s">
        <v>1412</v>
      </c>
      <c r="M191" s="702">
        <v>132</v>
      </c>
      <c r="N191" s="702">
        <v>0.59699999999999998</v>
      </c>
      <c r="O191" s="702">
        <v>0.64400000000000002</v>
      </c>
      <c r="P191" s="702">
        <v>0.66200000000000003</v>
      </c>
      <c r="Q191" s="702">
        <v>0.68500000000000005</v>
      </c>
      <c r="R191" s="700">
        <v>970198</v>
      </c>
      <c r="S191" s="702">
        <v>756838</v>
      </c>
      <c r="T191" s="7">
        <f t="shared" si="20"/>
        <v>288633.90499999997</v>
      </c>
      <c r="U191" s="702">
        <v>460857</v>
      </c>
      <c r="V191" s="702">
        <v>295981</v>
      </c>
      <c r="W191" s="702">
        <v>6518</v>
      </c>
      <c r="X191" s="702">
        <v>696354.90500000003</v>
      </c>
      <c r="Y191" s="702">
        <v>288633.90500000003</v>
      </c>
      <c r="Z191" s="702">
        <v>407721</v>
      </c>
      <c r="AA191" s="702">
        <v>349117</v>
      </c>
      <c r="AB191" s="702">
        <v>0</v>
      </c>
      <c r="AC191" s="702">
        <v>349117</v>
      </c>
      <c r="AD191" s="702">
        <v>407721</v>
      </c>
      <c r="AE191" s="702">
        <v>0</v>
      </c>
      <c r="AF191" s="702">
        <v>349117</v>
      </c>
      <c r="AG191" s="702">
        <v>0</v>
      </c>
      <c r="AH191" s="702">
        <v>339000</v>
      </c>
      <c r="AI191" s="702">
        <v>261000</v>
      </c>
      <c r="AJ191" s="705" t="s">
        <v>900</v>
      </c>
      <c r="AK191" s="705" t="s">
        <v>901</v>
      </c>
      <c r="AL191" s="709" t="s">
        <v>1416</v>
      </c>
      <c r="AM191" s="705"/>
      <c r="AN191" s="709" t="s">
        <v>417</v>
      </c>
      <c r="AO191" s="709">
        <v>696354.90500000003</v>
      </c>
      <c r="AP191" s="710">
        <f>AR191+AT191+AU191+AV191+AX191+AY191+AZ191+BD191+BF191+BG191+BH191+BJ191+BK191+(BL191+BM191+BN191)/1000+(0.1*BO191)</f>
        <v>540.45100000000002</v>
      </c>
      <c r="AQ191" s="703">
        <f t="shared" si="21"/>
        <v>567.45100000000002</v>
      </c>
      <c r="AR191" s="755">
        <v>262</v>
      </c>
      <c r="AS191" s="755">
        <v>261</v>
      </c>
      <c r="AT191" s="755">
        <v>85</v>
      </c>
      <c r="AU191" s="755">
        <v>0</v>
      </c>
      <c r="AV191" s="704">
        <v>0</v>
      </c>
      <c r="AW191" s="704">
        <v>0</v>
      </c>
      <c r="AX191" s="704">
        <v>0</v>
      </c>
      <c r="AY191" s="704">
        <v>0</v>
      </c>
      <c r="AZ191" s="704">
        <v>13</v>
      </c>
      <c r="BA191" s="704">
        <v>9</v>
      </c>
      <c r="BB191" s="704">
        <v>27</v>
      </c>
      <c r="BC191" s="704">
        <v>0</v>
      </c>
      <c r="BD191" s="704">
        <v>33</v>
      </c>
      <c r="BE191" s="704">
        <v>0</v>
      </c>
      <c r="BF191" s="704">
        <v>0</v>
      </c>
      <c r="BG191" s="704">
        <v>0</v>
      </c>
      <c r="BH191" s="704">
        <v>66</v>
      </c>
      <c r="BI191" s="704">
        <v>2</v>
      </c>
      <c r="BJ191" s="704">
        <v>0</v>
      </c>
      <c r="BK191" s="704">
        <v>0</v>
      </c>
      <c r="BL191" s="704">
        <v>0</v>
      </c>
      <c r="BM191" s="704">
        <v>0</v>
      </c>
      <c r="BN191" s="704">
        <v>0</v>
      </c>
      <c r="BO191" s="704">
        <v>814.51</v>
      </c>
      <c r="BP191" s="392"/>
      <c r="BQ191" s="392"/>
      <c r="BR191" s="392"/>
      <c r="BS191" s="392"/>
      <c r="BT191" s="392"/>
      <c r="BU191" s="392"/>
      <c r="BV191" s="392"/>
      <c r="BW191" s="392"/>
      <c r="BX191" s="392"/>
      <c r="BY191" s="392"/>
      <c r="BZ191" s="392"/>
      <c r="CA191" s="392"/>
      <c r="CB191" s="392"/>
      <c r="CC191" s="392"/>
      <c r="CD191" s="392"/>
      <c r="CE191" s="392"/>
      <c r="CF191" s="392"/>
      <c r="CG191" s="392"/>
      <c r="CH191" s="392"/>
      <c r="CI191" s="392"/>
      <c r="CJ191" s="392"/>
      <c r="CK191" s="392"/>
      <c r="CL191" s="392"/>
      <c r="CM191" s="392"/>
      <c r="CN191" s="392"/>
      <c r="CO191" s="392"/>
      <c r="CP191" s="392"/>
      <c r="CQ191" s="392"/>
      <c r="CR191" s="392"/>
      <c r="CS191" s="392"/>
      <c r="CT191" s="392"/>
      <c r="CU191" s="392"/>
    </row>
    <row r="192" spans="1:109" ht="15" customHeight="1" x14ac:dyDescent="0.2">
      <c r="A192" s="704">
        <v>4836</v>
      </c>
      <c r="B192" s="704"/>
      <c r="C192" s="705" t="s">
        <v>665</v>
      </c>
      <c r="D192" s="699" t="s">
        <v>665</v>
      </c>
      <c r="E192" s="700">
        <f t="shared" si="22"/>
        <v>787384</v>
      </c>
      <c r="F192" s="700">
        <v>0</v>
      </c>
      <c r="G192" s="701">
        <f t="shared" si="27"/>
        <v>787384</v>
      </c>
      <c r="H192" s="705" t="s">
        <v>10</v>
      </c>
      <c r="I192" s="699" t="s">
        <v>1416</v>
      </c>
      <c r="J192" s="699" t="s">
        <v>10</v>
      </c>
      <c r="K192" s="699" t="s">
        <v>422</v>
      </c>
      <c r="L192" s="699" t="s">
        <v>10</v>
      </c>
      <c r="M192" s="702">
        <v>205</v>
      </c>
      <c r="N192" s="702">
        <v>0.93200000000000005</v>
      </c>
      <c r="O192" s="702">
        <v>0.96899999999999997</v>
      </c>
      <c r="P192" s="702">
        <v>0.92500000000000004</v>
      </c>
      <c r="Q192" s="702">
        <v>0.95199999999999996</v>
      </c>
      <c r="R192" s="700">
        <v>2881095</v>
      </c>
      <c r="S192" s="702">
        <v>2260000</v>
      </c>
      <c r="T192" s="7">
        <f t="shared" si="20"/>
        <v>857125.76249999995</v>
      </c>
      <c r="U192" s="702">
        <v>1440000</v>
      </c>
      <c r="V192" s="702">
        <v>820000</v>
      </c>
      <c r="W192" s="702">
        <v>9143</v>
      </c>
      <c r="X192" s="702">
        <v>0</v>
      </c>
      <c r="Y192" s="702">
        <v>0</v>
      </c>
      <c r="Z192" s="702">
        <v>0</v>
      </c>
      <c r="AA192" s="702">
        <v>3117125.7629999998</v>
      </c>
      <c r="AB192" s="702">
        <v>857125.76249999995</v>
      </c>
      <c r="AC192" s="702">
        <v>2260000</v>
      </c>
      <c r="AD192" s="702">
        <v>0</v>
      </c>
      <c r="AE192" s="702">
        <v>0</v>
      </c>
      <c r="AF192" s="702">
        <v>0</v>
      </c>
      <c r="AG192" s="702">
        <v>2260000</v>
      </c>
      <c r="AH192" s="702">
        <v>0</v>
      </c>
      <c r="AI192" s="702">
        <v>0</v>
      </c>
      <c r="AJ192" s="705">
        <v>4</v>
      </c>
      <c r="AK192" s="705" t="s">
        <v>917</v>
      </c>
      <c r="AL192" s="709" t="s">
        <v>1416</v>
      </c>
      <c r="AM192" s="705" t="s">
        <v>10</v>
      </c>
      <c r="AN192" s="709" t="s">
        <v>665</v>
      </c>
      <c r="AO192" s="709">
        <v>857125.76249999995</v>
      </c>
      <c r="AP192" s="710">
        <f>AR192+AT192+AU192+AV192+AX192+AY192+AZ192+BD192+BF192+BG192+BH192+BJ192+BK192+(BL192+BM192+BN192)/1000+(0.1*BO192)</f>
        <v>1516</v>
      </c>
      <c r="AQ192" s="703">
        <f t="shared" si="21"/>
        <v>1555</v>
      </c>
      <c r="AR192" s="704">
        <v>120</v>
      </c>
      <c r="AS192" s="704">
        <v>0</v>
      </c>
      <c r="AT192" s="704">
        <v>1379</v>
      </c>
      <c r="AU192" s="704">
        <v>19</v>
      </c>
      <c r="AV192" s="704">
        <v>0</v>
      </c>
      <c r="AW192" s="704">
        <v>0</v>
      </c>
      <c r="AX192" s="704">
        <v>-2</v>
      </c>
      <c r="AY192" s="704">
        <v>0</v>
      </c>
      <c r="AZ192" s="704">
        <v>0</v>
      </c>
      <c r="BA192" s="704">
        <v>0</v>
      </c>
      <c r="BB192" s="704">
        <v>35</v>
      </c>
      <c r="BC192" s="704">
        <v>4</v>
      </c>
      <c r="BD192" s="704">
        <v>0</v>
      </c>
      <c r="BE192" s="704">
        <v>0</v>
      </c>
      <c r="BF192" s="704">
        <v>0</v>
      </c>
      <c r="BG192" s="704">
        <v>0</v>
      </c>
      <c r="BH192" s="704">
        <v>0</v>
      </c>
      <c r="BI192" s="704">
        <v>0</v>
      </c>
      <c r="BJ192" s="704">
        <v>0</v>
      </c>
      <c r="BK192" s="704">
        <v>0</v>
      </c>
      <c r="BL192" s="704">
        <v>0</v>
      </c>
      <c r="BM192" s="704">
        <v>0</v>
      </c>
      <c r="BN192" s="704">
        <v>0</v>
      </c>
      <c r="BO192" s="704">
        <v>0</v>
      </c>
    </row>
    <row r="193" spans="1:67" ht="15" customHeight="1" x14ac:dyDescent="0.2">
      <c r="A193" s="715">
        <v>4851</v>
      </c>
      <c r="B193" s="715"/>
      <c r="C193" s="716" t="s">
        <v>956</v>
      </c>
      <c r="D193" s="706" t="s">
        <v>665</v>
      </c>
      <c r="E193" s="700">
        <f t="shared" si="22"/>
        <v>0</v>
      </c>
      <c r="F193" s="707" t="s">
        <v>10</v>
      </c>
      <c r="G193" s="701" t="e">
        <f t="shared" si="27"/>
        <v>#VALUE!</v>
      </c>
      <c r="H193" s="705"/>
      <c r="I193" s="706" t="s">
        <v>1416</v>
      </c>
      <c r="J193" s="706" t="s">
        <v>10</v>
      </c>
      <c r="K193" s="706" t="s">
        <v>10</v>
      </c>
      <c r="L193" s="706" t="s">
        <v>10</v>
      </c>
      <c r="M193" s="708" t="s">
        <v>10</v>
      </c>
      <c r="N193" s="708" t="s">
        <v>10</v>
      </c>
      <c r="O193" s="708" t="s">
        <v>10</v>
      </c>
      <c r="P193" s="708" t="s">
        <v>10</v>
      </c>
      <c r="Q193" s="708" t="s">
        <v>10</v>
      </c>
      <c r="R193" s="707">
        <v>1500000</v>
      </c>
      <c r="S193" s="708">
        <v>0</v>
      </c>
      <c r="T193" s="7">
        <f t="shared" si="20"/>
        <v>446250</v>
      </c>
      <c r="U193" s="708" t="s">
        <v>10</v>
      </c>
      <c r="V193" s="708" t="s">
        <v>10</v>
      </c>
      <c r="W193" s="708" t="s">
        <v>10</v>
      </c>
      <c r="X193" s="708" t="s">
        <v>10</v>
      </c>
      <c r="Y193" s="708" t="s">
        <v>10</v>
      </c>
      <c r="Z193" s="708" t="s">
        <v>10</v>
      </c>
      <c r="AA193" s="708" t="s">
        <v>10</v>
      </c>
      <c r="AB193" s="708" t="s">
        <v>10</v>
      </c>
      <c r="AC193" s="708" t="s">
        <v>10</v>
      </c>
      <c r="AD193" s="708" t="s">
        <v>10</v>
      </c>
      <c r="AE193" s="708" t="s">
        <v>10</v>
      </c>
      <c r="AF193" s="708" t="s">
        <v>10</v>
      </c>
      <c r="AG193" s="708" t="s">
        <v>10</v>
      </c>
      <c r="AH193" s="708" t="s">
        <v>10</v>
      </c>
      <c r="AI193" s="708" t="s">
        <v>10</v>
      </c>
      <c r="AJ193" s="705">
        <v>4</v>
      </c>
      <c r="AK193" s="705" t="s">
        <v>917</v>
      </c>
      <c r="AL193" s="709" t="s">
        <v>911</v>
      </c>
      <c r="AM193" s="705"/>
      <c r="AN193" s="718" t="s">
        <v>957</v>
      </c>
      <c r="AO193" s="718">
        <v>0</v>
      </c>
      <c r="AP193" s="719">
        <v>0</v>
      </c>
      <c r="AQ193" s="703">
        <f t="shared" si="21"/>
        <v>7</v>
      </c>
      <c r="AR193" s="720">
        <v>0</v>
      </c>
      <c r="AS193" s="720">
        <v>0</v>
      </c>
      <c r="AT193" s="720">
        <v>0</v>
      </c>
      <c r="AU193" s="720">
        <v>7</v>
      </c>
      <c r="AV193" s="704">
        <v>0</v>
      </c>
      <c r="AW193" s="704">
        <v>0</v>
      </c>
      <c r="AX193" s="704">
        <v>0</v>
      </c>
      <c r="AY193" s="704">
        <v>0</v>
      </c>
      <c r="AZ193" s="704">
        <v>0</v>
      </c>
      <c r="BA193" s="704">
        <v>0</v>
      </c>
      <c r="BB193" s="704">
        <v>0</v>
      </c>
      <c r="BC193" s="704">
        <v>0</v>
      </c>
      <c r="BD193" s="704">
        <v>0</v>
      </c>
      <c r="BE193" s="704">
        <v>0</v>
      </c>
      <c r="BF193" s="704">
        <v>0</v>
      </c>
      <c r="BG193" s="704">
        <v>0</v>
      </c>
      <c r="BH193" s="704">
        <v>0</v>
      </c>
      <c r="BI193" s="704">
        <v>0</v>
      </c>
      <c r="BJ193" s="704">
        <v>0</v>
      </c>
      <c r="BK193" s="704">
        <v>0</v>
      </c>
      <c r="BL193" s="704">
        <v>0</v>
      </c>
      <c r="BM193" s="704">
        <v>0</v>
      </c>
      <c r="BN193" s="704">
        <v>0</v>
      </c>
      <c r="BO193" s="722">
        <v>0</v>
      </c>
    </row>
    <row r="194" spans="1:67" ht="15" customHeight="1" x14ac:dyDescent="0.2">
      <c r="A194" s="697">
        <v>3107</v>
      </c>
      <c r="B194" s="697" t="s">
        <v>1412</v>
      </c>
      <c r="C194" s="698" t="s">
        <v>423</v>
      </c>
      <c r="D194" s="699" t="s">
        <v>423</v>
      </c>
      <c r="E194" s="700">
        <f t="shared" si="22"/>
        <v>418793.87160000001</v>
      </c>
      <c r="F194" s="700">
        <v>659993</v>
      </c>
      <c r="G194" s="701">
        <f t="shared" si="27"/>
        <v>1078786.8716</v>
      </c>
      <c r="H194" s="698" t="s">
        <v>10</v>
      </c>
      <c r="I194" s="699" t="s">
        <v>1416</v>
      </c>
      <c r="J194" s="699" t="s">
        <v>1412</v>
      </c>
      <c r="K194" s="699" t="s">
        <v>424</v>
      </c>
      <c r="L194" s="699" t="s">
        <v>1412</v>
      </c>
      <c r="M194" s="702">
        <v>191</v>
      </c>
      <c r="N194" s="702">
        <v>0.90500000000000003</v>
      </c>
      <c r="O194" s="702">
        <v>0.91900000000000004</v>
      </c>
      <c r="P194" s="702">
        <v>0.94199999999999995</v>
      </c>
      <c r="Q194" s="702">
        <v>0.92400000000000004</v>
      </c>
      <c r="R194" s="702">
        <v>1480272</v>
      </c>
      <c r="S194" s="702">
        <v>1202049</v>
      </c>
      <c r="T194" s="7">
        <f t="shared" si="20"/>
        <v>440380.92</v>
      </c>
      <c r="U194" s="702">
        <v>823347</v>
      </c>
      <c r="V194" s="702">
        <v>378702</v>
      </c>
      <c r="W194" s="702">
        <v>5616</v>
      </c>
      <c r="X194" s="702">
        <v>1100373.92</v>
      </c>
      <c r="Y194" s="702">
        <v>440380.92</v>
      </c>
      <c r="Z194" s="702">
        <v>659993</v>
      </c>
      <c r="AA194" s="702">
        <v>542056</v>
      </c>
      <c r="AB194" s="702">
        <v>0</v>
      </c>
      <c r="AC194" s="702">
        <v>542056</v>
      </c>
      <c r="AD194" s="702">
        <v>659993</v>
      </c>
      <c r="AE194" s="702">
        <v>0</v>
      </c>
      <c r="AF194" s="702">
        <v>542056</v>
      </c>
      <c r="AG194" s="702">
        <v>0</v>
      </c>
      <c r="AH194" s="702">
        <v>778000</v>
      </c>
      <c r="AI194" s="702">
        <v>632000</v>
      </c>
      <c r="AJ194" s="698" t="s">
        <v>908</v>
      </c>
      <c r="AK194" s="698" t="s">
        <v>909</v>
      </c>
      <c r="AL194" s="699" t="s">
        <v>1416</v>
      </c>
      <c r="AM194" s="698" t="s">
        <v>10</v>
      </c>
      <c r="AN194" s="699" t="s">
        <v>423</v>
      </c>
      <c r="AO194" s="699">
        <v>1100373.92</v>
      </c>
      <c r="AP194" s="703">
        <f t="shared" ref="AP194:AP213" si="28">AR194+AT194+AU194+AV194+AX194+AY194+AZ194+BD194+BF194+BG194+BH194+BJ194+BK194+(BL194+BM194+BN194)/1000+(0.1*BO194)</f>
        <v>1174.7111</v>
      </c>
      <c r="AQ194" s="703">
        <f t="shared" si="21"/>
        <v>1221.7111</v>
      </c>
      <c r="AR194" s="697">
        <v>493</v>
      </c>
      <c r="AS194" s="697">
        <v>632</v>
      </c>
      <c r="AT194" s="697">
        <v>193</v>
      </c>
      <c r="AU194" s="697">
        <v>1</v>
      </c>
      <c r="AV194" s="697">
        <v>0</v>
      </c>
      <c r="AW194" s="697">
        <v>29</v>
      </c>
      <c r="AX194" s="697">
        <v>0</v>
      </c>
      <c r="AY194" s="697">
        <v>0</v>
      </c>
      <c r="AZ194" s="697">
        <v>15</v>
      </c>
      <c r="BA194" s="697">
        <v>31</v>
      </c>
      <c r="BB194" s="697">
        <v>47</v>
      </c>
      <c r="BC194" s="697">
        <v>0</v>
      </c>
      <c r="BD194" s="697">
        <v>57</v>
      </c>
      <c r="BE194" s="697">
        <v>0</v>
      </c>
      <c r="BF194" s="697">
        <v>0</v>
      </c>
      <c r="BG194" s="697">
        <v>0</v>
      </c>
      <c r="BH194" s="697">
        <v>90</v>
      </c>
      <c r="BI194" s="697">
        <v>0</v>
      </c>
      <c r="BJ194" s="697">
        <v>0</v>
      </c>
      <c r="BK194" s="697">
        <v>0</v>
      </c>
      <c r="BL194" s="697">
        <v>182949</v>
      </c>
      <c r="BM194" s="697">
        <v>0</v>
      </c>
      <c r="BN194" s="697">
        <v>0</v>
      </c>
      <c r="BO194" s="697">
        <v>1427.6210000000001</v>
      </c>
    </row>
    <row r="195" spans="1:67" ht="15" customHeight="1" x14ac:dyDescent="0.2">
      <c r="A195" s="697">
        <v>546</v>
      </c>
      <c r="B195" s="697"/>
      <c r="C195" s="698" t="s">
        <v>425</v>
      </c>
      <c r="D195" s="699" t="s">
        <v>425</v>
      </c>
      <c r="E195" s="700">
        <f t="shared" si="22"/>
        <v>37244.505899999996</v>
      </c>
      <c r="F195" s="700">
        <v>0</v>
      </c>
      <c r="G195" s="701">
        <f t="shared" si="27"/>
        <v>37244.505899999996</v>
      </c>
      <c r="H195" s="698" t="s">
        <v>1417</v>
      </c>
      <c r="I195" s="699" t="s">
        <v>1512</v>
      </c>
      <c r="J195" s="699" t="s">
        <v>10</v>
      </c>
      <c r="K195" s="699" t="s">
        <v>325</v>
      </c>
      <c r="L195" s="699" t="s">
        <v>10</v>
      </c>
      <c r="M195" s="702">
        <v>24</v>
      </c>
      <c r="N195" s="702">
        <v>0.96399999999999997</v>
      </c>
      <c r="O195" s="702">
        <v>0.96399999999999997</v>
      </c>
      <c r="P195" s="702">
        <v>0.95899999999999996</v>
      </c>
      <c r="Q195" s="702">
        <v>0.97899999999999998</v>
      </c>
      <c r="R195" s="702">
        <v>0</v>
      </c>
      <c r="S195" s="702">
        <v>192081</v>
      </c>
      <c r="T195" s="7">
        <f t="shared" ref="T195:T226" si="29">IF(I195="regional",IF(R195&gt;0,R195*0.2975,S195*0.3484),S195*0.1939)</f>
        <v>37244.505899999996</v>
      </c>
      <c r="U195" s="702">
        <v>124479</v>
      </c>
      <c r="V195" s="702">
        <v>67602</v>
      </c>
      <c r="W195" s="702">
        <v>960</v>
      </c>
      <c r="X195" s="702">
        <v>0</v>
      </c>
      <c r="Y195" s="702">
        <v>0</v>
      </c>
      <c r="Z195" s="702">
        <v>0</v>
      </c>
      <c r="AA195" s="702">
        <v>229325.50589999999</v>
      </c>
      <c r="AB195" s="702">
        <v>37244.505899999996</v>
      </c>
      <c r="AC195" s="702">
        <v>192081</v>
      </c>
      <c r="AD195" s="702">
        <v>0</v>
      </c>
      <c r="AE195" s="702">
        <v>0</v>
      </c>
      <c r="AF195" s="702">
        <v>0</v>
      </c>
      <c r="AG195" s="702">
        <v>192081</v>
      </c>
      <c r="AH195" s="702">
        <v>0</v>
      </c>
      <c r="AI195" s="702">
        <v>0</v>
      </c>
      <c r="AJ195" s="698" t="s">
        <v>900</v>
      </c>
      <c r="AK195" s="698" t="s">
        <v>907</v>
      </c>
      <c r="AL195" s="699" t="s">
        <v>1512</v>
      </c>
      <c r="AM195" s="698" t="s">
        <v>1417</v>
      </c>
      <c r="AN195" s="699" t="s">
        <v>425</v>
      </c>
      <c r="AO195" s="699">
        <v>37244.505899999996</v>
      </c>
      <c r="AP195" s="703">
        <f t="shared" si="28"/>
        <v>12</v>
      </c>
      <c r="AQ195" s="703">
        <f t="shared" ref="AQ195:AQ253" si="30">AR195+AT195+AU195+AV195+AX195+AY195+AZ195+BB195+BC195+BD195+BF195+BG195+BH195+BJ195+BK195+(BL195+BM195+BN195)/1000+(0.1*BO195)</f>
        <v>18</v>
      </c>
      <c r="AR195" s="697">
        <v>0</v>
      </c>
      <c r="AS195" s="697">
        <v>0</v>
      </c>
      <c r="AT195" s="697">
        <v>12</v>
      </c>
      <c r="AU195" s="697">
        <v>0</v>
      </c>
      <c r="AV195" s="697">
        <v>0</v>
      </c>
      <c r="AW195" s="697">
        <v>0</v>
      </c>
      <c r="AX195" s="697">
        <v>0</v>
      </c>
      <c r="AY195" s="697">
        <v>0</v>
      </c>
      <c r="AZ195" s="697">
        <v>0</v>
      </c>
      <c r="BA195" s="697">
        <v>0</v>
      </c>
      <c r="BB195" s="697">
        <v>0</v>
      </c>
      <c r="BC195" s="697">
        <v>6</v>
      </c>
      <c r="BD195" s="697">
        <v>0</v>
      </c>
      <c r="BE195" s="697">
        <v>0</v>
      </c>
      <c r="BF195" s="697">
        <v>0</v>
      </c>
      <c r="BG195" s="697">
        <v>0</v>
      </c>
      <c r="BH195" s="697">
        <v>0</v>
      </c>
      <c r="BI195" s="697">
        <v>0</v>
      </c>
      <c r="BJ195" s="697">
        <v>0</v>
      </c>
      <c r="BK195" s="697">
        <v>0</v>
      </c>
      <c r="BL195" s="697">
        <v>0</v>
      </c>
      <c r="BM195" s="697">
        <v>0</v>
      </c>
      <c r="BN195" s="697">
        <v>0</v>
      </c>
      <c r="BO195" s="697">
        <v>0</v>
      </c>
    </row>
    <row r="196" spans="1:67" ht="15" customHeight="1" x14ac:dyDescent="0.2">
      <c r="A196" s="697">
        <v>4837</v>
      </c>
      <c r="B196" s="697"/>
      <c r="C196" s="698" t="s">
        <v>427</v>
      </c>
      <c r="D196" s="699" t="s">
        <v>427</v>
      </c>
      <c r="E196" s="700">
        <f t="shared" si="22"/>
        <v>242138</v>
      </c>
      <c r="F196" s="700">
        <v>0</v>
      </c>
      <c r="G196" s="701">
        <f t="shared" si="27"/>
        <v>242138</v>
      </c>
      <c r="H196" s="698" t="s">
        <v>10</v>
      </c>
      <c r="I196" s="699" t="s">
        <v>1416</v>
      </c>
      <c r="J196" s="699" t="s">
        <v>1417</v>
      </c>
      <c r="K196" s="699" t="s">
        <v>429</v>
      </c>
      <c r="L196" s="699" t="s">
        <v>10</v>
      </c>
      <c r="M196" s="702">
        <v>126</v>
      </c>
      <c r="N196" s="702">
        <v>0.81599999999999995</v>
      </c>
      <c r="O196" s="702">
        <v>0.84499999999999997</v>
      </c>
      <c r="P196" s="702">
        <v>0.92500000000000004</v>
      </c>
      <c r="Q196" s="702">
        <v>0.95199999999999996</v>
      </c>
      <c r="R196" s="702">
        <v>809359</v>
      </c>
      <c r="S196" s="702">
        <v>695000</v>
      </c>
      <c r="T196" s="7">
        <f t="shared" si="29"/>
        <v>240784.30249999999</v>
      </c>
      <c r="U196" s="702">
        <v>426400</v>
      </c>
      <c r="V196" s="702">
        <v>268600</v>
      </c>
      <c r="W196" s="702">
        <v>3150</v>
      </c>
      <c r="X196" s="702">
        <v>0</v>
      </c>
      <c r="Y196" s="702">
        <v>0</v>
      </c>
      <c r="Z196" s="702">
        <v>0</v>
      </c>
      <c r="AA196" s="702">
        <v>935784.30249999999</v>
      </c>
      <c r="AB196" s="702">
        <v>240784.30249999999</v>
      </c>
      <c r="AC196" s="702">
        <v>695000</v>
      </c>
      <c r="AD196" s="702">
        <v>0</v>
      </c>
      <c r="AE196" s="702">
        <v>0</v>
      </c>
      <c r="AF196" s="702">
        <v>0</v>
      </c>
      <c r="AG196" s="702">
        <v>695000</v>
      </c>
      <c r="AH196" s="702">
        <v>0</v>
      </c>
      <c r="AI196" s="702">
        <v>0</v>
      </c>
      <c r="AJ196" s="698" t="s">
        <v>914</v>
      </c>
      <c r="AK196" s="698" t="s">
        <v>1555</v>
      </c>
      <c r="AL196" s="699" t="s">
        <v>1416</v>
      </c>
      <c r="AM196" s="698" t="s">
        <v>10</v>
      </c>
      <c r="AN196" s="699" t="s">
        <v>427</v>
      </c>
      <c r="AO196" s="699">
        <v>240784.30249999999</v>
      </c>
      <c r="AP196" s="703">
        <f t="shared" si="28"/>
        <v>498</v>
      </c>
      <c r="AQ196" s="703">
        <f t="shared" si="30"/>
        <v>592</v>
      </c>
      <c r="AR196" s="697">
        <v>243</v>
      </c>
      <c r="AS196" s="697">
        <v>0</v>
      </c>
      <c r="AT196" s="697">
        <v>261</v>
      </c>
      <c r="AU196" s="697">
        <v>9</v>
      </c>
      <c r="AV196" s="697">
        <v>0</v>
      </c>
      <c r="AW196" s="697">
        <v>0</v>
      </c>
      <c r="AX196" s="697">
        <v>-29</v>
      </c>
      <c r="AY196" s="697">
        <v>0</v>
      </c>
      <c r="AZ196" s="697">
        <v>0</v>
      </c>
      <c r="BA196" s="697">
        <v>0</v>
      </c>
      <c r="BB196" s="697">
        <v>94</v>
      </c>
      <c r="BC196" s="697">
        <v>0</v>
      </c>
      <c r="BD196" s="697">
        <v>1</v>
      </c>
      <c r="BE196" s="697">
        <v>2</v>
      </c>
      <c r="BF196" s="697">
        <v>0</v>
      </c>
      <c r="BG196" s="697">
        <v>0</v>
      </c>
      <c r="BH196" s="697">
        <v>13</v>
      </c>
      <c r="BI196" s="697">
        <v>0</v>
      </c>
      <c r="BJ196" s="697">
        <v>0</v>
      </c>
      <c r="BK196" s="697">
        <v>0</v>
      </c>
      <c r="BL196" s="697">
        <v>0</v>
      </c>
      <c r="BM196" s="697">
        <v>0</v>
      </c>
      <c r="BN196" s="697">
        <v>0</v>
      </c>
      <c r="BO196" s="697">
        <v>0</v>
      </c>
    </row>
    <row r="197" spans="1:67" ht="15" customHeight="1" x14ac:dyDescent="0.2">
      <c r="A197" s="697">
        <v>3625</v>
      </c>
      <c r="B197" s="697" t="s">
        <v>1412</v>
      </c>
      <c r="C197" s="698" t="s">
        <v>430</v>
      </c>
      <c r="D197" s="699" t="s">
        <v>430</v>
      </c>
      <c r="E197" s="700">
        <f t="shared" si="22"/>
        <v>396839.44559999998</v>
      </c>
      <c r="F197" s="700">
        <v>0</v>
      </c>
      <c r="G197" s="701">
        <f t="shared" si="27"/>
        <v>396839.44559999998</v>
      </c>
      <c r="H197" s="698" t="s">
        <v>1417</v>
      </c>
      <c r="I197" s="699" t="s">
        <v>1416</v>
      </c>
      <c r="J197" s="699" t="s">
        <v>1412</v>
      </c>
      <c r="K197" s="699" t="s">
        <v>325</v>
      </c>
      <c r="L197" s="699" t="s">
        <v>10</v>
      </c>
      <c r="M197" s="702">
        <v>139</v>
      </c>
      <c r="N197" s="702">
        <v>0.83799999999999997</v>
      </c>
      <c r="O197" s="702">
        <v>0.83699999999999997</v>
      </c>
      <c r="P197" s="702">
        <v>0.82199999999999995</v>
      </c>
      <c r="Q197" s="702">
        <v>0.83399999999999996</v>
      </c>
      <c r="R197" s="702">
        <v>1384706</v>
      </c>
      <c r="S197" s="702">
        <v>1139034</v>
      </c>
      <c r="T197" s="7">
        <f t="shared" si="29"/>
        <v>411950.03499999997</v>
      </c>
      <c r="U197" s="702">
        <v>768798</v>
      </c>
      <c r="V197" s="702">
        <v>370236</v>
      </c>
      <c r="W197" s="702">
        <v>5600</v>
      </c>
      <c r="X197" s="702">
        <v>0</v>
      </c>
      <c r="Y197" s="702">
        <v>0</v>
      </c>
      <c r="Z197" s="702">
        <v>0</v>
      </c>
      <c r="AA197" s="702">
        <v>1550984.0349999999</v>
      </c>
      <c r="AB197" s="702">
        <v>411950.03499999997</v>
      </c>
      <c r="AC197" s="702">
        <v>1139034</v>
      </c>
      <c r="AD197" s="702">
        <v>0</v>
      </c>
      <c r="AE197" s="702">
        <v>0</v>
      </c>
      <c r="AF197" s="702">
        <v>1139034</v>
      </c>
      <c r="AG197" s="702">
        <v>0</v>
      </c>
      <c r="AH197" s="702">
        <v>792000</v>
      </c>
      <c r="AI197" s="702">
        <v>646000</v>
      </c>
      <c r="AJ197" s="698" t="s">
        <v>900</v>
      </c>
      <c r="AK197" s="698" t="s">
        <v>907</v>
      </c>
      <c r="AL197" s="699" t="s">
        <v>1416</v>
      </c>
      <c r="AM197" s="698" t="s">
        <v>1417</v>
      </c>
      <c r="AN197" s="699" t="s">
        <v>430</v>
      </c>
      <c r="AO197" s="699">
        <v>411950.03499999997</v>
      </c>
      <c r="AP197" s="703">
        <f t="shared" si="28"/>
        <v>866.58150000000001</v>
      </c>
      <c r="AQ197" s="703">
        <f t="shared" si="30"/>
        <v>878.58150000000001</v>
      </c>
      <c r="AR197" s="697">
        <v>502</v>
      </c>
      <c r="AS197" s="697">
        <v>646</v>
      </c>
      <c r="AT197" s="697">
        <v>106</v>
      </c>
      <c r="AU197" s="697">
        <v>0</v>
      </c>
      <c r="AV197" s="697">
        <v>0</v>
      </c>
      <c r="AW197" s="697">
        <v>0</v>
      </c>
      <c r="AX197" s="697">
        <v>0</v>
      </c>
      <c r="AY197" s="697">
        <v>0</v>
      </c>
      <c r="AZ197" s="697">
        <v>36</v>
      </c>
      <c r="BA197" s="697">
        <v>44</v>
      </c>
      <c r="BB197" s="697">
        <v>12</v>
      </c>
      <c r="BC197" s="697">
        <v>0</v>
      </c>
      <c r="BD197" s="697">
        <v>53</v>
      </c>
      <c r="BE197" s="697">
        <v>0</v>
      </c>
      <c r="BF197" s="697">
        <v>0</v>
      </c>
      <c r="BG197" s="697">
        <v>0</v>
      </c>
      <c r="BH197" s="697">
        <v>89</v>
      </c>
      <c r="BI197" s="697">
        <v>1</v>
      </c>
      <c r="BJ197" s="697">
        <v>0</v>
      </c>
      <c r="BK197" s="697">
        <v>0</v>
      </c>
      <c r="BL197" s="697">
        <v>0</v>
      </c>
      <c r="BM197" s="697">
        <v>0</v>
      </c>
      <c r="BN197" s="697">
        <v>0</v>
      </c>
      <c r="BO197" s="697">
        <v>805.81500000000005</v>
      </c>
    </row>
    <row r="198" spans="1:67" ht="15" customHeight="1" x14ac:dyDescent="0.2">
      <c r="A198" s="697">
        <v>303</v>
      </c>
      <c r="B198" s="697"/>
      <c r="C198" s="698" t="s">
        <v>432</v>
      </c>
      <c r="D198" s="699" t="s">
        <v>432</v>
      </c>
      <c r="E198" s="700">
        <f t="shared" si="22"/>
        <v>98889</v>
      </c>
      <c r="F198" s="700">
        <v>0</v>
      </c>
      <c r="G198" s="701">
        <f t="shared" si="27"/>
        <v>98889</v>
      </c>
      <c r="H198" s="698" t="s">
        <v>1417</v>
      </c>
      <c r="I198" s="699" t="s">
        <v>433</v>
      </c>
      <c r="J198" s="699" t="s">
        <v>1412</v>
      </c>
      <c r="K198" s="699" t="s">
        <v>36</v>
      </c>
      <c r="L198" s="699" t="s">
        <v>10</v>
      </c>
      <c r="M198" s="702">
        <v>0</v>
      </c>
      <c r="N198" s="702">
        <v>0</v>
      </c>
      <c r="O198" s="702">
        <v>0</v>
      </c>
      <c r="P198" s="702">
        <v>0</v>
      </c>
      <c r="Q198" s="702">
        <v>0</v>
      </c>
      <c r="R198" s="702">
        <v>0</v>
      </c>
      <c r="S198" s="702">
        <v>510000</v>
      </c>
      <c r="T198" s="7">
        <f t="shared" si="29"/>
        <v>98889</v>
      </c>
      <c r="U198" s="702">
        <v>280181</v>
      </c>
      <c r="V198" s="702">
        <v>229819</v>
      </c>
      <c r="W198" s="702">
        <v>0</v>
      </c>
      <c r="X198" s="702">
        <v>0</v>
      </c>
      <c r="Y198" s="702">
        <v>0</v>
      </c>
      <c r="Z198" s="702">
        <v>0</v>
      </c>
      <c r="AA198" s="702">
        <v>608889</v>
      </c>
      <c r="AB198" s="702">
        <v>98889</v>
      </c>
      <c r="AC198" s="702">
        <v>510000</v>
      </c>
      <c r="AD198" s="702">
        <v>0</v>
      </c>
      <c r="AE198" s="702">
        <v>0</v>
      </c>
      <c r="AF198" s="702">
        <v>510000</v>
      </c>
      <c r="AG198" s="702">
        <v>0</v>
      </c>
      <c r="AH198" s="702">
        <v>0</v>
      </c>
      <c r="AI198" s="702">
        <v>0</v>
      </c>
      <c r="AJ198" s="698" t="s">
        <v>900</v>
      </c>
      <c r="AK198" s="698" t="s">
        <v>907</v>
      </c>
      <c r="AL198" s="699" t="s">
        <v>1416</v>
      </c>
      <c r="AM198" s="698" t="s">
        <v>1417</v>
      </c>
      <c r="AN198" s="699" t="s">
        <v>432</v>
      </c>
      <c r="AO198" s="699">
        <v>98889</v>
      </c>
      <c r="AP198" s="703">
        <f t="shared" si="28"/>
        <v>0</v>
      </c>
      <c r="AQ198" s="703">
        <f t="shared" si="30"/>
        <v>0</v>
      </c>
      <c r="AR198" s="697">
        <v>0</v>
      </c>
      <c r="AS198" s="697">
        <v>0</v>
      </c>
      <c r="AT198" s="697">
        <v>0</v>
      </c>
      <c r="AU198" s="697">
        <v>0</v>
      </c>
      <c r="AV198" s="697">
        <v>0</v>
      </c>
      <c r="AW198" s="697">
        <v>0</v>
      </c>
      <c r="AX198" s="697">
        <v>0</v>
      </c>
      <c r="AY198" s="697">
        <v>0</v>
      </c>
      <c r="AZ198" s="697">
        <v>0</v>
      </c>
      <c r="BA198" s="697">
        <v>0</v>
      </c>
      <c r="BB198" s="697">
        <v>0</v>
      </c>
      <c r="BC198" s="697">
        <v>0</v>
      </c>
      <c r="BD198" s="697">
        <v>0</v>
      </c>
      <c r="BE198" s="697">
        <v>0</v>
      </c>
      <c r="BF198" s="697">
        <v>0</v>
      </c>
      <c r="BG198" s="697">
        <v>0</v>
      </c>
      <c r="BH198" s="697">
        <v>0</v>
      </c>
      <c r="BI198" s="697">
        <v>0</v>
      </c>
      <c r="BJ198" s="697">
        <v>0</v>
      </c>
      <c r="BK198" s="697">
        <v>0</v>
      </c>
      <c r="BL198" s="697">
        <v>0</v>
      </c>
      <c r="BM198" s="697">
        <v>0</v>
      </c>
      <c r="BN198" s="697">
        <v>0</v>
      </c>
      <c r="BO198" s="697">
        <v>0</v>
      </c>
    </row>
    <row r="199" spans="1:67" ht="15" customHeight="1" x14ac:dyDescent="0.2">
      <c r="A199" s="697">
        <v>3632</v>
      </c>
      <c r="B199" s="697"/>
      <c r="C199" s="698" t="s">
        <v>436</v>
      </c>
      <c r="D199" s="699" t="s">
        <v>436</v>
      </c>
      <c r="E199" s="700">
        <f t="shared" si="22"/>
        <v>479400.14199999999</v>
      </c>
      <c r="F199" s="700">
        <v>664161</v>
      </c>
      <c r="G199" s="701">
        <f t="shared" si="27"/>
        <v>1143561.142</v>
      </c>
      <c r="H199" s="698" t="s">
        <v>1417</v>
      </c>
      <c r="I199" s="699" t="s">
        <v>1416</v>
      </c>
      <c r="J199" s="699" t="s">
        <v>1417</v>
      </c>
      <c r="K199" s="699" t="s">
        <v>422</v>
      </c>
      <c r="L199" s="699" t="s">
        <v>1412</v>
      </c>
      <c r="M199" s="702">
        <v>158</v>
      </c>
      <c r="N199" s="702">
        <v>0.92200000000000004</v>
      </c>
      <c r="O199" s="702">
        <v>0.92200000000000004</v>
      </c>
      <c r="P199" s="702">
        <v>0.86899999999999999</v>
      </c>
      <c r="Q199" s="702">
        <v>0.89200000000000002</v>
      </c>
      <c r="R199" s="702">
        <v>1604003</v>
      </c>
      <c r="S199" s="702">
        <v>1376005</v>
      </c>
      <c r="T199" s="7">
        <f t="shared" si="29"/>
        <v>477190.89249999996</v>
      </c>
      <c r="U199" s="702">
        <v>865639</v>
      </c>
      <c r="V199" s="702">
        <v>510366</v>
      </c>
      <c r="W199" s="702">
        <v>7200</v>
      </c>
      <c r="X199" s="702">
        <v>1141351.8929999999</v>
      </c>
      <c r="Y199" s="702">
        <v>477190.89250000002</v>
      </c>
      <c r="Z199" s="702">
        <v>664161</v>
      </c>
      <c r="AA199" s="702">
        <v>711844</v>
      </c>
      <c r="AB199" s="702">
        <v>0</v>
      </c>
      <c r="AC199" s="702">
        <v>711844</v>
      </c>
      <c r="AD199" s="702">
        <v>0</v>
      </c>
      <c r="AE199" s="702">
        <v>664161</v>
      </c>
      <c r="AF199" s="702">
        <v>0</v>
      </c>
      <c r="AG199" s="702">
        <v>711844</v>
      </c>
      <c r="AH199" s="702">
        <v>0</v>
      </c>
      <c r="AI199" s="702">
        <v>0</v>
      </c>
      <c r="AJ199" s="698">
        <v>4</v>
      </c>
      <c r="AK199" s="698" t="s">
        <v>917</v>
      </c>
      <c r="AL199" s="699" t="s">
        <v>1416</v>
      </c>
      <c r="AM199" s="698" t="s">
        <v>1417</v>
      </c>
      <c r="AN199" s="699" t="s">
        <v>436</v>
      </c>
      <c r="AO199" s="699">
        <v>1141351.8925000001</v>
      </c>
      <c r="AP199" s="703">
        <f t="shared" si="28"/>
        <v>1409.7</v>
      </c>
      <c r="AQ199" s="703">
        <f t="shared" si="30"/>
        <v>1429.7</v>
      </c>
      <c r="AR199" s="697">
        <v>381</v>
      </c>
      <c r="AS199" s="697">
        <v>0</v>
      </c>
      <c r="AT199" s="697">
        <v>398</v>
      </c>
      <c r="AU199" s="697">
        <v>19</v>
      </c>
      <c r="AV199" s="697">
        <v>203</v>
      </c>
      <c r="AW199" s="697">
        <v>0</v>
      </c>
      <c r="AX199" s="697">
        <v>9</v>
      </c>
      <c r="AY199" s="697">
        <v>4</v>
      </c>
      <c r="AZ199" s="697">
        <v>28</v>
      </c>
      <c r="BA199" s="697">
        <v>0</v>
      </c>
      <c r="BB199" s="697">
        <v>20</v>
      </c>
      <c r="BC199" s="697">
        <v>0</v>
      </c>
      <c r="BD199" s="697">
        <v>130</v>
      </c>
      <c r="BE199" s="697">
        <v>0</v>
      </c>
      <c r="BF199" s="697">
        <v>0</v>
      </c>
      <c r="BG199" s="697">
        <v>0</v>
      </c>
      <c r="BH199" s="697">
        <v>183</v>
      </c>
      <c r="BI199" s="697">
        <v>0</v>
      </c>
      <c r="BJ199" s="697">
        <v>0</v>
      </c>
      <c r="BK199" s="697">
        <v>0</v>
      </c>
      <c r="BL199" s="697">
        <v>0</v>
      </c>
      <c r="BM199" s="697">
        <v>0</v>
      </c>
      <c r="BN199" s="697">
        <v>54700</v>
      </c>
      <c r="BO199" s="697">
        <v>0</v>
      </c>
    </row>
    <row r="200" spans="1:67" ht="15" customHeight="1" x14ac:dyDescent="0.2">
      <c r="A200" s="697">
        <v>3635</v>
      </c>
      <c r="B200" s="697" t="s">
        <v>1412</v>
      </c>
      <c r="C200" s="698" t="s">
        <v>438</v>
      </c>
      <c r="D200" s="699" t="s">
        <v>438</v>
      </c>
      <c r="E200" s="700">
        <f t="shared" ref="E200:E253" si="31">IF(I200="regional",IF(R200*0.2975,S200*0.3484),S200*0.1939)</f>
        <v>236697.03719999999</v>
      </c>
      <c r="F200" s="700">
        <v>0</v>
      </c>
      <c r="G200" s="701">
        <f t="shared" si="27"/>
        <v>236697.03719999999</v>
      </c>
      <c r="H200" s="698" t="s">
        <v>1417</v>
      </c>
      <c r="I200" s="699" t="s">
        <v>1416</v>
      </c>
      <c r="J200" s="699" t="s">
        <v>1412</v>
      </c>
      <c r="K200" s="699" t="s">
        <v>422</v>
      </c>
      <c r="L200" s="699" t="s">
        <v>10</v>
      </c>
      <c r="M200" s="702">
        <v>0</v>
      </c>
      <c r="N200" s="702">
        <v>0.97099999999999997</v>
      </c>
      <c r="O200" s="702">
        <v>0.97599999999999998</v>
      </c>
      <c r="P200" s="702">
        <v>0.89500000000000002</v>
      </c>
      <c r="Q200" s="702">
        <v>0.82399999999999995</v>
      </c>
      <c r="R200" s="702">
        <v>1032173</v>
      </c>
      <c r="S200" s="702">
        <v>679383</v>
      </c>
      <c r="T200" s="7">
        <f t="shared" si="29"/>
        <v>307071.46749999997</v>
      </c>
      <c r="U200" s="702">
        <v>472747</v>
      </c>
      <c r="V200" s="702">
        <v>206636</v>
      </c>
      <c r="W200" s="702">
        <v>3600</v>
      </c>
      <c r="X200" s="702">
        <v>0</v>
      </c>
      <c r="Y200" s="702">
        <v>0</v>
      </c>
      <c r="Z200" s="702">
        <v>0</v>
      </c>
      <c r="AA200" s="702">
        <v>986454.46750000003</v>
      </c>
      <c r="AB200" s="702">
        <v>307071.46750000003</v>
      </c>
      <c r="AC200" s="702">
        <v>679383</v>
      </c>
      <c r="AD200" s="702">
        <v>0</v>
      </c>
      <c r="AE200" s="702">
        <v>0</v>
      </c>
      <c r="AF200" s="702">
        <v>679383</v>
      </c>
      <c r="AG200" s="702">
        <v>0</v>
      </c>
      <c r="AH200" s="702">
        <v>1936000</v>
      </c>
      <c r="AI200" s="702">
        <v>1972000</v>
      </c>
      <c r="AJ200" s="698">
        <v>4</v>
      </c>
      <c r="AK200" s="698" t="s">
        <v>917</v>
      </c>
      <c r="AL200" s="699" t="s">
        <v>1416</v>
      </c>
      <c r="AM200" s="698" t="s">
        <v>1417</v>
      </c>
      <c r="AN200" s="699" t="s">
        <v>438</v>
      </c>
      <c r="AO200" s="699">
        <v>307071.46750000003</v>
      </c>
      <c r="AP200" s="703">
        <f t="shared" si="28"/>
        <v>724.97209999999995</v>
      </c>
      <c r="AQ200" s="703">
        <f t="shared" si="30"/>
        <v>744.97209999999995</v>
      </c>
      <c r="AR200" s="697">
        <v>-29</v>
      </c>
      <c r="AS200" s="697">
        <v>1972</v>
      </c>
      <c r="AT200" s="697">
        <v>709</v>
      </c>
      <c r="AU200" s="697">
        <v>1</v>
      </c>
      <c r="AV200" s="697">
        <v>0</v>
      </c>
      <c r="AW200" s="697">
        <v>0</v>
      </c>
      <c r="AX200" s="697">
        <v>0</v>
      </c>
      <c r="AY200" s="697">
        <v>1</v>
      </c>
      <c r="AZ200" s="697">
        <v>0</v>
      </c>
      <c r="BA200" s="697">
        <v>34</v>
      </c>
      <c r="BB200" s="697">
        <v>20</v>
      </c>
      <c r="BC200" s="697">
        <v>0</v>
      </c>
      <c r="BD200" s="697">
        <v>0</v>
      </c>
      <c r="BE200" s="697">
        <v>0</v>
      </c>
      <c r="BF200" s="697">
        <v>0</v>
      </c>
      <c r="BG200" s="697">
        <v>0</v>
      </c>
      <c r="BH200" s="697">
        <v>0</v>
      </c>
      <c r="BI200" s="697">
        <v>0</v>
      </c>
      <c r="BJ200" s="697">
        <v>0</v>
      </c>
      <c r="BK200" s="697">
        <v>0</v>
      </c>
      <c r="BL200" s="697">
        <v>0</v>
      </c>
      <c r="BM200" s="697">
        <v>0</v>
      </c>
      <c r="BN200" s="697">
        <v>0</v>
      </c>
      <c r="BO200" s="697">
        <v>429.721</v>
      </c>
    </row>
    <row r="201" spans="1:67" ht="15" customHeight="1" x14ac:dyDescent="0.2">
      <c r="A201" s="697">
        <v>4674</v>
      </c>
      <c r="B201" s="697" t="s">
        <v>1412</v>
      </c>
      <c r="C201" s="698" t="s">
        <v>440</v>
      </c>
      <c r="D201" s="699" t="s">
        <v>440</v>
      </c>
      <c r="E201" s="700">
        <f t="shared" si="31"/>
        <v>364645.89199999999</v>
      </c>
      <c r="F201" s="700">
        <v>0</v>
      </c>
      <c r="G201" s="701">
        <f t="shared" si="27"/>
        <v>364645.89199999999</v>
      </c>
      <c r="H201" s="698" t="s">
        <v>10</v>
      </c>
      <c r="I201" s="699" t="s">
        <v>1416</v>
      </c>
      <c r="J201" s="699" t="s">
        <v>1412</v>
      </c>
      <c r="K201" s="699" t="s">
        <v>441</v>
      </c>
      <c r="L201" s="699" t="s">
        <v>10</v>
      </c>
      <c r="M201" s="702">
        <v>122</v>
      </c>
      <c r="N201" s="702">
        <v>0.93</v>
      </c>
      <c r="O201" s="702">
        <v>0.93300000000000005</v>
      </c>
      <c r="P201" s="702">
        <v>0.94</v>
      </c>
      <c r="Q201" s="702">
        <v>0.95199999999999996</v>
      </c>
      <c r="R201" s="702">
        <v>697704</v>
      </c>
      <c r="S201" s="702">
        <v>1046630</v>
      </c>
      <c r="T201" s="7">
        <f t="shared" si="29"/>
        <v>207566.94</v>
      </c>
      <c r="U201" s="702">
        <v>655987</v>
      </c>
      <c r="V201" s="702">
        <v>390643</v>
      </c>
      <c r="W201" s="702">
        <v>6000</v>
      </c>
      <c r="X201" s="702">
        <v>0</v>
      </c>
      <c r="Y201" s="702">
        <v>0</v>
      </c>
      <c r="Z201" s="702">
        <v>0</v>
      </c>
      <c r="AA201" s="702">
        <v>1254196.94</v>
      </c>
      <c r="AB201" s="702">
        <v>207566.94</v>
      </c>
      <c r="AC201" s="702">
        <v>1046630</v>
      </c>
      <c r="AD201" s="702">
        <v>0</v>
      </c>
      <c r="AE201" s="702">
        <v>0</v>
      </c>
      <c r="AF201" s="702">
        <v>1046630</v>
      </c>
      <c r="AG201" s="702">
        <v>0</v>
      </c>
      <c r="AH201" s="702">
        <v>889000</v>
      </c>
      <c r="AI201" s="702">
        <v>199000</v>
      </c>
      <c r="AJ201" s="698" t="s">
        <v>908</v>
      </c>
      <c r="AK201" s="698" t="s">
        <v>909</v>
      </c>
      <c r="AL201" s="699" t="s">
        <v>1416</v>
      </c>
      <c r="AM201" s="698" t="s">
        <v>10</v>
      </c>
      <c r="AN201" s="699" t="s">
        <v>440</v>
      </c>
      <c r="AO201" s="699">
        <v>207566.94</v>
      </c>
      <c r="AP201" s="703">
        <f t="shared" si="28"/>
        <v>1180.8633</v>
      </c>
      <c r="AQ201" s="703">
        <f t="shared" si="30"/>
        <v>1211.8633</v>
      </c>
      <c r="AR201" s="697">
        <v>764</v>
      </c>
      <c r="AS201" s="697">
        <v>199</v>
      </c>
      <c r="AT201" s="697">
        <v>147</v>
      </c>
      <c r="AU201" s="697">
        <v>29</v>
      </c>
      <c r="AV201" s="697">
        <v>0</v>
      </c>
      <c r="AW201" s="697">
        <v>0</v>
      </c>
      <c r="AX201" s="697">
        <v>2</v>
      </c>
      <c r="AY201" s="697">
        <v>2</v>
      </c>
      <c r="AZ201" s="697">
        <v>0</v>
      </c>
      <c r="BA201" s="697">
        <v>60</v>
      </c>
      <c r="BB201" s="697">
        <v>40</v>
      </c>
      <c r="BC201" s="697">
        <v>-9</v>
      </c>
      <c r="BD201" s="697">
        <v>34</v>
      </c>
      <c r="BE201" s="697">
        <v>0</v>
      </c>
      <c r="BF201" s="697">
        <v>0</v>
      </c>
      <c r="BG201" s="697">
        <v>0</v>
      </c>
      <c r="BH201" s="697">
        <v>88</v>
      </c>
      <c r="BI201" s="697">
        <v>0</v>
      </c>
      <c r="BJ201" s="697">
        <v>0</v>
      </c>
      <c r="BK201" s="697">
        <v>0</v>
      </c>
      <c r="BL201" s="697">
        <v>0</v>
      </c>
      <c r="BM201" s="697">
        <v>0</v>
      </c>
      <c r="BN201" s="697">
        <v>21165</v>
      </c>
      <c r="BO201" s="697">
        <v>936.98299999999995</v>
      </c>
    </row>
    <row r="202" spans="1:67" ht="15" customHeight="1" x14ac:dyDescent="0.2">
      <c r="A202" s="697">
        <v>3725</v>
      </c>
      <c r="B202" s="697" t="s">
        <v>1412</v>
      </c>
      <c r="C202" s="698" t="s">
        <v>442</v>
      </c>
      <c r="D202" s="699" t="s">
        <v>442</v>
      </c>
      <c r="E202" s="700">
        <f t="shared" si="31"/>
        <v>323173.0528</v>
      </c>
      <c r="F202" s="700">
        <v>0</v>
      </c>
      <c r="G202" s="701">
        <f t="shared" si="27"/>
        <v>323173.0528</v>
      </c>
      <c r="H202" s="698" t="s">
        <v>10</v>
      </c>
      <c r="I202" s="699" t="s">
        <v>1416</v>
      </c>
      <c r="J202" s="699" t="s">
        <v>1412</v>
      </c>
      <c r="K202" s="699" t="s">
        <v>450</v>
      </c>
      <c r="L202" s="699" t="s">
        <v>10</v>
      </c>
      <c r="M202" s="702">
        <v>125</v>
      </c>
      <c r="N202" s="702">
        <v>0.89400000000000002</v>
      </c>
      <c r="O202" s="702">
        <v>0.89800000000000002</v>
      </c>
      <c r="P202" s="702">
        <v>0.92500000000000004</v>
      </c>
      <c r="Q202" s="702">
        <v>0.95199999999999996</v>
      </c>
      <c r="R202" s="702">
        <v>954926</v>
      </c>
      <c r="S202" s="702">
        <v>927592</v>
      </c>
      <c r="T202" s="7">
        <f t="shared" si="29"/>
        <v>284090.48499999999</v>
      </c>
      <c r="U202" s="702">
        <v>578056</v>
      </c>
      <c r="V202" s="702">
        <v>349536</v>
      </c>
      <c r="W202" s="702">
        <v>5268</v>
      </c>
      <c r="X202" s="702">
        <v>0</v>
      </c>
      <c r="Y202" s="702">
        <v>0</v>
      </c>
      <c r="Z202" s="702">
        <v>0</v>
      </c>
      <c r="AA202" s="702">
        <v>1211682.4850000001</v>
      </c>
      <c r="AB202" s="702">
        <v>284090.48499999999</v>
      </c>
      <c r="AC202" s="702">
        <v>927592</v>
      </c>
      <c r="AD202" s="702">
        <v>0</v>
      </c>
      <c r="AE202" s="702">
        <v>0</v>
      </c>
      <c r="AF202" s="702">
        <v>927592</v>
      </c>
      <c r="AG202" s="702">
        <v>0</v>
      </c>
      <c r="AH202" s="702">
        <v>674000</v>
      </c>
      <c r="AI202" s="702">
        <v>458000</v>
      </c>
      <c r="AJ202" s="698" t="s">
        <v>900</v>
      </c>
      <c r="AK202" s="698" t="s">
        <v>922</v>
      </c>
      <c r="AL202" s="699" t="s">
        <v>1416</v>
      </c>
      <c r="AM202" s="698" t="s">
        <v>10</v>
      </c>
      <c r="AN202" s="699" t="s">
        <v>442</v>
      </c>
      <c r="AO202" s="699">
        <v>286002.815</v>
      </c>
      <c r="AP202" s="703">
        <f t="shared" si="28"/>
        <v>164.09569999999999</v>
      </c>
      <c r="AQ202" s="703">
        <f t="shared" si="30"/>
        <v>172.09570000000002</v>
      </c>
      <c r="AR202" s="697">
        <v>41</v>
      </c>
      <c r="AS202" s="697">
        <v>329</v>
      </c>
      <c r="AT202" s="697">
        <v>69</v>
      </c>
      <c r="AU202" s="697">
        <v>0</v>
      </c>
      <c r="AV202" s="697">
        <v>0</v>
      </c>
      <c r="AW202" s="697">
        <v>0</v>
      </c>
      <c r="AX202" s="697">
        <v>0</v>
      </c>
      <c r="AY202" s="697">
        <v>0</v>
      </c>
      <c r="AZ202" s="697">
        <v>0</v>
      </c>
      <c r="BA202" s="697">
        <v>10</v>
      </c>
      <c r="BB202" s="697">
        <v>8</v>
      </c>
      <c r="BC202" s="697">
        <v>0</v>
      </c>
      <c r="BD202" s="697">
        <v>0</v>
      </c>
      <c r="BE202" s="697">
        <v>0</v>
      </c>
      <c r="BF202" s="697">
        <v>0</v>
      </c>
      <c r="BG202" s="697">
        <v>0</v>
      </c>
      <c r="BH202" s="697">
        <v>0</v>
      </c>
      <c r="BI202" s="697">
        <v>0</v>
      </c>
      <c r="BJ202" s="697">
        <v>0</v>
      </c>
      <c r="BK202" s="697">
        <v>0</v>
      </c>
      <c r="BL202" s="697">
        <v>0</v>
      </c>
      <c r="BM202" s="697">
        <v>0</v>
      </c>
      <c r="BN202" s="697">
        <v>10591</v>
      </c>
      <c r="BO202" s="697">
        <v>435.04700000000003</v>
      </c>
    </row>
    <row r="203" spans="1:67" ht="15" customHeight="1" x14ac:dyDescent="0.2">
      <c r="A203" s="697">
        <v>4772</v>
      </c>
      <c r="B203" s="697" t="s">
        <v>1412</v>
      </c>
      <c r="C203" s="698" t="s">
        <v>442</v>
      </c>
      <c r="D203" s="699" t="s">
        <v>442</v>
      </c>
      <c r="E203" s="700">
        <f t="shared" si="31"/>
        <v>296362.27919999999</v>
      </c>
      <c r="F203" s="700">
        <v>0</v>
      </c>
      <c r="G203" s="701">
        <f t="shared" si="27"/>
        <v>296362.27919999999</v>
      </c>
      <c r="H203" s="698" t="s">
        <v>1417</v>
      </c>
      <c r="I203" s="699" t="s">
        <v>1416</v>
      </c>
      <c r="J203" s="699" t="s">
        <v>1412</v>
      </c>
      <c r="K203" s="699" t="s">
        <v>444</v>
      </c>
      <c r="L203" s="699" t="s">
        <v>10</v>
      </c>
      <c r="M203" s="702">
        <v>83</v>
      </c>
      <c r="N203" s="702">
        <v>0.84</v>
      </c>
      <c r="O203" s="702">
        <v>0.879</v>
      </c>
      <c r="P203" s="702">
        <v>0.878</v>
      </c>
      <c r="Q203" s="702">
        <v>0.84899999999999998</v>
      </c>
      <c r="R203" s="702">
        <v>961354</v>
      </c>
      <c r="S203" s="702">
        <v>850638</v>
      </c>
      <c r="T203" s="7">
        <f t="shared" si="29"/>
        <v>286002.815</v>
      </c>
      <c r="U203" s="702">
        <v>639637</v>
      </c>
      <c r="V203" s="702">
        <v>211001</v>
      </c>
      <c r="W203" s="702">
        <v>4680</v>
      </c>
      <c r="X203" s="702">
        <v>0</v>
      </c>
      <c r="Y203" s="702">
        <v>0</v>
      </c>
      <c r="Z203" s="702">
        <v>0</v>
      </c>
      <c r="AA203" s="702">
        <v>1136640.8149999999</v>
      </c>
      <c r="AB203" s="702">
        <v>286002.815</v>
      </c>
      <c r="AC203" s="702">
        <v>850638</v>
      </c>
      <c r="AD203" s="702">
        <v>0</v>
      </c>
      <c r="AE203" s="702">
        <v>0</v>
      </c>
      <c r="AF203" s="702">
        <v>850638</v>
      </c>
      <c r="AG203" s="702">
        <v>0</v>
      </c>
      <c r="AH203" s="702">
        <v>401000</v>
      </c>
      <c r="AI203" s="702">
        <v>329000</v>
      </c>
      <c r="AJ203" s="698">
        <v>4</v>
      </c>
      <c r="AK203" s="698" t="s">
        <v>899</v>
      </c>
      <c r="AL203" s="699" t="s">
        <v>1416</v>
      </c>
      <c r="AM203" s="698" t="s">
        <v>1417</v>
      </c>
      <c r="AN203" s="699" t="s">
        <v>442</v>
      </c>
      <c r="AO203" s="699">
        <v>284090.48499999999</v>
      </c>
      <c r="AP203" s="703">
        <f t="shared" si="28"/>
        <v>336.08069499999999</v>
      </c>
      <c r="AQ203" s="703">
        <f t="shared" si="30"/>
        <v>368.08069499999999</v>
      </c>
      <c r="AR203" s="697">
        <v>0</v>
      </c>
      <c r="AS203" s="697">
        <v>458</v>
      </c>
      <c r="AT203" s="697">
        <v>299</v>
      </c>
      <c r="AU203" s="697">
        <v>1</v>
      </c>
      <c r="AV203" s="697">
        <v>0</v>
      </c>
      <c r="AW203" s="697">
        <v>37</v>
      </c>
      <c r="AX203" s="697">
        <v>7</v>
      </c>
      <c r="AY203" s="697">
        <v>0</v>
      </c>
      <c r="AZ203" s="697">
        <v>0</v>
      </c>
      <c r="BA203" s="697">
        <v>75</v>
      </c>
      <c r="BB203" s="697">
        <v>32</v>
      </c>
      <c r="BC203" s="697">
        <v>0</v>
      </c>
      <c r="BD203" s="697">
        <v>0</v>
      </c>
      <c r="BE203" s="697">
        <v>0</v>
      </c>
      <c r="BF203" s="697">
        <v>0</v>
      </c>
      <c r="BG203" s="697">
        <v>0</v>
      </c>
      <c r="BH203" s="697">
        <v>0</v>
      </c>
      <c r="BI203" s="697">
        <v>1</v>
      </c>
      <c r="BJ203" s="697">
        <v>0</v>
      </c>
      <c r="BK203" s="697">
        <v>0</v>
      </c>
      <c r="BL203" s="697">
        <v>0</v>
      </c>
      <c r="BM203" s="697">
        <v>0</v>
      </c>
      <c r="BN203" s="697">
        <v>0</v>
      </c>
      <c r="BO203" s="697">
        <v>290.80694999999997</v>
      </c>
    </row>
    <row r="204" spans="1:67" ht="15" customHeight="1" x14ac:dyDescent="0.2">
      <c r="A204" s="697">
        <v>4838</v>
      </c>
      <c r="B204" s="697"/>
      <c r="C204" s="698" t="s">
        <v>451</v>
      </c>
      <c r="D204" s="699" t="s">
        <v>451</v>
      </c>
      <c r="E204" s="700">
        <f t="shared" si="31"/>
        <v>555698</v>
      </c>
      <c r="F204" s="700">
        <v>0</v>
      </c>
      <c r="G204" s="701">
        <f t="shared" si="27"/>
        <v>555698</v>
      </c>
      <c r="H204" s="698" t="s">
        <v>10</v>
      </c>
      <c r="I204" s="699" t="s">
        <v>1416</v>
      </c>
      <c r="J204" s="699" t="s">
        <v>1417</v>
      </c>
      <c r="K204" s="699" t="s">
        <v>453</v>
      </c>
      <c r="L204" s="699" t="s">
        <v>10</v>
      </c>
      <c r="M204" s="702">
        <v>184</v>
      </c>
      <c r="N204" s="702">
        <v>0.93700000000000006</v>
      </c>
      <c r="O204" s="702">
        <v>0.93300000000000005</v>
      </c>
      <c r="P204" s="702">
        <v>0.92500000000000004</v>
      </c>
      <c r="Q204" s="702">
        <v>0.95199999999999996</v>
      </c>
      <c r="R204" s="702">
        <v>1645706</v>
      </c>
      <c r="S204" s="702">
        <v>1595000</v>
      </c>
      <c r="T204" s="7">
        <f t="shared" si="29"/>
        <v>489597.53499999997</v>
      </c>
      <c r="U204" s="702">
        <v>865500</v>
      </c>
      <c r="V204" s="702">
        <v>729500</v>
      </c>
      <c r="W204" s="702">
        <v>8730</v>
      </c>
      <c r="X204" s="702">
        <v>0</v>
      </c>
      <c r="Y204" s="702">
        <v>0</v>
      </c>
      <c r="Z204" s="702">
        <v>0</v>
      </c>
      <c r="AA204" s="702">
        <v>2084597.5349999999</v>
      </c>
      <c r="AB204" s="702">
        <v>489597.53499999997</v>
      </c>
      <c r="AC204" s="702">
        <v>1595000</v>
      </c>
      <c r="AD204" s="702">
        <v>0</v>
      </c>
      <c r="AE204" s="702">
        <v>0</v>
      </c>
      <c r="AF204" s="702">
        <v>0</v>
      </c>
      <c r="AG204" s="702">
        <v>1595000</v>
      </c>
      <c r="AH204" s="702">
        <v>0</v>
      </c>
      <c r="AI204" s="702">
        <v>0</v>
      </c>
      <c r="AJ204" s="698">
        <v>4</v>
      </c>
      <c r="AK204" s="698" t="s">
        <v>915</v>
      </c>
      <c r="AL204" s="699" t="s">
        <v>1416</v>
      </c>
      <c r="AM204" s="698" t="s">
        <v>10</v>
      </c>
      <c r="AN204" s="699" t="s">
        <v>451</v>
      </c>
      <c r="AO204" s="699">
        <v>489597.53499999997</v>
      </c>
      <c r="AP204" s="703">
        <f t="shared" si="28"/>
        <v>1360.7484999999999</v>
      </c>
      <c r="AQ204" s="703">
        <f t="shared" si="30"/>
        <v>1395.7484999999999</v>
      </c>
      <c r="AR204" s="697">
        <v>214</v>
      </c>
      <c r="AS204" s="697">
        <v>0</v>
      </c>
      <c r="AT204" s="697">
        <v>783</v>
      </c>
      <c r="AU204" s="697">
        <v>5</v>
      </c>
      <c r="AV204" s="697">
        <v>0</v>
      </c>
      <c r="AW204" s="697">
        <v>0</v>
      </c>
      <c r="AX204" s="697">
        <v>74</v>
      </c>
      <c r="AY204" s="697">
        <v>0</v>
      </c>
      <c r="AZ204" s="697">
        <v>162</v>
      </c>
      <c r="BA204" s="697">
        <v>0</v>
      </c>
      <c r="BB204" s="697">
        <v>32</v>
      </c>
      <c r="BC204" s="697">
        <v>3</v>
      </c>
      <c r="BD204" s="697">
        <v>35</v>
      </c>
      <c r="BE204" s="697">
        <v>0</v>
      </c>
      <c r="BF204" s="697">
        <v>0</v>
      </c>
      <c r="BG204" s="697">
        <v>0</v>
      </c>
      <c r="BH204" s="697">
        <v>76</v>
      </c>
      <c r="BI204" s="697">
        <v>0</v>
      </c>
      <c r="BJ204" s="697">
        <v>0</v>
      </c>
      <c r="BK204" s="697">
        <v>0</v>
      </c>
      <c r="BL204" s="697">
        <v>0</v>
      </c>
      <c r="BM204" s="697">
        <v>0</v>
      </c>
      <c r="BN204" s="697">
        <v>0</v>
      </c>
      <c r="BO204" s="697">
        <v>117.485</v>
      </c>
    </row>
    <row r="205" spans="1:67" ht="15" customHeight="1" x14ac:dyDescent="0.2">
      <c r="A205" s="697">
        <v>9550</v>
      </c>
      <c r="B205" s="697"/>
      <c r="C205" s="698" t="s">
        <v>455</v>
      </c>
      <c r="D205" s="699" t="s">
        <v>455</v>
      </c>
      <c r="E205" s="700">
        <f t="shared" si="31"/>
        <v>406594.29719999997</v>
      </c>
      <c r="F205" s="700">
        <v>0</v>
      </c>
      <c r="G205" s="701">
        <f t="shared" si="27"/>
        <v>406594.29719999997</v>
      </c>
      <c r="H205" s="698" t="s">
        <v>10</v>
      </c>
      <c r="I205" s="699" t="s">
        <v>1416</v>
      </c>
      <c r="J205" s="699" t="s">
        <v>1417</v>
      </c>
      <c r="K205" s="699" t="s">
        <v>1549</v>
      </c>
      <c r="L205" s="699" t="s">
        <v>10</v>
      </c>
      <c r="M205" s="702">
        <v>130</v>
      </c>
      <c r="N205" s="702">
        <v>0.90400000000000003</v>
      </c>
      <c r="O205" s="702">
        <v>0.90800000000000003</v>
      </c>
      <c r="P205" s="702">
        <v>0.91400000000000003</v>
      </c>
      <c r="Q205" s="702">
        <v>0.91900000000000004</v>
      </c>
      <c r="R205" s="702">
        <v>1259825</v>
      </c>
      <c r="S205" s="702">
        <v>1167033</v>
      </c>
      <c r="T205" s="7">
        <f t="shared" si="29"/>
        <v>374797.9375</v>
      </c>
      <c r="U205" s="702">
        <v>866746</v>
      </c>
      <c r="V205" s="702">
        <v>300287</v>
      </c>
      <c r="W205" s="702">
        <v>5683</v>
      </c>
      <c r="X205" s="702">
        <v>0</v>
      </c>
      <c r="Y205" s="702">
        <v>0</v>
      </c>
      <c r="Z205" s="702">
        <v>0</v>
      </c>
      <c r="AA205" s="702">
        <v>1541830.9380000001</v>
      </c>
      <c r="AB205" s="702">
        <v>374797.9375</v>
      </c>
      <c r="AC205" s="702">
        <v>1167033</v>
      </c>
      <c r="AD205" s="702">
        <v>0</v>
      </c>
      <c r="AE205" s="702">
        <v>0</v>
      </c>
      <c r="AF205" s="702">
        <v>0</v>
      </c>
      <c r="AG205" s="702">
        <v>1167033</v>
      </c>
      <c r="AH205" s="702">
        <v>0</v>
      </c>
      <c r="AI205" s="702">
        <v>0</v>
      </c>
      <c r="AJ205" s="698">
        <v>4</v>
      </c>
      <c r="AK205" s="698" t="s">
        <v>913</v>
      </c>
      <c r="AL205" s="699" t="s">
        <v>1416</v>
      </c>
      <c r="AM205" s="698" t="s">
        <v>10</v>
      </c>
      <c r="AN205" s="699" t="s">
        <v>455</v>
      </c>
      <c r="AO205" s="699">
        <v>374797.9375</v>
      </c>
      <c r="AP205" s="703">
        <f t="shared" si="28"/>
        <v>442.35680000000002</v>
      </c>
      <c r="AQ205" s="703">
        <f t="shared" si="30"/>
        <v>460.35680000000002</v>
      </c>
      <c r="AR205" s="697">
        <v>0</v>
      </c>
      <c r="AS205" s="697">
        <v>0</v>
      </c>
      <c r="AT205" s="697">
        <v>306</v>
      </c>
      <c r="AU205" s="697">
        <v>12</v>
      </c>
      <c r="AV205" s="697">
        <v>0</v>
      </c>
      <c r="AW205" s="697">
        <v>0</v>
      </c>
      <c r="AX205" s="697">
        <v>13</v>
      </c>
      <c r="AY205" s="697">
        <v>4</v>
      </c>
      <c r="AZ205" s="697">
        <v>0</v>
      </c>
      <c r="BA205" s="697">
        <v>0</v>
      </c>
      <c r="BB205" s="697">
        <v>14</v>
      </c>
      <c r="BC205" s="697">
        <v>4</v>
      </c>
      <c r="BD205" s="697">
        <v>0</v>
      </c>
      <c r="BE205" s="697">
        <v>0</v>
      </c>
      <c r="BF205" s="697">
        <v>0</v>
      </c>
      <c r="BG205" s="697">
        <v>0</v>
      </c>
      <c r="BH205" s="697">
        <v>0</v>
      </c>
      <c r="BI205" s="697">
        <v>0</v>
      </c>
      <c r="BJ205" s="697">
        <v>0</v>
      </c>
      <c r="BK205" s="697">
        <v>0</v>
      </c>
      <c r="BL205" s="697">
        <v>0</v>
      </c>
      <c r="BM205" s="697">
        <v>0</v>
      </c>
      <c r="BN205" s="697">
        <v>14200</v>
      </c>
      <c r="BO205" s="697">
        <v>931.56799999999998</v>
      </c>
    </row>
    <row r="206" spans="1:67" ht="15" customHeight="1" x14ac:dyDescent="0.2">
      <c r="A206" s="697">
        <v>3892</v>
      </c>
      <c r="B206" s="697"/>
      <c r="C206" s="698" t="s">
        <v>457</v>
      </c>
      <c r="D206" s="699" t="s">
        <v>457</v>
      </c>
      <c r="E206" s="700">
        <f t="shared" si="31"/>
        <v>103073.44319999999</v>
      </c>
      <c r="F206" s="700">
        <v>0</v>
      </c>
      <c r="G206" s="701">
        <f t="shared" si="27"/>
        <v>103073.44319999999</v>
      </c>
      <c r="H206" s="698" t="s">
        <v>10</v>
      </c>
      <c r="I206" s="699" t="s">
        <v>1416</v>
      </c>
      <c r="J206" s="699" t="s">
        <v>1417</v>
      </c>
      <c r="K206" s="699" t="s">
        <v>460</v>
      </c>
      <c r="L206" s="699" t="s">
        <v>10</v>
      </c>
      <c r="M206" s="702">
        <v>32</v>
      </c>
      <c r="N206" s="702">
        <v>0.88800000000000001</v>
      </c>
      <c r="O206" s="702">
        <v>0.91500000000000004</v>
      </c>
      <c r="P206" s="702">
        <v>0.91400000000000003</v>
      </c>
      <c r="Q206" s="702">
        <v>0.81100000000000005</v>
      </c>
      <c r="R206" s="702">
        <v>368196</v>
      </c>
      <c r="S206" s="702">
        <v>295848</v>
      </c>
      <c r="T206" s="7">
        <f t="shared" si="29"/>
        <v>109538.31</v>
      </c>
      <c r="U206" s="702">
        <v>252264</v>
      </c>
      <c r="V206" s="702">
        <v>43584</v>
      </c>
      <c r="W206" s="702">
        <v>2000</v>
      </c>
      <c r="X206" s="702">
        <v>0</v>
      </c>
      <c r="Y206" s="702">
        <v>0</v>
      </c>
      <c r="Z206" s="702">
        <v>0</v>
      </c>
      <c r="AA206" s="702">
        <v>405386.31</v>
      </c>
      <c r="AB206" s="702">
        <v>109538.31</v>
      </c>
      <c r="AC206" s="702">
        <v>295848</v>
      </c>
      <c r="AD206" s="702">
        <v>0</v>
      </c>
      <c r="AE206" s="702">
        <v>0</v>
      </c>
      <c r="AF206" s="702">
        <v>0</v>
      </c>
      <c r="AG206" s="702">
        <v>295848</v>
      </c>
      <c r="AH206" s="702">
        <v>0</v>
      </c>
      <c r="AI206" s="702">
        <v>0</v>
      </c>
      <c r="AJ206" s="698" t="s">
        <v>914</v>
      </c>
      <c r="AK206" s="698" t="s">
        <v>920</v>
      </c>
      <c r="AL206" s="699" t="s">
        <v>1416</v>
      </c>
      <c r="AM206" s="698" t="s">
        <v>10</v>
      </c>
      <c r="AN206" s="699" t="s">
        <v>457</v>
      </c>
      <c r="AO206" s="699">
        <v>109538.31</v>
      </c>
      <c r="AP206" s="703">
        <f t="shared" si="28"/>
        <v>113.62010000000001</v>
      </c>
      <c r="AQ206" s="703">
        <f t="shared" si="30"/>
        <v>120.62010000000001</v>
      </c>
      <c r="AR206" s="697">
        <v>21</v>
      </c>
      <c r="AS206" s="697">
        <v>0</v>
      </c>
      <c r="AT206" s="697">
        <v>28</v>
      </c>
      <c r="AU206" s="697">
        <v>2</v>
      </c>
      <c r="AV206" s="697">
        <v>0</v>
      </c>
      <c r="AW206" s="697">
        <v>0</v>
      </c>
      <c r="AX206" s="697">
        <v>0</v>
      </c>
      <c r="AY206" s="697">
        <v>0</v>
      </c>
      <c r="AZ206" s="697">
        <v>0</v>
      </c>
      <c r="BA206" s="697">
        <v>0</v>
      </c>
      <c r="BB206" s="697">
        <v>7</v>
      </c>
      <c r="BC206" s="697">
        <v>0</v>
      </c>
      <c r="BD206" s="697">
        <v>0</v>
      </c>
      <c r="BE206" s="697">
        <v>0</v>
      </c>
      <c r="BF206" s="697">
        <v>0</v>
      </c>
      <c r="BG206" s="697">
        <v>0</v>
      </c>
      <c r="BH206" s="697">
        <v>0</v>
      </c>
      <c r="BI206" s="697">
        <v>0</v>
      </c>
      <c r="BJ206" s="697">
        <v>0</v>
      </c>
      <c r="BK206" s="697">
        <v>0</v>
      </c>
      <c r="BL206" s="697">
        <v>3746</v>
      </c>
      <c r="BM206" s="697">
        <v>0</v>
      </c>
      <c r="BN206" s="697">
        <v>49046</v>
      </c>
      <c r="BO206" s="697">
        <v>98.281000000000006</v>
      </c>
    </row>
    <row r="207" spans="1:67" ht="15" customHeight="1" x14ac:dyDescent="0.2">
      <c r="A207" s="697">
        <v>508</v>
      </c>
      <c r="B207" s="697" t="s">
        <v>1412</v>
      </c>
      <c r="C207" s="698" t="s">
        <v>462</v>
      </c>
      <c r="D207" s="699" t="s">
        <v>462</v>
      </c>
      <c r="E207" s="700">
        <f t="shared" si="31"/>
        <v>341425.72879999998</v>
      </c>
      <c r="F207" s="700">
        <v>491081</v>
      </c>
      <c r="G207" s="701">
        <f t="shared" si="27"/>
        <v>832506.72879999992</v>
      </c>
      <c r="H207" s="698" t="s">
        <v>10</v>
      </c>
      <c r="I207" s="699" t="s">
        <v>1416</v>
      </c>
      <c r="J207" s="699" t="s">
        <v>1412</v>
      </c>
      <c r="K207" s="699" t="s">
        <v>464</v>
      </c>
      <c r="L207" s="699" t="s">
        <v>1412</v>
      </c>
      <c r="M207" s="702">
        <v>99</v>
      </c>
      <c r="N207" s="702">
        <v>0.88800000000000001</v>
      </c>
      <c r="O207" s="702">
        <v>0.90100000000000002</v>
      </c>
      <c r="P207" s="702">
        <v>0.91200000000000003</v>
      </c>
      <c r="Q207" s="702">
        <v>0.86399999999999999</v>
      </c>
      <c r="R207" s="702">
        <v>1185727</v>
      </c>
      <c r="S207" s="702">
        <v>979982</v>
      </c>
      <c r="T207" s="7">
        <f t="shared" si="29"/>
        <v>352753.78249999997</v>
      </c>
      <c r="U207" s="702">
        <v>640797</v>
      </c>
      <c r="V207" s="702">
        <v>339185</v>
      </c>
      <c r="W207" s="702">
        <v>5527</v>
      </c>
      <c r="X207" s="702">
        <v>843834.78249999997</v>
      </c>
      <c r="Y207" s="702">
        <v>352753.78249999997</v>
      </c>
      <c r="Z207" s="702">
        <v>491081</v>
      </c>
      <c r="AA207" s="702">
        <v>488901</v>
      </c>
      <c r="AB207" s="702">
        <v>0</v>
      </c>
      <c r="AC207" s="702">
        <v>488901</v>
      </c>
      <c r="AD207" s="702">
        <v>491081</v>
      </c>
      <c r="AE207" s="702">
        <v>0</v>
      </c>
      <c r="AF207" s="702">
        <v>488901</v>
      </c>
      <c r="AG207" s="702">
        <v>0</v>
      </c>
      <c r="AH207" s="702">
        <v>1362000</v>
      </c>
      <c r="AI207" s="702">
        <v>1303000</v>
      </c>
      <c r="AJ207" s="698" t="s">
        <v>908</v>
      </c>
      <c r="AK207" s="698" t="s">
        <v>909</v>
      </c>
      <c r="AL207" s="699" t="s">
        <v>1416</v>
      </c>
      <c r="AM207" s="698" t="s">
        <v>10</v>
      </c>
      <c r="AN207" s="699" t="s">
        <v>462</v>
      </c>
      <c r="AO207" s="699">
        <v>843834.78249999997</v>
      </c>
      <c r="AP207" s="703">
        <f t="shared" si="28"/>
        <v>743.0915</v>
      </c>
      <c r="AQ207" s="703">
        <f t="shared" si="30"/>
        <v>751.0915</v>
      </c>
      <c r="AR207" s="697">
        <v>328</v>
      </c>
      <c r="AS207" s="697">
        <v>1303</v>
      </c>
      <c r="AT207" s="697">
        <v>109</v>
      </c>
      <c r="AU207" s="697">
        <v>0</v>
      </c>
      <c r="AV207" s="697">
        <v>1</v>
      </c>
      <c r="AW207" s="697">
        <v>22</v>
      </c>
      <c r="AX207" s="697">
        <v>0</v>
      </c>
      <c r="AY207" s="697">
        <v>0</v>
      </c>
      <c r="AZ207" s="697">
        <v>18</v>
      </c>
      <c r="BA207" s="697">
        <v>36</v>
      </c>
      <c r="BB207" s="697">
        <v>8</v>
      </c>
      <c r="BC207" s="697">
        <v>0</v>
      </c>
      <c r="BD207" s="697">
        <v>45</v>
      </c>
      <c r="BE207" s="697">
        <v>0</v>
      </c>
      <c r="BF207" s="697">
        <v>0</v>
      </c>
      <c r="BG207" s="697">
        <v>0</v>
      </c>
      <c r="BH207" s="697">
        <v>76</v>
      </c>
      <c r="BI207" s="697">
        <v>0</v>
      </c>
      <c r="BJ207" s="697">
        <v>0</v>
      </c>
      <c r="BK207" s="697">
        <v>0</v>
      </c>
      <c r="BL207" s="697">
        <v>25000</v>
      </c>
      <c r="BM207" s="697">
        <v>0</v>
      </c>
      <c r="BN207" s="697">
        <v>25937</v>
      </c>
      <c r="BO207" s="697">
        <v>1151.5450000000001</v>
      </c>
    </row>
    <row r="208" spans="1:67" ht="15" customHeight="1" x14ac:dyDescent="0.2">
      <c r="A208" s="697">
        <v>3881</v>
      </c>
      <c r="B208" s="697" t="s">
        <v>1412</v>
      </c>
      <c r="C208" s="698" t="s">
        <v>958</v>
      </c>
      <c r="D208" s="699" t="s">
        <v>667</v>
      </c>
      <c r="E208" s="700">
        <f t="shared" si="31"/>
        <v>337746.97320000001</v>
      </c>
      <c r="F208" s="700">
        <v>1130444</v>
      </c>
      <c r="G208" s="701">
        <f t="shared" si="27"/>
        <v>1468190.9731999999</v>
      </c>
      <c r="H208" s="698" t="s">
        <v>1417</v>
      </c>
      <c r="I208" s="699" t="s">
        <v>1416</v>
      </c>
      <c r="J208" s="699" t="s">
        <v>1412</v>
      </c>
      <c r="K208" s="699" t="s">
        <v>1418</v>
      </c>
      <c r="L208" s="699" t="s">
        <v>1412</v>
      </c>
      <c r="M208" s="702">
        <v>155</v>
      </c>
      <c r="N208" s="702">
        <v>0.34</v>
      </c>
      <c r="O208" s="702">
        <v>0.503</v>
      </c>
      <c r="P208" s="702">
        <v>0.46600000000000003</v>
      </c>
      <c r="Q208" s="702">
        <v>0.53100000000000003</v>
      </c>
      <c r="R208" s="702">
        <v>1198640</v>
      </c>
      <c r="S208" s="702">
        <v>969423</v>
      </c>
      <c r="T208" s="7">
        <f t="shared" si="29"/>
        <v>356595.39999999997</v>
      </c>
      <c r="U208" s="702">
        <v>661270</v>
      </c>
      <c r="V208" s="702">
        <v>308153</v>
      </c>
      <c r="W208" s="702">
        <v>4808</v>
      </c>
      <c r="X208" s="702">
        <v>1487039.4</v>
      </c>
      <c r="Y208" s="702">
        <v>356595.4</v>
      </c>
      <c r="Z208" s="702">
        <v>1130444</v>
      </c>
      <c r="AA208" s="702">
        <v>-161021</v>
      </c>
      <c r="AB208" s="702">
        <v>0</v>
      </c>
      <c r="AC208" s="702">
        <v>-161021</v>
      </c>
      <c r="AD208" s="702">
        <v>1130444</v>
      </c>
      <c r="AE208" s="702">
        <v>0</v>
      </c>
      <c r="AF208" s="702">
        <v>-161021</v>
      </c>
      <c r="AG208" s="702">
        <v>0</v>
      </c>
      <c r="AH208" s="702">
        <v>227000</v>
      </c>
      <c r="AI208" s="702">
        <v>369000</v>
      </c>
      <c r="AJ208" s="698">
        <v>4</v>
      </c>
      <c r="AK208" s="698" t="s">
        <v>899</v>
      </c>
      <c r="AL208" s="699" t="s">
        <v>1416</v>
      </c>
      <c r="AM208" s="698" t="s">
        <v>1417</v>
      </c>
      <c r="AN208" s="699" t="s">
        <v>667</v>
      </c>
      <c r="AO208" s="699">
        <v>1487039.4</v>
      </c>
      <c r="AP208" s="703">
        <f t="shared" si="28"/>
        <v>759.84979999999996</v>
      </c>
      <c r="AQ208" s="703">
        <f t="shared" si="30"/>
        <v>790.84979999999996</v>
      </c>
      <c r="AR208" s="697">
        <v>366</v>
      </c>
      <c r="AS208" s="697">
        <v>369</v>
      </c>
      <c r="AT208" s="697">
        <v>152</v>
      </c>
      <c r="AU208" s="697">
        <v>4</v>
      </c>
      <c r="AV208" s="697">
        <v>57</v>
      </c>
      <c r="AW208" s="697">
        <v>15</v>
      </c>
      <c r="AX208" s="697">
        <v>1</v>
      </c>
      <c r="AY208" s="697">
        <v>0</v>
      </c>
      <c r="AZ208" s="697">
        <v>8</v>
      </c>
      <c r="BA208" s="697">
        <v>15</v>
      </c>
      <c r="BB208" s="697">
        <v>31</v>
      </c>
      <c r="BC208" s="697">
        <v>0</v>
      </c>
      <c r="BD208" s="697">
        <v>34</v>
      </c>
      <c r="BE208" s="697">
        <v>0</v>
      </c>
      <c r="BF208" s="697">
        <v>0</v>
      </c>
      <c r="BG208" s="697">
        <v>0</v>
      </c>
      <c r="BH208" s="697">
        <v>61</v>
      </c>
      <c r="BI208" s="697">
        <v>0</v>
      </c>
      <c r="BJ208" s="697">
        <v>0</v>
      </c>
      <c r="BK208" s="697">
        <v>0</v>
      </c>
      <c r="BL208" s="697">
        <v>0</v>
      </c>
      <c r="BM208" s="697">
        <v>0</v>
      </c>
      <c r="BN208" s="697">
        <v>0</v>
      </c>
      <c r="BO208" s="697">
        <v>768.49800000000005</v>
      </c>
    </row>
    <row r="209" spans="1:67" ht="15" customHeight="1" x14ac:dyDescent="0.2">
      <c r="A209" s="697">
        <v>3762</v>
      </c>
      <c r="B209" s="697"/>
      <c r="C209" s="698" t="s">
        <v>468</v>
      </c>
      <c r="D209" s="699" t="s">
        <v>468</v>
      </c>
      <c r="E209" s="700">
        <f t="shared" si="31"/>
        <v>79764.2552</v>
      </c>
      <c r="F209" s="700">
        <v>0</v>
      </c>
      <c r="G209" s="701">
        <f t="shared" si="27"/>
        <v>79764.2552</v>
      </c>
      <c r="H209" s="698" t="s">
        <v>10</v>
      </c>
      <c r="I209" s="699" t="s">
        <v>1512</v>
      </c>
      <c r="J209" s="699" t="s">
        <v>10</v>
      </c>
      <c r="K209" s="699" t="s">
        <v>469</v>
      </c>
      <c r="L209" s="699" t="s">
        <v>10</v>
      </c>
      <c r="M209" s="702">
        <v>39</v>
      </c>
      <c r="N209" s="702">
        <v>0.94199999999999995</v>
      </c>
      <c r="O209" s="702">
        <v>0.94499999999999995</v>
      </c>
      <c r="P209" s="702">
        <v>0.97</v>
      </c>
      <c r="Q209" s="702">
        <v>0.95899999999999996</v>
      </c>
      <c r="R209" s="702">
        <v>0</v>
      </c>
      <c r="S209" s="702">
        <v>411368</v>
      </c>
      <c r="T209" s="7">
        <f t="shared" si="29"/>
        <v>79764.2552</v>
      </c>
      <c r="U209" s="702">
        <v>321705</v>
      </c>
      <c r="V209" s="702">
        <v>89663</v>
      </c>
      <c r="W209" s="702">
        <v>2065</v>
      </c>
      <c r="X209" s="702">
        <v>0</v>
      </c>
      <c r="Y209" s="702">
        <v>0</v>
      </c>
      <c r="Z209" s="702">
        <v>0</v>
      </c>
      <c r="AA209" s="702">
        <v>491132.25520000001</v>
      </c>
      <c r="AB209" s="702">
        <v>79764.2552</v>
      </c>
      <c r="AC209" s="702">
        <v>411368</v>
      </c>
      <c r="AD209" s="702">
        <v>0</v>
      </c>
      <c r="AE209" s="702">
        <v>0</v>
      </c>
      <c r="AF209" s="702">
        <v>0</v>
      </c>
      <c r="AG209" s="702">
        <v>411368</v>
      </c>
      <c r="AH209" s="702">
        <v>0</v>
      </c>
      <c r="AI209" s="702">
        <v>0</v>
      </c>
      <c r="AJ209" s="698" t="s">
        <v>908</v>
      </c>
      <c r="AK209" s="698" t="s">
        <v>909</v>
      </c>
      <c r="AL209" s="699" t="s">
        <v>1512</v>
      </c>
      <c r="AM209" s="698" t="s">
        <v>10</v>
      </c>
      <c r="AN209" s="699" t="s">
        <v>468</v>
      </c>
      <c r="AO209" s="699">
        <v>79764.2552</v>
      </c>
      <c r="AP209" s="703">
        <f t="shared" si="28"/>
        <v>38.884399999999999</v>
      </c>
      <c r="AQ209" s="703">
        <f t="shared" si="30"/>
        <v>38.884399999999999</v>
      </c>
      <c r="AR209" s="697">
        <v>0</v>
      </c>
      <c r="AS209" s="697">
        <v>0</v>
      </c>
      <c r="AT209" s="697">
        <v>23</v>
      </c>
      <c r="AU209" s="697">
        <v>5</v>
      </c>
      <c r="AV209" s="697">
        <v>0</v>
      </c>
      <c r="AW209" s="697">
        <v>0</v>
      </c>
      <c r="AX209" s="697">
        <v>0</v>
      </c>
      <c r="AY209" s="697">
        <v>0</v>
      </c>
      <c r="AZ209" s="697">
        <v>0</v>
      </c>
      <c r="BA209" s="697">
        <v>14</v>
      </c>
      <c r="BB209" s="697">
        <v>0</v>
      </c>
      <c r="BC209" s="697">
        <v>0</v>
      </c>
      <c r="BD209" s="697">
        <v>0</v>
      </c>
      <c r="BE209" s="697">
        <v>0</v>
      </c>
      <c r="BF209" s="697">
        <v>0</v>
      </c>
      <c r="BG209" s="697">
        <v>0</v>
      </c>
      <c r="BH209" s="697">
        <v>0</v>
      </c>
      <c r="BI209" s="697">
        <v>0</v>
      </c>
      <c r="BJ209" s="697">
        <v>0</v>
      </c>
      <c r="BK209" s="697">
        <v>0</v>
      </c>
      <c r="BL209" s="697">
        <v>0</v>
      </c>
      <c r="BM209" s="697">
        <v>0</v>
      </c>
      <c r="BN209" s="697">
        <v>0</v>
      </c>
      <c r="BO209" s="697">
        <v>108.84399999999999</v>
      </c>
    </row>
    <row r="210" spans="1:67" ht="15" customHeight="1" x14ac:dyDescent="0.2">
      <c r="A210" s="697">
        <v>9570</v>
      </c>
      <c r="B210" s="697"/>
      <c r="C210" s="698" t="s">
        <v>470</v>
      </c>
      <c r="D210" s="699" t="s">
        <v>470</v>
      </c>
      <c r="E210" s="700">
        <f t="shared" si="31"/>
        <v>316232.228</v>
      </c>
      <c r="F210" s="700">
        <v>0</v>
      </c>
      <c r="G210" s="701">
        <f t="shared" si="27"/>
        <v>316232.228</v>
      </c>
      <c r="H210" s="698" t="s">
        <v>10</v>
      </c>
      <c r="I210" s="699" t="s">
        <v>1416</v>
      </c>
      <c r="J210" s="699" t="s">
        <v>1417</v>
      </c>
      <c r="K210" s="699" t="s">
        <v>1549</v>
      </c>
      <c r="L210" s="699" t="s">
        <v>10</v>
      </c>
      <c r="M210" s="702">
        <v>116</v>
      </c>
      <c r="N210" s="702">
        <v>0.879</v>
      </c>
      <c r="O210" s="702">
        <v>0.90800000000000003</v>
      </c>
      <c r="P210" s="702">
        <v>0.85799999999999998</v>
      </c>
      <c r="Q210" s="702">
        <v>0.82799999999999996</v>
      </c>
      <c r="R210" s="702">
        <v>1209833</v>
      </c>
      <c r="S210" s="702">
        <v>907670</v>
      </c>
      <c r="T210" s="7">
        <f t="shared" si="29"/>
        <v>359925.3175</v>
      </c>
      <c r="U210" s="702">
        <v>370057</v>
      </c>
      <c r="V210" s="702">
        <v>537613</v>
      </c>
      <c r="W210" s="702">
        <v>3957</v>
      </c>
      <c r="X210" s="702">
        <v>0</v>
      </c>
      <c r="Y210" s="702">
        <v>0</v>
      </c>
      <c r="Z210" s="702">
        <v>0</v>
      </c>
      <c r="AA210" s="702">
        <v>1267595.318</v>
      </c>
      <c r="AB210" s="702">
        <v>359925.3175</v>
      </c>
      <c r="AC210" s="702">
        <v>907670</v>
      </c>
      <c r="AD210" s="702">
        <v>0</v>
      </c>
      <c r="AE210" s="702">
        <v>0</v>
      </c>
      <c r="AF210" s="702">
        <v>0</v>
      </c>
      <c r="AG210" s="702">
        <v>907670</v>
      </c>
      <c r="AH210" s="702">
        <v>0</v>
      </c>
      <c r="AI210" s="702">
        <v>0</v>
      </c>
      <c r="AJ210" s="698">
        <v>4</v>
      </c>
      <c r="AK210" s="698" t="s">
        <v>913</v>
      </c>
      <c r="AL210" s="699" t="s">
        <v>1416</v>
      </c>
      <c r="AM210" s="698" t="s">
        <v>10</v>
      </c>
      <c r="AN210" s="699" t="s">
        <v>470</v>
      </c>
      <c r="AO210" s="699">
        <v>359925.3175</v>
      </c>
      <c r="AP210" s="703">
        <f t="shared" si="28"/>
        <v>316.9153</v>
      </c>
      <c r="AQ210" s="703">
        <f t="shared" si="30"/>
        <v>323.9153</v>
      </c>
      <c r="AR210" s="697">
        <v>0</v>
      </c>
      <c r="AS210" s="697">
        <v>0</v>
      </c>
      <c r="AT210" s="697">
        <v>181</v>
      </c>
      <c r="AU210" s="697">
        <v>44</v>
      </c>
      <c r="AV210" s="697">
        <v>0</v>
      </c>
      <c r="AW210" s="697">
        <v>0</v>
      </c>
      <c r="AX210" s="697">
        <v>11</v>
      </c>
      <c r="AY210" s="697">
        <v>13</v>
      </c>
      <c r="AZ210" s="697">
        <v>0</v>
      </c>
      <c r="BA210" s="697">
        <v>0</v>
      </c>
      <c r="BB210" s="697">
        <v>51</v>
      </c>
      <c r="BC210" s="697">
        <v>-44</v>
      </c>
      <c r="BD210" s="697">
        <v>0</v>
      </c>
      <c r="BE210" s="697">
        <v>0</v>
      </c>
      <c r="BF210" s="697">
        <v>0</v>
      </c>
      <c r="BG210" s="697">
        <v>0</v>
      </c>
      <c r="BH210" s="697">
        <v>0</v>
      </c>
      <c r="BI210" s="697">
        <v>0</v>
      </c>
      <c r="BJ210" s="697">
        <v>0</v>
      </c>
      <c r="BK210" s="697">
        <v>0</v>
      </c>
      <c r="BL210" s="697">
        <v>0</v>
      </c>
      <c r="BM210" s="697">
        <v>0</v>
      </c>
      <c r="BN210" s="697">
        <v>0</v>
      </c>
      <c r="BO210" s="697">
        <v>679.15300000000002</v>
      </c>
    </row>
    <row r="211" spans="1:67" ht="15" customHeight="1" x14ac:dyDescent="0.2">
      <c r="A211" s="697">
        <v>2550</v>
      </c>
      <c r="B211" s="697" t="s">
        <v>1412</v>
      </c>
      <c r="C211" s="698" t="s">
        <v>472</v>
      </c>
      <c r="D211" s="699" t="s">
        <v>472</v>
      </c>
      <c r="E211" s="700">
        <f t="shared" si="31"/>
        <v>308545.8272</v>
      </c>
      <c r="F211" s="700">
        <v>516572</v>
      </c>
      <c r="G211" s="701">
        <f t="shared" si="27"/>
        <v>825117.82719999994</v>
      </c>
      <c r="H211" s="698" t="s">
        <v>10</v>
      </c>
      <c r="I211" s="699" t="s">
        <v>1416</v>
      </c>
      <c r="J211" s="699" t="s">
        <v>1412</v>
      </c>
      <c r="K211" s="699" t="s">
        <v>8</v>
      </c>
      <c r="L211" s="699" t="s">
        <v>1412</v>
      </c>
      <c r="M211" s="702">
        <v>140</v>
      </c>
      <c r="N211" s="702">
        <v>0.73899999999999999</v>
      </c>
      <c r="O211" s="702">
        <v>0.77800000000000002</v>
      </c>
      <c r="P211" s="702">
        <v>0.76</v>
      </c>
      <c r="Q211" s="702">
        <v>0.75700000000000001</v>
      </c>
      <c r="R211" s="702">
        <v>193720</v>
      </c>
      <c r="S211" s="702">
        <v>885608</v>
      </c>
      <c r="T211" s="7">
        <f t="shared" si="29"/>
        <v>57631.7</v>
      </c>
      <c r="U211" s="702">
        <v>575730</v>
      </c>
      <c r="V211" s="702">
        <v>309878</v>
      </c>
      <c r="W211" s="702">
        <v>4750</v>
      </c>
      <c r="X211" s="702">
        <v>574203.69999999995</v>
      </c>
      <c r="Y211" s="702">
        <v>57631.7</v>
      </c>
      <c r="Z211" s="702">
        <v>516572</v>
      </c>
      <c r="AA211" s="702">
        <v>369036</v>
      </c>
      <c r="AB211" s="702">
        <v>0</v>
      </c>
      <c r="AC211" s="702">
        <v>369036</v>
      </c>
      <c r="AD211" s="702">
        <v>516572</v>
      </c>
      <c r="AE211" s="702">
        <v>0</v>
      </c>
      <c r="AF211" s="702">
        <v>369036</v>
      </c>
      <c r="AG211" s="702">
        <v>0</v>
      </c>
      <c r="AH211" s="702">
        <v>677000</v>
      </c>
      <c r="AI211" s="702">
        <v>587000</v>
      </c>
      <c r="AJ211" s="698" t="s">
        <v>900</v>
      </c>
      <c r="AK211" s="698" t="s">
        <v>901</v>
      </c>
      <c r="AL211" s="699" t="s">
        <v>1416</v>
      </c>
      <c r="AM211" s="698" t="s">
        <v>10</v>
      </c>
      <c r="AN211" s="699" t="s">
        <v>472</v>
      </c>
      <c r="AO211" s="699">
        <v>574203.69999999995</v>
      </c>
      <c r="AP211" s="703">
        <f t="shared" si="28"/>
        <v>831.40370000000007</v>
      </c>
      <c r="AQ211" s="703">
        <f t="shared" si="30"/>
        <v>873.40370000000007</v>
      </c>
      <c r="AR211" s="697">
        <v>412</v>
      </c>
      <c r="AS211" s="697">
        <v>587</v>
      </c>
      <c r="AT211" s="697">
        <v>224</v>
      </c>
      <c r="AU211" s="697">
        <v>0</v>
      </c>
      <c r="AV211" s="697">
        <v>0</v>
      </c>
      <c r="AW211" s="697">
        <v>0</v>
      </c>
      <c r="AX211" s="697">
        <v>0</v>
      </c>
      <c r="AY211" s="697">
        <v>0</v>
      </c>
      <c r="AZ211" s="697">
        <v>23</v>
      </c>
      <c r="BA211" s="697">
        <v>12</v>
      </c>
      <c r="BB211" s="697">
        <v>42</v>
      </c>
      <c r="BC211" s="697">
        <v>0</v>
      </c>
      <c r="BD211" s="697">
        <v>42</v>
      </c>
      <c r="BE211" s="697">
        <v>0</v>
      </c>
      <c r="BF211" s="697">
        <v>0</v>
      </c>
      <c r="BG211" s="697">
        <v>0</v>
      </c>
      <c r="BH211" s="697">
        <v>49</v>
      </c>
      <c r="BI211" s="697">
        <v>1</v>
      </c>
      <c r="BJ211" s="697">
        <v>0</v>
      </c>
      <c r="BK211" s="697">
        <v>0</v>
      </c>
      <c r="BL211" s="697">
        <v>0</v>
      </c>
      <c r="BM211" s="697">
        <v>0</v>
      </c>
      <c r="BN211" s="697">
        <v>0</v>
      </c>
      <c r="BO211" s="697">
        <v>814.03700000000003</v>
      </c>
    </row>
    <row r="212" spans="1:67" ht="15" customHeight="1" x14ac:dyDescent="0.2">
      <c r="A212" s="697">
        <v>9600</v>
      </c>
      <c r="B212" s="697"/>
      <c r="C212" s="698" t="s">
        <v>473</v>
      </c>
      <c r="D212" s="699" t="s">
        <v>473</v>
      </c>
      <c r="E212" s="700">
        <f t="shared" si="31"/>
        <v>436731.9424</v>
      </c>
      <c r="F212" s="700">
        <v>0</v>
      </c>
      <c r="G212" s="701">
        <f t="shared" si="27"/>
        <v>436731.9424</v>
      </c>
      <c r="H212" s="698" t="s">
        <v>10</v>
      </c>
      <c r="I212" s="699" t="s">
        <v>1416</v>
      </c>
      <c r="J212" s="699" t="s">
        <v>1417</v>
      </c>
      <c r="K212" s="699" t="s">
        <v>475</v>
      </c>
      <c r="L212" s="699" t="s">
        <v>10</v>
      </c>
      <c r="M212" s="702">
        <v>149</v>
      </c>
      <c r="N212" s="702">
        <v>0.84399999999999997</v>
      </c>
      <c r="O212" s="702">
        <v>0.85399999999999998</v>
      </c>
      <c r="P212" s="702">
        <v>0.82</v>
      </c>
      <c r="Q212" s="702">
        <v>0.77500000000000002</v>
      </c>
      <c r="R212" s="702">
        <v>1402976</v>
      </c>
      <c r="S212" s="702">
        <v>1253536</v>
      </c>
      <c r="T212" s="7">
        <f t="shared" si="29"/>
        <v>417385.36</v>
      </c>
      <c r="U212" s="702">
        <v>924045</v>
      </c>
      <c r="V212" s="702">
        <v>329491</v>
      </c>
      <c r="W212" s="702">
        <v>7800</v>
      </c>
      <c r="X212" s="702">
        <v>0</v>
      </c>
      <c r="Y212" s="702">
        <v>0</v>
      </c>
      <c r="Z212" s="702">
        <v>0</v>
      </c>
      <c r="AA212" s="702">
        <v>1670921.36</v>
      </c>
      <c r="AB212" s="702">
        <v>417385.36</v>
      </c>
      <c r="AC212" s="702">
        <v>1253536</v>
      </c>
      <c r="AD212" s="702">
        <v>0</v>
      </c>
      <c r="AE212" s="702">
        <v>0</v>
      </c>
      <c r="AF212" s="702">
        <v>0</v>
      </c>
      <c r="AG212" s="702">
        <v>1253536</v>
      </c>
      <c r="AH212" s="702">
        <v>0</v>
      </c>
      <c r="AI212" s="702">
        <v>0</v>
      </c>
      <c r="AJ212" s="698">
        <v>4</v>
      </c>
      <c r="AK212" s="698" t="s">
        <v>904</v>
      </c>
      <c r="AL212" s="699" t="s">
        <v>1416</v>
      </c>
      <c r="AM212" s="698" t="s">
        <v>10</v>
      </c>
      <c r="AN212" s="699" t="s">
        <v>473</v>
      </c>
      <c r="AO212" s="699">
        <v>417385.36</v>
      </c>
      <c r="AP212" s="703">
        <f t="shared" si="28"/>
        <v>813.47550000000001</v>
      </c>
      <c r="AQ212" s="703">
        <f t="shared" si="30"/>
        <v>978.47550000000001</v>
      </c>
      <c r="AR212" s="697">
        <v>0</v>
      </c>
      <c r="AS212" s="697">
        <v>0</v>
      </c>
      <c r="AT212" s="697">
        <v>123</v>
      </c>
      <c r="AU212" s="697">
        <v>21</v>
      </c>
      <c r="AV212" s="697">
        <v>0</v>
      </c>
      <c r="AW212" s="697">
        <v>0</v>
      </c>
      <c r="AX212" s="697">
        <v>10</v>
      </c>
      <c r="AY212" s="697">
        <v>18</v>
      </c>
      <c r="AZ212" s="697">
        <v>0</v>
      </c>
      <c r="BA212" s="697">
        <v>0</v>
      </c>
      <c r="BB212" s="697">
        <v>161</v>
      </c>
      <c r="BC212" s="697">
        <v>4</v>
      </c>
      <c r="BD212" s="697">
        <v>0</v>
      </c>
      <c r="BE212" s="697">
        <v>0</v>
      </c>
      <c r="BF212" s="697">
        <v>0</v>
      </c>
      <c r="BG212" s="697">
        <v>0</v>
      </c>
      <c r="BH212" s="697">
        <v>0</v>
      </c>
      <c r="BI212" s="697">
        <v>0</v>
      </c>
      <c r="BJ212" s="697">
        <v>0</v>
      </c>
      <c r="BK212" s="697">
        <v>0</v>
      </c>
      <c r="BL212" s="697">
        <v>567938</v>
      </c>
      <c r="BM212" s="697">
        <v>0</v>
      </c>
      <c r="BN212" s="697">
        <v>0</v>
      </c>
      <c r="BO212" s="697">
        <v>735.375</v>
      </c>
    </row>
    <row r="213" spans="1:67" s="392" customFormat="1" ht="15" customHeight="1" x14ac:dyDescent="0.2">
      <c r="A213" s="697">
        <v>3911</v>
      </c>
      <c r="B213" s="697"/>
      <c r="C213" s="698" t="s">
        <v>476</v>
      </c>
      <c r="D213" s="699" t="s">
        <v>476</v>
      </c>
      <c r="E213" s="700">
        <f t="shared" si="31"/>
        <v>20941.393899999999</v>
      </c>
      <c r="F213" s="700">
        <v>0</v>
      </c>
      <c r="G213" s="701">
        <f t="shared" si="27"/>
        <v>20941.393899999999</v>
      </c>
      <c r="H213" s="698" t="s">
        <v>10</v>
      </c>
      <c r="I213" s="699" t="s">
        <v>1512</v>
      </c>
      <c r="J213" s="699" t="s">
        <v>10</v>
      </c>
      <c r="K213" s="699" t="s">
        <v>19</v>
      </c>
      <c r="L213" s="699" t="s">
        <v>10</v>
      </c>
      <c r="M213" s="702">
        <v>0</v>
      </c>
      <c r="N213" s="702">
        <v>1</v>
      </c>
      <c r="O213" s="702">
        <v>1</v>
      </c>
      <c r="P213" s="702">
        <v>0</v>
      </c>
      <c r="Q213" s="702">
        <v>0</v>
      </c>
      <c r="R213" s="702">
        <v>0</v>
      </c>
      <c r="S213" s="702">
        <v>108001</v>
      </c>
      <c r="T213" s="7">
        <f t="shared" si="29"/>
        <v>20941.393899999999</v>
      </c>
      <c r="U213" s="702">
        <v>98083</v>
      </c>
      <c r="V213" s="702">
        <v>9918</v>
      </c>
      <c r="W213" s="702">
        <v>1600</v>
      </c>
      <c r="X213" s="702">
        <v>0</v>
      </c>
      <c r="Y213" s="702">
        <v>0</v>
      </c>
      <c r="Z213" s="702">
        <v>0</v>
      </c>
      <c r="AA213" s="702">
        <v>128942.3939</v>
      </c>
      <c r="AB213" s="702">
        <v>20941.393899999999</v>
      </c>
      <c r="AC213" s="702">
        <v>108001</v>
      </c>
      <c r="AD213" s="702">
        <v>0</v>
      </c>
      <c r="AE213" s="702">
        <v>0</v>
      </c>
      <c r="AF213" s="702">
        <v>0</v>
      </c>
      <c r="AG213" s="702">
        <v>108001</v>
      </c>
      <c r="AH213" s="702">
        <v>0</v>
      </c>
      <c r="AI213" s="702">
        <v>0</v>
      </c>
      <c r="AJ213" s="698">
        <v>4</v>
      </c>
      <c r="AK213" s="698" t="s">
        <v>913</v>
      </c>
      <c r="AL213" s="699" t="s">
        <v>1512</v>
      </c>
      <c r="AM213" s="698" t="s">
        <v>10</v>
      </c>
      <c r="AN213" s="699" t="s">
        <v>476</v>
      </c>
      <c r="AO213" s="699">
        <v>20941.393899999999</v>
      </c>
      <c r="AP213" s="703">
        <f t="shared" si="28"/>
        <v>11.205508</v>
      </c>
      <c r="AQ213" s="703">
        <f t="shared" si="30"/>
        <v>11.205508</v>
      </c>
      <c r="AR213" s="697">
        <v>0</v>
      </c>
      <c r="AS213" s="697">
        <v>0</v>
      </c>
      <c r="AT213" s="697">
        <v>8</v>
      </c>
      <c r="AU213" s="697">
        <v>0</v>
      </c>
      <c r="AV213" s="697">
        <v>0</v>
      </c>
      <c r="AW213" s="697">
        <v>0</v>
      </c>
      <c r="AX213" s="697">
        <v>0</v>
      </c>
      <c r="AY213" s="697">
        <v>2</v>
      </c>
      <c r="AZ213" s="697">
        <v>0</v>
      </c>
      <c r="BA213" s="697">
        <v>0</v>
      </c>
      <c r="BB213" s="697">
        <v>0</v>
      </c>
      <c r="BC213" s="697">
        <v>0</v>
      </c>
      <c r="BD213" s="697">
        <v>0</v>
      </c>
      <c r="BE213" s="697">
        <v>0</v>
      </c>
      <c r="BF213" s="697">
        <v>0</v>
      </c>
      <c r="BG213" s="697">
        <v>0</v>
      </c>
      <c r="BH213" s="697">
        <v>0</v>
      </c>
      <c r="BI213" s="697">
        <v>0</v>
      </c>
      <c r="BJ213" s="697">
        <v>0</v>
      </c>
      <c r="BK213" s="697">
        <v>0</v>
      </c>
      <c r="BL213" s="697">
        <v>0</v>
      </c>
      <c r="BM213" s="697">
        <v>0</v>
      </c>
      <c r="BN213" s="697">
        <v>0</v>
      </c>
      <c r="BO213" s="697">
        <v>12.05508</v>
      </c>
    </row>
    <row r="214" spans="1:67" s="392" customFormat="1" ht="15" customHeight="1" x14ac:dyDescent="0.2">
      <c r="A214" s="697">
        <v>9620</v>
      </c>
      <c r="B214" s="697"/>
      <c r="C214" s="698" t="s">
        <v>478</v>
      </c>
      <c r="D214" s="699" t="s">
        <v>478</v>
      </c>
      <c r="E214" s="700">
        <f t="shared" si="31"/>
        <v>64564.821999999993</v>
      </c>
      <c r="F214" s="700">
        <v>0</v>
      </c>
      <c r="G214" s="701">
        <f t="shared" si="27"/>
        <v>64564.821999999993</v>
      </c>
      <c r="H214" s="698" t="s">
        <v>10</v>
      </c>
      <c r="I214" s="699" t="s">
        <v>1512</v>
      </c>
      <c r="J214" s="699" t="s">
        <v>10</v>
      </c>
      <c r="K214" s="699" t="s">
        <v>78</v>
      </c>
      <c r="L214" s="699" t="s">
        <v>10</v>
      </c>
      <c r="M214" s="702">
        <v>14</v>
      </c>
      <c r="N214" s="702">
        <v>0.91100000000000003</v>
      </c>
      <c r="O214" s="702">
        <v>0.91100000000000003</v>
      </c>
      <c r="P214" s="702">
        <v>0.88</v>
      </c>
      <c r="Q214" s="702">
        <v>0.95699999999999996</v>
      </c>
      <c r="R214" s="702">
        <v>0</v>
      </c>
      <c r="S214" s="702">
        <v>332980</v>
      </c>
      <c r="T214" s="7">
        <f t="shared" si="29"/>
        <v>64564.821999999993</v>
      </c>
      <c r="U214" s="702">
        <v>281831</v>
      </c>
      <c r="V214" s="702">
        <v>51149</v>
      </c>
      <c r="W214" s="702">
        <v>1700</v>
      </c>
      <c r="X214" s="702">
        <v>0</v>
      </c>
      <c r="Y214" s="702">
        <v>0</v>
      </c>
      <c r="Z214" s="702">
        <v>0</v>
      </c>
      <c r="AA214" s="702">
        <v>397544.82199999999</v>
      </c>
      <c r="AB214" s="702">
        <v>64564.822</v>
      </c>
      <c r="AC214" s="702">
        <v>332980</v>
      </c>
      <c r="AD214" s="702">
        <v>0</v>
      </c>
      <c r="AE214" s="702">
        <v>0</v>
      </c>
      <c r="AF214" s="702">
        <v>0</v>
      </c>
      <c r="AG214" s="702">
        <v>332980</v>
      </c>
      <c r="AH214" s="702">
        <v>0</v>
      </c>
      <c r="AI214" s="702">
        <v>0</v>
      </c>
      <c r="AJ214" s="698" t="s">
        <v>900</v>
      </c>
      <c r="AK214" s="698" t="s">
        <v>907</v>
      </c>
      <c r="AL214" s="699" t="s">
        <v>1512</v>
      </c>
      <c r="AM214" s="698" t="s">
        <v>10</v>
      </c>
      <c r="AN214" s="699" t="s">
        <v>478</v>
      </c>
      <c r="AO214" s="699">
        <v>64564.822</v>
      </c>
      <c r="AP214" s="703">
        <f t="shared" ref="AP214:AP230" si="32">AR214+AT214+AU214+AV214+AX214+AY214+AZ214+BD214+BF214+BG214+BH214+BJ214+BK214+(BL214+BM214+BN214)/1000+(0.1*BO214)</f>
        <v>1.3515999999999999</v>
      </c>
      <c r="AQ214" s="703">
        <f t="shared" si="30"/>
        <v>10.351599999999999</v>
      </c>
      <c r="AR214" s="697">
        <v>0</v>
      </c>
      <c r="AS214" s="697">
        <v>0</v>
      </c>
      <c r="AT214" s="697">
        <v>1</v>
      </c>
      <c r="AU214" s="697">
        <v>0</v>
      </c>
      <c r="AV214" s="697">
        <v>0</v>
      </c>
      <c r="AW214" s="697">
        <v>0</v>
      </c>
      <c r="AX214" s="697">
        <v>0</v>
      </c>
      <c r="AY214" s="697">
        <v>0</v>
      </c>
      <c r="AZ214" s="697">
        <v>0</v>
      </c>
      <c r="BA214" s="697">
        <v>0</v>
      </c>
      <c r="BB214" s="697">
        <v>9</v>
      </c>
      <c r="BC214" s="697">
        <v>0</v>
      </c>
      <c r="BD214" s="697">
        <v>0</v>
      </c>
      <c r="BE214" s="697">
        <v>0</v>
      </c>
      <c r="BF214" s="697">
        <v>0</v>
      </c>
      <c r="BG214" s="697">
        <v>0</v>
      </c>
      <c r="BH214" s="697">
        <v>0</v>
      </c>
      <c r="BI214" s="697">
        <v>0</v>
      </c>
      <c r="BJ214" s="697">
        <v>0</v>
      </c>
      <c r="BK214" s="697">
        <v>0</v>
      </c>
      <c r="BL214" s="697">
        <v>0</v>
      </c>
      <c r="BM214" s="697">
        <v>0</v>
      </c>
      <c r="BN214" s="697">
        <v>0</v>
      </c>
      <c r="BO214" s="697">
        <v>3.516</v>
      </c>
    </row>
    <row r="215" spans="1:67" ht="15" customHeight="1" x14ac:dyDescent="0.2">
      <c r="A215" s="715">
        <v>4602</v>
      </c>
      <c r="B215" s="715"/>
      <c r="C215" s="716" t="s">
        <v>959</v>
      </c>
      <c r="D215" s="706" t="s">
        <v>959</v>
      </c>
      <c r="E215" s="700" t="e">
        <f t="shared" si="31"/>
        <v>#VALUE!</v>
      </c>
      <c r="F215" s="707" t="s">
        <v>10</v>
      </c>
      <c r="G215" s="701" t="e">
        <f t="shared" si="27"/>
        <v>#VALUE!</v>
      </c>
      <c r="H215" s="705" t="s">
        <v>1417</v>
      </c>
      <c r="I215" s="706" t="s">
        <v>1416</v>
      </c>
      <c r="J215" s="706" t="s">
        <v>10</v>
      </c>
      <c r="K215" s="706" t="s">
        <v>10</v>
      </c>
      <c r="L215" s="706" t="s">
        <v>10</v>
      </c>
      <c r="M215" s="708" t="s">
        <v>10</v>
      </c>
      <c r="N215" s="708" t="s">
        <v>10</v>
      </c>
      <c r="O215" s="708" t="s">
        <v>10</v>
      </c>
      <c r="P215" s="708" t="s">
        <v>10</v>
      </c>
      <c r="Q215" s="708" t="s">
        <v>10</v>
      </c>
      <c r="R215" s="708" t="s">
        <v>10</v>
      </c>
      <c r="S215" s="708" t="s">
        <v>10</v>
      </c>
      <c r="T215" s="7" t="e">
        <f t="shared" si="29"/>
        <v>#VALUE!</v>
      </c>
      <c r="U215" s="708" t="s">
        <v>10</v>
      </c>
      <c r="V215" s="708" t="s">
        <v>10</v>
      </c>
      <c r="W215" s="708" t="s">
        <v>10</v>
      </c>
      <c r="X215" s="708" t="s">
        <v>10</v>
      </c>
      <c r="Y215" s="708" t="s">
        <v>10</v>
      </c>
      <c r="Z215" s="708" t="s">
        <v>10</v>
      </c>
      <c r="AA215" s="708" t="s">
        <v>10</v>
      </c>
      <c r="AB215" s="708" t="s">
        <v>10</v>
      </c>
      <c r="AC215" s="708" t="s">
        <v>10</v>
      </c>
      <c r="AD215" s="708" t="s">
        <v>10</v>
      </c>
      <c r="AE215" s="708" t="s">
        <v>10</v>
      </c>
      <c r="AF215" s="708" t="s">
        <v>10</v>
      </c>
      <c r="AG215" s="708" t="s">
        <v>10</v>
      </c>
      <c r="AH215" s="708" t="s">
        <v>10</v>
      </c>
      <c r="AI215" s="708" t="s">
        <v>10</v>
      </c>
      <c r="AJ215" s="705" t="s">
        <v>900</v>
      </c>
      <c r="AK215" s="705" t="s">
        <v>901</v>
      </c>
      <c r="AL215" s="709" t="s">
        <v>1512</v>
      </c>
      <c r="AM215" s="705" t="s">
        <v>1417</v>
      </c>
      <c r="AN215" s="726" t="s">
        <v>959</v>
      </c>
      <c r="AO215" s="726">
        <v>98889</v>
      </c>
      <c r="AP215" s="710">
        <f t="shared" si="32"/>
        <v>28</v>
      </c>
      <c r="AQ215" s="703">
        <f t="shared" si="30"/>
        <v>51</v>
      </c>
      <c r="AR215" s="704">
        <v>0</v>
      </c>
      <c r="AS215" s="704">
        <v>0</v>
      </c>
      <c r="AT215" s="704">
        <v>28</v>
      </c>
      <c r="AU215" s="704">
        <v>0</v>
      </c>
      <c r="AV215" s="704">
        <v>0</v>
      </c>
      <c r="AW215" s="704">
        <v>0</v>
      </c>
      <c r="AX215" s="704">
        <v>0</v>
      </c>
      <c r="AY215" s="704">
        <v>0</v>
      </c>
      <c r="AZ215" s="704">
        <v>0</v>
      </c>
      <c r="BA215" s="704">
        <v>23</v>
      </c>
      <c r="BB215" s="704">
        <v>23</v>
      </c>
      <c r="BC215" s="704">
        <v>0</v>
      </c>
      <c r="BD215" s="704">
        <v>0</v>
      </c>
      <c r="BE215" s="704">
        <v>0</v>
      </c>
      <c r="BF215" s="704">
        <v>0</v>
      </c>
      <c r="BG215" s="704">
        <v>0</v>
      </c>
      <c r="BH215" s="704">
        <v>0</v>
      </c>
      <c r="BI215" s="704">
        <v>0</v>
      </c>
      <c r="BJ215" s="704">
        <v>0</v>
      </c>
      <c r="BK215" s="704">
        <v>0</v>
      </c>
      <c r="BL215" s="704">
        <v>0</v>
      </c>
      <c r="BM215" s="704">
        <v>0</v>
      </c>
      <c r="BN215" s="704">
        <v>0</v>
      </c>
      <c r="BO215" s="704">
        <v>0</v>
      </c>
    </row>
    <row r="216" spans="1:67" ht="15" customHeight="1" x14ac:dyDescent="0.2">
      <c r="A216" s="704">
        <v>2307</v>
      </c>
      <c r="B216" s="704" t="s">
        <v>1412</v>
      </c>
      <c r="C216" s="705" t="s">
        <v>479</v>
      </c>
      <c r="D216" s="699" t="s">
        <v>479</v>
      </c>
      <c r="E216" s="700">
        <f t="shared" si="31"/>
        <v>298114.38279999996</v>
      </c>
      <c r="F216" s="700">
        <v>0</v>
      </c>
      <c r="G216" s="701">
        <f t="shared" si="27"/>
        <v>298114.38279999996</v>
      </c>
      <c r="H216" s="705" t="s">
        <v>10</v>
      </c>
      <c r="I216" s="699" t="s">
        <v>1416</v>
      </c>
      <c r="J216" s="699" t="s">
        <v>1412</v>
      </c>
      <c r="K216" s="699" t="s">
        <v>19</v>
      </c>
      <c r="L216" s="699" t="s">
        <v>10</v>
      </c>
      <c r="M216" s="702">
        <v>75</v>
      </c>
      <c r="N216" s="702">
        <v>0.879</v>
      </c>
      <c r="O216" s="702">
        <v>0.93899999999999995</v>
      </c>
      <c r="P216" s="702">
        <v>0.84499999999999997</v>
      </c>
      <c r="Q216" s="702">
        <v>0.82099999999999995</v>
      </c>
      <c r="R216" s="702">
        <v>984155</v>
      </c>
      <c r="S216" s="702">
        <v>855667</v>
      </c>
      <c r="T216" s="7">
        <f t="shared" si="29"/>
        <v>292786.11249999999</v>
      </c>
      <c r="U216" s="702">
        <v>568373</v>
      </c>
      <c r="V216" s="702">
        <v>287294</v>
      </c>
      <c r="W216" s="702">
        <v>3000</v>
      </c>
      <c r="X216" s="702">
        <v>0</v>
      </c>
      <c r="Y216" s="702">
        <v>0</v>
      </c>
      <c r="Z216" s="702">
        <v>0</v>
      </c>
      <c r="AA216" s="702">
        <v>1148453.1129999999</v>
      </c>
      <c r="AB216" s="702">
        <v>292786.11249999999</v>
      </c>
      <c r="AC216" s="702">
        <v>855667</v>
      </c>
      <c r="AD216" s="702">
        <v>0</v>
      </c>
      <c r="AE216" s="702">
        <v>0</v>
      </c>
      <c r="AF216" s="702">
        <v>855667</v>
      </c>
      <c r="AG216" s="702">
        <v>0</v>
      </c>
      <c r="AH216" s="702">
        <v>185000</v>
      </c>
      <c r="AI216" s="702">
        <v>174000</v>
      </c>
      <c r="AJ216" s="705">
        <v>4</v>
      </c>
      <c r="AK216" s="705" t="s">
        <v>913</v>
      </c>
      <c r="AL216" s="709" t="s">
        <v>1578</v>
      </c>
      <c r="AM216" s="705" t="s">
        <v>10</v>
      </c>
      <c r="AN216" s="709" t="s">
        <v>960</v>
      </c>
      <c r="AO216" s="709">
        <v>0</v>
      </c>
      <c r="AP216" s="710">
        <f t="shared" si="32"/>
        <v>135.41220000000001</v>
      </c>
      <c r="AQ216" s="703">
        <f t="shared" si="30"/>
        <v>137.41220000000001</v>
      </c>
      <c r="AR216" s="704">
        <v>38</v>
      </c>
      <c r="AS216" s="704">
        <v>174</v>
      </c>
      <c r="AT216" s="704">
        <v>62</v>
      </c>
      <c r="AU216" s="704">
        <v>15</v>
      </c>
      <c r="AV216" s="704">
        <v>0</v>
      </c>
      <c r="AW216" s="704">
        <v>0</v>
      </c>
      <c r="AX216" s="704">
        <v>0</v>
      </c>
      <c r="AY216" s="704">
        <v>0</v>
      </c>
      <c r="AZ216" s="704">
        <v>0</v>
      </c>
      <c r="BA216" s="704">
        <v>14</v>
      </c>
      <c r="BB216" s="704">
        <v>2</v>
      </c>
      <c r="BC216" s="704">
        <v>0</v>
      </c>
      <c r="BD216" s="704">
        <v>0</v>
      </c>
      <c r="BE216" s="704">
        <v>0</v>
      </c>
      <c r="BF216" s="704">
        <v>0</v>
      </c>
      <c r="BG216" s="704">
        <v>0</v>
      </c>
      <c r="BH216" s="704">
        <v>0</v>
      </c>
      <c r="BI216" s="704">
        <v>0</v>
      </c>
      <c r="BJ216" s="704">
        <v>0</v>
      </c>
      <c r="BK216" s="704">
        <v>0</v>
      </c>
      <c r="BL216" s="704">
        <v>0</v>
      </c>
      <c r="BM216" s="704">
        <v>0</v>
      </c>
      <c r="BN216" s="704">
        <v>0</v>
      </c>
      <c r="BO216" s="704">
        <v>204.12200000000001</v>
      </c>
    </row>
    <row r="217" spans="1:67" ht="15" customHeight="1" x14ac:dyDescent="0.2">
      <c r="A217" s="697">
        <v>2311</v>
      </c>
      <c r="B217" s="697"/>
      <c r="C217" s="698" t="s">
        <v>480</v>
      </c>
      <c r="D217" s="699" t="s">
        <v>480</v>
      </c>
      <c r="E217" s="700">
        <f t="shared" si="31"/>
        <v>16481.5</v>
      </c>
      <c r="F217" s="700">
        <v>0</v>
      </c>
      <c r="G217" s="701">
        <f t="shared" si="27"/>
        <v>16481.5</v>
      </c>
      <c r="H217" s="698" t="s">
        <v>10</v>
      </c>
      <c r="I217" s="699" t="s">
        <v>1512</v>
      </c>
      <c r="J217" s="699" t="s">
        <v>1417</v>
      </c>
      <c r="K217" s="699" t="s">
        <v>19</v>
      </c>
      <c r="L217" s="699" t="s">
        <v>10</v>
      </c>
      <c r="M217" s="702">
        <v>0</v>
      </c>
      <c r="N217" s="702">
        <v>1</v>
      </c>
      <c r="O217" s="702">
        <v>1</v>
      </c>
      <c r="P217" s="702">
        <v>1</v>
      </c>
      <c r="Q217" s="702">
        <v>1</v>
      </c>
      <c r="R217" s="702">
        <v>0</v>
      </c>
      <c r="S217" s="702">
        <v>85000</v>
      </c>
      <c r="T217" s="7">
        <f t="shared" si="29"/>
        <v>16481.5</v>
      </c>
      <c r="U217" s="702">
        <v>86676</v>
      </c>
      <c r="V217" s="702">
        <v>-1676</v>
      </c>
      <c r="W217" s="702">
        <v>952</v>
      </c>
      <c r="X217" s="702">
        <v>0</v>
      </c>
      <c r="Y217" s="702">
        <v>0</v>
      </c>
      <c r="Z217" s="702">
        <v>0</v>
      </c>
      <c r="AA217" s="702">
        <v>101481.5</v>
      </c>
      <c r="AB217" s="702">
        <v>16481.5</v>
      </c>
      <c r="AC217" s="702">
        <v>85000</v>
      </c>
      <c r="AD217" s="702">
        <v>0</v>
      </c>
      <c r="AE217" s="702">
        <v>0</v>
      </c>
      <c r="AF217" s="702">
        <v>0</v>
      </c>
      <c r="AG217" s="702">
        <v>85000</v>
      </c>
      <c r="AH217" s="702">
        <v>0</v>
      </c>
      <c r="AI217" s="702">
        <v>0</v>
      </c>
      <c r="AJ217" s="698">
        <v>4</v>
      </c>
      <c r="AK217" s="698" t="s">
        <v>913</v>
      </c>
      <c r="AL217" s="699" t="s">
        <v>1512</v>
      </c>
      <c r="AM217" s="698" t="s">
        <v>10</v>
      </c>
      <c r="AN217" s="699" t="s">
        <v>480</v>
      </c>
      <c r="AO217" s="699">
        <v>16481.5</v>
      </c>
      <c r="AP217" s="703">
        <f t="shared" si="32"/>
        <v>8.2661639999999998</v>
      </c>
      <c r="AQ217" s="703">
        <f t="shared" si="30"/>
        <v>8.2661639999999998</v>
      </c>
      <c r="AR217" s="697">
        <v>0</v>
      </c>
      <c r="AS217" s="697">
        <v>0</v>
      </c>
      <c r="AT217" s="697">
        <v>0</v>
      </c>
      <c r="AU217" s="697">
        <v>5</v>
      </c>
      <c r="AV217" s="697">
        <v>0</v>
      </c>
      <c r="AW217" s="697">
        <v>0</v>
      </c>
      <c r="AX217" s="697">
        <v>2</v>
      </c>
      <c r="AY217" s="697">
        <v>0</v>
      </c>
      <c r="AZ217" s="697">
        <v>0</v>
      </c>
      <c r="BA217" s="697">
        <v>0</v>
      </c>
      <c r="BB217" s="697">
        <v>0</v>
      </c>
      <c r="BC217" s="697">
        <v>0</v>
      </c>
      <c r="BD217" s="697">
        <v>0</v>
      </c>
      <c r="BE217" s="697">
        <v>0</v>
      </c>
      <c r="BF217" s="697">
        <v>0</v>
      </c>
      <c r="BG217" s="697">
        <v>0</v>
      </c>
      <c r="BH217" s="697">
        <v>0</v>
      </c>
      <c r="BI217" s="697">
        <v>0</v>
      </c>
      <c r="BJ217" s="697">
        <v>0</v>
      </c>
      <c r="BK217" s="697">
        <v>0</v>
      </c>
      <c r="BL217" s="697">
        <v>0</v>
      </c>
      <c r="BM217" s="697">
        <v>0</v>
      </c>
      <c r="BN217" s="697">
        <v>0</v>
      </c>
      <c r="BO217" s="697">
        <v>12.66164</v>
      </c>
    </row>
    <row r="218" spans="1:67" ht="15" customHeight="1" x14ac:dyDescent="0.2">
      <c r="A218" s="697">
        <v>3633</v>
      </c>
      <c r="B218" s="697" t="s">
        <v>1412</v>
      </c>
      <c r="C218" s="698" t="s">
        <v>481</v>
      </c>
      <c r="D218" s="699" t="s">
        <v>481</v>
      </c>
      <c r="E218" s="700">
        <f t="shared" si="31"/>
        <v>20670.920399999999</v>
      </c>
      <c r="F218" s="700">
        <v>0</v>
      </c>
      <c r="G218" s="701">
        <f t="shared" si="27"/>
        <v>20670.920399999999</v>
      </c>
      <c r="H218" s="698" t="s">
        <v>1417</v>
      </c>
      <c r="I218" s="699" t="s">
        <v>1416</v>
      </c>
      <c r="J218" s="699" t="s">
        <v>1412</v>
      </c>
      <c r="K218" s="699" t="s">
        <v>10</v>
      </c>
      <c r="L218" s="699" t="s">
        <v>10</v>
      </c>
      <c r="M218" s="702">
        <v>54</v>
      </c>
      <c r="N218" s="702">
        <v>0.92100000000000004</v>
      </c>
      <c r="O218" s="702">
        <v>0.94799999999999995</v>
      </c>
      <c r="P218" s="702">
        <v>0.95899999999999996</v>
      </c>
      <c r="Q218" s="702">
        <v>0.82399999999999995</v>
      </c>
      <c r="R218" s="702">
        <v>60273</v>
      </c>
      <c r="S218" s="702">
        <v>59331</v>
      </c>
      <c r="T218" s="7">
        <f t="shared" si="29"/>
        <v>17931.217499999999</v>
      </c>
      <c r="U218" s="702">
        <v>0</v>
      </c>
      <c r="V218" s="702">
        <v>59331</v>
      </c>
      <c r="W218" s="702">
        <v>0</v>
      </c>
      <c r="X218" s="702">
        <v>0</v>
      </c>
      <c r="Y218" s="702">
        <v>0</v>
      </c>
      <c r="Z218" s="702">
        <v>0</v>
      </c>
      <c r="AA218" s="702">
        <v>77262.217499999999</v>
      </c>
      <c r="AB218" s="702">
        <v>17931.217499999999</v>
      </c>
      <c r="AC218" s="702">
        <v>59331</v>
      </c>
      <c r="AD218" s="702">
        <v>0</v>
      </c>
      <c r="AE218" s="702">
        <v>0</v>
      </c>
      <c r="AF218" s="702">
        <v>59331</v>
      </c>
      <c r="AG218" s="702">
        <v>0</v>
      </c>
      <c r="AH218" s="702">
        <v>172000</v>
      </c>
      <c r="AI218" s="702">
        <v>112000</v>
      </c>
      <c r="AJ218" s="698" t="s">
        <v>914</v>
      </c>
      <c r="AK218" s="698" t="s">
        <v>920</v>
      </c>
      <c r="AL218" s="699" t="s">
        <v>1416</v>
      </c>
      <c r="AM218" s="698" t="s">
        <v>1417</v>
      </c>
      <c r="AN218" s="699" t="s">
        <v>481</v>
      </c>
      <c r="AO218" s="699">
        <v>17931.217499999999</v>
      </c>
      <c r="AP218" s="703">
        <f t="shared" si="32"/>
        <v>154</v>
      </c>
      <c r="AQ218" s="703">
        <f t="shared" si="30"/>
        <v>154</v>
      </c>
      <c r="AR218" s="697">
        <v>147</v>
      </c>
      <c r="AS218" s="697">
        <v>112</v>
      </c>
      <c r="AT218" s="697">
        <v>6</v>
      </c>
      <c r="AU218" s="697">
        <v>0</v>
      </c>
      <c r="AV218" s="697">
        <v>0</v>
      </c>
      <c r="AW218" s="697">
        <v>0</v>
      </c>
      <c r="AX218" s="697">
        <v>0</v>
      </c>
      <c r="AY218" s="697">
        <v>0</v>
      </c>
      <c r="AZ218" s="697">
        <v>0</v>
      </c>
      <c r="BA218" s="697">
        <v>23</v>
      </c>
      <c r="BB218" s="697">
        <v>0</v>
      </c>
      <c r="BC218" s="697">
        <v>0</v>
      </c>
      <c r="BD218" s="697">
        <v>1</v>
      </c>
      <c r="BE218" s="697">
        <v>0</v>
      </c>
      <c r="BF218" s="697">
        <v>0</v>
      </c>
      <c r="BG218" s="697">
        <v>0</v>
      </c>
      <c r="BH218" s="697">
        <v>0</v>
      </c>
      <c r="BI218" s="697">
        <v>0</v>
      </c>
      <c r="BJ218" s="697">
        <v>0</v>
      </c>
      <c r="BK218" s="697">
        <v>0</v>
      </c>
      <c r="BL218" s="697">
        <v>0</v>
      </c>
      <c r="BM218" s="697">
        <v>0</v>
      </c>
      <c r="BN218" s="697">
        <v>0</v>
      </c>
      <c r="BO218" s="697">
        <v>0</v>
      </c>
    </row>
    <row r="219" spans="1:67" ht="15" customHeight="1" x14ac:dyDescent="0.2">
      <c r="A219" s="697">
        <v>4839</v>
      </c>
      <c r="B219" s="697" t="s">
        <v>1412</v>
      </c>
      <c r="C219" s="698" t="s">
        <v>482</v>
      </c>
      <c r="D219" s="699" t="s">
        <v>482</v>
      </c>
      <c r="E219" s="700">
        <f t="shared" si="31"/>
        <v>459888</v>
      </c>
      <c r="F219" s="700">
        <v>0</v>
      </c>
      <c r="G219" s="701">
        <f t="shared" si="27"/>
        <v>459888</v>
      </c>
      <c r="H219" s="698" t="s">
        <v>10</v>
      </c>
      <c r="I219" s="699" t="s">
        <v>1416</v>
      </c>
      <c r="J219" s="699" t="s">
        <v>1412</v>
      </c>
      <c r="K219" s="699" t="s">
        <v>325</v>
      </c>
      <c r="L219" s="699" t="s">
        <v>10</v>
      </c>
      <c r="M219" s="702">
        <v>184</v>
      </c>
      <c r="N219" s="702">
        <v>0.90600000000000003</v>
      </c>
      <c r="O219" s="702">
        <v>0.91700000000000004</v>
      </c>
      <c r="P219" s="702">
        <v>0.92500000000000004</v>
      </c>
      <c r="Q219" s="702">
        <v>0.95199999999999996</v>
      </c>
      <c r="R219" s="702">
        <v>1207554</v>
      </c>
      <c r="S219" s="702">
        <v>1320000</v>
      </c>
      <c r="T219" s="7">
        <f t="shared" si="29"/>
        <v>359247.315</v>
      </c>
      <c r="U219" s="702">
        <v>791000</v>
      </c>
      <c r="V219" s="702">
        <v>529000</v>
      </c>
      <c r="W219" s="702">
        <v>7000</v>
      </c>
      <c r="X219" s="702">
        <v>0</v>
      </c>
      <c r="Y219" s="702">
        <v>0</v>
      </c>
      <c r="Z219" s="702">
        <v>0</v>
      </c>
      <c r="AA219" s="702">
        <v>1679247.3149999999</v>
      </c>
      <c r="AB219" s="702">
        <v>359247.315</v>
      </c>
      <c r="AC219" s="702">
        <v>1320000</v>
      </c>
      <c r="AD219" s="702">
        <v>0</v>
      </c>
      <c r="AE219" s="702">
        <v>0</v>
      </c>
      <c r="AF219" s="702">
        <v>1320000</v>
      </c>
      <c r="AG219" s="702">
        <v>0</v>
      </c>
      <c r="AH219" s="702">
        <v>1212000</v>
      </c>
      <c r="AI219" s="702">
        <v>1001000</v>
      </c>
      <c r="AJ219" s="698" t="s">
        <v>900</v>
      </c>
      <c r="AK219" s="698" t="s">
        <v>907</v>
      </c>
      <c r="AL219" s="699" t="s">
        <v>1416</v>
      </c>
      <c r="AM219" s="698" t="s">
        <v>10</v>
      </c>
      <c r="AN219" s="699" t="s">
        <v>482</v>
      </c>
      <c r="AO219" s="699">
        <v>359247.315</v>
      </c>
      <c r="AP219" s="703">
        <f t="shared" si="32"/>
        <v>571</v>
      </c>
      <c r="AQ219" s="703">
        <f t="shared" si="30"/>
        <v>613</v>
      </c>
      <c r="AR219" s="697">
        <v>0</v>
      </c>
      <c r="AS219" s="697">
        <v>1001</v>
      </c>
      <c r="AT219" s="697">
        <v>570</v>
      </c>
      <c r="AU219" s="697">
        <v>1</v>
      </c>
      <c r="AV219" s="697">
        <v>0</v>
      </c>
      <c r="AW219" s="697">
        <v>0</v>
      </c>
      <c r="AX219" s="697">
        <v>0</v>
      </c>
      <c r="AY219" s="697">
        <v>0</v>
      </c>
      <c r="AZ219" s="697">
        <v>0</v>
      </c>
      <c r="BA219" s="697">
        <v>87</v>
      </c>
      <c r="BB219" s="697">
        <v>37</v>
      </c>
      <c r="BC219" s="697">
        <v>5</v>
      </c>
      <c r="BD219" s="697">
        <v>0</v>
      </c>
      <c r="BE219" s="697">
        <v>1</v>
      </c>
      <c r="BF219" s="697">
        <v>0</v>
      </c>
      <c r="BG219" s="697">
        <v>0</v>
      </c>
      <c r="BH219" s="697">
        <v>0</v>
      </c>
      <c r="BI219" s="697">
        <v>0</v>
      </c>
      <c r="BJ219" s="697">
        <v>0</v>
      </c>
      <c r="BK219" s="697">
        <v>0</v>
      </c>
      <c r="BL219" s="697">
        <v>0</v>
      </c>
      <c r="BM219" s="697">
        <v>0</v>
      </c>
      <c r="BN219" s="697">
        <v>0</v>
      </c>
      <c r="BO219" s="697">
        <v>0</v>
      </c>
    </row>
    <row r="220" spans="1:67" ht="15" customHeight="1" x14ac:dyDescent="0.2">
      <c r="A220" s="697">
        <v>4840</v>
      </c>
      <c r="B220" s="697" t="s">
        <v>1412</v>
      </c>
      <c r="C220" s="698" t="s">
        <v>484</v>
      </c>
      <c r="D220" s="699" t="s">
        <v>484</v>
      </c>
      <c r="E220" s="700">
        <f t="shared" si="31"/>
        <v>444210</v>
      </c>
      <c r="F220" s="700">
        <v>0</v>
      </c>
      <c r="G220" s="701">
        <f t="shared" ref="G220:G251" si="33">E220+F220</f>
        <v>444210</v>
      </c>
      <c r="H220" s="698" t="s">
        <v>1417</v>
      </c>
      <c r="I220" s="699" t="s">
        <v>1416</v>
      </c>
      <c r="J220" s="699" t="s">
        <v>1412</v>
      </c>
      <c r="K220" s="699" t="s">
        <v>126</v>
      </c>
      <c r="L220" s="699" t="s">
        <v>10</v>
      </c>
      <c r="M220" s="702">
        <v>182</v>
      </c>
      <c r="N220" s="702">
        <v>0.94199999999999995</v>
      </c>
      <c r="O220" s="702">
        <v>0.95699999999999996</v>
      </c>
      <c r="P220" s="702">
        <v>0.92500000000000004</v>
      </c>
      <c r="Q220" s="702">
        <v>0.95199999999999996</v>
      </c>
      <c r="R220" s="702">
        <v>844738</v>
      </c>
      <c r="S220" s="702">
        <v>1275000</v>
      </c>
      <c r="T220" s="7">
        <f t="shared" si="29"/>
        <v>251309.55499999999</v>
      </c>
      <c r="U220" s="702">
        <v>844738</v>
      </c>
      <c r="V220" s="702">
        <v>430262</v>
      </c>
      <c r="W220" s="702">
        <v>6787</v>
      </c>
      <c r="X220" s="702">
        <v>0</v>
      </c>
      <c r="Y220" s="702">
        <v>0</v>
      </c>
      <c r="Z220" s="702">
        <v>0</v>
      </c>
      <c r="AA220" s="702">
        <v>1526309.5549999999</v>
      </c>
      <c r="AB220" s="702">
        <v>251309.55499999999</v>
      </c>
      <c r="AC220" s="702">
        <v>1275000</v>
      </c>
      <c r="AD220" s="702">
        <v>0</v>
      </c>
      <c r="AE220" s="702">
        <v>0</v>
      </c>
      <c r="AF220" s="702">
        <v>1275000</v>
      </c>
      <c r="AG220" s="702">
        <v>0</v>
      </c>
      <c r="AH220" s="702">
        <v>1027000</v>
      </c>
      <c r="AI220" s="702">
        <v>1026000</v>
      </c>
      <c r="AJ220" s="698" t="s">
        <v>900</v>
      </c>
      <c r="AK220" s="698" t="s">
        <v>905</v>
      </c>
      <c r="AL220" s="699" t="s">
        <v>1416</v>
      </c>
      <c r="AM220" s="698" t="s">
        <v>1417</v>
      </c>
      <c r="AN220" s="699" t="s">
        <v>484</v>
      </c>
      <c r="AO220" s="699">
        <v>251309.55499999999</v>
      </c>
      <c r="AP220" s="703">
        <f t="shared" si="32"/>
        <v>1114.2901999999999</v>
      </c>
      <c r="AQ220" s="703">
        <f t="shared" si="30"/>
        <v>1139.2901999999999</v>
      </c>
      <c r="AR220" s="697">
        <v>421</v>
      </c>
      <c r="AS220" s="697">
        <v>1026</v>
      </c>
      <c r="AT220" s="697">
        <v>238</v>
      </c>
      <c r="AU220" s="697">
        <v>0</v>
      </c>
      <c r="AV220" s="697">
        <v>0</v>
      </c>
      <c r="AW220" s="697">
        <v>0</v>
      </c>
      <c r="AX220" s="697">
        <v>0</v>
      </c>
      <c r="AY220" s="697">
        <v>0</v>
      </c>
      <c r="AZ220" s="697">
        <v>0</v>
      </c>
      <c r="BA220" s="697">
        <v>199</v>
      </c>
      <c r="BB220" s="697">
        <v>25</v>
      </c>
      <c r="BC220" s="697">
        <v>0</v>
      </c>
      <c r="BD220" s="697">
        <v>0</v>
      </c>
      <c r="BE220" s="697">
        <v>0</v>
      </c>
      <c r="BF220" s="697">
        <v>0</v>
      </c>
      <c r="BG220" s="697">
        <v>0</v>
      </c>
      <c r="BH220" s="697">
        <v>90</v>
      </c>
      <c r="BI220" s="697">
        <v>0</v>
      </c>
      <c r="BJ220" s="697">
        <v>0</v>
      </c>
      <c r="BK220" s="697">
        <v>0</v>
      </c>
      <c r="BL220" s="697">
        <v>0</v>
      </c>
      <c r="BM220" s="697">
        <v>360068</v>
      </c>
      <c r="BN220" s="697">
        <v>0</v>
      </c>
      <c r="BO220" s="697">
        <v>52.222000000000001</v>
      </c>
    </row>
    <row r="221" spans="1:67" ht="15" customHeight="1" x14ac:dyDescent="0.2">
      <c r="A221" s="697">
        <v>2105</v>
      </c>
      <c r="B221" s="697" t="s">
        <v>1412</v>
      </c>
      <c r="C221" s="698" t="s">
        <v>486</v>
      </c>
      <c r="D221" s="699" t="s">
        <v>486</v>
      </c>
      <c r="E221" s="700">
        <f t="shared" si="31"/>
        <v>377846.41959999996</v>
      </c>
      <c r="F221" s="700">
        <v>541854</v>
      </c>
      <c r="G221" s="701">
        <f t="shared" si="33"/>
        <v>919700.41959999991</v>
      </c>
      <c r="H221" s="698" t="s">
        <v>10</v>
      </c>
      <c r="I221" s="699" t="s">
        <v>1416</v>
      </c>
      <c r="J221" s="699" t="s">
        <v>1412</v>
      </c>
      <c r="K221" s="699" t="s">
        <v>488</v>
      </c>
      <c r="L221" s="699" t="s">
        <v>1417</v>
      </c>
      <c r="M221" s="702">
        <v>144</v>
      </c>
      <c r="N221" s="702">
        <v>0.77300000000000002</v>
      </c>
      <c r="O221" s="702">
        <v>0.85799999999999998</v>
      </c>
      <c r="P221" s="702">
        <v>0.82599999999999996</v>
      </c>
      <c r="Q221" s="702">
        <v>0.73099999999999998</v>
      </c>
      <c r="R221" s="702">
        <v>1321540</v>
      </c>
      <c r="S221" s="702">
        <v>1084519</v>
      </c>
      <c r="T221" s="7">
        <f t="shared" si="29"/>
        <v>393158.14999999997</v>
      </c>
      <c r="U221" s="702">
        <v>662313</v>
      </c>
      <c r="V221" s="702">
        <v>422206</v>
      </c>
      <c r="W221" s="702">
        <v>5000</v>
      </c>
      <c r="X221" s="702">
        <v>541854</v>
      </c>
      <c r="Y221" s="702">
        <v>0</v>
      </c>
      <c r="Z221" s="702">
        <v>541854</v>
      </c>
      <c r="AA221" s="702">
        <v>935823.15</v>
      </c>
      <c r="AB221" s="702">
        <v>393158.15</v>
      </c>
      <c r="AC221" s="702">
        <v>542665</v>
      </c>
      <c r="AD221" s="702">
        <v>541854</v>
      </c>
      <c r="AE221" s="702">
        <v>0</v>
      </c>
      <c r="AF221" s="702">
        <v>542665</v>
      </c>
      <c r="AG221" s="702">
        <v>0</v>
      </c>
      <c r="AH221" s="702">
        <v>905000</v>
      </c>
      <c r="AI221" s="702">
        <v>876000</v>
      </c>
      <c r="AJ221" s="698" t="s">
        <v>900</v>
      </c>
      <c r="AK221" s="698" t="s">
        <v>922</v>
      </c>
      <c r="AL221" s="699" t="s">
        <v>1416</v>
      </c>
      <c r="AM221" s="698" t="s">
        <v>10</v>
      </c>
      <c r="AN221" s="699" t="s">
        <v>486</v>
      </c>
      <c r="AO221" s="699">
        <v>935012.15</v>
      </c>
      <c r="AP221" s="703">
        <f t="shared" si="32"/>
        <v>653.1191</v>
      </c>
      <c r="AQ221" s="703">
        <f t="shared" si="30"/>
        <v>677.1191</v>
      </c>
      <c r="AR221" s="697">
        <v>278</v>
      </c>
      <c r="AS221" s="697">
        <v>876</v>
      </c>
      <c r="AT221" s="697">
        <v>127</v>
      </c>
      <c r="AU221" s="697">
        <v>1</v>
      </c>
      <c r="AV221" s="697">
        <v>0</v>
      </c>
      <c r="AW221" s="697">
        <v>0</v>
      </c>
      <c r="AX221" s="697">
        <v>0</v>
      </c>
      <c r="AY221" s="697">
        <v>0</v>
      </c>
      <c r="AZ221" s="697">
        <v>5</v>
      </c>
      <c r="BA221" s="697">
        <v>12</v>
      </c>
      <c r="BB221" s="697">
        <v>20</v>
      </c>
      <c r="BC221" s="697">
        <v>4</v>
      </c>
      <c r="BD221" s="697">
        <v>39</v>
      </c>
      <c r="BE221" s="697">
        <v>0</v>
      </c>
      <c r="BF221" s="697">
        <v>0</v>
      </c>
      <c r="BG221" s="697">
        <v>0</v>
      </c>
      <c r="BH221" s="697">
        <v>68</v>
      </c>
      <c r="BI221" s="697">
        <v>0</v>
      </c>
      <c r="BJ221" s="697">
        <v>0</v>
      </c>
      <c r="BK221" s="697">
        <v>0</v>
      </c>
      <c r="BL221" s="697">
        <v>0</v>
      </c>
      <c r="BM221" s="697">
        <v>36100</v>
      </c>
      <c r="BN221" s="697">
        <v>51262</v>
      </c>
      <c r="BO221" s="697">
        <v>477.57100000000003</v>
      </c>
    </row>
    <row r="222" spans="1:67" ht="15" customHeight="1" x14ac:dyDescent="0.2">
      <c r="A222" s="697">
        <v>3920</v>
      </c>
      <c r="B222" s="697" t="s">
        <v>1412</v>
      </c>
      <c r="C222" s="698" t="s">
        <v>489</v>
      </c>
      <c r="D222" s="699" t="s">
        <v>489</v>
      </c>
      <c r="E222" s="700">
        <f t="shared" si="31"/>
        <v>328044.73</v>
      </c>
      <c r="F222" s="700">
        <v>0</v>
      </c>
      <c r="G222" s="701">
        <f t="shared" si="33"/>
        <v>328044.73</v>
      </c>
      <c r="H222" s="698" t="s">
        <v>10</v>
      </c>
      <c r="I222" s="699" t="s">
        <v>1416</v>
      </c>
      <c r="J222" s="699" t="s">
        <v>1412</v>
      </c>
      <c r="K222" s="699" t="s">
        <v>490</v>
      </c>
      <c r="L222" s="699" t="s">
        <v>10</v>
      </c>
      <c r="M222" s="702">
        <v>120</v>
      </c>
      <c r="N222" s="702">
        <v>0.92200000000000004</v>
      </c>
      <c r="O222" s="702">
        <v>0.92500000000000004</v>
      </c>
      <c r="P222" s="702">
        <v>0.89400000000000002</v>
      </c>
      <c r="Q222" s="702">
        <v>0.877</v>
      </c>
      <c r="R222" s="702">
        <v>1072563</v>
      </c>
      <c r="S222" s="702">
        <v>941575</v>
      </c>
      <c r="T222" s="7">
        <f t="shared" si="29"/>
        <v>319087.49249999999</v>
      </c>
      <c r="U222" s="702">
        <v>654711</v>
      </c>
      <c r="V222" s="702">
        <v>286864</v>
      </c>
      <c r="W222" s="702">
        <v>4852</v>
      </c>
      <c r="X222" s="702">
        <v>0</v>
      </c>
      <c r="Y222" s="702">
        <v>0</v>
      </c>
      <c r="Z222" s="702">
        <v>0</v>
      </c>
      <c r="AA222" s="702">
        <v>1260662.493</v>
      </c>
      <c r="AB222" s="702">
        <v>319087.49249999999</v>
      </c>
      <c r="AC222" s="702">
        <v>941575</v>
      </c>
      <c r="AD222" s="702">
        <v>0</v>
      </c>
      <c r="AE222" s="702">
        <v>0</v>
      </c>
      <c r="AF222" s="702">
        <v>941575</v>
      </c>
      <c r="AG222" s="702">
        <v>0</v>
      </c>
      <c r="AH222" s="702">
        <v>772000</v>
      </c>
      <c r="AI222" s="702">
        <v>695000</v>
      </c>
      <c r="AJ222" s="698" t="s">
        <v>900</v>
      </c>
      <c r="AK222" s="698" t="s">
        <v>922</v>
      </c>
      <c r="AL222" s="699" t="s">
        <v>1416</v>
      </c>
      <c r="AM222" s="698" t="s">
        <v>10</v>
      </c>
      <c r="AN222" s="699" t="s">
        <v>489</v>
      </c>
      <c r="AO222" s="699">
        <v>319087.49249999999</v>
      </c>
      <c r="AP222" s="703">
        <f t="shared" si="32"/>
        <v>235.59139199999998</v>
      </c>
      <c r="AQ222" s="703">
        <f t="shared" si="30"/>
        <v>282.59139199999998</v>
      </c>
      <c r="AR222" s="697">
        <v>94</v>
      </c>
      <c r="AS222" s="697">
        <v>695</v>
      </c>
      <c r="AT222" s="697">
        <v>104</v>
      </c>
      <c r="AU222" s="697">
        <v>1</v>
      </c>
      <c r="AV222" s="697">
        <v>0</v>
      </c>
      <c r="AW222" s="697">
        <v>0</v>
      </c>
      <c r="AX222" s="697">
        <v>0</v>
      </c>
      <c r="AY222" s="697">
        <v>0</v>
      </c>
      <c r="AZ222" s="697">
        <v>0</v>
      </c>
      <c r="BA222" s="697">
        <v>12</v>
      </c>
      <c r="BB222" s="697">
        <v>47</v>
      </c>
      <c r="BC222" s="697">
        <v>0</v>
      </c>
      <c r="BD222" s="697">
        <v>0</v>
      </c>
      <c r="BE222" s="697">
        <v>0</v>
      </c>
      <c r="BF222" s="697">
        <v>0</v>
      </c>
      <c r="BG222" s="697">
        <v>0</v>
      </c>
      <c r="BH222" s="697">
        <v>0</v>
      </c>
      <c r="BI222" s="697">
        <v>0</v>
      </c>
      <c r="BJ222" s="697">
        <v>0</v>
      </c>
      <c r="BK222" s="697">
        <v>0</v>
      </c>
      <c r="BL222" s="697">
        <v>0</v>
      </c>
      <c r="BM222" s="697">
        <v>0</v>
      </c>
      <c r="BN222" s="697">
        <v>2039</v>
      </c>
      <c r="BO222" s="697">
        <v>345.52391999999998</v>
      </c>
    </row>
    <row r="223" spans="1:67" ht="15" customHeight="1" x14ac:dyDescent="0.2">
      <c r="A223" s="697">
        <v>9896</v>
      </c>
      <c r="B223" s="697"/>
      <c r="C223" s="698" t="s">
        <v>491</v>
      </c>
      <c r="D223" s="699" t="s">
        <v>491</v>
      </c>
      <c r="E223" s="700">
        <f t="shared" si="31"/>
        <v>308443.04920000001</v>
      </c>
      <c r="F223" s="700">
        <v>0</v>
      </c>
      <c r="G223" s="701">
        <f t="shared" si="33"/>
        <v>308443.04920000001</v>
      </c>
      <c r="H223" s="698" t="s">
        <v>10</v>
      </c>
      <c r="I223" s="699" t="s">
        <v>1416</v>
      </c>
      <c r="J223" s="699" t="s">
        <v>10</v>
      </c>
      <c r="K223" s="699" t="s">
        <v>325</v>
      </c>
      <c r="L223" s="699" t="s">
        <v>10</v>
      </c>
      <c r="M223" s="702">
        <v>139</v>
      </c>
      <c r="N223" s="702">
        <v>0.79400000000000004</v>
      </c>
      <c r="O223" s="702">
        <v>0.79300000000000004</v>
      </c>
      <c r="P223" s="702">
        <v>0.84099999999999997</v>
      </c>
      <c r="Q223" s="702">
        <v>0.84699999999999998</v>
      </c>
      <c r="R223" s="702">
        <v>1062497</v>
      </c>
      <c r="S223" s="702">
        <v>885313</v>
      </c>
      <c r="T223" s="7">
        <f t="shared" si="29"/>
        <v>316092.85749999998</v>
      </c>
      <c r="U223" s="702">
        <v>595468</v>
      </c>
      <c r="V223" s="702">
        <v>289845</v>
      </c>
      <c r="W223" s="702">
        <v>4458</v>
      </c>
      <c r="X223" s="702">
        <v>0</v>
      </c>
      <c r="Y223" s="702">
        <v>0</v>
      </c>
      <c r="Z223" s="702">
        <v>0</v>
      </c>
      <c r="AA223" s="702">
        <v>1201405.858</v>
      </c>
      <c r="AB223" s="702">
        <v>316092.85749999998</v>
      </c>
      <c r="AC223" s="702">
        <v>885313</v>
      </c>
      <c r="AD223" s="702">
        <v>0</v>
      </c>
      <c r="AE223" s="702">
        <v>0</v>
      </c>
      <c r="AF223" s="702">
        <v>0</v>
      </c>
      <c r="AG223" s="702">
        <v>885313</v>
      </c>
      <c r="AH223" s="702">
        <v>0</v>
      </c>
      <c r="AI223" s="702">
        <v>0</v>
      </c>
      <c r="AJ223" s="698" t="s">
        <v>900</v>
      </c>
      <c r="AK223" s="698" t="s">
        <v>907</v>
      </c>
      <c r="AL223" s="699" t="s">
        <v>1416</v>
      </c>
      <c r="AM223" s="698" t="s">
        <v>10</v>
      </c>
      <c r="AN223" s="699" t="s">
        <v>491</v>
      </c>
      <c r="AO223" s="699">
        <v>316092.85749999998</v>
      </c>
      <c r="AP223" s="703">
        <f t="shared" si="32"/>
        <v>366.09119999999996</v>
      </c>
      <c r="AQ223" s="703">
        <f t="shared" si="30"/>
        <v>465.09119999999996</v>
      </c>
      <c r="AR223" s="697">
        <v>0</v>
      </c>
      <c r="AS223" s="697">
        <v>0</v>
      </c>
      <c r="AT223" s="697">
        <v>273</v>
      </c>
      <c r="AU223" s="697">
        <v>3</v>
      </c>
      <c r="AV223" s="697">
        <v>0</v>
      </c>
      <c r="AW223" s="697">
        <v>0</v>
      </c>
      <c r="AX223" s="697">
        <v>1</v>
      </c>
      <c r="AY223" s="697">
        <v>0</v>
      </c>
      <c r="AZ223" s="697">
        <v>0</v>
      </c>
      <c r="BA223" s="697">
        <v>0</v>
      </c>
      <c r="BB223" s="697">
        <v>24</v>
      </c>
      <c r="BC223" s="697">
        <v>75</v>
      </c>
      <c r="BD223" s="697">
        <v>0</v>
      </c>
      <c r="BE223" s="697">
        <v>0</v>
      </c>
      <c r="BF223" s="697">
        <v>0</v>
      </c>
      <c r="BG223" s="697">
        <v>0</v>
      </c>
      <c r="BH223" s="697">
        <v>0</v>
      </c>
      <c r="BI223" s="697">
        <v>0</v>
      </c>
      <c r="BJ223" s="697">
        <v>0</v>
      </c>
      <c r="BK223" s="697">
        <v>0</v>
      </c>
      <c r="BL223" s="697">
        <v>7900</v>
      </c>
      <c r="BM223" s="697">
        <v>0</v>
      </c>
      <c r="BN223" s="697">
        <v>0</v>
      </c>
      <c r="BO223" s="697">
        <v>811.91200000000003</v>
      </c>
    </row>
    <row r="224" spans="1:67" ht="15" customHeight="1" x14ac:dyDescent="0.2">
      <c r="A224" s="697">
        <v>3951</v>
      </c>
      <c r="B224" s="697"/>
      <c r="C224" s="705" t="s">
        <v>493</v>
      </c>
      <c r="D224" s="699" t="s">
        <v>493</v>
      </c>
      <c r="E224" s="700">
        <f t="shared" si="31"/>
        <v>85255.918799999999</v>
      </c>
      <c r="F224" s="700">
        <v>235391</v>
      </c>
      <c r="G224" s="701">
        <f t="shared" si="33"/>
        <v>320646.91879999998</v>
      </c>
      <c r="H224" s="698" t="s">
        <v>1417</v>
      </c>
      <c r="I224" s="699" t="s">
        <v>1416</v>
      </c>
      <c r="J224" s="699" t="s">
        <v>1417</v>
      </c>
      <c r="K224" s="699" t="s">
        <v>496</v>
      </c>
      <c r="L224" s="699" t="s">
        <v>1412</v>
      </c>
      <c r="M224" s="702">
        <v>98</v>
      </c>
      <c r="N224" s="702">
        <v>0.82299999999999995</v>
      </c>
      <c r="O224" s="702">
        <v>0.83499999999999996</v>
      </c>
      <c r="P224" s="702">
        <v>0.85099999999999998</v>
      </c>
      <c r="Q224" s="702">
        <v>0.75800000000000001</v>
      </c>
      <c r="R224" s="702">
        <v>259829</v>
      </c>
      <c r="S224" s="702">
        <v>244707</v>
      </c>
      <c r="T224" s="7">
        <f t="shared" si="29"/>
        <v>77299.127500000002</v>
      </c>
      <c r="U224" s="702">
        <v>214110</v>
      </c>
      <c r="V224" s="702">
        <v>30597</v>
      </c>
      <c r="W224" s="702">
        <v>943</v>
      </c>
      <c r="X224" s="702">
        <v>312690.1275</v>
      </c>
      <c r="Y224" s="702">
        <v>77299.127500000002</v>
      </c>
      <c r="Z224" s="702">
        <v>235391</v>
      </c>
      <c r="AA224" s="702">
        <v>9316</v>
      </c>
      <c r="AB224" s="702">
        <v>0</v>
      </c>
      <c r="AC224" s="702">
        <v>9316</v>
      </c>
      <c r="AD224" s="702">
        <v>0</v>
      </c>
      <c r="AE224" s="702">
        <v>235391</v>
      </c>
      <c r="AF224" s="702">
        <v>0</v>
      </c>
      <c r="AG224" s="702">
        <v>9316</v>
      </c>
      <c r="AH224" s="702">
        <v>0</v>
      </c>
      <c r="AI224" s="702">
        <v>0</v>
      </c>
      <c r="AJ224" s="698">
        <v>4</v>
      </c>
      <c r="AK224" s="698" t="s">
        <v>906</v>
      </c>
      <c r="AL224" s="699" t="s">
        <v>1416</v>
      </c>
      <c r="AM224" s="698" t="s">
        <v>1417</v>
      </c>
      <c r="AN224" s="699" t="s">
        <v>493</v>
      </c>
      <c r="AO224" s="699">
        <v>312690.1275</v>
      </c>
      <c r="AP224" s="703">
        <f t="shared" si="32"/>
        <v>588.93769999999995</v>
      </c>
      <c r="AQ224" s="703">
        <f t="shared" si="30"/>
        <v>601.93769999999995</v>
      </c>
      <c r="AR224" s="697">
        <v>115</v>
      </c>
      <c r="AS224" s="697">
        <v>0</v>
      </c>
      <c r="AT224" s="697">
        <v>67</v>
      </c>
      <c r="AU224" s="697">
        <v>7</v>
      </c>
      <c r="AV224" s="697">
        <v>64</v>
      </c>
      <c r="AW224" s="697">
        <v>24</v>
      </c>
      <c r="AX224" s="697">
        <v>2</v>
      </c>
      <c r="AY224" s="697">
        <v>0</v>
      </c>
      <c r="AZ224" s="697">
        <v>32</v>
      </c>
      <c r="BA224" s="697">
        <v>5</v>
      </c>
      <c r="BB224" s="697">
        <v>12</v>
      </c>
      <c r="BC224" s="697">
        <v>1</v>
      </c>
      <c r="BD224" s="697">
        <v>108</v>
      </c>
      <c r="BE224" s="697">
        <v>0</v>
      </c>
      <c r="BF224" s="697">
        <v>0</v>
      </c>
      <c r="BG224" s="697">
        <v>0</v>
      </c>
      <c r="BH224" s="697">
        <v>35</v>
      </c>
      <c r="BI224" s="697">
        <v>0</v>
      </c>
      <c r="BJ224" s="697">
        <v>0</v>
      </c>
      <c r="BK224" s="697">
        <v>0</v>
      </c>
      <c r="BL224" s="697">
        <v>135688</v>
      </c>
      <c r="BM224" s="697">
        <v>0</v>
      </c>
      <c r="BN224" s="697">
        <v>0</v>
      </c>
      <c r="BO224" s="697">
        <v>232.49700000000001</v>
      </c>
    </row>
    <row r="225" spans="1:178" ht="15" customHeight="1" x14ac:dyDescent="0.2">
      <c r="A225" s="697">
        <v>9690</v>
      </c>
      <c r="B225" s="697"/>
      <c r="C225" s="698" t="s">
        <v>497</v>
      </c>
      <c r="D225" s="699" t="s">
        <v>497</v>
      </c>
      <c r="E225" s="700">
        <f t="shared" si="31"/>
        <v>391186.6556</v>
      </c>
      <c r="F225" s="700">
        <v>0</v>
      </c>
      <c r="G225" s="701">
        <f t="shared" si="33"/>
        <v>391186.6556</v>
      </c>
      <c r="H225" s="698" t="s">
        <v>10</v>
      </c>
      <c r="I225" s="699" t="s">
        <v>1416</v>
      </c>
      <c r="J225" s="699" t="s">
        <v>1417</v>
      </c>
      <c r="K225" s="699" t="s">
        <v>78</v>
      </c>
      <c r="L225" s="699" t="s">
        <v>10</v>
      </c>
      <c r="M225" s="702">
        <v>0</v>
      </c>
      <c r="N225" s="702">
        <v>0.90700000000000003</v>
      </c>
      <c r="O225" s="702">
        <v>0.92400000000000004</v>
      </c>
      <c r="P225" s="702">
        <v>0.92500000000000004</v>
      </c>
      <c r="Q225" s="702">
        <v>0.93</v>
      </c>
      <c r="R225" s="702">
        <v>1379609</v>
      </c>
      <c r="S225" s="702">
        <v>1122809</v>
      </c>
      <c r="T225" s="7">
        <f t="shared" si="29"/>
        <v>410433.67749999999</v>
      </c>
      <c r="U225" s="702">
        <v>748269</v>
      </c>
      <c r="V225" s="702">
        <v>374540</v>
      </c>
      <c r="W225" s="702">
        <v>7000</v>
      </c>
      <c r="X225" s="702">
        <v>0</v>
      </c>
      <c r="Y225" s="702">
        <v>0</v>
      </c>
      <c r="Z225" s="702">
        <v>0</v>
      </c>
      <c r="AA225" s="702">
        <v>1533242.6780000001</v>
      </c>
      <c r="AB225" s="702">
        <v>410433.67749999999</v>
      </c>
      <c r="AC225" s="702">
        <v>1122809</v>
      </c>
      <c r="AD225" s="702">
        <v>0</v>
      </c>
      <c r="AE225" s="702">
        <v>0</v>
      </c>
      <c r="AF225" s="702">
        <v>0</v>
      </c>
      <c r="AG225" s="702">
        <v>1122809</v>
      </c>
      <c r="AH225" s="702">
        <v>0</v>
      </c>
      <c r="AI225" s="702">
        <v>0</v>
      </c>
      <c r="AJ225" s="698" t="s">
        <v>900</v>
      </c>
      <c r="AK225" s="698" t="s">
        <v>907</v>
      </c>
      <c r="AL225" s="699" t="s">
        <v>1416</v>
      </c>
      <c r="AM225" s="698" t="s">
        <v>10</v>
      </c>
      <c r="AN225" s="699" t="s">
        <v>497</v>
      </c>
      <c r="AO225" s="699">
        <v>410433.67749999999</v>
      </c>
      <c r="AP225" s="703">
        <f t="shared" si="32"/>
        <v>245.46969999999999</v>
      </c>
      <c r="AQ225" s="703">
        <f t="shared" si="30"/>
        <v>445.46969999999999</v>
      </c>
      <c r="AR225" s="697">
        <v>0</v>
      </c>
      <c r="AS225" s="697">
        <v>0</v>
      </c>
      <c r="AT225" s="697">
        <v>234</v>
      </c>
      <c r="AU225" s="697">
        <v>1</v>
      </c>
      <c r="AV225" s="697">
        <v>0</v>
      </c>
      <c r="AW225" s="697">
        <v>0</v>
      </c>
      <c r="AX225" s="697">
        <v>0</v>
      </c>
      <c r="AY225" s="697">
        <v>0</v>
      </c>
      <c r="AZ225" s="697">
        <v>0</v>
      </c>
      <c r="BA225" s="697">
        <v>0</v>
      </c>
      <c r="BB225" s="697">
        <v>200</v>
      </c>
      <c r="BC225" s="697">
        <v>0</v>
      </c>
      <c r="BD225" s="697">
        <v>0</v>
      </c>
      <c r="BE225" s="697">
        <v>0</v>
      </c>
      <c r="BF225" s="697">
        <v>0</v>
      </c>
      <c r="BG225" s="697">
        <v>0</v>
      </c>
      <c r="BH225" s="697">
        <v>0</v>
      </c>
      <c r="BI225" s="697">
        <v>0</v>
      </c>
      <c r="BJ225" s="697">
        <v>0</v>
      </c>
      <c r="BK225" s="697">
        <v>0</v>
      </c>
      <c r="BL225" s="697">
        <v>0</v>
      </c>
      <c r="BM225" s="697">
        <v>0</v>
      </c>
      <c r="BN225" s="697">
        <v>10000</v>
      </c>
      <c r="BO225" s="697">
        <v>4.6970000000000001</v>
      </c>
    </row>
    <row r="226" spans="1:178" ht="15" customHeight="1" x14ac:dyDescent="0.2">
      <c r="A226" s="697">
        <v>9711</v>
      </c>
      <c r="B226" s="697"/>
      <c r="C226" s="698" t="s">
        <v>499</v>
      </c>
      <c r="D226" s="699" t="s">
        <v>499</v>
      </c>
      <c r="E226" s="700">
        <f t="shared" si="31"/>
        <v>29188.348699999999</v>
      </c>
      <c r="F226" s="700">
        <v>0</v>
      </c>
      <c r="G226" s="701">
        <f t="shared" si="33"/>
        <v>29188.348699999999</v>
      </c>
      <c r="H226" s="698" t="s">
        <v>1417</v>
      </c>
      <c r="I226" s="699" t="s">
        <v>1512</v>
      </c>
      <c r="J226" s="699" t="s">
        <v>10</v>
      </c>
      <c r="K226" s="699" t="s">
        <v>501</v>
      </c>
      <c r="L226" s="699" t="s">
        <v>10</v>
      </c>
      <c r="M226" s="702">
        <v>15</v>
      </c>
      <c r="N226" s="702">
        <v>0.93300000000000005</v>
      </c>
      <c r="O226" s="702">
        <v>0.93300000000000005</v>
      </c>
      <c r="P226" s="702">
        <v>0.91500000000000004</v>
      </c>
      <c r="Q226" s="702">
        <v>0.97799999999999998</v>
      </c>
      <c r="R226" s="702">
        <v>0</v>
      </c>
      <c r="S226" s="702">
        <v>150533</v>
      </c>
      <c r="T226" s="7">
        <f t="shared" si="29"/>
        <v>29188.348699999999</v>
      </c>
      <c r="U226" s="702">
        <v>104359</v>
      </c>
      <c r="V226" s="702">
        <v>46174</v>
      </c>
      <c r="W226" s="702">
        <v>750</v>
      </c>
      <c r="X226" s="702">
        <v>0</v>
      </c>
      <c r="Y226" s="702">
        <v>0</v>
      </c>
      <c r="Z226" s="702">
        <v>0</v>
      </c>
      <c r="AA226" s="702">
        <v>179721.3487</v>
      </c>
      <c r="AB226" s="702">
        <v>29188.348699999999</v>
      </c>
      <c r="AC226" s="702">
        <v>150533</v>
      </c>
      <c r="AD226" s="702">
        <v>0</v>
      </c>
      <c r="AE226" s="702">
        <v>0</v>
      </c>
      <c r="AF226" s="702">
        <v>0</v>
      </c>
      <c r="AG226" s="702">
        <v>150533</v>
      </c>
      <c r="AH226" s="702">
        <v>0</v>
      </c>
      <c r="AI226" s="702">
        <v>0</v>
      </c>
      <c r="AJ226" s="698">
        <v>4</v>
      </c>
      <c r="AK226" s="698" t="s">
        <v>913</v>
      </c>
      <c r="AL226" s="699" t="s">
        <v>1512</v>
      </c>
      <c r="AM226" s="698" t="s">
        <v>1417</v>
      </c>
      <c r="AN226" s="699" t="s">
        <v>499</v>
      </c>
      <c r="AO226" s="699">
        <v>29188.348699999999</v>
      </c>
      <c r="AP226" s="703">
        <f t="shared" si="32"/>
        <v>14.680700000000002</v>
      </c>
      <c r="AQ226" s="703">
        <f t="shared" si="30"/>
        <v>14.680700000000002</v>
      </c>
      <c r="AR226" s="697">
        <v>0</v>
      </c>
      <c r="AS226" s="697">
        <v>0</v>
      </c>
      <c r="AT226" s="697">
        <v>7</v>
      </c>
      <c r="AU226" s="697">
        <v>1</v>
      </c>
      <c r="AV226" s="697">
        <v>0</v>
      </c>
      <c r="AW226" s="697">
        <v>0</v>
      </c>
      <c r="AX226" s="697">
        <v>0</v>
      </c>
      <c r="AY226" s="697">
        <v>0</v>
      </c>
      <c r="AZ226" s="697">
        <v>0</v>
      </c>
      <c r="BA226" s="697">
        <v>0</v>
      </c>
      <c r="BB226" s="697">
        <v>0</v>
      </c>
      <c r="BC226" s="697">
        <v>0</v>
      </c>
      <c r="BD226" s="697">
        <v>0</v>
      </c>
      <c r="BE226" s="697">
        <v>0</v>
      </c>
      <c r="BF226" s="697">
        <v>0</v>
      </c>
      <c r="BG226" s="697">
        <v>0</v>
      </c>
      <c r="BH226" s="697">
        <v>0</v>
      </c>
      <c r="BI226" s="697">
        <v>0</v>
      </c>
      <c r="BJ226" s="697">
        <v>0</v>
      </c>
      <c r="BK226" s="697">
        <v>0</v>
      </c>
      <c r="BL226" s="697">
        <v>0</v>
      </c>
      <c r="BM226" s="697">
        <v>0</v>
      </c>
      <c r="BN226" s="697">
        <v>0</v>
      </c>
      <c r="BO226" s="697">
        <v>66.807000000000002</v>
      </c>
    </row>
    <row r="227" spans="1:178" ht="15" customHeight="1" x14ac:dyDescent="0.2">
      <c r="A227" s="697">
        <v>2520</v>
      </c>
      <c r="B227" s="697" t="s">
        <v>1412</v>
      </c>
      <c r="C227" s="698" t="s">
        <v>504</v>
      </c>
      <c r="D227" s="699" t="s">
        <v>504</v>
      </c>
      <c r="E227" s="700">
        <f t="shared" si="31"/>
        <v>245864.83479999998</v>
      </c>
      <c r="F227" s="700">
        <v>0</v>
      </c>
      <c r="G227" s="701">
        <f t="shared" si="33"/>
        <v>245864.83479999998</v>
      </c>
      <c r="H227" s="698" t="s">
        <v>10</v>
      </c>
      <c r="I227" s="699" t="s">
        <v>1416</v>
      </c>
      <c r="J227" s="699" t="s">
        <v>1417</v>
      </c>
      <c r="K227" s="699" t="s">
        <v>506</v>
      </c>
      <c r="L227" s="699" t="s">
        <v>10</v>
      </c>
      <c r="M227" s="702">
        <v>90</v>
      </c>
      <c r="N227" s="702">
        <v>0.877</v>
      </c>
      <c r="O227" s="702">
        <v>0.89400000000000002</v>
      </c>
      <c r="P227" s="702">
        <v>0.84799999999999998</v>
      </c>
      <c r="Q227" s="702">
        <v>0.80100000000000005</v>
      </c>
      <c r="R227" s="702">
        <v>830190</v>
      </c>
      <c r="S227" s="702">
        <v>705697</v>
      </c>
      <c r="T227" s="7">
        <f t="shared" ref="T227:T253" si="34">IF(I227="regional",IF(R227&gt;0,R227*0.2975,S227*0.3484),S227*0.1939)</f>
        <v>246981.52499999999</v>
      </c>
      <c r="U227" s="702">
        <v>478449</v>
      </c>
      <c r="V227" s="702">
        <v>227248</v>
      </c>
      <c r="W227" s="702">
        <v>3585</v>
      </c>
      <c r="X227" s="702">
        <v>0</v>
      </c>
      <c r="Y227" s="702">
        <v>0</v>
      </c>
      <c r="Z227" s="702">
        <v>0</v>
      </c>
      <c r="AA227" s="702">
        <v>952678.52500000002</v>
      </c>
      <c r="AB227" s="702">
        <v>246981.52499999999</v>
      </c>
      <c r="AC227" s="702">
        <v>705697</v>
      </c>
      <c r="AD227" s="702">
        <v>0</v>
      </c>
      <c r="AE227" s="702">
        <v>0</v>
      </c>
      <c r="AF227" s="702">
        <v>0</v>
      </c>
      <c r="AG227" s="702">
        <v>705697</v>
      </c>
      <c r="AH227" s="702">
        <v>0</v>
      </c>
      <c r="AI227" s="702">
        <v>0</v>
      </c>
      <c r="AJ227" s="698" t="s">
        <v>900</v>
      </c>
      <c r="AK227" s="698" t="s">
        <v>922</v>
      </c>
      <c r="AL227" s="699" t="s">
        <v>1416</v>
      </c>
      <c r="AM227" s="698" t="s">
        <v>10</v>
      </c>
      <c r="AN227" s="699" t="s">
        <v>504</v>
      </c>
      <c r="AO227" s="699">
        <v>513036.95750000002</v>
      </c>
      <c r="AP227" s="703">
        <f t="shared" si="32"/>
        <v>382.48869999999999</v>
      </c>
      <c r="AQ227" s="703">
        <f t="shared" si="30"/>
        <v>403.48869999999999</v>
      </c>
      <c r="AR227" s="697">
        <v>203</v>
      </c>
      <c r="AS227" s="697">
        <v>185</v>
      </c>
      <c r="AT227" s="697">
        <v>82</v>
      </c>
      <c r="AU227" s="697">
        <v>3</v>
      </c>
      <c r="AV227" s="697">
        <v>9</v>
      </c>
      <c r="AW227" s="697">
        <v>7</v>
      </c>
      <c r="AX227" s="697">
        <v>1</v>
      </c>
      <c r="AY227" s="697">
        <v>1</v>
      </c>
      <c r="AZ227" s="697">
        <v>2</v>
      </c>
      <c r="BA227" s="697">
        <v>7</v>
      </c>
      <c r="BB227" s="697">
        <v>21</v>
      </c>
      <c r="BC227" s="697">
        <v>0</v>
      </c>
      <c r="BD227" s="697">
        <v>25</v>
      </c>
      <c r="BE227" s="697">
        <v>0</v>
      </c>
      <c r="BF227" s="697">
        <v>0</v>
      </c>
      <c r="BG227" s="697">
        <v>0</v>
      </c>
      <c r="BH227" s="697">
        <v>39</v>
      </c>
      <c r="BI227" s="697">
        <v>0</v>
      </c>
      <c r="BJ227" s="697">
        <v>0</v>
      </c>
      <c r="BK227" s="697">
        <v>0</v>
      </c>
      <c r="BL227" s="697">
        <v>0</v>
      </c>
      <c r="BM227" s="697">
        <v>0</v>
      </c>
      <c r="BN227" s="697">
        <v>9737</v>
      </c>
      <c r="BO227" s="697">
        <v>77.516999999999996</v>
      </c>
    </row>
    <row r="228" spans="1:178" ht="15" customHeight="1" x14ac:dyDescent="0.2">
      <c r="A228" s="697">
        <v>4116</v>
      </c>
      <c r="B228" s="697"/>
      <c r="C228" s="698" t="s">
        <v>504</v>
      </c>
      <c r="D228" s="699" t="s">
        <v>504</v>
      </c>
      <c r="E228" s="700">
        <f t="shared" si="31"/>
        <v>197358.84479999999</v>
      </c>
      <c r="F228" s="700">
        <v>315718</v>
      </c>
      <c r="G228" s="701">
        <f t="shared" si="33"/>
        <v>513076.84479999996</v>
      </c>
      <c r="H228" s="698" t="s">
        <v>10</v>
      </c>
      <c r="I228" s="699" t="s">
        <v>1416</v>
      </c>
      <c r="J228" s="699" t="s">
        <v>1412</v>
      </c>
      <c r="K228" s="699" t="s">
        <v>506</v>
      </c>
      <c r="L228" s="699" t="s">
        <v>1412</v>
      </c>
      <c r="M228" s="702">
        <v>69</v>
      </c>
      <c r="N228" s="702">
        <v>0.65300000000000002</v>
      </c>
      <c r="O228" s="702">
        <v>0.78400000000000003</v>
      </c>
      <c r="P228" s="702">
        <v>0.748</v>
      </c>
      <c r="Q228" s="702">
        <v>0.85799999999999998</v>
      </c>
      <c r="R228" s="702">
        <v>663257</v>
      </c>
      <c r="S228" s="702">
        <v>566472</v>
      </c>
      <c r="T228" s="7">
        <f t="shared" si="34"/>
        <v>197318.95749999999</v>
      </c>
      <c r="U228" s="702">
        <v>412761</v>
      </c>
      <c r="V228" s="702">
        <v>153711</v>
      </c>
      <c r="W228" s="702">
        <v>1927</v>
      </c>
      <c r="X228" s="702">
        <v>513036.95750000002</v>
      </c>
      <c r="Y228" s="702">
        <v>197318.95749999999</v>
      </c>
      <c r="Z228" s="702">
        <v>315718</v>
      </c>
      <c r="AA228" s="702">
        <v>250754</v>
      </c>
      <c r="AB228" s="702">
        <v>0</v>
      </c>
      <c r="AC228" s="702">
        <v>250754</v>
      </c>
      <c r="AD228" s="702">
        <v>315718</v>
      </c>
      <c r="AE228" s="702">
        <v>0</v>
      </c>
      <c r="AF228" s="702">
        <v>250754</v>
      </c>
      <c r="AG228" s="702">
        <v>0</v>
      </c>
      <c r="AH228" s="702">
        <v>138000</v>
      </c>
      <c r="AI228" s="702">
        <v>185000</v>
      </c>
      <c r="AJ228" s="698" t="s">
        <v>900</v>
      </c>
      <c r="AK228" s="698" t="s">
        <v>907</v>
      </c>
      <c r="AL228" s="699" t="s">
        <v>1416</v>
      </c>
      <c r="AM228" s="698" t="s">
        <v>10</v>
      </c>
      <c r="AN228" s="699" t="s">
        <v>504</v>
      </c>
      <c r="AO228" s="699">
        <v>246981.52499999999</v>
      </c>
      <c r="AP228" s="703">
        <f t="shared" si="32"/>
        <v>131.36940000000001</v>
      </c>
      <c r="AQ228" s="703">
        <f t="shared" si="30"/>
        <v>131.36940000000001</v>
      </c>
      <c r="AR228" s="697">
        <v>31</v>
      </c>
      <c r="AS228" s="697">
        <v>0</v>
      </c>
      <c r="AT228" s="697">
        <v>50</v>
      </c>
      <c r="AU228" s="697">
        <v>2</v>
      </c>
      <c r="AV228" s="697">
        <v>0</v>
      </c>
      <c r="AW228" s="697">
        <v>0</v>
      </c>
      <c r="AX228" s="697">
        <v>1</v>
      </c>
      <c r="AY228" s="697">
        <v>0</v>
      </c>
      <c r="AZ228" s="697">
        <v>0</v>
      </c>
      <c r="BA228" s="697">
        <v>0</v>
      </c>
      <c r="BB228" s="697">
        <v>0</v>
      </c>
      <c r="BC228" s="697">
        <v>0</v>
      </c>
      <c r="BD228" s="697">
        <v>0</v>
      </c>
      <c r="BE228" s="697">
        <v>0</v>
      </c>
      <c r="BF228" s="697">
        <v>0</v>
      </c>
      <c r="BG228" s="697">
        <v>0</v>
      </c>
      <c r="BH228" s="697">
        <v>0</v>
      </c>
      <c r="BI228" s="697">
        <v>0</v>
      </c>
      <c r="BJ228" s="697">
        <v>0</v>
      </c>
      <c r="BK228" s="697">
        <v>0</v>
      </c>
      <c r="BL228" s="697">
        <v>2661</v>
      </c>
      <c r="BM228" s="697">
        <v>0</v>
      </c>
      <c r="BN228" s="697">
        <v>6769</v>
      </c>
      <c r="BO228" s="697">
        <v>379.39400000000001</v>
      </c>
    </row>
    <row r="229" spans="1:178" ht="15" customHeight="1" x14ac:dyDescent="0.2">
      <c r="A229" s="697">
        <v>9710</v>
      </c>
      <c r="B229" s="697"/>
      <c r="C229" s="698" t="s">
        <v>507</v>
      </c>
      <c r="D229" s="699" t="s">
        <v>507</v>
      </c>
      <c r="E229" s="700">
        <f t="shared" si="31"/>
        <v>328138.10119999998</v>
      </c>
      <c r="F229" s="700">
        <v>0</v>
      </c>
      <c r="G229" s="701">
        <f t="shared" si="33"/>
        <v>328138.10119999998</v>
      </c>
      <c r="H229" s="698" t="s">
        <v>1417</v>
      </c>
      <c r="I229" s="699" t="s">
        <v>1416</v>
      </c>
      <c r="J229" s="699" t="s">
        <v>10</v>
      </c>
      <c r="K229" s="699" t="s">
        <v>501</v>
      </c>
      <c r="L229" s="699" t="s">
        <v>10</v>
      </c>
      <c r="M229" s="702">
        <v>115</v>
      </c>
      <c r="N229" s="702">
        <v>0.92200000000000004</v>
      </c>
      <c r="O229" s="702">
        <v>0.92600000000000005</v>
      </c>
      <c r="P229" s="702">
        <v>0.89300000000000002</v>
      </c>
      <c r="Q229" s="702">
        <v>0.86099999999999999</v>
      </c>
      <c r="R229" s="702">
        <v>640283</v>
      </c>
      <c r="S229" s="702">
        <v>941843</v>
      </c>
      <c r="T229" s="7">
        <f t="shared" si="34"/>
        <v>190484.1925</v>
      </c>
      <c r="U229" s="702">
        <v>622508</v>
      </c>
      <c r="V229" s="702">
        <v>319335</v>
      </c>
      <c r="W229" s="702">
        <v>4681</v>
      </c>
      <c r="X229" s="702">
        <v>0</v>
      </c>
      <c r="Y229" s="702">
        <v>0</v>
      </c>
      <c r="Z229" s="702">
        <v>0</v>
      </c>
      <c r="AA229" s="702">
        <v>1132327.193</v>
      </c>
      <c r="AB229" s="702">
        <v>190484.1925</v>
      </c>
      <c r="AC229" s="702">
        <v>941843</v>
      </c>
      <c r="AD229" s="702">
        <v>0</v>
      </c>
      <c r="AE229" s="702">
        <v>0</v>
      </c>
      <c r="AF229" s="702">
        <v>0</v>
      </c>
      <c r="AG229" s="702">
        <v>941843</v>
      </c>
      <c r="AH229" s="702">
        <v>0</v>
      </c>
      <c r="AI229" s="702">
        <v>0</v>
      </c>
      <c r="AJ229" s="698">
        <v>4</v>
      </c>
      <c r="AK229" s="698" t="s">
        <v>913</v>
      </c>
      <c r="AL229" s="699" t="s">
        <v>1416</v>
      </c>
      <c r="AM229" s="698" t="s">
        <v>1417</v>
      </c>
      <c r="AN229" s="699" t="s">
        <v>507</v>
      </c>
      <c r="AO229" s="699">
        <v>190484.1925</v>
      </c>
      <c r="AP229" s="703">
        <f t="shared" si="32"/>
        <v>296.05240000000003</v>
      </c>
      <c r="AQ229" s="703">
        <f t="shared" si="30"/>
        <v>314.05240000000003</v>
      </c>
      <c r="AR229" s="697">
        <v>0</v>
      </c>
      <c r="AS229" s="697">
        <v>0</v>
      </c>
      <c r="AT229" s="697">
        <v>225</v>
      </c>
      <c r="AU229" s="697">
        <v>3</v>
      </c>
      <c r="AV229" s="697">
        <v>0</v>
      </c>
      <c r="AW229" s="697">
        <v>0</v>
      </c>
      <c r="AX229" s="697">
        <v>9</v>
      </c>
      <c r="AY229" s="697">
        <v>0</v>
      </c>
      <c r="AZ229" s="697">
        <v>0</v>
      </c>
      <c r="BA229" s="697">
        <v>0</v>
      </c>
      <c r="BB229" s="697">
        <v>18</v>
      </c>
      <c r="BC229" s="697">
        <v>0</v>
      </c>
      <c r="BD229" s="697">
        <v>0</v>
      </c>
      <c r="BE229" s="697">
        <v>0</v>
      </c>
      <c r="BF229" s="697">
        <v>0</v>
      </c>
      <c r="BG229" s="697">
        <v>0</v>
      </c>
      <c r="BH229" s="697">
        <v>0</v>
      </c>
      <c r="BI229" s="697">
        <v>0</v>
      </c>
      <c r="BJ229" s="697">
        <v>0</v>
      </c>
      <c r="BK229" s="697">
        <v>0</v>
      </c>
      <c r="BL229" s="697">
        <v>0</v>
      </c>
      <c r="BM229" s="697">
        <v>0</v>
      </c>
      <c r="BN229" s="697">
        <v>0</v>
      </c>
      <c r="BO229" s="697">
        <v>590.524</v>
      </c>
    </row>
    <row r="230" spans="1:178" s="724" customFormat="1" ht="15" customHeight="1" x14ac:dyDescent="0.2">
      <c r="A230" s="697">
        <v>9750</v>
      </c>
      <c r="B230" s="697"/>
      <c r="C230" s="698" t="s">
        <v>509</v>
      </c>
      <c r="D230" s="699" t="s">
        <v>509</v>
      </c>
      <c r="E230" s="700">
        <f t="shared" si="31"/>
        <v>262539.25880000001</v>
      </c>
      <c r="F230" s="700">
        <v>0</v>
      </c>
      <c r="G230" s="701">
        <f t="shared" si="33"/>
        <v>262539.25880000001</v>
      </c>
      <c r="H230" s="698" t="s">
        <v>10</v>
      </c>
      <c r="I230" s="699" t="s">
        <v>1416</v>
      </c>
      <c r="J230" s="699" t="s">
        <v>1417</v>
      </c>
      <c r="K230" s="699" t="s">
        <v>1549</v>
      </c>
      <c r="L230" s="699" t="s">
        <v>10</v>
      </c>
      <c r="M230" s="702">
        <v>87</v>
      </c>
      <c r="N230" s="702">
        <v>0.80100000000000005</v>
      </c>
      <c r="O230" s="702">
        <v>0.80100000000000005</v>
      </c>
      <c r="P230" s="702">
        <v>0.72699999999999998</v>
      </c>
      <c r="Q230" s="702">
        <v>0.877</v>
      </c>
      <c r="R230" s="702">
        <v>848939</v>
      </c>
      <c r="S230" s="702">
        <v>753557</v>
      </c>
      <c r="T230" s="7">
        <f t="shared" si="34"/>
        <v>252559.35249999998</v>
      </c>
      <c r="U230" s="702">
        <v>479418</v>
      </c>
      <c r="V230" s="702">
        <v>274139</v>
      </c>
      <c r="W230" s="702">
        <v>4365</v>
      </c>
      <c r="X230" s="702">
        <v>0</v>
      </c>
      <c r="Y230" s="702">
        <v>0</v>
      </c>
      <c r="Z230" s="702">
        <v>0</v>
      </c>
      <c r="AA230" s="702">
        <v>1006116.353</v>
      </c>
      <c r="AB230" s="702">
        <v>252559.35250000001</v>
      </c>
      <c r="AC230" s="702">
        <v>753557</v>
      </c>
      <c r="AD230" s="702">
        <v>0</v>
      </c>
      <c r="AE230" s="702">
        <v>0</v>
      </c>
      <c r="AF230" s="702">
        <v>0</v>
      </c>
      <c r="AG230" s="702">
        <v>753557</v>
      </c>
      <c r="AH230" s="702">
        <v>0</v>
      </c>
      <c r="AI230" s="702">
        <v>0</v>
      </c>
      <c r="AJ230" s="698">
        <v>4</v>
      </c>
      <c r="AK230" s="698" t="s">
        <v>913</v>
      </c>
      <c r="AL230" s="699" t="s">
        <v>1416</v>
      </c>
      <c r="AM230" s="698" t="s">
        <v>10</v>
      </c>
      <c r="AN230" s="699" t="s">
        <v>509</v>
      </c>
      <c r="AO230" s="699">
        <v>252559.35250000001</v>
      </c>
      <c r="AP230" s="703">
        <f t="shared" si="32"/>
        <v>138.017</v>
      </c>
      <c r="AQ230" s="703">
        <f t="shared" si="30"/>
        <v>142.017</v>
      </c>
      <c r="AR230" s="723">
        <v>0</v>
      </c>
      <c r="AS230" s="723">
        <v>0</v>
      </c>
      <c r="AT230" s="723">
        <v>81</v>
      </c>
      <c r="AU230" s="723">
        <v>11</v>
      </c>
      <c r="AV230" s="723">
        <v>0</v>
      </c>
      <c r="AW230" s="723">
        <v>0</v>
      </c>
      <c r="AX230" s="723">
        <v>8</v>
      </c>
      <c r="AY230" s="723">
        <v>6</v>
      </c>
      <c r="AZ230" s="723">
        <v>0</v>
      </c>
      <c r="BA230" s="723">
        <v>0</v>
      </c>
      <c r="BB230" s="723">
        <v>2</v>
      </c>
      <c r="BC230" s="723">
        <v>2</v>
      </c>
      <c r="BD230" s="697">
        <v>0</v>
      </c>
      <c r="BE230" s="697">
        <v>0</v>
      </c>
      <c r="BF230" s="697">
        <v>0</v>
      </c>
      <c r="BG230" s="697">
        <v>0</v>
      </c>
      <c r="BH230" s="697">
        <v>0</v>
      </c>
      <c r="BI230" s="697">
        <v>0</v>
      </c>
      <c r="BJ230" s="697">
        <v>0</v>
      </c>
      <c r="BK230" s="697">
        <v>0</v>
      </c>
      <c r="BL230" s="723">
        <v>32017</v>
      </c>
      <c r="BM230" s="723">
        <v>0</v>
      </c>
      <c r="BN230" s="723">
        <v>0</v>
      </c>
      <c r="BO230" s="697">
        <v>0</v>
      </c>
      <c r="BP230" s="392"/>
      <c r="BQ230" s="392"/>
      <c r="BR230" s="392"/>
      <c r="BS230" s="392"/>
      <c r="BT230" s="392"/>
      <c r="BU230" s="392"/>
      <c r="BV230" s="392"/>
      <c r="BW230" s="392"/>
      <c r="BX230" s="392"/>
      <c r="BY230" s="392"/>
      <c r="BZ230" s="392"/>
      <c r="CA230" s="392"/>
      <c r="CB230" s="392"/>
      <c r="CC230" s="392"/>
      <c r="CD230" s="392"/>
      <c r="CE230" s="392"/>
      <c r="CF230" s="392"/>
      <c r="CG230" s="392"/>
      <c r="CH230" s="392"/>
      <c r="CI230" s="392"/>
      <c r="CJ230" s="392"/>
      <c r="CK230" s="392"/>
      <c r="CL230" s="392"/>
      <c r="CM230" s="392"/>
      <c r="CN230" s="392"/>
      <c r="CO230" s="392"/>
      <c r="CP230" s="392"/>
      <c r="CQ230" s="392"/>
      <c r="CR230" s="392"/>
      <c r="CS230" s="392"/>
      <c r="CT230" s="392"/>
      <c r="CU230" s="392"/>
      <c r="CV230" s="392"/>
      <c r="CW230" s="392"/>
      <c r="CX230" s="392"/>
      <c r="CY230" s="392"/>
      <c r="CZ230" s="392"/>
      <c r="DA230" s="392"/>
      <c r="DB230" s="392"/>
      <c r="DC230" s="392"/>
      <c r="DD230" s="392"/>
      <c r="DE230" s="392"/>
      <c r="DF230" s="392"/>
      <c r="DG230" s="392"/>
      <c r="DH230" s="392"/>
      <c r="DI230" s="392"/>
      <c r="DJ230" s="392"/>
      <c r="DK230" s="392"/>
      <c r="DL230" s="392"/>
      <c r="DM230" s="392"/>
      <c r="DN230" s="392"/>
      <c r="DO230" s="392"/>
      <c r="DP230" s="392"/>
      <c r="DQ230" s="392"/>
      <c r="DR230" s="392"/>
      <c r="DS230" s="392"/>
      <c r="DT230" s="392"/>
      <c r="DU230" s="392"/>
      <c r="DV230" s="392"/>
      <c r="DW230" s="392"/>
      <c r="DX230" s="392"/>
      <c r="DY230" s="392"/>
      <c r="DZ230" s="392"/>
      <c r="EA230" s="392"/>
      <c r="EB230" s="392"/>
      <c r="EC230" s="392"/>
      <c r="ED230" s="392"/>
      <c r="EE230" s="392"/>
      <c r="EF230" s="392"/>
      <c r="EG230" s="392"/>
      <c r="EH230" s="392"/>
      <c r="EI230" s="392"/>
      <c r="EJ230" s="392"/>
      <c r="EK230" s="392"/>
      <c r="EL230" s="392"/>
      <c r="EM230" s="392"/>
      <c r="EN230" s="392"/>
      <c r="EO230" s="392"/>
      <c r="EP230" s="392"/>
      <c r="EQ230" s="392"/>
      <c r="ER230" s="392"/>
      <c r="ES230" s="392"/>
      <c r="ET230" s="392"/>
      <c r="EU230" s="392"/>
      <c r="EV230" s="392"/>
      <c r="EW230" s="392"/>
      <c r="EX230" s="392"/>
      <c r="EY230" s="392"/>
      <c r="EZ230" s="392"/>
      <c r="FA230" s="392"/>
      <c r="FB230" s="392"/>
      <c r="FC230" s="392"/>
      <c r="FD230" s="392"/>
      <c r="FE230" s="392"/>
      <c r="FF230" s="392"/>
      <c r="FG230" s="392"/>
      <c r="FH230" s="392"/>
      <c r="FI230" s="392"/>
      <c r="FJ230" s="392"/>
      <c r="FK230" s="392"/>
      <c r="FL230" s="392"/>
      <c r="FM230" s="392"/>
      <c r="FN230" s="392"/>
      <c r="FO230" s="392"/>
      <c r="FP230" s="392"/>
      <c r="FQ230" s="392"/>
      <c r="FR230" s="392"/>
      <c r="FS230" s="392"/>
      <c r="FT230" s="392"/>
      <c r="FU230" s="392"/>
      <c r="FV230" s="392"/>
    </row>
    <row r="231" spans="1:178" ht="15" customHeight="1" x14ac:dyDescent="0.2">
      <c r="A231" s="697">
        <v>1511</v>
      </c>
      <c r="B231" s="697" t="s">
        <v>1412</v>
      </c>
      <c r="C231" s="698" t="s">
        <v>510</v>
      </c>
      <c r="D231" s="699" t="s">
        <v>510</v>
      </c>
      <c r="E231" s="700">
        <f t="shared" si="31"/>
        <v>228462.9516</v>
      </c>
      <c r="F231" s="700">
        <v>0</v>
      </c>
      <c r="G231" s="701">
        <f t="shared" si="33"/>
        <v>228462.9516</v>
      </c>
      <c r="H231" s="698" t="s">
        <v>10</v>
      </c>
      <c r="I231" s="699" t="s">
        <v>1416</v>
      </c>
      <c r="J231" s="699" t="s">
        <v>1412</v>
      </c>
      <c r="K231" s="699" t="s">
        <v>512</v>
      </c>
      <c r="L231" s="699" t="s">
        <v>10</v>
      </c>
      <c r="M231" s="702">
        <v>102</v>
      </c>
      <c r="N231" s="702">
        <v>0.88600000000000001</v>
      </c>
      <c r="O231" s="702">
        <v>0.91500000000000004</v>
      </c>
      <c r="P231" s="702">
        <v>0.91900000000000004</v>
      </c>
      <c r="Q231" s="702">
        <v>0.876</v>
      </c>
      <c r="R231" s="702">
        <v>743306</v>
      </c>
      <c r="S231" s="702">
        <v>655749</v>
      </c>
      <c r="T231" s="7">
        <f t="shared" si="34"/>
        <v>221133.535</v>
      </c>
      <c r="U231" s="702">
        <v>389781</v>
      </c>
      <c r="V231" s="702">
        <v>265968</v>
      </c>
      <c r="W231" s="702">
        <v>3741</v>
      </c>
      <c r="X231" s="702">
        <v>0</v>
      </c>
      <c r="Y231" s="702">
        <v>0</v>
      </c>
      <c r="Z231" s="702">
        <v>0</v>
      </c>
      <c r="AA231" s="702">
        <v>876882.53500000003</v>
      </c>
      <c r="AB231" s="702">
        <v>221133.535</v>
      </c>
      <c r="AC231" s="702">
        <v>655749</v>
      </c>
      <c r="AD231" s="702">
        <v>0</v>
      </c>
      <c r="AE231" s="702">
        <v>0</v>
      </c>
      <c r="AF231" s="702">
        <v>655749</v>
      </c>
      <c r="AG231" s="702">
        <v>0</v>
      </c>
      <c r="AH231" s="702">
        <v>1008000</v>
      </c>
      <c r="AI231" s="702">
        <v>895000</v>
      </c>
      <c r="AJ231" s="698" t="s">
        <v>900</v>
      </c>
      <c r="AK231" s="698" t="s">
        <v>901</v>
      </c>
      <c r="AL231" s="699" t="s">
        <v>1416</v>
      </c>
      <c r="AM231" s="698" t="s">
        <v>10</v>
      </c>
      <c r="AN231" s="699" t="s">
        <v>510</v>
      </c>
      <c r="AO231" s="699">
        <v>221133.535</v>
      </c>
      <c r="AP231" s="703">
        <f>AR231+AT231+AU231+AV231+AX231+AY231+AZ231+BD231+BF231+BG231+BH231+BJ231+BK231+(BL231+BM231+BN231)/1000+(0.1*BO231)</f>
        <v>204.7604</v>
      </c>
      <c r="AQ231" s="703">
        <f t="shared" si="30"/>
        <v>236.7604</v>
      </c>
      <c r="AR231" s="697">
        <v>78</v>
      </c>
      <c r="AS231" s="697">
        <v>895</v>
      </c>
      <c r="AT231" s="697">
        <v>60</v>
      </c>
      <c r="AU231" s="697">
        <v>9</v>
      </c>
      <c r="AV231" s="697">
        <v>0</v>
      </c>
      <c r="AW231" s="697">
        <v>0</v>
      </c>
      <c r="AX231" s="697">
        <v>0</v>
      </c>
      <c r="AY231" s="697">
        <v>0</v>
      </c>
      <c r="AZ231" s="697">
        <v>0</v>
      </c>
      <c r="BA231" s="697">
        <v>13</v>
      </c>
      <c r="BB231" s="697">
        <v>32</v>
      </c>
      <c r="BC231" s="697">
        <v>0</v>
      </c>
      <c r="BD231" s="697">
        <v>0</v>
      </c>
      <c r="BE231" s="697">
        <v>0</v>
      </c>
      <c r="BF231" s="697">
        <v>0</v>
      </c>
      <c r="BG231" s="697">
        <v>0</v>
      </c>
      <c r="BH231" s="697">
        <v>0</v>
      </c>
      <c r="BI231" s="697">
        <v>0</v>
      </c>
      <c r="BJ231" s="697">
        <v>0</v>
      </c>
      <c r="BK231" s="697">
        <v>0</v>
      </c>
      <c r="BL231" s="697">
        <v>8500</v>
      </c>
      <c r="BM231" s="697">
        <v>0</v>
      </c>
      <c r="BN231" s="697">
        <v>3597</v>
      </c>
      <c r="BO231" s="697">
        <v>456.63400000000001</v>
      </c>
    </row>
    <row r="232" spans="1:178" ht="15" customHeight="1" x14ac:dyDescent="0.2">
      <c r="A232" s="715">
        <v>4775</v>
      </c>
      <c r="B232" s="715"/>
      <c r="C232" s="716" t="s">
        <v>513</v>
      </c>
      <c r="D232" s="699" t="s">
        <v>513</v>
      </c>
      <c r="E232" s="700">
        <f t="shared" si="31"/>
        <v>0</v>
      </c>
      <c r="F232" s="700">
        <v>0</v>
      </c>
      <c r="G232" s="701">
        <f t="shared" si="33"/>
        <v>0</v>
      </c>
      <c r="H232" s="705" t="s">
        <v>1417</v>
      </c>
      <c r="I232" s="706" t="s">
        <v>1416</v>
      </c>
      <c r="J232" s="699" t="s">
        <v>10</v>
      </c>
      <c r="K232" s="699" t="s">
        <v>1411</v>
      </c>
      <c r="L232" s="699" t="s">
        <v>10</v>
      </c>
      <c r="M232" s="702">
        <v>0</v>
      </c>
      <c r="N232" s="702">
        <v>0</v>
      </c>
      <c r="O232" s="702">
        <v>0</v>
      </c>
      <c r="P232" s="702">
        <v>0</v>
      </c>
      <c r="Q232" s="702">
        <v>0</v>
      </c>
      <c r="R232" s="708">
        <v>560732</v>
      </c>
      <c r="S232" s="702">
        <v>0</v>
      </c>
      <c r="T232" s="7">
        <f t="shared" si="34"/>
        <v>166817.76999999999</v>
      </c>
      <c r="U232" s="702">
        <v>0</v>
      </c>
      <c r="V232" s="702">
        <v>0</v>
      </c>
      <c r="W232" s="702">
        <v>0</v>
      </c>
      <c r="X232" s="702">
        <v>0</v>
      </c>
      <c r="Y232" s="702">
        <v>0</v>
      </c>
      <c r="Z232" s="702">
        <v>0</v>
      </c>
      <c r="AA232" s="702">
        <v>0</v>
      </c>
      <c r="AB232" s="702">
        <v>0</v>
      </c>
      <c r="AC232" s="702">
        <v>0</v>
      </c>
      <c r="AD232" s="702">
        <v>0</v>
      </c>
      <c r="AE232" s="702">
        <v>0</v>
      </c>
      <c r="AF232" s="702">
        <v>0</v>
      </c>
      <c r="AG232" s="702">
        <v>0</v>
      </c>
      <c r="AH232" s="702">
        <v>0</v>
      </c>
      <c r="AI232" s="702">
        <v>0</v>
      </c>
      <c r="AJ232" s="705" t="s">
        <v>900</v>
      </c>
      <c r="AK232" s="705" t="s">
        <v>905</v>
      </c>
      <c r="AL232" s="726" t="s">
        <v>1416</v>
      </c>
      <c r="AM232" s="705" t="s">
        <v>1417</v>
      </c>
      <c r="AN232" s="717" t="s">
        <v>513</v>
      </c>
      <c r="AO232" s="718">
        <v>0</v>
      </c>
      <c r="AP232" s="719">
        <v>0</v>
      </c>
      <c r="AQ232" s="703">
        <f t="shared" si="30"/>
        <v>134.3887</v>
      </c>
      <c r="AR232" s="720">
        <v>0</v>
      </c>
      <c r="AS232" s="720">
        <v>0</v>
      </c>
      <c r="AT232" s="720">
        <v>110</v>
      </c>
      <c r="AU232" s="720">
        <v>4</v>
      </c>
      <c r="AV232" s="720">
        <v>0</v>
      </c>
      <c r="AW232" s="720">
        <v>0</v>
      </c>
      <c r="AX232" s="720">
        <v>3</v>
      </c>
      <c r="AY232" s="720">
        <v>1</v>
      </c>
      <c r="AZ232" s="720">
        <v>0</v>
      </c>
      <c r="BA232" s="720">
        <v>61</v>
      </c>
      <c r="BB232" s="720">
        <v>6</v>
      </c>
      <c r="BC232" s="720">
        <v>0</v>
      </c>
      <c r="BD232" s="720">
        <v>0</v>
      </c>
      <c r="BE232" s="720">
        <v>0</v>
      </c>
      <c r="BF232" s="720">
        <v>0</v>
      </c>
      <c r="BG232" s="720">
        <v>0</v>
      </c>
      <c r="BH232" s="720">
        <v>0</v>
      </c>
      <c r="BI232" s="720">
        <v>0</v>
      </c>
      <c r="BJ232" s="720">
        <v>0</v>
      </c>
      <c r="BK232" s="720">
        <v>0</v>
      </c>
      <c r="BL232" s="729">
        <v>0</v>
      </c>
      <c r="BM232" s="729">
        <v>0</v>
      </c>
      <c r="BN232" s="729">
        <v>9000</v>
      </c>
      <c r="BO232" s="704">
        <v>13.887</v>
      </c>
    </row>
    <row r="233" spans="1:178" ht="15" customHeight="1" x14ac:dyDescent="0.2">
      <c r="A233" s="697">
        <v>4316</v>
      </c>
      <c r="B233" s="697"/>
      <c r="C233" s="698" t="s">
        <v>514</v>
      </c>
      <c r="D233" s="699" t="s">
        <v>514</v>
      </c>
      <c r="E233" s="700">
        <f t="shared" si="31"/>
        <v>95345.089699999997</v>
      </c>
      <c r="F233" s="700">
        <v>0</v>
      </c>
      <c r="G233" s="701">
        <f t="shared" si="33"/>
        <v>95345.089699999997</v>
      </c>
      <c r="H233" s="698" t="s">
        <v>1417</v>
      </c>
      <c r="I233" s="699" t="s">
        <v>1512</v>
      </c>
      <c r="J233" s="699" t="s">
        <v>10</v>
      </c>
      <c r="K233" s="699" t="s">
        <v>19</v>
      </c>
      <c r="L233" s="699" t="s">
        <v>10</v>
      </c>
      <c r="M233" s="702">
        <v>26</v>
      </c>
      <c r="N233" s="702">
        <v>0.97899999999999998</v>
      </c>
      <c r="O233" s="702">
        <v>0.98799999999999999</v>
      </c>
      <c r="P233" s="702">
        <v>1</v>
      </c>
      <c r="Q233" s="702">
        <v>0.96399999999999997</v>
      </c>
      <c r="R233" s="702">
        <v>0</v>
      </c>
      <c r="S233" s="702">
        <v>491723</v>
      </c>
      <c r="T233" s="7">
        <f t="shared" si="34"/>
        <v>95345.089699999997</v>
      </c>
      <c r="U233" s="702">
        <v>356418</v>
      </c>
      <c r="V233" s="702">
        <v>135305</v>
      </c>
      <c r="W233" s="702">
        <v>1626</v>
      </c>
      <c r="X233" s="702">
        <v>0</v>
      </c>
      <c r="Y233" s="702">
        <v>0</v>
      </c>
      <c r="Z233" s="702">
        <v>0</v>
      </c>
      <c r="AA233" s="702">
        <v>587068.08970000001</v>
      </c>
      <c r="AB233" s="702">
        <v>95345.089699999997</v>
      </c>
      <c r="AC233" s="702">
        <v>491723</v>
      </c>
      <c r="AD233" s="702">
        <v>0</v>
      </c>
      <c r="AE233" s="702">
        <v>0</v>
      </c>
      <c r="AF233" s="702">
        <v>0</v>
      </c>
      <c r="AG233" s="702">
        <v>491723</v>
      </c>
      <c r="AH233" s="702">
        <v>0</v>
      </c>
      <c r="AI233" s="702">
        <v>0</v>
      </c>
      <c r="AJ233" s="698">
        <v>4</v>
      </c>
      <c r="AK233" s="698" t="s">
        <v>913</v>
      </c>
      <c r="AL233" s="699" t="s">
        <v>1512</v>
      </c>
      <c r="AM233" s="698" t="s">
        <v>1417</v>
      </c>
      <c r="AN233" s="699" t="s">
        <v>514</v>
      </c>
      <c r="AO233" s="699">
        <v>95345.089699999997</v>
      </c>
      <c r="AP233" s="703">
        <f t="shared" ref="AP233:AP242" si="35">AR233+AT233+AU233+AV233+AX233+AY233+AZ233+BD233+BF233+BG233+BH233+BJ233+BK233+(BL233+BM233+BN233)/1000+(0.1*BO233)</f>
        <v>25</v>
      </c>
      <c r="AQ233" s="703">
        <f t="shared" si="30"/>
        <v>25</v>
      </c>
      <c r="AR233" s="697">
        <v>0</v>
      </c>
      <c r="AS233" s="697">
        <v>0</v>
      </c>
      <c r="AT233" s="697">
        <v>24</v>
      </c>
      <c r="AU233" s="697">
        <v>0</v>
      </c>
      <c r="AV233" s="697">
        <v>0</v>
      </c>
      <c r="AW233" s="697">
        <v>0</v>
      </c>
      <c r="AX233" s="697">
        <v>0</v>
      </c>
      <c r="AY233" s="697">
        <v>1</v>
      </c>
      <c r="AZ233" s="697">
        <v>0</v>
      </c>
      <c r="BA233" s="697">
        <v>8</v>
      </c>
      <c r="BB233" s="697">
        <v>0</v>
      </c>
      <c r="BC233" s="697">
        <v>0</v>
      </c>
      <c r="BD233" s="697">
        <v>0</v>
      </c>
      <c r="BE233" s="697">
        <v>0</v>
      </c>
      <c r="BF233" s="697">
        <v>0</v>
      </c>
      <c r="BG233" s="697">
        <v>0</v>
      </c>
      <c r="BH233" s="697">
        <v>0</v>
      </c>
      <c r="BI233" s="697">
        <v>0</v>
      </c>
      <c r="BJ233" s="697">
        <v>0</v>
      </c>
      <c r="BK233" s="697">
        <v>0</v>
      </c>
      <c r="BL233" s="697">
        <v>0</v>
      </c>
      <c r="BM233" s="697">
        <v>0</v>
      </c>
      <c r="BN233" s="697">
        <v>0</v>
      </c>
      <c r="BO233" s="697">
        <v>0</v>
      </c>
    </row>
    <row r="234" spans="1:178" ht="15" customHeight="1" x14ac:dyDescent="0.2">
      <c r="A234" s="697">
        <v>9270</v>
      </c>
      <c r="B234" s="697" t="s">
        <v>1412</v>
      </c>
      <c r="C234" s="698" t="s">
        <v>516</v>
      </c>
      <c r="D234" s="699" t="s">
        <v>516</v>
      </c>
      <c r="E234" s="700">
        <f t="shared" si="31"/>
        <v>274441.9964</v>
      </c>
      <c r="F234" s="700">
        <v>0</v>
      </c>
      <c r="G234" s="701">
        <f t="shared" si="33"/>
        <v>274441.9964</v>
      </c>
      <c r="H234" s="698"/>
      <c r="I234" s="699" t="s">
        <v>1416</v>
      </c>
      <c r="J234" s="699" t="s">
        <v>1412</v>
      </c>
      <c r="K234" s="699" t="s">
        <v>517</v>
      </c>
      <c r="L234" s="699" t="s">
        <v>10</v>
      </c>
      <c r="M234" s="702">
        <v>115</v>
      </c>
      <c r="N234" s="702">
        <v>0.83199999999999996</v>
      </c>
      <c r="O234" s="702">
        <v>0.83199999999999996</v>
      </c>
      <c r="P234" s="702">
        <v>0.81299999999999994</v>
      </c>
      <c r="Q234" s="702">
        <v>0.76800000000000002</v>
      </c>
      <c r="R234" s="702">
        <v>922805</v>
      </c>
      <c r="S234" s="702">
        <v>787721</v>
      </c>
      <c r="T234" s="7">
        <f t="shared" si="34"/>
        <v>274534.48749999999</v>
      </c>
      <c r="U234" s="702">
        <v>506639</v>
      </c>
      <c r="V234" s="702">
        <v>281082</v>
      </c>
      <c r="W234" s="702">
        <v>4060</v>
      </c>
      <c r="X234" s="702">
        <v>0</v>
      </c>
      <c r="Y234" s="702">
        <v>0</v>
      </c>
      <c r="Z234" s="702">
        <v>0</v>
      </c>
      <c r="AA234" s="702">
        <v>1062255.4879999999</v>
      </c>
      <c r="AB234" s="702">
        <v>274534.48749999999</v>
      </c>
      <c r="AC234" s="702">
        <v>787721</v>
      </c>
      <c r="AD234" s="702">
        <v>0</v>
      </c>
      <c r="AE234" s="702">
        <v>0</v>
      </c>
      <c r="AF234" s="702">
        <v>787721</v>
      </c>
      <c r="AG234" s="702">
        <v>0</v>
      </c>
      <c r="AH234" s="702">
        <v>688000</v>
      </c>
      <c r="AI234" s="702">
        <v>314000</v>
      </c>
      <c r="AJ234" s="698" t="s">
        <v>900</v>
      </c>
      <c r="AK234" s="698" t="s">
        <v>905</v>
      </c>
      <c r="AL234" s="699" t="s">
        <v>1416</v>
      </c>
      <c r="AM234" s="698"/>
      <c r="AN234" s="699" t="s">
        <v>516</v>
      </c>
      <c r="AO234" s="699">
        <v>274534.48749999999</v>
      </c>
      <c r="AP234" s="703">
        <f t="shared" si="35"/>
        <v>406.76700000000005</v>
      </c>
      <c r="AQ234" s="703">
        <f t="shared" si="30"/>
        <v>429.76700000000005</v>
      </c>
      <c r="AR234" s="697">
        <v>4</v>
      </c>
      <c r="AS234" s="697">
        <v>314</v>
      </c>
      <c r="AT234" s="697">
        <v>240</v>
      </c>
      <c r="AU234" s="697">
        <v>66</v>
      </c>
      <c r="AV234" s="697">
        <v>0</v>
      </c>
      <c r="AW234" s="697">
        <v>0</v>
      </c>
      <c r="AX234" s="697">
        <v>2</v>
      </c>
      <c r="AY234" s="697">
        <v>0</v>
      </c>
      <c r="AZ234" s="697">
        <v>0</v>
      </c>
      <c r="BA234" s="697">
        <v>0</v>
      </c>
      <c r="BB234" s="697">
        <v>23</v>
      </c>
      <c r="BC234" s="697">
        <v>0</v>
      </c>
      <c r="BD234" s="697">
        <v>21</v>
      </c>
      <c r="BE234" s="697">
        <v>0</v>
      </c>
      <c r="BF234" s="697">
        <v>0</v>
      </c>
      <c r="BG234" s="697">
        <v>0</v>
      </c>
      <c r="BH234" s="697">
        <v>0</v>
      </c>
      <c r="BI234" s="697">
        <v>0</v>
      </c>
      <c r="BJ234" s="697">
        <v>0</v>
      </c>
      <c r="BK234" s="697">
        <v>0</v>
      </c>
      <c r="BL234" s="697">
        <v>0</v>
      </c>
      <c r="BM234" s="697">
        <v>0</v>
      </c>
      <c r="BN234" s="697">
        <v>4735</v>
      </c>
      <c r="BO234" s="697">
        <v>690.32</v>
      </c>
    </row>
    <row r="235" spans="1:178" ht="15" customHeight="1" x14ac:dyDescent="0.2">
      <c r="A235" s="697">
        <v>1582</v>
      </c>
      <c r="B235" s="697"/>
      <c r="C235" s="698" t="s">
        <v>518</v>
      </c>
      <c r="D235" s="699" t="s">
        <v>518</v>
      </c>
      <c r="E235" s="700">
        <f t="shared" si="31"/>
        <v>23199.747199999998</v>
      </c>
      <c r="F235" s="700">
        <v>0</v>
      </c>
      <c r="G235" s="701">
        <f t="shared" si="33"/>
        <v>23199.747199999998</v>
      </c>
      <c r="H235" s="698" t="s">
        <v>10</v>
      </c>
      <c r="I235" s="699" t="s">
        <v>1512</v>
      </c>
      <c r="J235" s="699" t="s">
        <v>10</v>
      </c>
      <c r="K235" s="699" t="s">
        <v>19</v>
      </c>
      <c r="L235" s="699" t="s">
        <v>10</v>
      </c>
      <c r="M235" s="702">
        <v>4</v>
      </c>
      <c r="N235" s="702">
        <v>0.98599999999999999</v>
      </c>
      <c r="O235" s="702">
        <v>0.98599999999999999</v>
      </c>
      <c r="P235" s="702">
        <v>0.98599999999999999</v>
      </c>
      <c r="Q235" s="702">
        <v>0.96199999999999997</v>
      </c>
      <c r="R235" s="702">
        <v>0</v>
      </c>
      <c r="S235" s="702">
        <v>119648</v>
      </c>
      <c r="T235" s="7">
        <f t="shared" si="34"/>
        <v>23199.747199999998</v>
      </c>
      <c r="U235" s="702">
        <v>109388</v>
      </c>
      <c r="V235" s="702">
        <v>10260</v>
      </c>
      <c r="W235" s="702">
        <v>600</v>
      </c>
      <c r="X235" s="702">
        <v>0</v>
      </c>
      <c r="Y235" s="702">
        <v>0</v>
      </c>
      <c r="Z235" s="702">
        <v>0</v>
      </c>
      <c r="AA235" s="702">
        <v>142847.74720000001</v>
      </c>
      <c r="AB235" s="702">
        <v>23199.747200000002</v>
      </c>
      <c r="AC235" s="702">
        <v>119648</v>
      </c>
      <c r="AD235" s="702">
        <v>0</v>
      </c>
      <c r="AE235" s="702">
        <v>0</v>
      </c>
      <c r="AF235" s="702">
        <v>0</v>
      </c>
      <c r="AG235" s="702">
        <v>119648</v>
      </c>
      <c r="AH235" s="702">
        <v>0</v>
      </c>
      <c r="AI235" s="702">
        <v>0</v>
      </c>
      <c r="AJ235" s="698">
        <v>4</v>
      </c>
      <c r="AK235" s="698" t="s">
        <v>913</v>
      </c>
      <c r="AL235" s="699" t="s">
        <v>1512</v>
      </c>
      <c r="AM235" s="698" t="s">
        <v>10</v>
      </c>
      <c r="AN235" s="699" t="s">
        <v>518</v>
      </c>
      <c r="AO235" s="699">
        <v>23199.747200000002</v>
      </c>
      <c r="AP235" s="703">
        <f t="shared" si="35"/>
        <v>8.444700000000001</v>
      </c>
      <c r="AQ235" s="703">
        <f t="shared" si="30"/>
        <v>8.444700000000001</v>
      </c>
      <c r="AR235" s="697">
        <v>0</v>
      </c>
      <c r="AS235" s="697">
        <v>0</v>
      </c>
      <c r="AT235" s="697">
        <v>6</v>
      </c>
      <c r="AU235" s="697">
        <v>0</v>
      </c>
      <c r="AV235" s="697">
        <v>0</v>
      </c>
      <c r="AW235" s="697">
        <v>0</v>
      </c>
      <c r="AX235" s="697">
        <v>0</v>
      </c>
      <c r="AY235" s="697">
        <v>1</v>
      </c>
      <c r="AZ235" s="697">
        <v>0</v>
      </c>
      <c r="BA235" s="697">
        <v>0</v>
      </c>
      <c r="BB235" s="697">
        <v>0</v>
      </c>
      <c r="BC235" s="697">
        <v>0</v>
      </c>
      <c r="BD235" s="697">
        <v>0</v>
      </c>
      <c r="BE235" s="697">
        <v>0</v>
      </c>
      <c r="BF235" s="697">
        <v>0</v>
      </c>
      <c r="BG235" s="697">
        <v>0</v>
      </c>
      <c r="BH235" s="697">
        <v>0</v>
      </c>
      <c r="BI235" s="697">
        <v>0</v>
      </c>
      <c r="BJ235" s="697">
        <v>0</v>
      </c>
      <c r="BK235" s="697">
        <v>0</v>
      </c>
      <c r="BL235" s="697">
        <v>0</v>
      </c>
      <c r="BM235" s="697">
        <v>0</v>
      </c>
      <c r="BN235" s="697">
        <v>0</v>
      </c>
      <c r="BO235" s="697">
        <v>14.446999999999999</v>
      </c>
    </row>
    <row r="236" spans="1:178" ht="15" customHeight="1" x14ac:dyDescent="0.2">
      <c r="A236" s="697">
        <v>4841</v>
      </c>
      <c r="B236" s="697"/>
      <c r="C236" s="698" t="s">
        <v>520</v>
      </c>
      <c r="D236" s="699" t="s">
        <v>520</v>
      </c>
      <c r="E236" s="700">
        <f t="shared" si="31"/>
        <v>336206</v>
      </c>
      <c r="F236" s="700">
        <v>0</v>
      </c>
      <c r="G236" s="701">
        <f t="shared" si="33"/>
        <v>336206</v>
      </c>
      <c r="H236" s="698" t="s">
        <v>1417</v>
      </c>
      <c r="I236" s="699" t="s">
        <v>1416</v>
      </c>
      <c r="J236" s="699" t="s">
        <v>1417</v>
      </c>
      <c r="K236" s="699" t="s">
        <v>422</v>
      </c>
      <c r="L236" s="699" t="s">
        <v>10</v>
      </c>
      <c r="M236" s="702">
        <v>106</v>
      </c>
      <c r="N236" s="702">
        <v>0.80900000000000005</v>
      </c>
      <c r="O236" s="702">
        <v>0.83599999999999997</v>
      </c>
      <c r="P236" s="702">
        <v>0.92500000000000004</v>
      </c>
      <c r="Q236" s="702">
        <v>0.95199999999999996</v>
      </c>
      <c r="R236" s="702">
        <v>771000</v>
      </c>
      <c r="S236" s="702">
        <v>965000</v>
      </c>
      <c r="T236" s="7">
        <f t="shared" si="34"/>
        <v>229372.5</v>
      </c>
      <c r="U236" s="702">
        <v>771000</v>
      </c>
      <c r="V236" s="702">
        <v>194000</v>
      </c>
      <c r="W236" s="702">
        <v>5043</v>
      </c>
      <c r="X236" s="702">
        <v>0</v>
      </c>
      <c r="Y236" s="702">
        <v>0</v>
      </c>
      <c r="Z236" s="702">
        <v>0</v>
      </c>
      <c r="AA236" s="702">
        <v>1194372.5</v>
      </c>
      <c r="AB236" s="702">
        <v>229372.5</v>
      </c>
      <c r="AC236" s="702">
        <v>965000</v>
      </c>
      <c r="AD236" s="702">
        <v>0</v>
      </c>
      <c r="AE236" s="702">
        <v>0</v>
      </c>
      <c r="AF236" s="702">
        <v>0</v>
      </c>
      <c r="AG236" s="702">
        <v>965000</v>
      </c>
      <c r="AH236" s="702">
        <v>0</v>
      </c>
      <c r="AI236" s="702">
        <v>0</v>
      </c>
      <c r="AJ236" s="698">
        <v>4</v>
      </c>
      <c r="AK236" s="698" t="s">
        <v>917</v>
      </c>
      <c r="AL236" s="699" t="s">
        <v>1416</v>
      </c>
      <c r="AM236" s="698" t="s">
        <v>1417</v>
      </c>
      <c r="AN236" s="699" t="s">
        <v>520</v>
      </c>
      <c r="AO236" s="699">
        <v>229372.5</v>
      </c>
      <c r="AP236" s="703">
        <f t="shared" si="35"/>
        <v>348.13800000000003</v>
      </c>
      <c r="AQ236" s="703">
        <f t="shared" si="30"/>
        <v>360.13800000000003</v>
      </c>
      <c r="AR236" s="697">
        <v>0</v>
      </c>
      <c r="AS236" s="697">
        <v>0</v>
      </c>
      <c r="AT236" s="697">
        <v>191</v>
      </c>
      <c r="AU236" s="697">
        <v>13</v>
      </c>
      <c r="AV236" s="697">
        <v>0</v>
      </c>
      <c r="AW236" s="697">
        <v>0</v>
      </c>
      <c r="AX236" s="697">
        <v>33</v>
      </c>
      <c r="AY236" s="697">
        <v>0</v>
      </c>
      <c r="AZ236" s="697">
        <v>0</v>
      </c>
      <c r="BA236" s="697">
        <v>62</v>
      </c>
      <c r="BB236" s="697">
        <v>12</v>
      </c>
      <c r="BC236" s="697">
        <v>0</v>
      </c>
      <c r="BD236" s="697">
        <v>0</v>
      </c>
      <c r="BE236" s="697">
        <v>1</v>
      </c>
      <c r="BF236" s="697">
        <v>0</v>
      </c>
      <c r="BG236" s="697">
        <v>0</v>
      </c>
      <c r="BH236" s="697">
        <v>0</v>
      </c>
      <c r="BI236" s="697">
        <v>0</v>
      </c>
      <c r="BJ236" s="697">
        <v>0</v>
      </c>
      <c r="BK236" s="697">
        <v>0</v>
      </c>
      <c r="BL236" s="697">
        <v>111138</v>
      </c>
      <c r="BM236" s="697">
        <v>0</v>
      </c>
      <c r="BN236" s="697">
        <v>0</v>
      </c>
      <c r="BO236" s="697">
        <v>0</v>
      </c>
    </row>
    <row r="237" spans="1:178" ht="15" customHeight="1" x14ac:dyDescent="0.2">
      <c r="A237" s="697">
        <v>9774</v>
      </c>
      <c r="B237" s="697"/>
      <c r="C237" s="698" t="s">
        <v>522</v>
      </c>
      <c r="D237" s="699" t="s">
        <v>522</v>
      </c>
      <c r="E237" s="700">
        <f t="shared" si="31"/>
        <v>9753.5577999999987</v>
      </c>
      <c r="F237" s="700">
        <v>0</v>
      </c>
      <c r="G237" s="701">
        <f t="shared" si="33"/>
        <v>9753.5577999999987</v>
      </c>
      <c r="H237" s="698" t="s">
        <v>1412</v>
      </c>
      <c r="I237" s="699" t="s">
        <v>1512</v>
      </c>
      <c r="J237" s="699" t="s">
        <v>10</v>
      </c>
      <c r="K237" s="699" t="s">
        <v>523</v>
      </c>
      <c r="L237" s="699" t="s">
        <v>10</v>
      </c>
      <c r="M237" s="702">
        <v>8</v>
      </c>
      <c r="N237" s="702">
        <v>0.81100000000000005</v>
      </c>
      <c r="O237" s="702">
        <v>0.81100000000000005</v>
      </c>
      <c r="P237" s="702">
        <v>0.95299999999999996</v>
      </c>
      <c r="Q237" s="702">
        <v>0.91200000000000003</v>
      </c>
      <c r="R237" s="702">
        <v>0</v>
      </c>
      <c r="S237" s="702">
        <v>50302</v>
      </c>
      <c r="T237" s="7">
        <f t="shared" si="34"/>
        <v>9753.5577999999987</v>
      </c>
      <c r="U237" s="702">
        <v>21500</v>
      </c>
      <c r="V237" s="702">
        <v>28802</v>
      </c>
      <c r="W237" s="702">
        <v>250</v>
      </c>
      <c r="X237" s="702">
        <v>0</v>
      </c>
      <c r="Y237" s="702">
        <v>0</v>
      </c>
      <c r="Z237" s="702">
        <v>0</v>
      </c>
      <c r="AA237" s="702">
        <v>60055.557800000002</v>
      </c>
      <c r="AB237" s="702">
        <v>9753.5578000000005</v>
      </c>
      <c r="AC237" s="702">
        <v>50302</v>
      </c>
      <c r="AD237" s="702">
        <v>0</v>
      </c>
      <c r="AE237" s="702">
        <v>0</v>
      </c>
      <c r="AF237" s="702">
        <v>0</v>
      </c>
      <c r="AG237" s="702">
        <v>50302</v>
      </c>
      <c r="AH237" s="702">
        <v>0</v>
      </c>
      <c r="AI237" s="702">
        <v>0</v>
      </c>
      <c r="AJ237" s="698">
        <v>4</v>
      </c>
      <c r="AK237" s="698" t="s">
        <v>913</v>
      </c>
      <c r="AL237" s="699" t="s">
        <v>1512</v>
      </c>
      <c r="AM237" s="698"/>
      <c r="AN237" s="699" t="s">
        <v>522</v>
      </c>
      <c r="AO237" s="699">
        <v>9753.5578000000005</v>
      </c>
      <c r="AP237" s="703">
        <f t="shared" si="35"/>
        <v>0</v>
      </c>
      <c r="AQ237" s="703">
        <f t="shared" si="30"/>
        <v>0</v>
      </c>
      <c r="AR237" s="697">
        <v>0</v>
      </c>
      <c r="AS237" s="697">
        <v>0</v>
      </c>
      <c r="AT237" s="697">
        <v>0</v>
      </c>
      <c r="AU237" s="697">
        <v>0</v>
      </c>
      <c r="AV237" s="697">
        <v>0</v>
      </c>
      <c r="AW237" s="697">
        <v>0</v>
      </c>
      <c r="AX237" s="697">
        <v>0</v>
      </c>
      <c r="AY237" s="697">
        <v>0</v>
      </c>
      <c r="AZ237" s="697">
        <v>0</v>
      </c>
      <c r="BA237" s="697">
        <v>0</v>
      </c>
      <c r="BB237" s="697">
        <v>0</v>
      </c>
      <c r="BC237" s="697">
        <v>0</v>
      </c>
      <c r="BD237" s="697">
        <v>0</v>
      </c>
      <c r="BE237" s="697">
        <v>0</v>
      </c>
      <c r="BF237" s="697">
        <v>0</v>
      </c>
      <c r="BG237" s="697">
        <v>0</v>
      </c>
      <c r="BH237" s="697">
        <v>0</v>
      </c>
      <c r="BI237" s="697">
        <v>0</v>
      </c>
      <c r="BJ237" s="697">
        <v>0</v>
      </c>
      <c r="BK237" s="697">
        <v>0</v>
      </c>
      <c r="BL237" s="697">
        <v>0</v>
      </c>
      <c r="BM237" s="697">
        <v>0</v>
      </c>
      <c r="BN237" s="697">
        <v>0</v>
      </c>
      <c r="BO237" s="697">
        <v>0</v>
      </c>
    </row>
    <row r="238" spans="1:178" ht="15" customHeight="1" x14ac:dyDescent="0.2">
      <c r="A238" s="697">
        <v>9773</v>
      </c>
      <c r="B238" s="697"/>
      <c r="C238" s="698" t="s">
        <v>524</v>
      </c>
      <c r="D238" s="699" t="s">
        <v>524</v>
      </c>
      <c r="E238" s="700">
        <f t="shared" si="31"/>
        <v>415536.68</v>
      </c>
      <c r="F238" s="700">
        <v>0</v>
      </c>
      <c r="G238" s="701">
        <f t="shared" si="33"/>
        <v>415536.68</v>
      </c>
      <c r="H238" s="698" t="s">
        <v>10</v>
      </c>
      <c r="I238" s="699" t="s">
        <v>1416</v>
      </c>
      <c r="J238" s="699" t="s">
        <v>1417</v>
      </c>
      <c r="K238" s="699" t="s">
        <v>523</v>
      </c>
      <c r="L238" s="699" t="s">
        <v>10</v>
      </c>
      <c r="M238" s="702">
        <v>134</v>
      </c>
      <c r="N238" s="702">
        <v>0.70399999999999996</v>
      </c>
      <c r="O238" s="702">
        <v>0.69299999999999995</v>
      </c>
      <c r="P238" s="702">
        <v>0.56299999999999994</v>
      </c>
      <c r="Q238" s="702">
        <v>0.626</v>
      </c>
      <c r="R238" s="702">
        <v>1288538</v>
      </c>
      <c r="S238" s="702">
        <v>1192700</v>
      </c>
      <c r="T238" s="7">
        <f t="shared" si="34"/>
        <v>383340.05499999999</v>
      </c>
      <c r="U238" s="702">
        <v>931236</v>
      </c>
      <c r="V238" s="702">
        <v>261464</v>
      </c>
      <c r="W238" s="702">
        <v>6964</v>
      </c>
      <c r="X238" s="702">
        <v>0</v>
      </c>
      <c r="Y238" s="702">
        <v>0</v>
      </c>
      <c r="Z238" s="702">
        <v>0</v>
      </c>
      <c r="AA238" s="702">
        <v>1576040.0549999999</v>
      </c>
      <c r="AB238" s="702">
        <v>383340.05499999999</v>
      </c>
      <c r="AC238" s="702">
        <v>1192700</v>
      </c>
      <c r="AD238" s="702">
        <v>0</v>
      </c>
      <c r="AE238" s="702">
        <v>0</v>
      </c>
      <c r="AF238" s="702">
        <v>0</v>
      </c>
      <c r="AG238" s="702">
        <v>1192700</v>
      </c>
      <c r="AH238" s="702">
        <v>0</v>
      </c>
      <c r="AI238" s="702">
        <v>0</v>
      </c>
      <c r="AJ238" s="698">
        <v>4</v>
      </c>
      <c r="AK238" s="698" t="s">
        <v>913</v>
      </c>
      <c r="AL238" s="699" t="s">
        <v>1416</v>
      </c>
      <c r="AM238" s="698" t="s">
        <v>10</v>
      </c>
      <c r="AN238" s="699" t="s">
        <v>524</v>
      </c>
      <c r="AO238" s="699">
        <v>383340.05499999999</v>
      </c>
      <c r="AP238" s="703">
        <f t="shared" si="35"/>
        <v>264.85660000000001</v>
      </c>
      <c r="AQ238" s="703">
        <f t="shared" si="30"/>
        <v>273.85660000000001</v>
      </c>
      <c r="AR238" s="697">
        <v>0</v>
      </c>
      <c r="AS238" s="697">
        <v>0</v>
      </c>
      <c r="AT238" s="697">
        <v>130</v>
      </c>
      <c r="AU238" s="697">
        <v>38</v>
      </c>
      <c r="AV238" s="697">
        <v>0</v>
      </c>
      <c r="AW238" s="697">
        <v>0</v>
      </c>
      <c r="AX238" s="697">
        <v>0</v>
      </c>
      <c r="AY238" s="697">
        <v>0</v>
      </c>
      <c r="AZ238" s="697">
        <v>0</v>
      </c>
      <c r="BA238" s="697">
        <v>0</v>
      </c>
      <c r="BB238" s="697">
        <v>5</v>
      </c>
      <c r="BC238" s="697">
        <v>4</v>
      </c>
      <c r="BD238" s="697">
        <v>0</v>
      </c>
      <c r="BE238" s="697">
        <v>0</v>
      </c>
      <c r="BF238" s="697">
        <v>0</v>
      </c>
      <c r="BG238" s="697">
        <v>0</v>
      </c>
      <c r="BH238" s="697">
        <v>0</v>
      </c>
      <c r="BI238" s="697">
        <v>0</v>
      </c>
      <c r="BJ238" s="697">
        <v>0</v>
      </c>
      <c r="BK238" s="697">
        <v>0</v>
      </c>
      <c r="BL238" s="697">
        <v>21985</v>
      </c>
      <c r="BM238" s="697">
        <v>0</v>
      </c>
      <c r="BN238" s="697">
        <v>0</v>
      </c>
      <c r="BO238" s="697">
        <v>748.71600000000001</v>
      </c>
    </row>
    <row r="239" spans="1:178" ht="15" customHeight="1" x14ac:dyDescent="0.2">
      <c r="A239" s="697">
        <v>3917</v>
      </c>
      <c r="B239" s="697" t="s">
        <v>1412</v>
      </c>
      <c r="C239" s="698" t="s">
        <v>525</v>
      </c>
      <c r="D239" s="699" t="s">
        <v>525</v>
      </c>
      <c r="E239" s="700">
        <f t="shared" si="31"/>
        <v>355510.49559999997</v>
      </c>
      <c r="F239" s="700">
        <v>490459</v>
      </c>
      <c r="G239" s="701">
        <f t="shared" si="33"/>
        <v>845969.49560000002</v>
      </c>
      <c r="H239" s="698" t="s">
        <v>10</v>
      </c>
      <c r="I239" s="699" t="s">
        <v>1416</v>
      </c>
      <c r="J239" s="699" t="s">
        <v>1412</v>
      </c>
      <c r="K239" s="699" t="s">
        <v>527</v>
      </c>
      <c r="L239" s="699" t="s">
        <v>1412</v>
      </c>
      <c r="M239" s="702">
        <v>152</v>
      </c>
      <c r="N239" s="702">
        <v>0.73099999999999998</v>
      </c>
      <c r="O239" s="702">
        <v>0.83299999999999996</v>
      </c>
      <c r="P239" s="702">
        <v>0.80700000000000005</v>
      </c>
      <c r="Q239" s="702">
        <v>0.755</v>
      </c>
      <c r="R239" s="702">
        <v>1283965</v>
      </c>
      <c r="S239" s="702">
        <v>1020409</v>
      </c>
      <c r="T239" s="7">
        <f t="shared" si="34"/>
        <v>381979.58749999997</v>
      </c>
      <c r="U239" s="702">
        <v>716811</v>
      </c>
      <c r="V239" s="702">
        <v>303598</v>
      </c>
      <c r="W239" s="702">
        <v>5338</v>
      </c>
      <c r="X239" s="702">
        <v>872438.58750000002</v>
      </c>
      <c r="Y239" s="702">
        <v>381979.58750000002</v>
      </c>
      <c r="Z239" s="702">
        <v>490459</v>
      </c>
      <c r="AA239" s="702">
        <v>529950</v>
      </c>
      <c r="AB239" s="702">
        <v>0</v>
      </c>
      <c r="AC239" s="702">
        <v>529950</v>
      </c>
      <c r="AD239" s="702">
        <v>490459</v>
      </c>
      <c r="AE239" s="702">
        <v>0</v>
      </c>
      <c r="AF239" s="702">
        <v>529950</v>
      </c>
      <c r="AG239" s="702">
        <v>0</v>
      </c>
      <c r="AH239" s="702">
        <v>393000</v>
      </c>
      <c r="AI239" s="702">
        <v>315000</v>
      </c>
      <c r="AJ239" s="698" t="s">
        <v>900</v>
      </c>
      <c r="AK239" s="698" t="s">
        <v>922</v>
      </c>
      <c r="AL239" s="699" t="s">
        <v>1416</v>
      </c>
      <c r="AM239" s="698" t="s">
        <v>10</v>
      </c>
      <c r="AN239" s="699" t="s">
        <v>525</v>
      </c>
      <c r="AO239" s="699">
        <v>872438.58750000002</v>
      </c>
      <c r="AP239" s="703">
        <f t="shared" si="35"/>
        <v>530.06849999999997</v>
      </c>
      <c r="AQ239" s="703">
        <f t="shared" si="30"/>
        <v>555.06849999999997</v>
      </c>
      <c r="AR239" s="697">
        <v>208</v>
      </c>
      <c r="AS239" s="697">
        <v>315</v>
      </c>
      <c r="AT239" s="697">
        <v>127</v>
      </c>
      <c r="AU239" s="697">
        <v>0</v>
      </c>
      <c r="AV239" s="697">
        <v>0</v>
      </c>
      <c r="AW239" s="697">
        <v>17</v>
      </c>
      <c r="AX239" s="697">
        <v>0</v>
      </c>
      <c r="AY239" s="697">
        <v>0</v>
      </c>
      <c r="AZ239" s="697">
        <v>15</v>
      </c>
      <c r="BA239" s="697">
        <v>32</v>
      </c>
      <c r="BB239" s="697">
        <v>25</v>
      </c>
      <c r="BC239" s="697">
        <v>0</v>
      </c>
      <c r="BD239" s="697">
        <v>21</v>
      </c>
      <c r="BE239" s="697">
        <v>0</v>
      </c>
      <c r="BF239" s="697">
        <v>0</v>
      </c>
      <c r="BG239" s="697">
        <v>0</v>
      </c>
      <c r="BH239" s="697">
        <v>75</v>
      </c>
      <c r="BI239" s="697">
        <v>0</v>
      </c>
      <c r="BJ239" s="697">
        <v>0</v>
      </c>
      <c r="BK239" s="697">
        <v>0</v>
      </c>
      <c r="BL239" s="697">
        <v>0</v>
      </c>
      <c r="BM239" s="697">
        <v>0</v>
      </c>
      <c r="BN239" s="697">
        <v>8045</v>
      </c>
      <c r="BO239" s="697">
        <v>760.23500000000001</v>
      </c>
    </row>
    <row r="240" spans="1:178" ht="15" customHeight="1" x14ac:dyDescent="0.2">
      <c r="A240" s="697">
        <v>3915</v>
      </c>
      <c r="B240" s="697"/>
      <c r="C240" s="698" t="s">
        <v>528</v>
      </c>
      <c r="D240" s="699" t="s">
        <v>528</v>
      </c>
      <c r="E240" s="700">
        <f t="shared" si="31"/>
        <v>45421.074999999997</v>
      </c>
      <c r="F240" s="700">
        <v>0</v>
      </c>
      <c r="G240" s="701">
        <f t="shared" si="33"/>
        <v>45421.074999999997</v>
      </c>
      <c r="H240" s="698" t="s">
        <v>10</v>
      </c>
      <c r="I240" s="699" t="s">
        <v>1512</v>
      </c>
      <c r="J240" s="699" t="s">
        <v>10</v>
      </c>
      <c r="K240" s="699" t="s">
        <v>527</v>
      </c>
      <c r="L240" s="699" t="s">
        <v>10</v>
      </c>
      <c r="M240" s="702">
        <v>19</v>
      </c>
      <c r="N240" s="702">
        <v>0.95399999999999996</v>
      </c>
      <c r="O240" s="702">
        <v>0.91400000000000003</v>
      </c>
      <c r="P240" s="702">
        <v>0.93700000000000006</v>
      </c>
      <c r="Q240" s="702">
        <v>1</v>
      </c>
      <c r="R240" s="702">
        <v>0</v>
      </c>
      <c r="S240" s="702">
        <v>234250</v>
      </c>
      <c r="T240" s="7">
        <f t="shared" si="34"/>
        <v>45421.074999999997</v>
      </c>
      <c r="U240" s="702">
        <v>172179</v>
      </c>
      <c r="V240" s="702">
        <v>62071</v>
      </c>
      <c r="W240" s="702">
        <v>1150</v>
      </c>
      <c r="X240" s="702">
        <v>0</v>
      </c>
      <c r="Y240" s="702">
        <v>0</v>
      </c>
      <c r="Z240" s="702">
        <v>0</v>
      </c>
      <c r="AA240" s="702">
        <v>279671.07500000001</v>
      </c>
      <c r="AB240" s="702">
        <v>45421.074999999997</v>
      </c>
      <c r="AC240" s="702">
        <v>234250</v>
      </c>
      <c r="AD240" s="702">
        <v>0</v>
      </c>
      <c r="AE240" s="702">
        <v>0</v>
      </c>
      <c r="AF240" s="702">
        <v>0</v>
      </c>
      <c r="AG240" s="702">
        <v>234250</v>
      </c>
      <c r="AH240" s="702">
        <v>0</v>
      </c>
      <c r="AI240" s="702">
        <v>0</v>
      </c>
      <c r="AJ240" s="698" t="s">
        <v>900</v>
      </c>
      <c r="AK240" s="698" t="s">
        <v>922</v>
      </c>
      <c r="AL240" s="699" t="s">
        <v>1512</v>
      </c>
      <c r="AM240" s="698" t="s">
        <v>10</v>
      </c>
      <c r="AN240" s="699" t="s">
        <v>528</v>
      </c>
      <c r="AO240" s="699">
        <v>45421.074999999997</v>
      </c>
      <c r="AP240" s="703">
        <f t="shared" si="35"/>
        <v>12.921900000000001</v>
      </c>
      <c r="AQ240" s="703">
        <f t="shared" si="30"/>
        <v>19.921900000000001</v>
      </c>
      <c r="AR240" s="697">
        <v>0</v>
      </c>
      <c r="AS240" s="697">
        <v>0</v>
      </c>
      <c r="AT240" s="697">
        <v>8</v>
      </c>
      <c r="AU240" s="697">
        <v>0</v>
      </c>
      <c r="AV240" s="697">
        <v>0</v>
      </c>
      <c r="AW240" s="697">
        <v>0</v>
      </c>
      <c r="AX240" s="697">
        <v>0</v>
      </c>
      <c r="AY240" s="697">
        <v>0</v>
      </c>
      <c r="AZ240" s="697">
        <v>0</v>
      </c>
      <c r="BA240" s="697">
        <v>0</v>
      </c>
      <c r="BB240" s="697">
        <v>1</v>
      </c>
      <c r="BC240" s="697">
        <v>6</v>
      </c>
      <c r="BD240" s="697">
        <v>0</v>
      </c>
      <c r="BE240" s="697">
        <v>0</v>
      </c>
      <c r="BF240" s="697">
        <v>0</v>
      </c>
      <c r="BG240" s="697">
        <v>0</v>
      </c>
      <c r="BH240" s="697">
        <v>0</v>
      </c>
      <c r="BI240" s="697">
        <v>0</v>
      </c>
      <c r="BJ240" s="697">
        <v>0</v>
      </c>
      <c r="BK240" s="697">
        <v>0</v>
      </c>
      <c r="BL240" s="697">
        <v>0</v>
      </c>
      <c r="BM240" s="697">
        <v>0</v>
      </c>
      <c r="BN240" s="697">
        <v>0</v>
      </c>
      <c r="BO240" s="697">
        <v>49.219000000000001</v>
      </c>
    </row>
    <row r="241" spans="1:192" s="741" customFormat="1" ht="15" customHeight="1" x14ac:dyDescent="0.2">
      <c r="A241" s="697">
        <v>519</v>
      </c>
      <c r="B241" s="697"/>
      <c r="C241" s="698" t="s">
        <v>529</v>
      </c>
      <c r="D241" s="699" t="s">
        <v>529</v>
      </c>
      <c r="E241" s="700">
        <f t="shared" si="31"/>
        <v>73843.130899999989</v>
      </c>
      <c r="F241" s="700">
        <v>0</v>
      </c>
      <c r="G241" s="701">
        <f t="shared" si="33"/>
        <v>73843.130899999989</v>
      </c>
      <c r="H241" s="698" t="s">
        <v>1417</v>
      </c>
      <c r="I241" s="699" t="s">
        <v>1512</v>
      </c>
      <c r="J241" s="699" t="s">
        <v>10</v>
      </c>
      <c r="K241" s="699" t="s">
        <v>325</v>
      </c>
      <c r="L241" s="699" t="s">
        <v>10</v>
      </c>
      <c r="M241" s="702">
        <v>41</v>
      </c>
      <c r="N241" s="702">
        <v>0.67800000000000005</v>
      </c>
      <c r="O241" s="702">
        <v>0.67100000000000004</v>
      </c>
      <c r="P241" s="702">
        <v>0.72</v>
      </c>
      <c r="Q241" s="702">
        <v>0.99199999999999999</v>
      </c>
      <c r="R241" s="702">
        <v>0</v>
      </c>
      <c r="S241" s="702">
        <v>380831</v>
      </c>
      <c r="T241" s="7">
        <f t="shared" si="34"/>
        <v>73843.130899999989</v>
      </c>
      <c r="U241" s="702">
        <v>263436</v>
      </c>
      <c r="V241" s="702">
        <v>117395</v>
      </c>
      <c r="W241" s="702">
        <v>1875</v>
      </c>
      <c r="X241" s="702">
        <v>0</v>
      </c>
      <c r="Y241" s="702">
        <v>0</v>
      </c>
      <c r="Z241" s="702">
        <v>0</v>
      </c>
      <c r="AA241" s="702">
        <v>454674.13089999999</v>
      </c>
      <c r="AB241" s="702">
        <v>73843.130900000004</v>
      </c>
      <c r="AC241" s="702">
        <v>380831</v>
      </c>
      <c r="AD241" s="702">
        <v>0</v>
      </c>
      <c r="AE241" s="702">
        <v>0</v>
      </c>
      <c r="AF241" s="702">
        <v>0</v>
      </c>
      <c r="AG241" s="702">
        <v>380831</v>
      </c>
      <c r="AH241" s="702">
        <v>0</v>
      </c>
      <c r="AI241" s="702">
        <v>0</v>
      </c>
      <c r="AJ241" s="698" t="s">
        <v>900</v>
      </c>
      <c r="AK241" s="698" t="s">
        <v>907</v>
      </c>
      <c r="AL241" s="699" t="s">
        <v>1512</v>
      </c>
      <c r="AM241" s="698" t="s">
        <v>1417</v>
      </c>
      <c r="AN241" s="699" t="s">
        <v>529</v>
      </c>
      <c r="AO241" s="699">
        <v>73843.130900000004</v>
      </c>
      <c r="AP241" s="703">
        <f t="shared" si="35"/>
        <v>46</v>
      </c>
      <c r="AQ241" s="703">
        <f t="shared" si="30"/>
        <v>62</v>
      </c>
      <c r="AR241" s="723">
        <v>0</v>
      </c>
      <c r="AS241" s="723">
        <v>0</v>
      </c>
      <c r="AT241" s="723">
        <v>46</v>
      </c>
      <c r="AU241" s="723">
        <v>0</v>
      </c>
      <c r="AV241" s="697">
        <v>0</v>
      </c>
      <c r="AW241" s="697">
        <v>0</v>
      </c>
      <c r="AX241" s="697">
        <v>0</v>
      </c>
      <c r="AY241" s="697">
        <v>0</v>
      </c>
      <c r="AZ241" s="723">
        <v>0</v>
      </c>
      <c r="BA241" s="723">
        <v>29</v>
      </c>
      <c r="BB241" s="723">
        <v>16</v>
      </c>
      <c r="BC241" s="723">
        <v>0</v>
      </c>
      <c r="BD241" s="723">
        <v>0</v>
      </c>
      <c r="BE241" s="723">
        <v>0</v>
      </c>
      <c r="BF241" s="723">
        <v>0</v>
      </c>
      <c r="BG241" s="723">
        <v>0</v>
      </c>
      <c r="BH241" s="723">
        <v>0</v>
      </c>
      <c r="BI241" s="723">
        <v>0</v>
      </c>
      <c r="BJ241" s="723">
        <v>0</v>
      </c>
      <c r="BK241" s="723">
        <v>0</v>
      </c>
      <c r="BL241" s="697">
        <v>0</v>
      </c>
      <c r="BM241" s="697">
        <v>0</v>
      </c>
      <c r="BN241" s="697">
        <v>0</v>
      </c>
      <c r="BO241" s="697">
        <v>0</v>
      </c>
      <c r="BP241" s="727"/>
      <c r="BQ241" s="727"/>
      <c r="BR241" s="727"/>
      <c r="BS241" s="727"/>
      <c r="BT241" s="727"/>
      <c r="BU241" s="727"/>
      <c r="BV241" s="727"/>
      <c r="BW241" s="727"/>
      <c r="BX241" s="727"/>
      <c r="BY241" s="727"/>
      <c r="BZ241" s="727"/>
      <c r="CA241" s="727"/>
      <c r="CB241" s="727"/>
      <c r="CC241" s="727"/>
      <c r="CD241" s="727"/>
      <c r="CE241" s="727"/>
      <c r="CF241" s="727"/>
      <c r="CG241" s="727"/>
      <c r="CH241" s="727"/>
      <c r="CI241" s="727"/>
      <c r="CJ241" s="727"/>
      <c r="CK241" s="727"/>
      <c r="CL241" s="727"/>
      <c r="CM241" s="727"/>
      <c r="CN241" s="727"/>
      <c r="CO241" s="727"/>
      <c r="CP241" s="727"/>
      <c r="CQ241" s="727"/>
      <c r="CR241" s="727"/>
      <c r="CS241" s="727"/>
      <c r="CT241" s="727"/>
      <c r="CU241" s="727"/>
      <c r="CV241" s="727"/>
      <c r="CW241" s="727"/>
      <c r="CX241" s="727"/>
      <c r="CY241" s="727"/>
      <c r="CZ241" s="727"/>
      <c r="DA241" s="727"/>
      <c r="DB241" s="727"/>
      <c r="DC241" s="727"/>
      <c r="DD241" s="727"/>
      <c r="DE241" s="727"/>
      <c r="DF241" s="727"/>
      <c r="DG241" s="727"/>
      <c r="DH241" s="727"/>
      <c r="DI241" s="727"/>
      <c r="DJ241" s="727"/>
      <c r="DK241" s="727"/>
      <c r="DL241" s="727"/>
      <c r="DM241" s="727"/>
      <c r="DN241" s="727"/>
      <c r="DO241" s="727"/>
      <c r="DP241" s="727"/>
      <c r="DQ241" s="727"/>
      <c r="DR241" s="727"/>
      <c r="DS241" s="727"/>
      <c r="DT241" s="727"/>
      <c r="DU241" s="727"/>
      <c r="DV241" s="727"/>
      <c r="DW241" s="727"/>
      <c r="DX241" s="727"/>
      <c r="DY241" s="727"/>
      <c r="DZ241" s="727"/>
      <c r="EA241" s="727"/>
      <c r="EB241" s="727"/>
      <c r="EC241" s="727"/>
      <c r="ED241" s="727"/>
      <c r="EE241" s="727"/>
      <c r="EF241" s="727"/>
      <c r="EG241" s="727"/>
      <c r="EH241" s="727"/>
      <c r="EI241" s="727"/>
      <c r="EJ241" s="727"/>
      <c r="EK241" s="727"/>
      <c r="EL241" s="727"/>
      <c r="EM241" s="727"/>
      <c r="EN241" s="727"/>
      <c r="EO241" s="727"/>
      <c r="EP241" s="727"/>
      <c r="EQ241" s="727"/>
      <c r="ER241" s="727"/>
      <c r="ES241" s="727"/>
      <c r="ET241" s="727"/>
      <c r="EU241" s="727"/>
      <c r="EV241" s="727"/>
      <c r="EW241" s="727"/>
      <c r="EX241" s="727"/>
      <c r="EY241" s="727"/>
      <c r="EZ241" s="727"/>
      <c r="FA241" s="727"/>
      <c r="FB241" s="727"/>
      <c r="FC241" s="727"/>
      <c r="FD241" s="727"/>
      <c r="FE241" s="727"/>
      <c r="FF241" s="727"/>
      <c r="FG241" s="727"/>
      <c r="FH241" s="727"/>
      <c r="FI241" s="727"/>
      <c r="FJ241" s="727"/>
      <c r="FK241" s="727"/>
      <c r="FL241" s="727"/>
      <c r="FM241" s="727"/>
      <c r="FN241" s="727"/>
      <c r="FO241" s="727"/>
      <c r="FP241" s="727"/>
      <c r="FQ241" s="727"/>
      <c r="FR241" s="727"/>
      <c r="FS241" s="727"/>
      <c r="FT241" s="727"/>
      <c r="FU241" s="727"/>
      <c r="FV241" s="727"/>
      <c r="FW241" s="727"/>
      <c r="FX241" s="727"/>
      <c r="FY241" s="727"/>
      <c r="FZ241" s="727"/>
      <c r="GA241" s="727"/>
      <c r="GB241" s="727"/>
      <c r="GC241" s="727"/>
      <c r="GD241" s="727"/>
      <c r="GE241" s="727"/>
      <c r="GF241" s="727"/>
      <c r="GG241" s="727"/>
      <c r="GH241" s="727"/>
      <c r="GI241" s="727"/>
      <c r="GJ241" s="727"/>
    </row>
    <row r="242" spans="1:192" ht="15" customHeight="1" x14ac:dyDescent="0.2">
      <c r="A242" s="697">
        <v>9805</v>
      </c>
      <c r="B242" s="697"/>
      <c r="C242" s="698" t="s">
        <v>531</v>
      </c>
      <c r="D242" s="699" t="s">
        <v>531</v>
      </c>
      <c r="E242" s="700">
        <f t="shared" si="31"/>
        <v>466287.41119999997</v>
      </c>
      <c r="F242" s="700">
        <v>0</v>
      </c>
      <c r="G242" s="701">
        <f t="shared" si="33"/>
        <v>466287.41119999997</v>
      </c>
      <c r="H242" s="698" t="s">
        <v>1417</v>
      </c>
      <c r="I242" s="699" t="s">
        <v>1416</v>
      </c>
      <c r="J242" s="699" t="s">
        <v>1417</v>
      </c>
      <c r="K242" s="699" t="s">
        <v>532</v>
      </c>
      <c r="L242" s="699" t="s">
        <v>10</v>
      </c>
      <c r="M242" s="702">
        <v>143</v>
      </c>
      <c r="N242" s="702">
        <v>0.94699999999999995</v>
      </c>
      <c r="O242" s="702">
        <v>0.95699999999999996</v>
      </c>
      <c r="P242" s="702">
        <v>0.93899999999999995</v>
      </c>
      <c r="Q242" s="702">
        <v>0.88900000000000001</v>
      </c>
      <c r="R242" s="702">
        <v>1500930</v>
      </c>
      <c r="S242" s="702">
        <v>1338368</v>
      </c>
      <c r="T242" s="7">
        <f t="shared" si="34"/>
        <v>446526.67499999999</v>
      </c>
      <c r="U242" s="702">
        <v>878311</v>
      </c>
      <c r="V242" s="702">
        <v>460057</v>
      </c>
      <c r="W242" s="702">
        <v>6956</v>
      </c>
      <c r="X242" s="702">
        <v>0</v>
      </c>
      <c r="Y242" s="702">
        <v>0</v>
      </c>
      <c r="Z242" s="702">
        <v>0</v>
      </c>
      <c r="AA242" s="702">
        <v>1784894.675</v>
      </c>
      <c r="AB242" s="702">
        <v>446526.67499999999</v>
      </c>
      <c r="AC242" s="702">
        <v>1338368</v>
      </c>
      <c r="AD242" s="702">
        <v>0</v>
      </c>
      <c r="AE242" s="702">
        <v>0</v>
      </c>
      <c r="AF242" s="702">
        <v>0</v>
      </c>
      <c r="AG242" s="702">
        <v>1338368</v>
      </c>
      <c r="AH242" s="702">
        <v>0</v>
      </c>
      <c r="AI242" s="702">
        <v>0</v>
      </c>
      <c r="AJ242" s="698" t="s">
        <v>900</v>
      </c>
      <c r="AK242" s="698" t="s">
        <v>905</v>
      </c>
      <c r="AL242" s="699" t="s">
        <v>1416</v>
      </c>
      <c r="AM242" s="698" t="s">
        <v>1417</v>
      </c>
      <c r="AN242" s="699" t="s">
        <v>531</v>
      </c>
      <c r="AO242" s="699">
        <v>446526.67499999999</v>
      </c>
      <c r="AP242" s="703">
        <f t="shared" si="35"/>
        <v>367.54939999999999</v>
      </c>
      <c r="AQ242" s="703">
        <f t="shared" si="30"/>
        <v>519.54939999999999</v>
      </c>
      <c r="AR242" s="697">
        <v>0</v>
      </c>
      <c r="AS242" s="697">
        <v>0</v>
      </c>
      <c r="AT242" s="697">
        <v>252</v>
      </c>
      <c r="AU242" s="697">
        <v>0</v>
      </c>
      <c r="AV242" s="697">
        <v>0</v>
      </c>
      <c r="AW242" s="697">
        <v>0</v>
      </c>
      <c r="AX242" s="697">
        <v>11</v>
      </c>
      <c r="AY242" s="697">
        <v>0</v>
      </c>
      <c r="AZ242" s="697">
        <v>0</v>
      </c>
      <c r="BA242" s="697">
        <v>0</v>
      </c>
      <c r="BB242" s="697">
        <v>152</v>
      </c>
      <c r="BC242" s="697">
        <v>0</v>
      </c>
      <c r="BD242" s="697">
        <v>0</v>
      </c>
      <c r="BE242" s="697">
        <v>0</v>
      </c>
      <c r="BF242" s="697">
        <v>0</v>
      </c>
      <c r="BG242" s="697">
        <v>0</v>
      </c>
      <c r="BH242" s="697">
        <v>0</v>
      </c>
      <c r="BI242" s="697">
        <v>0</v>
      </c>
      <c r="BJ242" s="697">
        <v>0</v>
      </c>
      <c r="BK242" s="697">
        <v>0</v>
      </c>
      <c r="BL242" s="697">
        <v>5000</v>
      </c>
      <c r="BM242" s="697">
        <v>0</v>
      </c>
      <c r="BN242" s="697">
        <v>0</v>
      </c>
      <c r="BO242" s="697">
        <v>995.49400000000003</v>
      </c>
    </row>
    <row r="243" spans="1:192" ht="15" customHeight="1" x14ac:dyDescent="0.2">
      <c r="A243" s="746">
        <v>4676</v>
      </c>
      <c r="B243" s="746"/>
      <c r="C243" s="762" t="s">
        <v>533</v>
      </c>
      <c r="D243" s="699" t="s">
        <v>533</v>
      </c>
      <c r="E243" s="700">
        <f t="shared" si="31"/>
        <v>288290.54800000001</v>
      </c>
      <c r="F243" s="700">
        <v>0</v>
      </c>
      <c r="G243" s="701">
        <f t="shared" si="33"/>
        <v>288290.54800000001</v>
      </c>
      <c r="H243" s="698" t="s">
        <v>1417</v>
      </c>
      <c r="I243" s="699" t="s">
        <v>1416</v>
      </c>
      <c r="J243" s="699" t="s">
        <v>1417</v>
      </c>
      <c r="K243" s="699" t="s">
        <v>160</v>
      </c>
      <c r="L243" s="699" t="s">
        <v>10</v>
      </c>
      <c r="M243" s="702">
        <v>152</v>
      </c>
      <c r="N243" s="702">
        <v>0.95699999999999996</v>
      </c>
      <c r="O243" s="702">
        <v>0.94399999999999995</v>
      </c>
      <c r="P243" s="702">
        <v>0.92500000000000004</v>
      </c>
      <c r="Q243" s="702">
        <v>0.95199999999999996</v>
      </c>
      <c r="R243" s="702">
        <v>1200354</v>
      </c>
      <c r="S243" s="702">
        <v>827470</v>
      </c>
      <c r="T243" s="7">
        <f t="shared" si="34"/>
        <v>357105.315</v>
      </c>
      <c r="U243" s="702">
        <v>349393</v>
      </c>
      <c r="V243" s="702">
        <v>478077</v>
      </c>
      <c r="W243" s="702">
        <v>4000</v>
      </c>
      <c r="X243" s="702">
        <v>0</v>
      </c>
      <c r="Y243" s="702">
        <v>0</v>
      </c>
      <c r="Z243" s="702">
        <v>0</v>
      </c>
      <c r="AA243" s="702">
        <v>1184575.3149999999</v>
      </c>
      <c r="AB243" s="702">
        <v>357105.315</v>
      </c>
      <c r="AC243" s="702">
        <v>827470</v>
      </c>
      <c r="AD243" s="702">
        <v>0</v>
      </c>
      <c r="AE243" s="702">
        <v>0</v>
      </c>
      <c r="AF243" s="702">
        <v>0</v>
      </c>
      <c r="AG243" s="702">
        <v>827470</v>
      </c>
      <c r="AH243" s="702">
        <v>0</v>
      </c>
      <c r="AI243" s="702">
        <v>0</v>
      </c>
      <c r="AJ243" s="762">
        <v>4</v>
      </c>
      <c r="AK243" s="762" t="s">
        <v>917</v>
      </c>
      <c r="AL243" s="699" t="s">
        <v>1416</v>
      </c>
      <c r="AM243" s="698" t="s">
        <v>1417</v>
      </c>
      <c r="AN243" s="744" t="s">
        <v>533</v>
      </c>
      <c r="AO243" s="744">
        <v>357105.315</v>
      </c>
      <c r="AP243" s="719">
        <v>0</v>
      </c>
      <c r="AQ243" s="703">
        <f t="shared" si="30"/>
        <v>1695</v>
      </c>
      <c r="AR243" s="720">
        <v>618</v>
      </c>
      <c r="AS243" s="720">
        <v>0</v>
      </c>
      <c r="AT243" s="720">
        <v>978</v>
      </c>
      <c r="AU243" s="720">
        <v>0</v>
      </c>
      <c r="AV243" s="697">
        <v>0</v>
      </c>
      <c r="AW243" s="697">
        <v>0</v>
      </c>
      <c r="AX243" s="697">
        <v>0</v>
      </c>
      <c r="AY243" s="697">
        <v>0</v>
      </c>
      <c r="AZ243" s="720">
        <v>0</v>
      </c>
      <c r="BA243" s="720">
        <v>12</v>
      </c>
      <c r="BB243" s="720">
        <v>8</v>
      </c>
      <c r="BC243" s="720">
        <v>0</v>
      </c>
      <c r="BD243" s="720">
        <v>5</v>
      </c>
      <c r="BE243" s="720">
        <v>0</v>
      </c>
      <c r="BF243" s="720">
        <v>0</v>
      </c>
      <c r="BG243" s="720">
        <v>0</v>
      </c>
      <c r="BH243" s="720">
        <v>86</v>
      </c>
      <c r="BI243" s="720">
        <v>0</v>
      </c>
      <c r="BJ243" s="720">
        <v>0</v>
      </c>
      <c r="BK243" s="720">
        <v>0</v>
      </c>
      <c r="BL243" s="720">
        <v>0</v>
      </c>
      <c r="BM243" s="720">
        <v>0</v>
      </c>
      <c r="BN243" s="720">
        <v>0</v>
      </c>
      <c r="BO243" s="697">
        <v>0</v>
      </c>
    </row>
    <row r="244" spans="1:192" ht="15" customHeight="1" x14ac:dyDescent="0.2">
      <c r="A244" s="697">
        <v>4514</v>
      </c>
      <c r="B244" s="697"/>
      <c r="C244" s="698" t="s">
        <v>535</v>
      </c>
      <c r="D244" s="699" t="s">
        <v>535</v>
      </c>
      <c r="E244" s="700">
        <f t="shared" si="31"/>
        <v>31635.560599999997</v>
      </c>
      <c r="F244" s="700">
        <v>0</v>
      </c>
      <c r="G244" s="701">
        <f t="shared" si="33"/>
        <v>31635.560599999997</v>
      </c>
      <c r="H244" s="698" t="s">
        <v>1417</v>
      </c>
      <c r="I244" s="699" t="s">
        <v>1512</v>
      </c>
      <c r="J244" s="699" t="s">
        <v>10</v>
      </c>
      <c r="K244" s="699" t="s">
        <v>537</v>
      </c>
      <c r="L244" s="699" t="s">
        <v>10</v>
      </c>
      <c r="M244" s="702">
        <v>10</v>
      </c>
      <c r="N244" s="702">
        <v>0.96599999999999997</v>
      </c>
      <c r="O244" s="702">
        <v>0.96599999999999997</v>
      </c>
      <c r="P244" s="702">
        <v>0.94699999999999995</v>
      </c>
      <c r="Q244" s="702">
        <v>0.96599999999999997</v>
      </c>
      <c r="R244" s="702">
        <v>0</v>
      </c>
      <c r="S244" s="702">
        <v>163154</v>
      </c>
      <c r="T244" s="7">
        <f t="shared" si="34"/>
        <v>31635.560599999997</v>
      </c>
      <c r="U244" s="702">
        <v>139108</v>
      </c>
      <c r="V244" s="702">
        <v>24046</v>
      </c>
      <c r="W244" s="702">
        <v>800</v>
      </c>
      <c r="X244" s="702">
        <v>0</v>
      </c>
      <c r="Y244" s="702">
        <v>0</v>
      </c>
      <c r="Z244" s="702">
        <v>0</v>
      </c>
      <c r="AA244" s="702">
        <v>194789.5606</v>
      </c>
      <c r="AB244" s="702">
        <v>31635.560600000001</v>
      </c>
      <c r="AC244" s="702">
        <v>163154</v>
      </c>
      <c r="AD244" s="702">
        <v>0</v>
      </c>
      <c r="AE244" s="702">
        <v>0</v>
      </c>
      <c r="AF244" s="702">
        <v>0</v>
      </c>
      <c r="AG244" s="702">
        <v>163154</v>
      </c>
      <c r="AH244" s="702">
        <v>0</v>
      </c>
      <c r="AI244" s="702">
        <v>0</v>
      </c>
      <c r="AJ244" s="698" t="s">
        <v>900</v>
      </c>
      <c r="AK244" s="698" t="s">
        <v>907</v>
      </c>
      <c r="AL244" s="699" t="s">
        <v>1512</v>
      </c>
      <c r="AM244" s="698" t="s">
        <v>1417</v>
      </c>
      <c r="AN244" s="699" t="s">
        <v>535</v>
      </c>
      <c r="AO244" s="699">
        <v>31635.560600000001</v>
      </c>
      <c r="AP244" s="703">
        <f t="shared" ref="AP244:AP253" si="36">AR244+AT244+AU244+AV244+AX244+AY244+AZ244+BD244+BF244+BG244+BH244+BJ244+BK244+(BL244+BM244+BN244)/1000+(0.1*BO244)</f>
        <v>8.7791999999999994</v>
      </c>
      <c r="AQ244" s="703">
        <f t="shared" si="30"/>
        <v>8.7791999999999994</v>
      </c>
      <c r="AR244" s="697">
        <v>0</v>
      </c>
      <c r="AS244" s="697">
        <v>0</v>
      </c>
      <c r="AT244" s="697">
        <v>8</v>
      </c>
      <c r="AU244" s="697">
        <v>0</v>
      </c>
      <c r="AV244" s="697">
        <v>0</v>
      </c>
      <c r="AW244" s="697">
        <v>0</v>
      </c>
      <c r="AX244" s="697">
        <v>0</v>
      </c>
      <c r="AY244" s="697">
        <v>0</v>
      </c>
      <c r="AZ244" s="697">
        <v>0</v>
      </c>
      <c r="BA244" s="697">
        <v>0</v>
      </c>
      <c r="BB244" s="697">
        <v>0</v>
      </c>
      <c r="BC244" s="697">
        <v>0</v>
      </c>
      <c r="BD244" s="697">
        <v>0</v>
      </c>
      <c r="BE244" s="697">
        <v>0</v>
      </c>
      <c r="BF244" s="697">
        <v>0</v>
      </c>
      <c r="BG244" s="697">
        <v>0</v>
      </c>
      <c r="BH244" s="697">
        <v>0</v>
      </c>
      <c r="BI244" s="697">
        <v>0</v>
      </c>
      <c r="BJ244" s="697">
        <v>0</v>
      </c>
      <c r="BK244" s="697">
        <v>0</v>
      </c>
      <c r="BL244" s="697">
        <v>0</v>
      </c>
      <c r="BM244" s="697">
        <v>0</v>
      </c>
      <c r="BN244" s="697">
        <v>0</v>
      </c>
      <c r="BO244" s="697">
        <v>7.7919999999999998</v>
      </c>
    </row>
    <row r="245" spans="1:192" ht="15" customHeight="1" x14ac:dyDescent="0.2">
      <c r="A245" s="697">
        <v>4842</v>
      </c>
      <c r="B245" s="697" t="s">
        <v>1412</v>
      </c>
      <c r="C245" s="698" t="s">
        <v>961</v>
      </c>
      <c r="D245" s="699" t="s">
        <v>961</v>
      </c>
      <c r="E245" s="700">
        <f t="shared" si="31"/>
        <v>381498</v>
      </c>
      <c r="F245" s="700">
        <v>663000</v>
      </c>
      <c r="G245" s="701">
        <f t="shared" si="33"/>
        <v>1044498</v>
      </c>
      <c r="H245" s="698" t="s">
        <v>10</v>
      </c>
      <c r="I245" s="699" t="s">
        <v>1416</v>
      </c>
      <c r="J245" s="699" t="s">
        <v>1412</v>
      </c>
      <c r="K245" s="699" t="s">
        <v>540</v>
      </c>
      <c r="L245" s="699" t="s">
        <v>1412</v>
      </c>
      <c r="M245" s="702">
        <v>38</v>
      </c>
      <c r="N245" s="702">
        <v>0.78700000000000003</v>
      </c>
      <c r="O245" s="702">
        <v>0.78900000000000003</v>
      </c>
      <c r="P245" s="702">
        <v>0.92500000000000004</v>
      </c>
      <c r="Q245" s="702">
        <v>0.95199999999999996</v>
      </c>
      <c r="R245" s="702">
        <v>1152038</v>
      </c>
      <c r="S245" s="702">
        <v>1095000</v>
      </c>
      <c r="T245" s="7">
        <f t="shared" si="34"/>
        <v>342731.30499999999</v>
      </c>
      <c r="U245" s="702">
        <v>564100</v>
      </c>
      <c r="V245" s="702">
        <v>530900</v>
      </c>
      <c r="W245" s="702">
        <v>6400</v>
      </c>
      <c r="X245" s="702">
        <v>1005731.3050000001</v>
      </c>
      <c r="Y245" s="702">
        <v>342731.30499999999</v>
      </c>
      <c r="Z245" s="702">
        <v>663000</v>
      </c>
      <c r="AA245" s="702">
        <v>432000</v>
      </c>
      <c r="AB245" s="702">
        <v>0</v>
      </c>
      <c r="AC245" s="702">
        <v>432000</v>
      </c>
      <c r="AD245" s="702">
        <v>663000</v>
      </c>
      <c r="AE245" s="702">
        <v>0</v>
      </c>
      <c r="AF245" s="702">
        <v>432000</v>
      </c>
      <c r="AG245" s="702">
        <v>0</v>
      </c>
      <c r="AH245" s="702">
        <v>1564000</v>
      </c>
      <c r="AI245" s="702">
        <v>976000</v>
      </c>
      <c r="AJ245" s="698" t="s">
        <v>914</v>
      </c>
      <c r="AK245" s="698" t="s">
        <v>1555</v>
      </c>
      <c r="AL245" s="699" t="s">
        <v>1416</v>
      </c>
      <c r="AM245" s="698" t="s">
        <v>10</v>
      </c>
      <c r="AN245" s="699" t="s">
        <v>961</v>
      </c>
      <c r="AO245" s="699">
        <v>1005731.3049999999</v>
      </c>
      <c r="AP245" s="703">
        <f t="shared" si="36"/>
        <v>927</v>
      </c>
      <c r="AQ245" s="703">
        <f t="shared" si="30"/>
        <v>947</v>
      </c>
      <c r="AR245" s="697">
        <v>400</v>
      </c>
      <c r="AS245" s="697">
        <v>976</v>
      </c>
      <c r="AT245" s="697">
        <v>395</v>
      </c>
      <c r="AU245" s="697">
        <v>0</v>
      </c>
      <c r="AV245" s="697">
        <v>0</v>
      </c>
      <c r="AW245" s="697">
        <v>0</v>
      </c>
      <c r="AX245" s="697">
        <v>0</v>
      </c>
      <c r="AY245" s="697">
        <v>0</v>
      </c>
      <c r="AZ245" s="697">
        <v>28</v>
      </c>
      <c r="BA245" s="697">
        <v>19</v>
      </c>
      <c r="BB245" s="697">
        <v>20</v>
      </c>
      <c r="BC245" s="697">
        <v>0</v>
      </c>
      <c r="BD245" s="697">
        <v>17</v>
      </c>
      <c r="BE245" s="697">
        <v>2</v>
      </c>
      <c r="BF245" s="697">
        <v>0</v>
      </c>
      <c r="BG245" s="697">
        <v>0</v>
      </c>
      <c r="BH245" s="697">
        <v>87</v>
      </c>
      <c r="BI245" s="697">
        <v>0</v>
      </c>
      <c r="BJ245" s="697">
        <v>0</v>
      </c>
      <c r="BK245" s="697">
        <v>0</v>
      </c>
      <c r="BL245" s="697">
        <v>0</v>
      </c>
      <c r="BM245" s="697">
        <v>0</v>
      </c>
      <c r="BN245" s="697">
        <v>0</v>
      </c>
      <c r="BO245" s="697">
        <v>0</v>
      </c>
    </row>
    <row r="246" spans="1:192" ht="15" customHeight="1" x14ac:dyDescent="0.2">
      <c r="A246" s="697">
        <v>4536</v>
      </c>
      <c r="B246" s="697" t="s">
        <v>1412</v>
      </c>
      <c r="C246" s="698" t="s">
        <v>541</v>
      </c>
      <c r="D246" s="699" t="s">
        <v>541</v>
      </c>
      <c r="E246" s="700">
        <f t="shared" si="31"/>
        <v>313270.1312</v>
      </c>
      <c r="F246" s="700">
        <v>0</v>
      </c>
      <c r="G246" s="701">
        <f t="shared" si="33"/>
        <v>313270.1312</v>
      </c>
      <c r="H246" s="698" t="s">
        <v>1417</v>
      </c>
      <c r="I246" s="699" t="s">
        <v>1416</v>
      </c>
      <c r="J246" s="699" t="s">
        <v>1412</v>
      </c>
      <c r="K246" s="699" t="s">
        <v>542</v>
      </c>
      <c r="L246" s="699" t="s">
        <v>10</v>
      </c>
      <c r="M246" s="702">
        <v>111</v>
      </c>
      <c r="N246" s="702">
        <v>0.96099999999999997</v>
      </c>
      <c r="O246" s="702">
        <v>0.96</v>
      </c>
      <c r="P246" s="702">
        <v>0.95799999999999996</v>
      </c>
      <c r="Q246" s="702">
        <v>0.95299999999999996</v>
      </c>
      <c r="R246" s="702">
        <v>1125920</v>
      </c>
      <c r="S246" s="702">
        <v>899168</v>
      </c>
      <c r="T246" s="7">
        <f t="shared" si="34"/>
        <v>334961.2</v>
      </c>
      <c r="U246" s="702">
        <v>554638</v>
      </c>
      <c r="V246" s="702">
        <v>344530</v>
      </c>
      <c r="W246" s="702">
        <v>5100</v>
      </c>
      <c r="X246" s="702">
        <v>0</v>
      </c>
      <c r="Y246" s="702">
        <v>0</v>
      </c>
      <c r="Z246" s="702">
        <v>0</v>
      </c>
      <c r="AA246" s="702">
        <v>1234129.2</v>
      </c>
      <c r="AB246" s="702">
        <v>334961.2</v>
      </c>
      <c r="AC246" s="702">
        <v>899168</v>
      </c>
      <c r="AD246" s="702">
        <v>0</v>
      </c>
      <c r="AE246" s="702">
        <v>0</v>
      </c>
      <c r="AF246" s="702">
        <v>899168</v>
      </c>
      <c r="AG246" s="702">
        <v>0</v>
      </c>
      <c r="AH246" s="702">
        <v>775000</v>
      </c>
      <c r="AI246" s="702">
        <v>724000</v>
      </c>
      <c r="AJ246" s="698">
        <v>4</v>
      </c>
      <c r="AK246" s="698" t="s">
        <v>899</v>
      </c>
      <c r="AL246" s="699" t="s">
        <v>1416</v>
      </c>
      <c r="AM246" s="698" t="s">
        <v>1417</v>
      </c>
      <c r="AN246" s="699" t="s">
        <v>541</v>
      </c>
      <c r="AO246" s="699">
        <v>334961.2</v>
      </c>
      <c r="AP246" s="703">
        <f t="shared" si="36"/>
        <v>289.67570000000001</v>
      </c>
      <c r="AQ246" s="703">
        <f t="shared" si="30"/>
        <v>297.67570000000001</v>
      </c>
      <c r="AR246" s="697">
        <v>91</v>
      </c>
      <c r="AS246" s="697">
        <v>724</v>
      </c>
      <c r="AT246" s="697">
        <v>70</v>
      </c>
      <c r="AU246" s="697">
        <v>0</v>
      </c>
      <c r="AV246" s="697">
        <v>13</v>
      </c>
      <c r="AW246" s="697">
        <v>8</v>
      </c>
      <c r="AX246" s="697">
        <v>0</v>
      </c>
      <c r="AY246" s="697">
        <v>0</v>
      </c>
      <c r="AZ246" s="697">
        <v>0</v>
      </c>
      <c r="BA246" s="697">
        <v>29</v>
      </c>
      <c r="BB246" s="697">
        <v>8</v>
      </c>
      <c r="BC246" s="697">
        <v>0</v>
      </c>
      <c r="BD246" s="697">
        <v>0</v>
      </c>
      <c r="BE246" s="697">
        <v>0</v>
      </c>
      <c r="BF246" s="697">
        <v>0</v>
      </c>
      <c r="BG246" s="697">
        <v>0</v>
      </c>
      <c r="BH246" s="697">
        <v>0</v>
      </c>
      <c r="BI246" s="697">
        <v>0</v>
      </c>
      <c r="BJ246" s="697">
        <v>0</v>
      </c>
      <c r="BK246" s="697">
        <v>0</v>
      </c>
      <c r="BL246" s="697">
        <v>13935</v>
      </c>
      <c r="BM246" s="697">
        <v>0</v>
      </c>
      <c r="BN246" s="697">
        <v>70755</v>
      </c>
      <c r="BO246" s="697">
        <v>309.85700000000003</v>
      </c>
    </row>
    <row r="247" spans="1:192" ht="15" customHeight="1" x14ac:dyDescent="0.2">
      <c r="A247" s="697">
        <v>3764</v>
      </c>
      <c r="B247" s="697"/>
      <c r="C247" s="698" t="s">
        <v>543</v>
      </c>
      <c r="D247" s="699" t="s">
        <v>543</v>
      </c>
      <c r="E247" s="700">
        <f t="shared" si="31"/>
        <v>69704.141499999998</v>
      </c>
      <c r="F247" s="700">
        <v>0</v>
      </c>
      <c r="G247" s="701">
        <f t="shared" si="33"/>
        <v>69704.141499999998</v>
      </c>
      <c r="H247" s="698" t="s">
        <v>10</v>
      </c>
      <c r="I247" s="699" t="s">
        <v>1512</v>
      </c>
      <c r="J247" s="699" t="s">
        <v>10</v>
      </c>
      <c r="K247" s="699" t="s">
        <v>542</v>
      </c>
      <c r="L247" s="699" t="s">
        <v>10</v>
      </c>
      <c r="M247" s="702">
        <v>30</v>
      </c>
      <c r="N247" s="702">
        <v>0.96399999999999997</v>
      </c>
      <c r="O247" s="702">
        <v>0.97699999999999998</v>
      </c>
      <c r="P247" s="702">
        <v>0.98799999999999999</v>
      </c>
      <c r="Q247" s="702">
        <v>0.98899999999999999</v>
      </c>
      <c r="R247" s="702">
        <v>0</v>
      </c>
      <c r="S247" s="702">
        <v>359485</v>
      </c>
      <c r="T247" s="7">
        <f t="shared" si="34"/>
        <v>69704.141499999998</v>
      </c>
      <c r="U247" s="702">
        <v>257363</v>
      </c>
      <c r="V247" s="702">
        <v>102122</v>
      </c>
      <c r="W247" s="702">
        <v>1600</v>
      </c>
      <c r="X247" s="702">
        <v>0</v>
      </c>
      <c r="Y247" s="702">
        <v>0</v>
      </c>
      <c r="Z247" s="702">
        <v>0</v>
      </c>
      <c r="AA247" s="702">
        <v>429189.14150000003</v>
      </c>
      <c r="AB247" s="702">
        <v>69704.141499999998</v>
      </c>
      <c r="AC247" s="702">
        <v>359485</v>
      </c>
      <c r="AD247" s="702">
        <v>0</v>
      </c>
      <c r="AE247" s="702">
        <v>0</v>
      </c>
      <c r="AF247" s="702">
        <v>0</v>
      </c>
      <c r="AG247" s="702">
        <v>359485</v>
      </c>
      <c r="AH247" s="702">
        <v>0</v>
      </c>
      <c r="AI247" s="702">
        <v>0</v>
      </c>
      <c r="AJ247" s="698">
        <v>4</v>
      </c>
      <c r="AK247" s="698" t="s">
        <v>899</v>
      </c>
      <c r="AL247" s="699" t="s">
        <v>1512</v>
      </c>
      <c r="AM247" s="698" t="s">
        <v>10</v>
      </c>
      <c r="AN247" s="699" t="s">
        <v>543</v>
      </c>
      <c r="AO247" s="699">
        <v>69704.141499999998</v>
      </c>
      <c r="AP247" s="703">
        <f t="shared" si="36"/>
        <v>31</v>
      </c>
      <c r="AQ247" s="703">
        <f t="shared" si="30"/>
        <v>31</v>
      </c>
      <c r="AR247" s="697">
        <v>0</v>
      </c>
      <c r="AS247" s="697">
        <v>0</v>
      </c>
      <c r="AT247" s="697">
        <v>24</v>
      </c>
      <c r="AU247" s="697">
        <v>5</v>
      </c>
      <c r="AV247" s="697">
        <v>0</v>
      </c>
      <c r="AW247" s="697">
        <v>-1</v>
      </c>
      <c r="AX247" s="697">
        <v>0</v>
      </c>
      <c r="AY247" s="697">
        <v>2</v>
      </c>
      <c r="AZ247" s="697">
        <v>0</v>
      </c>
      <c r="BA247" s="697">
        <v>21</v>
      </c>
      <c r="BB247" s="697">
        <v>0</v>
      </c>
      <c r="BC247" s="697">
        <v>0</v>
      </c>
      <c r="BD247" s="697">
        <v>0</v>
      </c>
      <c r="BE247" s="697">
        <v>0</v>
      </c>
      <c r="BF247" s="697">
        <v>0</v>
      </c>
      <c r="BG247" s="697">
        <v>0</v>
      </c>
      <c r="BH247" s="697">
        <v>0</v>
      </c>
      <c r="BI247" s="697">
        <v>0</v>
      </c>
      <c r="BJ247" s="697">
        <v>0</v>
      </c>
      <c r="BK247" s="697">
        <v>0</v>
      </c>
      <c r="BL247" s="697">
        <v>0</v>
      </c>
      <c r="BM247" s="697">
        <v>0</v>
      </c>
      <c r="BN247" s="697">
        <v>0</v>
      </c>
      <c r="BO247" s="697">
        <v>0</v>
      </c>
    </row>
    <row r="248" spans="1:192" ht="15" customHeight="1" x14ac:dyDescent="0.2">
      <c r="A248" s="697">
        <v>4530</v>
      </c>
      <c r="B248" s="697" t="s">
        <v>1412</v>
      </c>
      <c r="C248" s="698" t="s">
        <v>544</v>
      </c>
      <c r="D248" s="699" t="s">
        <v>544</v>
      </c>
      <c r="E248" s="700">
        <f t="shared" si="31"/>
        <v>119077.1972</v>
      </c>
      <c r="F248" s="700">
        <v>0</v>
      </c>
      <c r="G248" s="701">
        <f t="shared" si="33"/>
        <v>119077.1972</v>
      </c>
      <c r="H248" s="698" t="s">
        <v>1412</v>
      </c>
      <c r="I248" s="699" t="s">
        <v>1416</v>
      </c>
      <c r="J248" s="699" t="s">
        <v>1412</v>
      </c>
      <c r="K248" s="699" t="s">
        <v>490</v>
      </c>
      <c r="L248" s="699" t="s">
        <v>10</v>
      </c>
      <c r="M248" s="702">
        <v>45</v>
      </c>
      <c r="N248" s="702">
        <v>0.79300000000000004</v>
      </c>
      <c r="O248" s="702">
        <v>0.85299999999999998</v>
      </c>
      <c r="P248" s="702">
        <v>0.85499999999999998</v>
      </c>
      <c r="Q248" s="702">
        <v>0.47899999999999998</v>
      </c>
      <c r="R248" s="702">
        <v>403389</v>
      </c>
      <c r="S248" s="702">
        <v>341783</v>
      </c>
      <c r="T248" s="7">
        <f t="shared" si="34"/>
        <v>120008.22749999999</v>
      </c>
      <c r="U248" s="702">
        <v>192321</v>
      </c>
      <c r="V248" s="702">
        <v>149462</v>
      </c>
      <c r="W248" s="702">
        <v>1875</v>
      </c>
      <c r="X248" s="702">
        <v>0</v>
      </c>
      <c r="Y248" s="702">
        <v>0</v>
      </c>
      <c r="Z248" s="702">
        <v>0</v>
      </c>
      <c r="AA248" s="702">
        <v>461791.22749999998</v>
      </c>
      <c r="AB248" s="702">
        <v>120008.22749999999</v>
      </c>
      <c r="AC248" s="702">
        <v>341783</v>
      </c>
      <c r="AD248" s="702">
        <v>0</v>
      </c>
      <c r="AE248" s="702">
        <v>0</v>
      </c>
      <c r="AF248" s="702">
        <v>341783</v>
      </c>
      <c r="AG248" s="702">
        <v>0</v>
      </c>
      <c r="AH248" s="702">
        <v>440000</v>
      </c>
      <c r="AI248" s="702">
        <v>313000</v>
      </c>
      <c r="AJ248" s="698" t="s">
        <v>900</v>
      </c>
      <c r="AK248" s="698" t="s">
        <v>922</v>
      </c>
      <c r="AL248" s="699" t="s">
        <v>1512</v>
      </c>
      <c r="AM248" s="698"/>
      <c r="AN248" s="699" t="s">
        <v>544</v>
      </c>
      <c r="AO248" s="699">
        <v>120008.22749999999</v>
      </c>
      <c r="AP248" s="703">
        <f t="shared" si="36"/>
        <v>149.34899999999999</v>
      </c>
      <c r="AQ248" s="703">
        <f t="shared" si="30"/>
        <v>151.34899999999999</v>
      </c>
      <c r="AR248" s="697">
        <v>5</v>
      </c>
      <c r="AS248" s="697">
        <v>313</v>
      </c>
      <c r="AT248" s="697">
        <v>66</v>
      </c>
      <c r="AU248" s="697">
        <v>0</v>
      </c>
      <c r="AV248" s="697">
        <v>5</v>
      </c>
      <c r="AW248" s="697">
        <v>313</v>
      </c>
      <c r="AX248" s="697">
        <v>66</v>
      </c>
      <c r="AY248" s="697">
        <v>0</v>
      </c>
      <c r="AZ248" s="697">
        <v>0</v>
      </c>
      <c r="BA248" s="697">
        <v>0</v>
      </c>
      <c r="BB248" s="697">
        <v>1</v>
      </c>
      <c r="BC248" s="697">
        <v>1</v>
      </c>
      <c r="BD248" s="697">
        <v>0</v>
      </c>
      <c r="BE248" s="697">
        <v>0</v>
      </c>
      <c r="BF248" s="697">
        <v>0</v>
      </c>
      <c r="BG248" s="697">
        <v>0</v>
      </c>
      <c r="BH248" s="697">
        <v>0</v>
      </c>
      <c r="BI248" s="697">
        <v>0</v>
      </c>
      <c r="BJ248" s="697">
        <v>0</v>
      </c>
      <c r="BK248" s="697">
        <v>0</v>
      </c>
      <c r="BL248" s="697">
        <v>0</v>
      </c>
      <c r="BM248" s="697">
        <v>0</v>
      </c>
      <c r="BN248" s="697">
        <v>0</v>
      </c>
      <c r="BO248" s="697">
        <v>73.489999999999995</v>
      </c>
    </row>
    <row r="249" spans="1:192" ht="15" customHeight="1" x14ac:dyDescent="0.2">
      <c r="A249" s="697">
        <v>4534</v>
      </c>
      <c r="B249" s="697"/>
      <c r="C249" s="698" t="s">
        <v>546</v>
      </c>
      <c r="D249" s="699" t="s">
        <v>546</v>
      </c>
      <c r="E249" s="700">
        <f t="shared" si="31"/>
        <v>74305.776299999998</v>
      </c>
      <c r="F249" s="700">
        <v>0</v>
      </c>
      <c r="G249" s="701">
        <f t="shared" si="33"/>
        <v>74305.776299999998</v>
      </c>
      <c r="H249" s="698" t="s">
        <v>1417</v>
      </c>
      <c r="I249" s="699" t="s">
        <v>1512</v>
      </c>
      <c r="J249" s="699" t="s">
        <v>10</v>
      </c>
      <c r="K249" s="699" t="s">
        <v>547</v>
      </c>
      <c r="L249" s="699" t="s">
        <v>10</v>
      </c>
      <c r="M249" s="702">
        <v>20</v>
      </c>
      <c r="N249" s="702">
        <v>0.97399999999999998</v>
      </c>
      <c r="O249" s="702">
        <v>0.97399999999999998</v>
      </c>
      <c r="P249" s="702">
        <v>0.95699999999999996</v>
      </c>
      <c r="Q249" s="702">
        <v>0.93799999999999994</v>
      </c>
      <c r="R249" s="702">
        <v>0</v>
      </c>
      <c r="S249" s="702">
        <v>383217</v>
      </c>
      <c r="T249" s="7">
        <f t="shared" si="34"/>
        <v>74305.776299999998</v>
      </c>
      <c r="U249" s="702">
        <v>302558</v>
      </c>
      <c r="V249" s="702">
        <v>80659</v>
      </c>
      <c r="W249" s="702">
        <v>1375</v>
      </c>
      <c r="X249" s="702">
        <v>0</v>
      </c>
      <c r="Y249" s="702">
        <v>0</v>
      </c>
      <c r="Z249" s="702">
        <v>0</v>
      </c>
      <c r="AA249" s="702">
        <v>457522.77630000003</v>
      </c>
      <c r="AB249" s="702">
        <v>74305.776299999998</v>
      </c>
      <c r="AC249" s="702">
        <v>383217</v>
      </c>
      <c r="AD249" s="702">
        <v>0</v>
      </c>
      <c r="AE249" s="702">
        <v>0</v>
      </c>
      <c r="AF249" s="702">
        <v>0</v>
      </c>
      <c r="AG249" s="702">
        <v>383217</v>
      </c>
      <c r="AH249" s="702">
        <v>0</v>
      </c>
      <c r="AI249" s="702">
        <v>0</v>
      </c>
      <c r="AJ249" s="698">
        <v>4</v>
      </c>
      <c r="AK249" s="698" t="s">
        <v>899</v>
      </c>
      <c r="AL249" s="699" t="s">
        <v>1512</v>
      </c>
      <c r="AM249" s="698" t="s">
        <v>1417</v>
      </c>
      <c r="AN249" s="699" t="s">
        <v>546</v>
      </c>
      <c r="AO249" s="699">
        <v>74305.776299999998</v>
      </c>
      <c r="AP249" s="703">
        <f t="shared" si="36"/>
        <v>35.414400000000001</v>
      </c>
      <c r="AQ249" s="703">
        <f t="shared" si="30"/>
        <v>46.414400000000001</v>
      </c>
      <c r="AR249" s="697">
        <v>0</v>
      </c>
      <c r="AS249" s="697">
        <v>0</v>
      </c>
      <c r="AT249" s="697">
        <v>13</v>
      </c>
      <c r="AU249" s="697">
        <v>7</v>
      </c>
      <c r="AV249" s="697">
        <v>0</v>
      </c>
      <c r="AW249" s="697">
        <v>0</v>
      </c>
      <c r="AX249" s="697">
        <v>0</v>
      </c>
      <c r="AY249" s="697">
        <v>3</v>
      </c>
      <c r="AZ249" s="697">
        <v>0</v>
      </c>
      <c r="BA249" s="697">
        <v>0</v>
      </c>
      <c r="BB249" s="697">
        <v>8</v>
      </c>
      <c r="BC249" s="697">
        <v>3</v>
      </c>
      <c r="BD249" s="697">
        <v>0</v>
      </c>
      <c r="BE249" s="697">
        <v>0</v>
      </c>
      <c r="BF249" s="697">
        <v>0</v>
      </c>
      <c r="BG249" s="697">
        <v>0</v>
      </c>
      <c r="BH249" s="697">
        <v>0</v>
      </c>
      <c r="BI249" s="697">
        <v>0</v>
      </c>
      <c r="BJ249" s="697">
        <v>0</v>
      </c>
      <c r="BK249" s="697">
        <v>0</v>
      </c>
      <c r="BL249" s="697">
        <v>0</v>
      </c>
      <c r="BM249" s="697">
        <v>0</v>
      </c>
      <c r="BN249" s="697">
        <v>0</v>
      </c>
      <c r="BO249" s="697">
        <v>124.14400000000001</v>
      </c>
    </row>
    <row r="250" spans="1:192" ht="15" customHeight="1" x14ac:dyDescent="0.2">
      <c r="A250" s="697">
        <v>4523</v>
      </c>
      <c r="B250" s="697" t="s">
        <v>1412</v>
      </c>
      <c r="C250" s="698" t="s">
        <v>548</v>
      </c>
      <c r="D250" s="699" t="s">
        <v>548</v>
      </c>
      <c r="E250" s="700">
        <f t="shared" si="31"/>
        <v>375283.9376</v>
      </c>
      <c r="F250" s="700">
        <v>59946</v>
      </c>
      <c r="G250" s="701">
        <f t="shared" si="33"/>
        <v>435229.9376</v>
      </c>
      <c r="H250" s="698" t="s">
        <v>10</v>
      </c>
      <c r="I250" s="699" t="s">
        <v>1416</v>
      </c>
      <c r="J250" s="699" t="s">
        <v>1412</v>
      </c>
      <c r="K250" s="699" t="s">
        <v>962</v>
      </c>
      <c r="L250" s="699" t="s">
        <v>1412</v>
      </c>
      <c r="M250" s="702">
        <v>145</v>
      </c>
      <c r="N250" s="702">
        <v>0.55700000000000005</v>
      </c>
      <c r="O250" s="702">
        <v>0.55800000000000005</v>
      </c>
      <c r="P250" s="702">
        <v>0.60199999999999998</v>
      </c>
      <c r="Q250" s="702">
        <v>0.70499999999999996</v>
      </c>
      <c r="R250" s="702">
        <v>1383318</v>
      </c>
      <c r="S250" s="702">
        <v>1077164</v>
      </c>
      <c r="T250" s="7">
        <f t="shared" si="34"/>
        <v>411537.10499999998</v>
      </c>
      <c r="U250" s="702">
        <v>691883</v>
      </c>
      <c r="V250" s="702">
        <v>385281</v>
      </c>
      <c r="W250" s="702">
        <v>5214</v>
      </c>
      <c r="X250" s="702">
        <v>471483.10499999998</v>
      </c>
      <c r="Y250" s="702">
        <v>411537.10499999998</v>
      </c>
      <c r="Z250" s="702">
        <v>59946</v>
      </c>
      <c r="AA250" s="702">
        <v>1017218</v>
      </c>
      <c r="AB250" s="702">
        <v>0</v>
      </c>
      <c r="AC250" s="702">
        <v>1017218</v>
      </c>
      <c r="AD250" s="702">
        <v>59946</v>
      </c>
      <c r="AE250" s="702">
        <v>0</v>
      </c>
      <c r="AF250" s="702">
        <v>1017218</v>
      </c>
      <c r="AG250" s="702">
        <v>0</v>
      </c>
      <c r="AH250" s="702">
        <v>473000</v>
      </c>
      <c r="AI250" s="702">
        <v>515000</v>
      </c>
      <c r="AJ250" s="698" t="s">
        <v>900</v>
      </c>
      <c r="AK250" s="698" t="s">
        <v>901</v>
      </c>
      <c r="AL250" s="699" t="s">
        <v>1416</v>
      </c>
      <c r="AM250" s="698" t="s">
        <v>10</v>
      </c>
      <c r="AN250" s="699" t="s">
        <v>548</v>
      </c>
      <c r="AO250" s="699">
        <v>471483.10499999998</v>
      </c>
      <c r="AP250" s="703">
        <f t="shared" si="36"/>
        <v>410.27209999999997</v>
      </c>
      <c r="AQ250" s="703">
        <f t="shared" si="30"/>
        <v>410.27209999999997</v>
      </c>
      <c r="AR250" s="697">
        <v>145</v>
      </c>
      <c r="AS250" s="697">
        <v>515</v>
      </c>
      <c r="AT250" s="697">
        <v>143</v>
      </c>
      <c r="AU250" s="697">
        <v>0</v>
      </c>
      <c r="AV250" s="697">
        <v>0</v>
      </c>
      <c r="AW250" s="697">
        <v>0</v>
      </c>
      <c r="AX250" s="697">
        <v>0</v>
      </c>
      <c r="AY250" s="697">
        <v>0</v>
      </c>
      <c r="AZ250" s="697">
        <v>0</v>
      </c>
      <c r="BA250" s="697">
        <v>0</v>
      </c>
      <c r="BB250" s="697">
        <v>0</v>
      </c>
      <c r="BC250" s="697">
        <v>0</v>
      </c>
      <c r="BD250" s="697">
        <v>0</v>
      </c>
      <c r="BE250" s="697">
        <v>0</v>
      </c>
      <c r="BF250" s="697">
        <v>0</v>
      </c>
      <c r="BG250" s="697">
        <v>0</v>
      </c>
      <c r="BH250" s="697">
        <v>14</v>
      </c>
      <c r="BI250" s="697">
        <v>1</v>
      </c>
      <c r="BJ250" s="697">
        <v>0</v>
      </c>
      <c r="BK250" s="697">
        <v>0</v>
      </c>
      <c r="BL250" s="697">
        <v>10352</v>
      </c>
      <c r="BM250" s="697">
        <v>0</v>
      </c>
      <c r="BN250" s="697">
        <v>0</v>
      </c>
      <c r="BO250" s="697">
        <v>979.20100000000002</v>
      </c>
    </row>
    <row r="251" spans="1:192" ht="15" customHeight="1" x14ac:dyDescent="0.2">
      <c r="A251" s="697">
        <v>4533</v>
      </c>
      <c r="B251" s="697"/>
      <c r="C251" s="698" t="s">
        <v>550</v>
      </c>
      <c r="D251" s="699" t="s">
        <v>550</v>
      </c>
      <c r="E251" s="700">
        <f t="shared" si="31"/>
        <v>16461.916099999999</v>
      </c>
      <c r="F251" s="700">
        <v>0</v>
      </c>
      <c r="G251" s="701">
        <f t="shared" si="33"/>
        <v>16461.916099999999</v>
      </c>
      <c r="H251" s="698" t="s">
        <v>10</v>
      </c>
      <c r="I251" s="699" t="s">
        <v>1512</v>
      </c>
      <c r="J251" s="699" t="s">
        <v>10</v>
      </c>
      <c r="K251" s="699" t="s">
        <v>450</v>
      </c>
      <c r="L251" s="699" t="s">
        <v>10</v>
      </c>
      <c r="M251" s="702">
        <v>5</v>
      </c>
      <c r="N251" s="702">
        <v>0.92300000000000004</v>
      </c>
      <c r="O251" s="702">
        <v>0.92300000000000004</v>
      </c>
      <c r="P251" s="702">
        <v>0.92300000000000004</v>
      </c>
      <c r="Q251" s="702">
        <v>1</v>
      </c>
      <c r="R251" s="702">
        <v>0</v>
      </c>
      <c r="S251" s="702">
        <v>84899</v>
      </c>
      <c r="T251" s="7">
        <f t="shared" si="34"/>
        <v>16461.916099999999</v>
      </c>
      <c r="U251" s="702">
        <v>60000</v>
      </c>
      <c r="V251" s="702">
        <v>24899</v>
      </c>
      <c r="W251" s="702">
        <v>530</v>
      </c>
      <c r="X251" s="702">
        <v>0</v>
      </c>
      <c r="Y251" s="702">
        <v>0</v>
      </c>
      <c r="Z251" s="702">
        <v>0</v>
      </c>
      <c r="AA251" s="702">
        <v>101360.9161</v>
      </c>
      <c r="AB251" s="702">
        <v>16461.916099999999</v>
      </c>
      <c r="AC251" s="702">
        <v>84899</v>
      </c>
      <c r="AD251" s="702">
        <v>0</v>
      </c>
      <c r="AE251" s="702">
        <v>0</v>
      </c>
      <c r="AF251" s="702">
        <v>0</v>
      </c>
      <c r="AG251" s="702">
        <v>84899</v>
      </c>
      <c r="AH251" s="702">
        <v>0</v>
      </c>
      <c r="AI251" s="702">
        <v>0</v>
      </c>
      <c r="AJ251" s="698">
        <v>4</v>
      </c>
      <c r="AK251" s="698" t="s">
        <v>921</v>
      </c>
      <c r="AL251" s="699" t="s">
        <v>1512</v>
      </c>
      <c r="AM251" s="698" t="s">
        <v>10</v>
      </c>
      <c r="AN251" s="699" t="s">
        <v>550</v>
      </c>
      <c r="AO251" s="699">
        <v>16461.916099999999</v>
      </c>
      <c r="AP251" s="703">
        <f t="shared" si="36"/>
        <v>4</v>
      </c>
      <c r="AQ251" s="703">
        <f t="shared" si="30"/>
        <v>6</v>
      </c>
      <c r="AR251" s="697">
        <v>0</v>
      </c>
      <c r="AS251" s="697">
        <v>0</v>
      </c>
      <c r="AT251" s="697">
        <v>4</v>
      </c>
      <c r="AU251" s="697">
        <v>0</v>
      </c>
      <c r="AV251" s="697">
        <v>0</v>
      </c>
      <c r="AW251" s="697">
        <v>0</v>
      </c>
      <c r="AX251" s="697">
        <v>0</v>
      </c>
      <c r="AY251" s="697">
        <v>0</v>
      </c>
      <c r="AZ251" s="697">
        <v>0</v>
      </c>
      <c r="BA251" s="697">
        <v>0</v>
      </c>
      <c r="BB251" s="697">
        <v>1</v>
      </c>
      <c r="BC251" s="697">
        <v>1</v>
      </c>
      <c r="BD251" s="697">
        <v>0</v>
      </c>
      <c r="BE251" s="697">
        <v>0</v>
      </c>
      <c r="BF251" s="697">
        <v>0</v>
      </c>
      <c r="BG251" s="697">
        <v>0</v>
      </c>
      <c r="BH251" s="697">
        <v>0</v>
      </c>
      <c r="BI251" s="697">
        <v>0</v>
      </c>
      <c r="BJ251" s="697">
        <v>0</v>
      </c>
      <c r="BK251" s="697">
        <v>0</v>
      </c>
      <c r="BL251" s="697">
        <v>0</v>
      </c>
      <c r="BM251" s="697">
        <v>0</v>
      </c>
      <c r="BN251" s="697">
        <v>0</v>
      </c>
      <c r="BO251" s="697">
        <v>0</v>
      </c>
    </row>
    <row r="252" spans="1:192" s="734" customFormat="1" x14ac:dyDescent="0.2">
      <c r="A252" s="723">
        <v>9855</v>
      </c>
      <c r="B252" s="723"/>
      <c r="C252" s="763" t="s">
        <v>553</v>
      </c>
      <c r="D252" s="764" t="s">
        <v>553</v>
      </c>
      <c r="E252" s="700">
        <f t="shared" si="31"/>
        <v>276371.78399999999</v>
      </c>
      <c r="F252" s="765">
        <v>0</v>
      </c>
      <c r="G252" s="701">
        <f>E252+F252</f>
        <v>276371.78399999999</v>
      </c>
      <c r="H252" s="763" t="s">
        <v>10</v>
      </c>
      <c r="I252" s="764" t="s">
        <v>1416</v>
      </c>
      <c r="J252" s="764" t="s">
        <v>1417</v>
      </c>
      <c r="K252" s="764" t="s">
        <v>297</v>
      </c>
      <c r="L252" s="764" t="s">
        <v>10</v>
      </c>
      <c r="M252" s="766">
        <v>102</v>
      </c>
      <c r="N252" s="766">
        <v>0.57899999999999996</v>
      </c>
      <c r="O252" s="766">
        <v>0.624</v>
      </c>
      <c r="P252" s="766">
        <v>0.51100000000000001</v>
      </c>
      <c r="Q252" s="766">
        <v>0.53300000000000003</v>
      </c>
      <c r="R252" s="766">
        <v>825921</v>
      </c>
      <c r="S252" s="766">
        <v>793260</v>
      </c>
      <c r="T252" s="284">
        <f t="shared" si="34"/>
        <v>245711.4975</v>
      </c>
      <c r="U252" s="766">
        <v>538792</v>
      </c>
      <c r="V252" s="766">
        <v>254468</v>
      </c>
      <c r="W252" s="766">
        <v>3520</v>
      </c>
      <c r="X252" s="766">
        <v>0</v>
      </c>
      <c r="Y252" s="766">
        <v>0</v>
      </c>
      <c r="Z252" s="766">
        <v>0</v>
      </c>
      <c r="AA252" s="766">
        <v>1038971.498</v>
      </c>
      <c r="AB252" s="766">
        <v>245711.4975</v>
      </c>
      <c r="AC252" s="766">
        <v>793260</v>
      </c>
      <c r="AD252" s="766">
        <v>0</v>
      </c>
      <c r="AE252" s="766">
        <v>0</v>
      </c>
      <c r="AF252" s="766">
        <v>0</v>
      </c>
      <c r="AG252" s="766">
        <v>793260</v>
      </c>
      <c r="AH252" s="766">
        <v>0</v>
      </c>
      <c r="AI252" s="766">
        <v>0</v>
      </c>
      <c r="AJ252" s="763">
        <v>4</v>
      </c>
      <c r="AK252" s="763" t="s">
        <v>913</v>
      </c>
      <c r="AL252" s="764" t="s">
        <v>1416</v>
      </c>
      <c r="AM252" s="763" t="s">
        <v>10</v>
      </c>
      <c r="AN252" s="764" t="s">
        <v>553</v>
      </c>
      <c r="AO252" s="764">
        <v>245711.4975</v>
      </c>
      <c r="AP252" s="767">
        <f t="shared" si="36"/>
        <v>281</v>
      </c>
      <c r="AQ252" s="703">
        <f t="shared" si="30"/>
        <v>291</v>
      </c>
      <c r="AR252" s="723">
        <v>0</v>
      </c>
      <c r="AS252" s="723">
        <v>0</v>
      </c>
      <c r="AT252" s="723">
        <v>249</v>
      </c>
      <c r="AU252" s="723">
        <v>22</v>
      </c>
      <c r="AV252" s="723">
        <v>0</v>
      </c>
      <c r="AW252" s="723">
        <v>0</v>
      </c>
      <c r="AX252" s="723">
        <v>10</v>
      </c>
      <c r="AY252" s="723">
        <v>0</v>
      </c>
      <c r="AZ252" s="723">
        <v>0</v>
      </c>
      <c r="BA252" s="723">
        <v>0</v>
      </c>
      <c r="BB252" s="723">
        <v>7</v>
      </c>
      <c r="BC252" s="723">
        <v>3</v>
      </c>
      <c r="BD252" s="723">
        <v>0</v>
      </c>
      <c r="BE252" s="723">
        <v>0</v>
      </c>
      <c r="BF252" s="723">
        <v>0</v>
      </c>
      <c r="BG252" s="723">
        <v>0</v>
      </c>
      <c r="BH252" s="723">
        <v>0</v>
      </c>
      <c r="BI252" s="723">
        <v>0</v>
      </c>
      <c r="BJ252" s="723">
        <v>0</v>
      </c>
      <c r="BK252" s="723">
        <v>0</v>
      </c>
      <c r="BL252" s="723">
        <v>0</v>
      </c>
      <c r="BM252" s="723">
        <v>0</v>
      </c>
      <c r="BN252" s="723">
        <v>0</v>
      </c>
      <c r="BO252" s="723">
        <v>0</v>
      </c>
      <c r="BP252" s="727"/>
      <c r="BQ252" s="727"/>
      <c r="BR252" s="727"/>
      <c r="BS252" s="727"/>
      <c r="BT252" s="727"/>
      <c r="BU252" s="727"/>
      <c r="BV252" s="727"/>
      <c r="BW252" s="727"/>
      <c r="BX252" s="727"/>
      <c r="BY252" s="727"/>
      <c r="BZ252" s="727"/>
      <c r="CA252" s="727"/>
      <c r="CB252" s="727"/>
      <c r="CC252" s="727"/>
      <c r="CD252" s="727"/>
      <c r="CE252" s="727"/>
      <c r="CF252" s="727"/>
      <c r="CG252" s="727"/>
      <c r="CH252" s="727"/>
      <c r="CI252" s="727"/>
      <c r="CJ252" s="727"/>
      <c r="CK252" s="727"/>
      <c r="CL252" s="727"/>
      <c r="CM252" s="727"/>
      <c r="CN252" s="727"/>
      <c r="CO252" s="727"/>
      <c r="CP252" s="727"/>
      <c r="CQ252" s="727"/>
      <c r="CR252" s="727"/>
      <c r="CS252" s="727"/>
      <c r="CT252" s="727"/>
      <c r="CU252" s="727"/>
      <c r="CV252" s="727"/>
      <c r="CW252" s="727"/>
      <c r="CX252" s="727"/>
      <c r="CY252" s="727"/>
      <c r="CZ252" s="727"/>
      <c r="DA252" s="727"/>
      <c r="DB252" s="727"/>
      <c r="DC252" s="727"/>
      <c r="DD252" s="727"/>
      <c r="DE252" s="727"/>
      <c r="DF252" s="727"/>
      <c r="DG252" s="727"/>
      <c r="DH252" s="727"/>
    </row>
    <row r="253" spans="1:192" s="734" customFormat="1" x14ac:dyDescent="0.2">
      <c r="A253" s="723">
        <v>4612</v>
      </c>
      <c r="B253" s="723"/>
      <c r="C253" s="763" t="s">
        <v>554</v>
      </c>
      <c r="D253" s="764" t="s">
        <v>554</v>
      </c>
      <c r="E253" s="700">
        <f t="shared" si="31"/>
        <v>51471.142799999994</v>
      </c>
      <c r="F253" s="765">
        <v>0</v>
      </c>
      <c r="G253" s="768">
        <f>E253+F253</f>
        <v>51471.142799999994</v>
      </c>
      <c r="H253" s="763" t="s">
        <v>1417</v>
      </c>
      <c r="I253" s="764" t="s">
        <v>1512</v>
      </c>
      <c r="J253" s="764" t="s">
        <v>10</v>
      </c>
      <c r="K253" s="764" t="s">
        <v>1545</v>
      </c>
      <c r="L253" s="764" t="s">
        <v>10</v>
      </c>
      <c r="M253" s="766">
        <v>18</v>
      </c>
      <c r="N253" s="766">
        <v>0.997</v>
      </c>
      <c r="O253" s="766">
        <v>0.997</v>
      </c>
      <c r="P253" s="766">
        <v>1</v>
      </c>
      <c r="Q253" s="766">
        <v>0.95199999999999996</v>
      </c>
      <c r="R253" s="766">
        <v>0</v>
      </c>
      <c r="S253" s="766">
        <v>265452</v>
      </c>
      <c r="T253" s="284">
        <f t="shared" si="34"/>
        <v>51471.142799999994</v>
      </c>
      <c r="U253" s="766">
        <v>222664</v>
      </c>
      <c r="V253" s="766">
        <v>42788</v>
      </c>
      <c r="W253" s="766">
        <v>0</v>
      </c>
      <c r="X253" s="766">
        <v>0</v>
      </c>
      <c r="Y253" s="766">
        <v>0</v>
      </c>
      <c r="Z253" s="766">
        <v>0</v>
      </c>
      <c r="AA253" s="766">
        <v>316923.14279999997</v>
      </c>
      <c r="AB253" s="766">
        <v>51471.142800000001</v>
      </c>
      <c r="AC253" s="766">
        <v>265452</v>
      </c>
      <c r="AD253" s="766">
        <v>0</v>
      </c>
      <c r="AE253" s="766">
        <v>0</v>
      </c>
      <c r="AF253" s="766">
        <v>0</v>
      </c>
      <c r="AG253" s="766">
        <v>265452</v>
      </c>
      <c r="AH253" s="766">
        <v>0</v>
      </c>
      <c r="AI253" s="766">
        <v>0</v>
      </c>
      <c r="AJ253" s="763">
        <v>4</v>
      </c>
      <c r="AK253" s="763" t="s">
        <v>899</v>
      </c>
      <c r="AL253" s="764" t="s">
        <v>1512</v>
      </c>
      <c r="AM253" s="763" t="s">
        <v>1417</v>
      </c>
      <c r="AN253" s="764" t="s">
        <v>554</v>
      </c>
      <c r="AO253" s="764">
        <v>51471.142800000001</v>
      </c>
      <c r="AP253" s="767">
        <f t="shared" si="36"/>
        <v>14</v>
      </c>
      <c r="AQ253" s="703">
        <f t="shared" si="30"/>
        <v>22</v>
      </c>
      <c r="AR253" s="723">
        <v>0</v>
      </c>
      <c r="AS253" s="723">
        <v>0</v>
      </c>
      <c r="AT253" s="723">
        <v>7</v>
      </c>
      <c r="AU253" s="723">
        <v>7</v>
      </c>
      <c r="AV253" s="723">
        <v>0</v>
      </c>
      <c r="AW253" s="723">
        <v>0</v>
      </c>
      <c r="AX253" s="723">
        <v>0</v>
      </c>
      <c r="AY253" s="723">
        <v>0</v>
      </c>
      <c r="AZ253" s="723">
        <v>0</v>
      </c>
      <c r="BA253" s="723">
        <v>5</v>
      </c>
      <c r="BB253" s="723">
        <v>8</v>
      </c>
      <c r="BC253" s="723">
        <v>0</v>
      </c>
      <c r="BD253" s="723">
        <v>0</v>
      </c>
      <c r="BE253" s="723">
        <v>0</v>
      </c>
      <c r="BF253" s="723">
        <v>0</v>
      </c>
      <c r="BG253" s="723">
        <v>0</v>
      </c>
      <c r="BH253" s="723">
        <v>0</v>
      </c>
      <c r="BI253" s="723">
        <v>0</v>
      </c>
      <c r="BJ253" s="723">
        <v>0</v>
      </c>
      <c r="BK253" s="723">
        <v>0</v>
      </c>
      <c r="BL253" s="723">
        <v>0</v>
      </c>
      <c r="BM253" s="723">
        <v>0</v>
      </c>
      <c r="BN253" s="723">
        <v>0</v>
      </c>
      <c r="BO253" s="723">
        <v>0</v>
      </c>
      <c r="BP253" s="727"/>
      <c r="BQ253" s="727"/>
      <c r="BR253" s="727"/>
      <c r="BS253" s="727"/>
      <c r="BT253" s="727"/>
      <c r="BU253" s="727"/>
      <c r="BV253" s="727"/>
      <c r="BW253" s="727"/>
      <c r="BX253" s="727"/>
      <c r="BY253" s="727"/>
      <c r="BZ253" s="727"/>
      <c r="CA253" s="727"/>
      <c r="CB253" s="727"/>
      <c r="CC253" s="727"/>
      <c r="CD253" s="727"/>
      <c r="CE253" s="727"/>
      <c r="CF253" s="727"/>
      <c r="CG253" s="727"/>
      <c r="CH253" s="727"/>
      <c r="CI253" s="727"/>
      <c r="CJ253" s="727"/>
      <c r="CK253" s="727"/>
      <c r="CL253" s="727"/>
      <c r="CM253" s="727"/>
      <c r="CN253" s="727"/>
      <c r="CO253" s="727"/>
      <c r="CP253" s="727"/>
      <c r="CQ253" s="727"/>
      <c r="CR253" s="727"/>
      <c r="CS253" s="727"/>
      <c r="CT253" s="727"/>
      <c r="CU253" s="727"/>
      <c r="CV253" s="727"/>
      <c r="CW253" s="727"/>
      <c r="CX253" s="727"/>
      <c r="CY253" s="727"/>
      <c r="CZ253" s="727"/>
      <c r="DA253" s="727"/>
      <c r="DB253" s="727"/>
      <c r="DC253" s="727"/>
      <c r="DD253" s="727"/>
      <c r="DE253" s="727"/>
      <c r="DF253" s="727"/>
      <c r="DG253" s="727"/>
      <c r="DH253" s="727"/>
    </row>
    <row r="254" spans="1:192" s="769" customFormat="1" x14ac:dyDescent="0.2">
      <c r="A254" s="777"/>
      <c r="B254" s="777"/>
      <c r="C254" s="770"/>
      <c r="D254" s="770"/>
      <c r="E254" s="770"/>
      <c r="F254" s="770"/>
      <c r="G254" s="770"/>
      <c r="H254" s="770"/>
      <c r="I254" s="770"/>
      <c r="J254" s="770"/>
      <c r="K254" s="770">
        <f>COUNTIF(L2:L253,"y")</f>
        <v>52</v>
      </c>
      <c r="L254" s="770"/>
      <c r="M254" s="770"/>
      <c r="N254" s="770"/>
      <c r="O254" s="770"/>
      <c r="P254" s="770"/>
      <c r="Q254" s="770"/>
      <c r="R254" s="770"/>
      <c r="S254" s="770"/>
      <c r="T254" s="770"/>
      <c r="U254" s="770"/>
      <c r="V254" s="770"/>
      <c r="W254" s="770"/>
      <c r="X254" s="770"/>
      <c r="Y254" s="770"/>
      <c r="Z254" s="770"/>
      <c r="AA254" s="770"/>
      <c r="AB254" s="770"/>
      <c r="AC254" s="770"/>
      <c r="AD254" s="770"/>
      <c r="AE254" s="770"/>
      <c r="AF254" s="770"/>
      <c r="AG254" s="770"/>
      <c r="AH254" s="770"/>
      <c r="AI254" s="770"/>
      <c r="AJ254" s="770"/>
      <c r="AK254" s="770"/>
      <c r="AL254" s="770"/>
      <c r="AM254" s="770"/>
      <c r="AN254" s="770"/>
      <c r="AO254" s="770"/>
      <c r="AP254" s="770"/>
      <c r="AQ254" s="770" t="e">
        <f>SUM(AQ2:AQ253)</f>
        <v>#VALUE!</v>
      </c>
      <c r="AR254" s="770">
        <f>SUM(AR2:AR253)</f>
        <v>22774</v>
      </c>
      <c r="AS254" s="770">
        <f t="shared" ref="AS254:BO254" si="37">SUM(AS2:AS253)</f>
        <v>50239</v>
      </c>
      <c r="AT254" s="770">
        <f t="shared" si="37"/>
        <v>32961</v>
      </c>
      <c r="AU254" s="770">
        <f t="shared" si="37"/>
        <v>2359</v>
      </c>
      <c r="AV254" s="770">
        <f t="shared" si="37"/>
        <v>871</v>
      </c>
      <c r="AW254" s="1010">
        <f t="shared" si="37"/>
        <v>928</v>
      </c>
      <c r="AX254" s="770">
        <f t="shared" si="37"/>
        <v>1052</v>
      </c>
      <c r="AY254" s="770">
        <f t="shared" si="37"/>
        <v>207</v>
      </c>
      <c r="AZ254" s="770">
        <f t="shared" si="37"/>
        <v>2064</v>
      </c>
      <c r="BA254" s="770">
        <f t="shared" si="37"/>
        <v>3952</v>
      </c>
      <c r="BB254" s="770">
        <f t="shared" si="37"/>
        <v>6439</v>
      </c>
      <c r="BC254" s="770">
        <f t="shared" si="37"/>
        <v>464</v>
      </c>
      <c r="BD254" s="770">
        <f t="shared" si="37"/>
        <v>2694</v>
      </c>
      <c r="BE254" s="770">
        <f t="shared" si="37"/>
        <v>24</v>
      </c>
      <c r="BF254" s="770">
        <f t="shared" si="37"/>
        <v>0</v>
      </c>
      <c r="BG254" s="770">
        <f t="shared" si="37"/>
        <v>0</v>
      </c>
      <c r="BH254" s="770">
        <f t="shared" si="37"/>
        <v>5047</v>
      </c>
      <c r="BI254" s="770">
        <f t="shared" si="37"/>
        <v>82</v>
      </c>
      <c r="BJ254" s="770">
        <f t="shared" si="37"/>
        <v>0</v>
      </c>
      <c r="BK254" s="770">
        <f t="shared" si="37"/>
        <v>0</v>
      </c>
      <c r="BL254" s="770">
        <f t="shared" si="37"/>
        <v>1896076</v>
      </c>
      <c r="BM254" s="770">
        <f t="shared" si="37"/>
        <v>684022</v>
      </c>
      <c r="BN254" s="770">
        <f t="shared" si="37"/>
        <v>2696101</v>
      </c>
      <c r="BO254" s="770">
        <f t="shared" si="37"/>
        <v>66841.652330000012</v>
      </c>
    </row>
    <row r="255" spans="1:192" s="369" customFormat="1" ht="13.5" thickBot="1" x14ac:dyDescent="0.25">
      <c r="A255" s="420"/>
      <c r="B255" s="420"/>
      <c r="C255" s="771"/>
      <c r="D255" s="771"/>
      <c r="E255" s="771"/>
      <c r="F255" s="771"/>
      <c r="G255" s="771"/>
      <c r="H255" s="771"/>
      <c r="I255" s="771"/>
      <c r="J255" s="771"/>
      <c r="K255" s="771"/>
      <c r="L255" s="771"/>
      <c r="M255" s="771"/>
      <c r="N255" s="771"/>
      <c r="O255" s="771"/>
      <c r="P255" s="771"/>
      <c r="Q255" s="771"/>
      <c r="R255" s="771"/>
      <c r="S255" s="771"/>
      <c r="T255" s="771"/>
      <c r="U255" s="771"/>
      <c r="V255" s="771"/>
      <c r="W255" s="771"/>
      <c r="X255" s="771"/>
      <c r="Y255" s="771"/>
      <c r="Z255" s="771"/>
      <c r="AA255" s="771"/>
      <c r="AB255" s="771"/>
      <c r="AC255" s="771"/>
      <c r="AD255" s="771"/>
      <c r="AE255" s="771"/>
      <c r="AF255" s="771"/>
      <c r="AG255" s="771"/>
      <c r="AH255" s="771"/>
      <c r="AI255" s="771"/>
      <c r="AJ255" s="771"/>
      <c r="AK255" s="771"/>
      <c r="AL255" s="771"/>
      <c r="AM255" s="771"/>
      <c r="AN255" s="771"/>
      <c r="AO255" s="771"/>
      <c r="AP255" s="772"/>
      <c r="AQ255" s="772"/>
      <c r="AR255" s="993">
        <f>AR254-SUMIF($AM$2:$AM$253,"n",AR2:AR253)</f>
        <v>16777</v>
      </c>
      <c r="AS255" s="773">
        <f t="shared" ref="AS255:BO255" si="38">AS254-SUMIF($AM$2:$AM$253,"n",AS2:AS253)</f>
        <v>34563</v>
      </c>
      <c r="AT255" s="993">
        <f>AT254-SUMIF($AM$2:$AM$253,"n",AT2:AT253)</f>
        <v>23212</v>
      </c>
      <c r="AU255" s="993">
        <f>AU254-SUMIF($AM$2:$AM$253,"n",AU2:AU253)</f>
        <v>1954</v>
      </c>
      <c r="AV255" s="993">
        <f t="shared" si="38"/>
        <v>466</v>
      </c>
      <c r="AW255" s="773">
        <f t="shared" si="38"/>
        <v>523</v>
      </c>
      <c r="AX255" s="993">
        <f>AX254-SUMIF($AM$2:$AM$253,"n",AX2:AX253)</f>
        <v>845</v>
      </c>
      <c r="AY255" s="993">
        <f t="shared" si="38"/>
        <v>175</v>
      </c>
      <c r="AZ255" s="993">
        <f t="shared" si="38"/>
        <v>748</v>
      </c>
      <c r="BA255" s="773">
        <f t="shared" si="38"/>
        <v>2348</v>
      </c>
      <c r="BB255" s="773">
        <f t="shared" si="38"/>
        <v>4762</v>
      </c>
      <c r="BC255" s="773">
        <f t="shared" si="38"/>
        <v>421</v>
      </c>
      <c r="BD255" s="993">
        <f t="shared" si="38"/>
        <v>1915</v>
      </c>
      <c r="BE255" s="773">
        <f t="shared" si="38"/>
        <v>23</v>
      </c>
      <c r="BF255" s="773">
        <f t="shared" si="38"/>
        <v>0</v>
      </c>
      <c r="BG255" s="773">
        <f t="shared" si="38"/>
        <v>0</v>
      </c>
      <c r="BH255" s="993">
        <f t="shared" si="38"/>
        <v>3526</v>
      </c>
      <c r="BI255" s="773">
        <f t="shared" si="38"/>
        <v>43</v>
      </c>
      <c r="BJ255" s="773">
        <f t="shared" si="38"/>
        <v>0</v>
      </c>
      <c r="BK255" s="773">
        <f t="shared" si="38"/>
        <v>0</v>
      </c>
      <c r="BL255" s="993">
        <f>BL254-SUMIF($AM$2:$AM$253,"n",BL2:BL253)</f>
        <v>1417657</v>
      </c>
      <c r="BM255" s="993">
        <f t="shared" si="38"/>
        <v>184376</v>
      </c>
      <c r="BN255" s="993">
        <f t="shared" si="38"/>
        <v>2196215</v>
      </c>
      <c r="BO255" s="993">
        <f t="shared" si="38"/>
        <v>50061.323560000012</v>
      </c>
    </row>
    <row r="256" spans="1:192" ht="13.5" thickTop="1" x14ac:dyDescent="0.2"/>
  </sheetData>
  <pageMargins left="0.75" right="0.75" top="1" bottom="1" header="0.5" footer="0.5"/>
  <pageSetup scale="10" fitToHeight="4" orientation="landscape"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I84"/>
  <sheetViews>
    <sheetView topLeftCell="A34" workbookViewId="0">
      <selection activeCell="B36" sqref="B36"/>
    </sheetView>
  </sheetViews>
  <sheetFormatPr defaultRowHeight="12.75" x14ac:dyDescent="0.2"/>
  <cols>
    <col min="1" max="1" width="23.140625" style="115" customWidth="1"/>
    <col min="2" max="5" width="12.7109375" style="115" customWidth="1"/>
    <col min="6" max="6" width="12.85546875" style="115" bestFit="1" customWidth="1"/>
    <col min="7" max="7" width="12.28515625" style="116" bestFit="1" customWidth="1"/>
    <col min="8" max="8" width="2.42578125" style="116" customWidth="1"/>
    <col min="9" max="16384" width="9.140625" style="115"/>
  </cols>
  <sheetData>
    <row r="1" spans="1:8" x14ac:dyDescent="0.2">
      <c r="A1" s="114" t="s">
        <v>578</v>
      </c>
    </row>
    <row r="2" spans="1:8" x14ac:dyDescent="0.2">
      <c r="A2" s="114" t="s">
        <v>579</v>
      </c>
    </row>
    <row r="3" spans="1:8" x14ac:dyDescent="0.2">
      <c r="A3" s="117" t="s">
        <v>580</v>
      </c>
    </row>
    <row r="4" spans="1:8" x14ac:dyDescent="0.2">
      <c r="A4" s="117" t="s">
        <v>581</v>
      </c>
    </row>
    <row r="5" spans="1:8" x14ac:dyDescent="0.2">
      <c r="A5" s="117"/>
    </row>
    <row r="6" spans="1:8" x14ac:dyDescent="0.2">
      <c r="A6" s="117"/>
    </row>
    <row r="7" spans="1:8" x14ac:dyDescent="0.2">
      <c r="A7" s="117"/>
    </row>
    <row r="8" spans="1:8" ht="18" x14ac:dyDescent="0.25">
      <c r="A8" s="118" t="s">
        <v>582</v>
      </c>
    </row>
    <row r="9" spans="1:8" s="504" customFormat="1" x14ac:dyDescent="0.2">
      <c r="B9" s="504" t="s">
        <v>583</v>
      </c>
      <c r="C9" s="504" t="s">
        <v>584</v>
      </c>
      <c r="G9" s="505" t="s">
        <v>585</v>
      </c>
      <c r="H9" s="505"/>
    </row>
    <row r="10" spans="1:8" s="506" customFormat="1" x14ac:dyDescent="0.2">
      <c r="B10" s="506" t="s">
        <v>615</v>
      </c>
      <c r="C10" s="506" t="s">
        <v>616</v>
      </c>
      <c r="D10" s="506" t="s">
        <v>617</v>
      </c>
      <c r="E10" s="506" t="s">
        <v>618</v>
      </c>
      <c r="F10" s="506" t="s">
        <v>619</v>
      </c>
      <c r="G10" s="507" t="s">
        <v>584</v>
      </c>
      <c r="H10" s="507"/>
    </row>
    <row r="11" spans="1:8" s="506" customFormat="1" x14ac:dyDescent="0.2">
      <c r="G11" s="507"/>
      <c r="H11" s="507"/>
    </row>
    <row r="12" spans="1:8" x14ac:dyDescent="0.2">
      <c r="A12" s="115" t="s">
        <v>620</v>
      </c>
      <c r="B12" s="119">
        <f>'Updated Final List'!AR254</f>
        <v>22774</v>
      </c>
      <c r="C12" s="119">
        <f>'Updated Final List'!AS254</f>
        <v>50239</v>
      </c>
      <c r="D12" s="119">
        <f>'Updated Final List'!AT254</f>
        <v>32961</v>
      </c>
      <c r="E12" s="119">
        <f>'Updated Final List'!AU254</f>
        <v>2359</v>
      </c>
      <c r="F12" s="120">
        <f>SUM(B12:E12)</f>
        <v>108333</v>
      </c>
      <c r="G12" s="116">
        <f>F12/$F$16</f>
        <v>0.87147453945780706</v>
      </c>
    </row>
    <row r="13" spans="1:8" x14ac:dyDescent="0.2">
      <c r="A13" s="115" t="s">
        <v>621</v>
      </c>
      <c r="B13" s="119">
        <f>'Updated Final List'!AV254</f>
        <v>871</v>
      </c>
      <c r="C13" s="1009">
        <f>'Updated Final List'!AW254</f>
        <v>928</v>
      </c>
      <c r="D13" s="119">
        <f>'Updated Final List'!AX254</f>
        <v>1052</v>
      </c>
      <c r="E13" s="119">
        <f>'Updated Final List'!AY254</f>
        <v>207</v>
      </c>
      <c r="F13" s="120">
        <f>SUM(B13:E13)</f>
        <v>3058</v>
      </c>
      <c r="G13" s="116">
        <f>F13/$F$16</f>
        <v>2.4599790845466978E-2</v>
      </c>
    </row>
    <row r="14" spans="1:8" x14ac:dyDescent="0.2">
      <c r="A14" s="115" t="s">
        <v>622</v>
      </c>
      <c r="B14" s="119">
        <f>'Updated Final List'!AZ254</f>
        <v>2064</v>
      </c>
      <c r="C14" s="119">
        <f>'Updated Final List'!BA254</f>
        <v>3952</v>
      </c>
      <c r="D14" s="119">
        <f>'Updated Final List'!BB254</f>
        <v>6439</v>
      </c>
      <c r="E14" s="119">
        <f>'Updated Final List'!BC254</f>
        <v>464</v>
      </c>
      <c r="F14" s="120">
        <f>SUM(B14:E14)</f>
        <v>12919</v>
      </c>
      <c r="G14" s="116">
        <f>F14/$F$16</f>
        <v>0.10392566969672593</v>
      </c>
    </row>
    <row r="15" spans="1:8" x14ac:dyDescent="0.2">
      <c r="B15" s="121"/>
      <c r="C15" s="121"/>
      <c r="D15" s="121"/>
      <c r="E15" s="121"/>
      <c r="F15" s="122"/>
      <c r="H15" s="123"/>
    </row>
    <row r="16" spans="1:8" x14ac:dyDescent="0.2">
      <c r="A16" s="115" t="s">
        <v>623</v>
      </c>
      <c r="B16" s="119">
        <f>SUM(B12:B14)</f>
        <v>25709</v>
      </c>
      <c r="C16" s="119">
        <f>SUM(C12:C14)</f>
        <v>55119</v>
      </c>
      <c r="D16" s="119">
        <f>SUM(D12:D14)</f>
        <v>40452</v>
      </c>
      <c r="E16" s="119">
        <f>SUM(E12:E14)</f>
        <v>3030</v>
      </c>
      <c r="F16" s="120">
        <f>SUM(B16:E16)</f>
        <v>124310</v>
      </c>
    </row>
    <row r="17" spans="1:8" x14ac:dyDescent="0.2">
      <c r="B17" s="119"/>
      <c r="C17" s="119"/>
      <c r="D17" s="119"/>
      <c r="E17" s="119"/>
    </row>
    <row r="18" spans="1:8" x14ac:dyDescent="0.2">
      <c r="A18" s="774" t="s">
        <v>624</v>
      </c>
      <c r="B18" s="119"/>
      <c r="C18" s="119"/>
      <c r="D18" s="119"/>
      <c r="E18" s="119"/>
    </row>
    <row r="19" spans="1:8" x14ac:dyDescent="0.2">
      <c r="A19" s="115" t="s">
        <v>625</v>
      </c>
      <c r="B19" s="119">
        <f>'Updated Final List'!BD254</f>
        <v>2694</v>
      </c>
      <c r="C19" s="119">
        <f>'Updated Final List'!BE254</f>
        <v>24</v>
      </c>
      <c r="D19" s="119">
        <f>'Updated Final List'!BF254</f>
        <v>0</v>
      </c>
      <c r="E19" s="119">
        <f>'Updated Final List'!BG254</f>
        <v>0</v>
      </c>
      <c r="F19" s="120">
        <f>SUM(B19:E19)</f>
        <v>2718</v>
      </c>
    </row>
    <row r="20" spans="1:8" x14ac:dyDescent="0.2">
      <c r="A20" s="115" t="s">
        <v>626</v>
      </c>
      <c r="B20" s="119">
        <f>'Updated Final List'!BH254</f>
        <v>5047</v>
      </c>
      <c r="C20" s="119">
        <f>'Updated Final List'!BI254</f>
        <v>82</v>
      </c>
      <c r="D20" s="119">
        <f>'Updated Final List'!BJ254</f>
        <v>0</v>
      </c>
      <c r="E20" s="119">
        <f>'Updated Final List'!BK254</f>
        <v>0</v>
      </c>
      <c r="F20" s="120">
        <f>SUM(B20:E20)</f>
        <v>5129</v>
      </c>
      <c r="G20" s="629"/>
    </row>
    <row r="21" spans="1:8" x14ac:dyDescent="0.2">
      <c r="A21" s="115" t="s">
        <v>627</v>
      </c>
      <c r="B21" s="119"/>
      <c r="C21" s="119"/>
      <c r="D21" s="119"/>
      <c r="E21" s="119"/>
      <c r="F21" s="120"/>
      <c r="G21" s="125"/>
      <c r="H21" s="125"/>
    </row>
    <row r="22" spans="1:8" x14ac:dyDescent="0.2">
      <c r="B22" s="119"/>
      <c r="C22" s="119"/>
      <c r="D22" s="119"/>
      <c r="E22" s="119"/>
      <c r="F22" s="120"/>
    </row>
    <row r="23" spans="1:8" s="114" customFormat="1" x14ac:dyDescent="0.2">
      <c r="A23" s="114" t="s">
        <v>628</v>
      </c>
      <c r="B23" s="126"/>
      <c r="C23" s="126"/>
      <c r="D23" s="126"/>
      <c r="E23" s="126"/>
      <c r="F23" s="127">
        <f>'Updated Final List'!BO254</f>
        <v>66841.652330000012</v>
      </c>
      <c r="G23" s="128"/>
      <c r="H23" s="128"/>
    </row>
    <row r="24" spans="1:8" s="114" customFormat="1" x14ac:dyDescent="0.2">
      <c r="A24" s="114" t="s">
        <v>629</v>
      </c>
      <c r="B24" s="126"/>
      <c r="C24" s="126"/>
      <c r="D24" s="126"/>
      <c r="E24" s="126"/>
      <c r="F24" s="129">
        <v>0.1</v>
      </c>
      <c r="G24" s="128"/>
      <c r="H24" s="128"/>
    </row>
    <row r="25" spans="1:8" s="114" customFormat="1" x14ac:dyDescent="0.2">
      <c r="A25" s="114" t="s">
        <v>630</v>
      </c>
      <c r="B25" s="126"/>
      <c r="C25" s="126"/>
      <c r="D25" s="126"/>
      <c r="E25" s="126"/>
      <c r="F25" s="126">
        <f>F23*F24</f>
        <v>6684.1652330000015</v>
      </c>
      <c r="G25" s="128"/>
      <c r="H25" s="128"/>
    </row>
    <row r="27" spans="1:8" x14ac:dyDescent="0.2">
      <c r="A27" s="115" t="s">
        <v>631</v>
      </c>
      <c r="F27" s="120">
        <f>('Updated Final List'!BL254+'Updated Final List'!BM254+'Updated Final List'!BN254)/1000</f>
        <v>5276.1989999999996</v>
      </c>
    </row>
    <row r="29" spans="1:8" x14ac:dyDescent="0.2">
      <c r="A29" s="115" t="s">
        <v>632</v>
      </c>
      <c r="B29" s="130">
        <f>SUM(B16:B20)</f>
        <v>33450</v>
      </c>
      <c r="C29" s="130">
        <f>SUM(C16:C20)</f>
        <v>55225</v>
      </c>
      <c r="D29" s="130">
        <f>SUM(D16:D20)</f>
        <v>40452</v>
      </c>
      <c r="E29" s="130">
        <f>SUM(E16:E20)</f>
        <v>3030</v>
      </c>
      <c r="F29" s="130">
        <f>SUM(F19:F20)+F16+F25+F27</f>
        <v>144117.364233</v>
      </c>
    </row>
    <row r="30" spans="1:8" x14ac:dyDescent="0.2">
      <c r="B30" s="131"/>
      <c r="C30" s="131"/>
      <c r="D30" s="131"/>
      <c r="E30" s="131"/>
      <c r="F30" s="131"/>
    </row>
    <row r="31" spans="1:8" ht="18" x14ac:dyDescent="0.25">
      <c r="A31" s="118" t="s">
        <v>633</v>
      </c>
      <c r="B31" s="131"/>
      <c r="C31" s="131"/>
      <c r="D31" s="131"/>
      <c r="E31" s="131"/>
      <c r="F31" s="131"/>
    </row>
    <row r="32" spans="1:8" x14ac:dyDescent="0.2">
      <c r="A32" s="114"/>
      <c r="B32" s="131"/>
      <c r="C32" s="131"/>
      <c r="D32" s="131"/>
      <c r="E32" s="131"/>
      <c r="F32" s="131"/>
    </row>
    <row r="33" spans="1:8" s="114" customFormat="1" x14ac:dyDescent="0.2">
      <c r="B33" s="504" t="s">
        <v>583</v>
      </c>
      <c r="C33" s="504" t="s">
        <v>584</v>
      </c>
      <c r="D33" s="504"/>
      <c r="E33" s="504"/>
      <c r="F33" s="504"/>
      <c r="G33" s="505" t="s">
        <v>585</v>
      </c>
      <c r="H33" s="128"/>
    </row>
    <row r="34" spans="1:8" s="114" customFormat="1" x14ac:dyDescent="0.2">
      <c r="B34" s="506" t="s">
        <v>615</v>
      </c>
      <c r="C34" s="506" t="s">
        <v>616</v>
      </c>
      <c r="D34" s="506" t="s">
        <v>617</v>
      </c>
      <c r="E34" s="506" t="s">
        <v>618</v>
      </c>
      <c r="F34" s="506" t="s">
        <v>619</v>
      </c>
      <c r="G34" s="507" t="s">
        <v>584</v>
      </c>
      <c r="H34" s="128"/>
    </row>
    <row r="35" spans="1:8" x14ac:dyDescent="0.2">
      <c r="A35" s="115" t="s">
        <v>620</v>
      </c>
      <c r="B35" s="992">
        <f>'Updated Final List'!AR255</f>
        <v>16777</v>
      </c>
      <c r="C35" s="119">
        <f>'Updated Final List'!AS255</f>
        <v>34563</v>
      </c>
      <c r="D35" s="992">
        <f>'Updated Final List'!AT255</f>
        <v>23212</v>
      </c>
      <c r="E35" s="992">
        <f>'Updated Final List'!AU255</f>
        <v>1954</v>
      </c>
      <c r="F35" s="120">
        <f>SUM(B35:E35)</f>
        <v>76506</v>
      </c>
    </row>
    <row r="36" spans="1:8" x14ac:dyDescent="0.2">
      <c r="A36" s="115" t="s">
        <v>621</v>
      </c>
      <c r="B36" s="992">
        <f>'Updated Final List'!AV255</f>
        <v>466</v>
      </c>
      <c r="C36" s="119">
        <f>'Updated Final List'!AW255</f>
        <v>523</v>
      </c>
      <c r="D36" s="992">
        <f>'Updated Final List'!AX255</f>
        <v>845</v>
      </c>
      <c r="E36" s="992">
        <f>'Updated Final List'!AY255</f>
        <v>175</v>
      </c>
      <c r="F36" s="120">
        <f>SUM(B36:E36)</f>
        <v>2009</v>
      </c>
    </row>
    <row r="37" spans="1:8" x14ac:dyDescent="0.2">
      <c r="A37" s="115" t="s">
        <v>622</v>
      </c>
      <c r="B37" s="992">
        <f>'Updated Final List'!AZ255</f>
        <v>748</v>
      </c>
      <c r="C37" s="119">
        <f>'Updated Final List'!BA255</f>
        <v>2348</v>
      </c>
      <c r="D37" s="119">
        <f>'Updated Final List'!BB255</f>
        <v>4762</v>
      </c>
      <c r="E37" s="119">
        <f>'Updated Final List'!BC255</f>
        <v>421</v>
      </c>
      <c r="F37" s="120">
        <f>SUM(B37:E37)</f>
        <v>8279</v>
      </c>
    </row>
    <row r="38" spans="1:8" x14ac:dyDescent="0.2">
      <c r="B38" s="131"/>
      <c r="C38" s="131"/>
      <c r="D38" s="131"/>
      <c r="E38" s="131"/>
      <c r="F38" s="775"/>
    </row>
    <row r="39" spans="1:8" x14ac:dyDescent="0.2">
      <c r="A39" s="115" t="s">
        <v>623</v>
      </c>
      <c r="B39" s="119">
        <f>SUM(B35:B37)</f>
        <v>17991</v>
      </c>
      <c r="C39" s="119">
        <f>SUM(C35:C37)</f>
        <v>37434</v>
      </c>
      <c r="D39" s="119">
        <f>SUM(D35:D37)</f>
        <v>28819</v>
      </c>
      <c r="E39" s="119">
        <f>SUM(E35:E37)</f>
        <v>2550</v>
      </c>
      <c r="F39" s="120">
        <f>SUM(B39:E39)</f>
        <v>86794</v>
      </c>
    </row>
    <row r="40" spans="1:8" x14ac:dyDescent="0.2">
      <c r="B40" s="131"/>
      <c r="C40" s="131"/>
      <c r="D40" s="131"/>
      <c r="E40" s="131"/>
    </row>
    <row r="41" spans="1:8" x14ac:dyDescent="0.2">
      <c r="A41" s="124" t="s">
        <v>624</v>
      </c>
      <c r="B41" s="131"/>
      <c r="C41" s="131"/>
      <c r="D41" s="131"/>
      <c r="E41" s="131"/>
    </row>
    <row r="42" spans="1:8" x14ac:dyDescent="0.2">
      <c r="A42" s="115" t="s">
        <v>625</v>
      </c>
      <c r="B42" s="992">
        <f>'Updated Final List'!BD255</f>
        <v>1915</v>
      </c>
      <c r="C42" s="119">
        <f>'Updated Final List'!BE255</f>
        <v>23</v>
      </c>
      <c r="D42" s="119">
        <f>'Updated Final List'!BF255</f>
        <v>0</v>
      </c>
      <c r="E42" s="119">
        <f>'Updated Final List'!BG255</f>
        <v>0</v>
      </c>
      <c r="F42" s="120">
        <f>SUM(B42:E42)</f>
        <v>1938</v>
      </c>
    </row>
    <row r="43" spans="1:8" x14ac:dyDescent="0.2">
      <c r="A43" s="115" t="s">
        <v>626</v>
      </c>
      <c r="B43" s="992">
        <f>'Updated Final List'!BH255</f>
        <v>3526</v>
      </c>
      <c r="C43" s="119">
        <f>'Updated Final List'!BI255</f>
        <v>43</v>
      </c>
      <c r="D43" s="119">
        <f>'Updated Final List'!BJ255</f>
        <v>0</v>
      </c>
      <c r="E43" s="119">
        <f>'Updated Final List'!BK255</f>
        <v>0</v>
      </c>
      <c r="F43" s="120">
        <f>SUM(B43:E43)</f>
        <v>3569</v>
      </c>
    </row>
    <row r="44" spans="1:8" x14ac:dyDescent="0.2">
      <c r="A44" s="115" t="s">
        <v>627</v>
      </c>
      <c r="B44" s="131"/>
      <c r="C44" s="131"/>
      <c r="D44" s="131"/>
      <c r="E44" s="131"/>
      <c r="F44" s="131"/>
    </row>
    <row r="45" spans="1:8" x14ac:dyDescent="0.2">
      <c r="B45" s="131"/>
      <c r="C45" s="131"/>
      <c r="D45" s="131"/>
      <c r="E45" s="131"/>
      <c r="F45" s="131"/>
    </row>
    <row r="46" spans="1:8" x14ac:dyDescent="0.2">
      <c r="A46" s="114" t="s">
        <v>634</v>
      </c>
      <c r="B46" s="131"/>
      <c r="C46" s="131"/>
      <c r="D46" s="131"/>
      <c r="E46" s="131"/>
      <c r="F46" s="998">
        <f>'Updated Final List'!BO255</f>
        <v>50061.323560000012</v>
      </c>
    </row>
    <row r="47" spans="1:8" x14ac:dyDescent="0.2">
      <c r="A47" s="114" t="s">
        <v>629</v>
      </c>
      <c r="B47" s="131"/>
      <c r="C47" s="131"/>
      <c r="D47" s="131"/>
      <c r="E47" s="131"/>
      <c r="F47" s="999">
        <v>0.1</v>
      </c>
    </row>
    <row r="48" spans="1:8" x14ac:dyDescent="0.2">
      <c r="A48" s="114" t="s">
        <v>630</v>
      </c>
      <c r="B48" s="131"/>
      <c r="C48" s="131"/>
      <c r="D48" s="131"/>
      <c r="E48" s="131"/>
      <c r="F48" s="997">
        <f>F46*F47</f>
        <v>5006.1323560000019</v>
      </c>
    </row>
    <row r="49" spans="1:9" x14ac:dyDescent="0.2">
      <c r="B49" s="131"/>
      <c r="C49" s="131"/>
      <c r="D49" s="131"/>
      <c r="E49" s="131"/>
      <c r="F49" s="131"/>
    </row>
    <row r="50" spans="1:9" x14ac:dyDescent="0.2">
      <c r="A50" s="115" t="s">
        <v>631</v>
      </c>
      <c r="B50" s="131"/>
      <c r="C50" s="131"/>
      <c r="D50" s="131"/>
      <c r="E50" s="131"/>
      <c r="F50" s="998">
        <f>('Updated Final List'!BL255+'Updated Final List'!BM255+'Updated Final List'!BN255)/1000</f>
        <v>3798.248</v>
      </c>
    </row>
    <row r="51" spans="1:9" x14ac:dyDescent="0.2">
      <c r="F51" s="132"/>
    </row>
    <row r="52" spans="1:9" x14ac:dyDescent="0.2">
      <c r="A52" s="115" t="s">
        <v>632</v>
      </c>
      <c r="B52" s="130">
        <f>SUM(B39:B43)</f>
        <v>23432</v>
      </c>
      <c r="C52" s="130">
        <f>SUM(C39:C43)</f>
        <v>37500</v>
      </c>
      <c r="D52" s="130">
        <f>SUM(D39:D43)</f>
        <v>28819</v>
      </c>
      <c r="E52" s="130">
        <f>SUM(E39:E43)</f>
        <v>2550</v>
      </c>
      <c r="F52" s="130">
        <f>F50+F48+SUM(F39:F43)</f>
        <v>101105.38035600001</v>
      </c>
    </row>
    <row r="53" spans="1:9" x14ac:dyDescent="0.2">
      <c r="B53" s="131"/>
      <c r="C53" s="131"/>
      <c r="D53" s="131"/>
      <c r="E53" s="131"/>
      <c r="F53" s="131"/>
    </row>
    <row r="54" spans="1:9" x14ac:dyDescent="0.2">
      <c r="A54" s="133"/>
    </row>
    <row r="55" spans="1:9" x14ac:dyDescent="0.2">
      <c r="A55" s="133"/>
      <c r="I55" s="120"/>
    </row>
    <row r="56" spans="1:9" x14ac:dyDescent="0.2">
      <c r="A56" s="133"/>
    </row>
    <row r="73" spans="2:2" x14ac:dyDescent="0.2">
      <c r="B73" s="617"/>
    </row>
    <row r="84" spans="2:2" x14ac:dyDescent="0.2">
      <c r="B84" s="617"/>
    </row>
  </sheetData>
  <pageMargins left="0.75" right="0.75" top="1" bottom="1" header="0.5" footer="0.5"/>
  <pageSetup scale="90"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2:E84"/>
  <sheetViews>
    <sheetView topLeftCell="A34" workbookViewId="0">
      <selection activeCell="B46" sqref="B46"/>
    </sheetView>
  </sheetViews>
  <sheetFormatPr defaultColWidth="8" defaultRowHeight="12.75" x14ac:dyDescent="0.2"/>
  <cols>
    <col min="1" max="1" width="41.42578125" style="11" bestFit="1" customWidth="1"/>
    <col min="2" max="2" width="16.28515625" style="11" customWidth="1"/>
    <col min="3" max="3" width="17.85546875" style="11" customWidth="1"/>
    <col min="4" max="4" width="18.85546875" style="11" customWidth="1"/>
    <col min="5" max="5" width="15.85546875" style="11" customWidth="1"/>
    <col min="6" max="6" width="17.140625" style="11" customWidth="1"/>
    <col min="7" max="16384" width="8" style="11"/>
  </cols>
  <sheetData>
    <row r="2" spans="1:5" ht="20.25" x14ac:dyDescent="0.3">
      <c r="A2" s="147" t="s">
        <v>681</v>
      </c>
    </row>
    <row r="3" spans="1:5" x14ac:dyDescent="0.2">
      <c r="A3" s="148"/>
      <c r="B3" s="149" t="s">
        <v>636</v>
      </c>
      <c r="C3" s="149"/>
      <c r="D3" s="150" t="s">
        <v>682</v>
      </c>
    </row>
    <row r="4" spans="1:5" x14ac:dyDescent="0.2">
      <c r="A4" s="151" t="s">
        <v>683</v>
      </c>
      <c r="B4" s="152"/>
      <c r="C4" s="152"/>
      <c r="D4" s="153"/>
    </row>
    <row r="5" spans="1:5" x14ac:dyDescent="0.2">
      <c r="A5" s="154" t="s">
        <v>684</v>
      </c>
      <c r="B5" s="11">
        <f>D5-C5</f>
        <v>187</v>
      </c>
      <c r="C5" s="155">
        <f>COUNTIF('Updated Final List'!AM2:AM253,"n")</f>
        <v>64</v>
      </c>
      <c r="D5" s="156">
        <v>251</v>
      </c>
    </row>
    <row r="6" spans="1:5" x14ac:dyDescent="0.2">
      <c r="A6" s="154"/>
      <c r="B6" s="157"/>
      <c r="C6" s="154"/>
      <c r="D6" s="156"/>
    </row>
    <row r="7" spans="1:5" x14ac:dyDescent="0.2">
      <c r="A7" s="154" t="s">
        <v>685</v>
      </c>
      <c r="B7" s="158">
        <f>SUMIF('form A info'!$G$7:$G$256,"y",'form A info'!S$7:S$256)</f>
        <v>113684977</v>
      </c>
      <c r="C7" s="158">
        <f>SUMIF('form A info'!$G$7:$G$256,"n",'form A info'!S$7:S$256)</f>
        <v>41420271</v>
      </c>
      <c r="D7" s="159">
        <f>B7+C7</f>
        <v>155105248</v>
      </c>
    </row>
    <row r="8" spans="1:5" x14ac:dyDescent="0.2">
      <c r="A8" s="156" t="s">
        <v>686</v>
      </c>
      <c r="B8" s="104">
        <f>SUMIF('form A info'!$G$7:$G$256,"y",'form A info'!T$7:T$256)</f>
        <v>35645316.3222</v>
      </c>
      <c r="C8" s="159">
        <f>SUMIF('form A info'!$G$7:$G$256,"n",'form A info'!T$7:T$256)</f>
        <v>13155216.105799997</v>
      </c>
      <c r="D8" s="160">
        <f>B8+C8</f>
        <v>48800532.427999996</v>
      </c>
    </row>
    <row r="9" spans="1:5" x14ac:dyDescent="0.2">
      <c r="A9" s="154" t="s">
        <v>687</v>
      </c>
      <c r="B9" s="158">
        <f>SUMIF('form A info'!$G$7:$G$256,"y",'form A info'!$M$7:$M$256)</f>
        <v>13612</v>
      </c>
      <c r="C9" s="158">
        <f>SUMIF('form A info'!$G$7:$G$256,"n",'form A info'!$M$7:$M$256)</f>
        <v>5049</v>
      </c>
      <c r="D9" s="159">
        <f>B9+C9</f>
        <v>18661</v>
      </c>
    </row>
    <row r="10" spans="1:5" x14ac:dyDescent="0.2">
      <c r="A10" s="154" t="s">
        <v>688</v>
      </c>
      <c r="D10" s="161">
        <f>'form A info'!N260</f>
        <v>0.86110222222222255</v>
      </c>
    </row>
    <row r="11" spans="1:5" x14ac:dyDescent="0.2">
      <c r="A11" s="154" t="s">
        <v>689</v>
      </c>
      <c r="B11" s="158">
        <f>B7*D10</f>
        <v>97894386.327982262</v>
      </c>
      <c r="C11" s="158">
        <f>C7*D10</f>
        <v>35667087.403146677</v>
      </c>
      <c r="D11" s="159">
        <f>D7*D10</f>
        <v>133561473.73112895</v>
      </c>
    </row>
    <row r="12" spans="1:5" x14ac:dyDescent="0.2">
      <c r="A12" s="154"/>
      <c r="B12" s="158"/>
      <c r="C12" s="158"/>
      <c r="D12" s="159"/>
    </row>
    <row r="13" spans="1:5" x14ac:dyDescent="0.2">
      <c r="A13" s="162" t="s">
        <v>690</v>
      </c>
      <c r="B13" s="158"/>
      <c r="C13" s="158"/>
      <c r="D13" s="159"/>
    </row>
    <row r="14" spans="1:5" x14ac:dyDescent="0.2">
      <c r="A14" s="154" t="s">
        <v>694</v>
      </c>
      <c r="B14" s="158">
        <f>D14*$B$11/$D$11</f>
        <v>19378447.57713601</v>
      </c>
      <c r="C14" s="158">
        <f>$D$14*C7/$D$7</f>
        <v>7060392.4228639901</v>
      </c>
      <c r="D14" s="159">
        <f>SUMIF('form A info'!$K$7:$K$256,"y",'form A info'!$V$7:$V$256)</f>
        <v>26438840</v>
      </c>
      <c r="E14" s="163" t="s">
        <v>695</v>
      </c>
    </row>
    <row r="15" spans="1:5" x14ac:dyDescent="0.2">
      <c r="A15" s="154" t="s">
        <v>696</v>
      </c>
      <c r="B15" s="158">
        <f>D15*$B$11/$D$11</f>
        <v>16686824.271888662</v>
      </c>
      <c r="C15" s="159">
        <f>D15*C7/D7</f>
        <v>6079719.6050891243</v>
      </c>
      <c r="D15" s="159">
        <f>D14*D10</f>
        <v>22766543.876977786</v>
      </c>
      <c r="E15" s="164" t="s">
        <v>697</v>
      </c>
    </row>
    <row r="16" spans="1:5" x14ac:dyDescent="0.2">
      <c r="A16" s="154"/>
      <c r="B16" s="158"/>
      <c r="C16" s="159"/>
      <c r="D16" s="159"/>
      <c r="E16" s="164"/>
    </row>
    <row r="17" spans="1:5" x14ac:dyDescent="0.2">
      <c r="A17" s="154" t="s">
        <v>698</v>
      </c>
      <c r="B17" s="158">
        <f>D17*$B$11/$D$11</f>
        <v>94306529.42286399</v>
      </c>
      <c r="C17" s="159">
        <f>D17*C7/D7</f>
        <v>34359878.57713601</v>
      </c>
      <c r="D17" s="159">
        <f>'form A info'!U257+SUMIF('form A info'!$K$7:$K$256,"",'form A info'!$V$7:$V$256)+SUMIF('form A info'!$K$7:$K$256,"n",'form A info'!$V$7:$V$256)</f>
        <v>128666408</v>
      </c>
      <c r="E17" s="163" t="s">
        <v>699</v>
      </c>
    </row>
    <row r="18" spans="1:5" x14ac:dyDescent="0.2">
      <c r="A18" s="154" t="s">
        <v>700</v>
      </c>
      <c r="B18" s="158">
        <f>D18*$B$11/$D$11</f>
        <v>81207562.056093588</v>
      </c>
      <c r="C18" s="158">
        <f>D18*C7/D7</f>
        <v>29587367.79805756</v>
      </c>
      <c r="D18" s="159">
        <f>D17*D10</f>
        <v>110794929.85415116</v>
      </c>
      <c r="E18" s="164" t="s">
        <v>697</v>
      </c>
    </row>
    <row r="19" spans="1:5" x14ac:dyDescent="0.2">
      <c r="A19" s="154"/>
      <c r="B19" s="165"/>
      <c r="C19" s="158"/>
      <c r="D19" s="159"/>
      <c r="E19" s="164"/>
    </row>
    <row r="20" spans="1:5" x14ac:dyDescent="0.2">
      <c r="A20" s="154" t="s">
        <v>701</v>
      </c>
      <c r="B20" s="158">
        <f>SUMIF('form A info'!$G$7:$G$256,"y",'form A info'!$Z$7:$Z$256)</f>
        <v>18622539</v>
      </c>
      <c r="C20" s="158">
        <f>SUMIF('form A info'!$G$7:$G$256,"n",'form A info'!$Z$7:$Z$256)</f>
        <v>6008119</v>
      </c>
      <c r="D20" s="159">
        <f>'form A info'!Z257</f>
        <v>24630658</v>
      </c>
    </row>
    <row r="21" spans="1:5" x14ac:dyDescent="0.2">
      <c r="A21" s="154" t="s">
        <v>702</v>
      </c>
      <c r="B21" s="158">
        <f>SUMIF('form A info'!$G$7:$G$256,"y",'form A info'!$AC$7:$AC$256)</f>
        <v>95062438</v>
      </c>
      <c r="C21" s="158">
        <f>SUMIF('form A info'!$G$7:$G$256,"n",'form A info'!$AC$7:$AC$256)</f>
        <v>32837627</v>
      </c>
      <c r="D21" s="159">
        <f>'form A info'!AC257</f>
        <v>127900065</v>
      </c>
    </row>
    <row r="22" spans="1:5" x14ac:dyDescent="0.2">
      <c r="A22" s="154"/>
      <c r="B22" s="158"/>
      <c r="C22" s="158"/>
      <c r="D22" s="159"/>
    </row>
    <row r="23" spans="1:5" x14ac:dyDescent="0.2">
      <c r="A23" s="154" t="s">
        <v>703</v>
      </c>
      <c r="B23" s="158">
        <f>SUMIF('form A info'!$G$7:$G$256,"y",'form A info'!$U$7:$U$256)</f>
        <v>75243159</v>
      </c>
      <c r="C23" s="158">
        <f>SUMIF('form A info'!$G$7:$G$256,"n",'form A info'!$U$7:$U$256)</f>
        <v>25545415</v>
      </c>
      <c r="D23" s="159">
        <f>'form A info'!U257</f>
        <v>100788574</v>
      </c>
    </row>
    <row r="24" spans="1:5" x14ac:dyDescent="0.2">
      <c r="A24" s="154" t="s">
        <v>704</v>
      </c>
      <c r="B24" s="158">
        <f>SUMIF('form A info'!$G$7:$G$256,"y",'form A info'!$V$7:$V$256)</f>
        <v>38441818</v>
      </c>
      <c r="C24" s="158">
        <f>SUMIF('form A info'!$G$7:$G$256,"n",'form A info'!$V$7:$V$256)</f>
        <v>15874856</v>
      </c>
      <c r="D24" s="159">
        <f>'form A info'!V257</f>
        <v>54316674</v>
      </c>
    </row>
    <row r="25" spans="1:5" x14ac:dyDescent="0.2">
      <c r="A25" s="154"/>
      <c r="B25" s="158"/>
      <c r="C25" s="158"/>
      <c r="D25" s="159"/>
    </row>
    <row r="26" spans="1:5" x14ac:dyDescent="0.2">
      <c r="A26" s="162" t="s">
        <v>705</v>
      </c>
      <c r="B26" s="158"/>
      <c r="C26" s="158"/>
      <c r="D26" s="159"/>
    </row>
    <row r="27" spans="1:5" x14ac:dyDescent="0.2">
      <c r="A27" s="154" t="s">
        <v>706</v>
      </c>
      <c r="B27" s="158">
        <f>SUMIF('form A info'!$G$7:$G$256,"y",'form A info'!$Y$7:$Y$256)</f>
        <v>10923010.662400002</v>
      </c>
      <c r="C27" s="158">
        <f>SUMIF('form A info'!$G$7:$G$256,"n",'form A info'!$Y$7:$Y$256)</f>
        <v>3214059.4821999995</v>
      </c>
      <c r="D27" s="159">
        <f>'form A info'!Y257</f>
        <v>14137070.144600002</v>
      </c>
    </row>
    <row r="28" spans="1:5" x14ac:dyDescent="0.2">
      <c r="A28" s="166" t="s">
        <v>707</v>
      </c>
      <c r="B28" s="167">
        <f>SUMIF('form A info'!$G$7:$G$256,"y",'form A info'!$AB$7:$AB$256)</f>
        <v>24722305.659799989</v>
      </c>
      <c r="C28" s="168">
        <f>SUMIF('form A info'!$G$7:$G$256,"n",'form A info'!$AB$7:$AB$256)</f>
        <v>9044192.1135999989</v>
      </c>
      <c r="D28" s="168">
        <f>'form A info'!AB257</f>
        <v>33766497.773400001</v>
      </c>
    </row>
    <row r="29" spans="1:5" x14ac:dyDescent="0.2">
      <c r="A29" s="1156" t="s">
        <v>708</v>
      </c>
      <c r="B29" s="1157"/>
      <c r="C29" s="1157"/>
    </row>
    <row r="30" spans="1:5" x14ac:dyDescent="0.2">
      <c r="B30" s="169"/>
    </row>
    <row r="31" spans="1:5" ht="63.75" customHeight="1" x14ac:dyDescent="0.2">
      <c r="A31" s="170"/>
      <c r="B31" s="171" t="s">
        <v>709</v>
      </c>
      <c r="C31" s="172" t="s">
        <v>710</v>
      </c>
      <c r="D31" s="150" t="s">
        <v>619</v>
      </c>
    </row>
    <row r="32" spans="1:5" x14ac:dyDescent="0.2">
      <c r="A32" s="1152" t="s">
        <v>711</v>
      </c>
      <c r="B32" s="1158">
        <f>IF($B$46="y",SUMIF('form A info'!$G$7:$G$256,"y",'form A info'!AG7:AG256),'form A info'!AG257)</f>
        <v>58519984</v>
      </c>
      <c r="C32" s="1158">
        <f>IF($B$46="y",SUMIF('form A info'!$G$7:$G$256,"y",'form A info'!AE7:AE256),'form A info'!AE257)</f>
        <v>5320735</v>
      </c>
      <c r="D32" s="156"/>
    </row>
    <row r="33" spans="1:5" x14ac:dyDescent="0.2">
      <c r="A33" s="1153"/>
      <c r="B33" s="1159"/>
      <c r="C33" s="1159"/>
      <c r="D33" s="174">
        <f>SUM(B32:C33)</f>
        <v>63840719</v>
      </c>
    </row>
    <row r="34" spans="1:5" x14ac:dyDescent="0.2">
      <c r="A34" s="1154" t="s">
        <v>712</v>
      </c>
      <c r="B34" s="1160">
        <f>IF($B$46="y",SUMIF('form A info'!$G$7:$G$256,"y",'form A info'!AF$7:AF$256),'form A info'!AF$257)</f>
        <v>36542454</v>
      </c>
      <c r="C34" s="1160">
        <f>IF($B$46="y",SUMIF('form A info'!$G$7:$G$256,"y",'form A info'!AD7:AD256),'form A info'!AD257)</f>
        <v>13301804</v>
      </c>
      <c r="D34" s="156"/>
    </row>
    <row r="35" spans="1:5" x14ac:dyDescent="0.2">
      <c r="A35" s="1155"/>
      <c r="B35" s="1161"/>
      <c r="C35" s="1161"/>
      <c r="D35" s="174">
        <f>SUM(B34:C35)</f>
        <v>49844258</v>
      </c>
    </row>
    <row r="36" spans="1:5" x14ac:dyDescent="0.2">
      <c r="A36" s="170" t="s">
        <v>619</v>
      </c>
      <c r="B36" s="175">
        <f>SUM(B32+B34)</f>
        <v>95062438</v>
      </c>
      <c r="C36" s="175">
        <f>SUM(C32+C34)</f>
        <v>18622539</v>
      </c>
      <c r="D36" s="174">
        <f>SUM(B36:C36)</f>
        <v>113684977</v>
      </c>
    </row>
    <row r="37" spans="1:5" x14ac:dyDescent="0.2">
      <c r="A37" s="102"/>
      <c r="B37" s="176"/>
      <c r="C37" s="176"/>
      <c r="D37" s="102"/>
      <c r="E37" s="177"/>
    </row>
    <row r="38" spans="1:5" x14ac:dyDescent="0.2">
      <c r="A38" s="102"/>
      <c r="B38" s="176"/>
      <c r="C38" s="176"/>
      <c r="D38" s="102"/>
      <c r="E38" s="177"/>
    </row>
    <row r="39" spans="1:5" x14ac:dyDescent="0.2">
      <c r="A39" s="178" t="s">
        <v>705</v>
      </c>
      <c r="B39" s="179"/>
      <c r="C39" s="180"/>
    </row>
    <row r="40" spans="1:5" x14ac:dyDescent="0.2">
      <c r="A40" s="178"/>
      <c r="B40" s="179"/>
      <c r="C40" s="180"/>
    </row>
    <row r="41" spans="1:5" x14ac:dyDescent="0.2">
      <c r="A41" s="102" t="s">
        <v>713</v>
      </c>
      <c r="B41" s="105">
        <f>IF($B$46="y",SUMIF('form A info'!$G$7:$G$256,"y",'form A info'!Y$7:Y$256),'form A info'!Y$257)</f>
        <v>10923010.662400002</v>
      </c>
      <c r="C41" s="102"/>
    </row>
    <row r="42" spans="1:5" x14ac:dyDescent="0.2">
      <c r="A42" s="102" t="s">
        <v>714</v>
      </c>
      <c r="B42" s="105">
        <f>IF($B$46="y",SUMIF('form A info'!$G$7:$G$256,"y",'form A info'!AB$7:AB$256),'form A info'!AB$257)</f>
        <v>24722305.659799989</v>
      </c>
      <c r="C42" s="102"/>
    </row>
    <row r="43" spans="1:5" x14ac:dyDescent="0.2">
      <c r="A43" s="181" t="s">
        <v>715</v>
      </c>
      <c r="B43" s="182"/>
      <c r="C43" s="180"/>
    </row>
    <row r="44" spans="1:5" x14ac:dyDescent="0.2">
      <c r="A44" s="102"/>
      <c r="B44" s="179"/>
      <c r="C44" s="180"/>
    </row>
    <row r="45" spans="1:5" x14ac:dyDescent="0.2">
      <c r="A45" s="102" t="s">
        <v>716</v>
      </c>
      <c r="B45" s="183">
        <v>0.13500000000000001</v>
      </c>
      <c r="C45" s="102"/>
    </row>
    <row r="46" spans="1:5" x14ac:dyDescent="0.2">
      <c r="A46" s="186" t="s">
        <v>1559</v>
      </c>
      <c r="B46" s="184" t="s">
        <v>1412</v>
      </c>
      <c r="C46" s="102"/>
    </row>
    <row r="47" spans="1:5" x14ac:dyDescent="0.2">
      <c r="A47" s="186" t="s">
        <v>1560</v>
      </c>
      <c r="B47" s="217" t="s">
        <v>1417</v>
      </c>
      <c r="C47" s="102"/>
    </row>
    <row r="73" spans="2:2" x14ac:dyDescent="0.2">
      <c r="B73" s="208"/>
    </row>
    <row r="84" spans="2:2" x14ac:dyDescent="0.2">
      <c r="B84" s="208"/>
    </row>
  </sheetData>
  <mergeCells count="7">
    <mergeCell ref="A32:A33"/>
    <mergeCell ref="A34:A35"/>
    <mergeCell ref="A29:C29"/>
    <mergeCell ref="B32:B33"/>
    <mergeCell ref="C32:C33"/>
    <mergeCell ref="B34:B35"/>
    <mergeCell ref="C34:C35"/>
  </mergeCells>
  <pageMargins left="0.75" right="0.75" top="1" bottom="1" header="0.5" footer="0.5"/>
  <pageSetup scale="72" orientation="landscape" r:id="rId1"/>
  <headerFooter alignWithMargins="0">
    <oddFooter>&amp;L&amp;A&amp;C&amp;D &amp;T</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56"/>
  <sheetViews>
    <sheetView topLeftCell="A232" workbookViewId="0">
      <selection activeCell="F257" sqref="F257"/>
    </sheetView>
  </sheetViews>
  <sheetFormatPr defaultRowHeight="12.75" x14ac:dyDescent="0.2"/>
  <cols>
    <col min="1" max="2" width="6.42578125" style="1060" customWidth="1"/>
    <col min="3" max="3" width="30.28515625" style="1060" customWidth="1"/>
    <col min="4" max="4" width="24.42578125" style="1060" hidden="1" customWidth="1"/>
    <col min="5" max="5" width="11.140625" style="1060" customWidth="1"/>
    <col min="6" max="6" width="10.28515625" style="1060" customWidth="1"/>
    <col min="7" max="7" width="14.140625" style="1060" customWidth="1"/>
    <col min="8" max="8" width="6" style="1060" customWidth="1"/>
    <col min="9" max="9" width="10.85546875" style="1060" customWidth="1"/>
    <col min="10" max="10" width="17.28515625" style="1060" hidden="1" customWidth="1"/>
    <col min="11" max="11" width="22.42578125" style="1060" customWidth="1"/>
    <col min="12" max="12" width="9.140625" style="1136"/>
    <col min="13" max="14" width="10.7109375" style="1060" customWidth="1"/>
    <col min="15" max="15" width="9.85546875" style="1060" customWidth="1"/>
    <col min="16" max="16" width="12.28515625" bestFit="1" customWidth="1"/>
  </cols>
  <sheetData>
    <row r="1" spans="1:16" ht="97.5" x14ac:dyDescent="0.2">
      <c r="A1" s="1050" t="s">
        <v>882</v>
      </c>
      <c r="B1" s="1050" t="s">
        <v>883</v>
      </c>
      <c r="C1" s="1050" t="s">
        <v>1377</v>
      </c>
      <c r="D1" s="1050" t="s">
        <v>1377</v>
      </c>
      <c r="E1" s="1050" t="s">
        <v>884</v>
      </c>
      <c r="F1" s="1050" t="s">
        <v>885</v>
      </c>
      <c r="G1" s="1050" t="s">
        <v>886</v>
      </c>
      <c r="H1" s="1050" t="s">
        <v>1380</v>
      </c>
      <c r="I1" s="1050" t="s">
        <v>887</v>
      </c>
      <c r="J1" s="1050" t="s">
        <v>888</v>
      </c>
      <c r="K1" s="1050" t="s">
        <v>1385</v>
      </c>
      <c r="L1" s="1142" t="s">
        <v>285</v>
      </c>
      <c r="M1" s="1050" t="s">
        <v>637</v>
      </c>
      <c r="N1" s="1050" t="s">
        <v>639</v>
      </c>
      <c r="O1" s="1050" t="s">
        <v>640</v>
      </c>
      <c r="P1" s="1050" t="s">
        <v>287</v>
      </c>
    </row>
    <row r="2" spans="1:16" x14ac:dyDescent="0.2">
      <c r="A2" s="1052">
        <v>110</v>
      </c>
      <c r="B2" s="1052"/>
      <c r="C2" s="1053" t="s">
        <v>1413</v>
      </c>
      <c r="D2" s="1054" t="s">
        <v>1413</v>
      </c>
      <c r="E2" s="1055" t="b">
        <f t="shared" ref="E2:E65" si="0">IF(I2="regional",IF(R2*0.2975,S2*0.3484),S2*0.1939)</f>
        <v>0</v>
      </c>
      <c r="F2" s="1055">
        <v>0</v>
      </c>
      <c r="G2" s="1056">
        <f t="shared" ref="G2:G65" si="1">E2+F2</f>
        <v>0</v>
      </c>
      <c r="H2" s="1053" t="s">
        <v>10</v>
      </c>
      <c r="I2" s="1054" t="s">
        <v>1416</v>
      </c>
      <c r="J2" s="1054" t="s">
        <v>1417</v>
      </c>
      <c r="K2" s="1054" t="s">
        <v>1418</v>
      </c>
      <c r="M2" s="1140">
        <v>583333.33333333337</v>
      </c>
      <c r="N2" s="1140">
        <v>361111.11111111112</v>
      </c>
      <c r="O2" s="1140">
        <v>458333.33333333337</v>
      </c>
      <c r="P2" s="1140">
        <f>SUM(M2:O2)</f>
        <v>1402777.777777778</v>
      </c>
    </row>
    <row r="3" spans="1:16" x14ac:dyDescent="0.2">
      <c r="A3" s="1052">
        <v>328</v>
      </c>
      <c r="B3" s="1052" t="s">
        <v>1412</v>
      </c>
      <c r="C3" s="1053" t="s">
        <v>1420</v>
      </c>
      <c r="D3" s="1054" t="s">
        <v>1420</v>
      </c>
      <c r="E3" s="1055" t="b">
        <f t="shared" si="0"/>
        <v>0</v>
      </c>
      <c r="F3" s="1055">
        <v>276843</v>
      </c>
      <c r="G3" s="1056">
        <f t="shared" si="1"/>
        <v>276843</v>
      </c>
      <c r="H3" s="1053" t="s">
        <v>10</v>
      </c>
      <c r="I3" s="1054" t="s">
        <v>1416</v>
      </c>
      <c r="J3" s="1054" t="s">
        <v>1412</v>
      </c>
      <c r="K3" s="1054" t="s">
        <v>1423</v>
      </c>
      <c r="M3" s="1140">
        <v>2513888.888888889</v>
      </c>
      <c r="N3" s="1140">
        <v>611111.11111111112</v>
      </c>
      <c r="O3" s="1140">
        <v>263888.88888888893</v>
      </c>
      <c r="P3" s="1140">
        <f t="shared" ref="P3:P66" si="2">SUM(M3:O3)</f>
        <v>3388888.888888889</v>
      </c>
    </row>
    <row r="4" spans="1:16" x14ac:dyDescent="0.2">
      <c r="A4" s="1061">
        <v>115</v>
      </c>
      <c r="B4" s="1061"/>
      <c r="C4" s="1062" t="s">
        <v>902</v>
      </c>
      <c r="D4" s="1063" t="s">
        <v>902</v>
      </c>
      <c r="E4" s="1055" t="b">
        <f t="shared" si="0"/>
        <v>0</v>
      </c>
      <c r="F4" s="1064" t="s">
        <v>10</v>
      </c>
      <c r="G4" s="1056" t="e">
        <f t="shared" si="1"/>
        <v>#VALUE!</v>
      </c>
      <c r="H4" s="1062" t="s">
        <v>1417</v>
      </c>
      <c r="I4" s="1063" t="s">
        <v>1416</v>
      </c>
      <c r="J4" s="1063" t="s">
        <v>10</v>
      </c>
      <c r="K4" s="1063" t="s">
        <v>10</v>
      </c>
      <c r="M4" s="1140">
        <v>0</v>
      </c>
      <c r="N4" s="1140">
        <v>0</v>
      </c>
      <c r="O4" s="1140">
        <v>0</v>
      </c>
      <c r="P4" s="1140">
        <f t="shared" si="2"/>
        <v>0</v>
      </c>
    </row>
    <row r="5" spans="1:16" x14ac:dyDescent="0.2">
      <c r="A5" s="1052">
        <v>124</v>
      </c>
      <c r="B5" s="1052" t="s">
        <v>1412</v>
      </c>
      <c r="C5" s="1053" t="s">
        <v>1424</v>
      </c>
      <c r="D5" s="1054" t="s">
        <v>1424</v>
      </c>
      <c r="E5" s="1055" t="b">
        <f t="shared" si="0"/>
        <v>0</v>
      </c>
      <c r="F5" s="1055">
        <v>342809</v>
      </c>
      <c r="G5" s="1056">
        <f t="shared" si="1"/>
        <v>342809</v>
      </c>
      <c r="H5" s="1053" t="s">
        <v>10</v>
      </c>
      <c r="I5" s="1054" t="s">
        <v>1416</v>
      </c>
      <c r="J5" s="1054" t="s">
        <v>1412</v>
      </c>
      <c r="K5" s="1054" t="s">
        <v>1509</v>
      </c>
      <c r="M5" s="1140">
        <v>2000000</v>
      </c>
      <c r="N5" s="1140">
        <v>819444.4444444445</v>
      </c>
      <c r="O5" s="1140">
        <v>111111.11111111112</v>
      </c>
      <c r="P5" s="1140">
        <f t="shared" si="2"/>
        <v>2930555.5555555555</v>
      </c>
    </row>
    <row r="6" spans="1:16" x14ac:dyDescent="0.2">
      <c r="A6" s="1052">
        <v>140</v>
      </c>
      <c r="B6" s="1052"/>
      <c r="C6" s="1053" t="s">
        <v>1514</v>
      </c>
      <c r="D6" s="1054" t="s">
        <v>1514</v>
      </c>
      <c r="E6" s="1055">
        <f t="shared" si="0"/>
        <v>0</v>
      </c>
      <c r="F6" s="1055">
        <v>0</v>
      </c>
      <c r="G6" s="1056">
        <f t="shared" si="1"/>
        <v>0</v>
      </c>
      <c r="H6" s="1053" t="s">
        <v>10</v>
      </c>
      <c r="I6" s="1054" t="s">
        <v>1512</v>
      </c>
      <c r="J6" s="1054" t="s">
        <v>1417</v>
      </c>
      <c r="K6" s="1054" t="s">
        <v>1517</v>
      </c>
      <c r="M6" s="1140">
        <v>0</v>
      </c>
      <c r="N6" s="1140">
        <v>69444.444444444453</v>
      </c>
      <c r="O6" s="1140">
        <v>0</v>
      </c>
      <c r="P6" s="1140">
        <f t="shared" si="2"/>
        <v>69444.444444444453</v>
      </c>
    </row>
    <row r="7" spans="1:16" x14ac:dyDescent="0.2">
      <c r="A7" s="1052">
        <v>4820</v>
      </c>
      <c r="B7" s="1052"/>
      <c r="C7" s="1053" t="s">
        <v>1518</v>
      </c>
      <c r="D7" s="1054" t="s">
        <v>1518</v>
      </c>
      <c r="E7" s="1055" t="b">
        <f t="shared" si="0"/>
        <v>0</v>
      </c>
      <c r="F7" s="1055">
        <v>0</v>
      </c>
      <c r="G7" s="1056">
        <f t="shared" si="1"/>
        <v>0</v>
      </c>
      <c r="H7" s="1053" t="s">
        <v>10</v>
      </c>
      <c r="I7" s="1054" t="s">
        <v>1416</v>
      </c>
      <c r="J7" s="1054" t="s">
        <v>1417</v>
      </c>
      <c r="K7" s="1054" t="s">
        <v>1517</v>
      </c>
      <c r="M7" s="1140">
        <v>0</v>
      </c>
      <c r="N7" s="1140">
        <v>2222222.2222222225</v>
      </c>
      <c r="O7" s="1140">
        <v>680555.55555555562</v>
      </c>
      <c r="P7" s="1140">
        <f t="shared" si="2"/>
        <v>2902777.777777778</v>
      </c>
    </row>
    <row r="8" spans="1:16" x14ac:dyDescent="0.2">
      <c r="A8" s="1052">
        <v>3116</v>
      </c>
      <c r="B8" s="1052"/>
      <c r="C8" s="1053" t="s">
        <v>1521</v>
      </c>
      <c r="D8" s="1054" t="s">
        <v>1521</v>
      </c>
      <c r="E8" s="1055">
        <f t="shared" si="0"/>
        <v>0</v>
      </c>
      <c r="F8" s="1055">
        <v>0</v>
      </c>
      <c r="G8" s="1056">
        <f t="shared" si="1"/>
        <v>0</v>
      </c>
      <c r="H8" s="1053" t="s">
        <v>10</v>
      </c>
      <c r="I8" s="1054" t="s">
        <v>1512</v>
      </c>
      <c r="J8" s="1054" t="s">
        <v>1417</v>
      </c>
      <c r="K8" s="1054" t="s">
        <v>1517</v>
      </c>
      <c r="M8" s="1140">
        <v>0</v>
      </c>
      <c r="N8" s="1140">
        <v>69444.444444444453</v>
      </c>
      <c r="O8" s="1140">
        <v>152777.77777777778</v>
      </c>
      <c r="P8" s="1140">
        <f t="shared" si="2"/>
        <v>222222.22222222225</v>
      </c>
    </row>
    <row r="9" spans="1:16" x14ac:dyDescent="0.2">
      <c r="A9" s="1052">
        <v>9087</v>
      </c>
      <c r="B9" s="1052" t="s">
        <v>1412</v>
      </c>
      <c r="C9" s="1053" t="s">
        <v>1523</v>
      </c>
      <c r="D9" s="1054" t="s">
        <v>1523</v>
      </c>
      <c r="E9" s="1055" t="b">
        <f t="shared" si="0"/>
        <v>0</v>
      </c>
      <c r="F9" s="1055">
        <v>488036</v>
      </c>
      <c r="G9" s="1056">
        <f t="shared" si="1"/>
        <v>488036</v>
      </c>
      <c r="H9" s="1053" t="s">
        <v>1417</v>
      </c>
      <c r="I9" s="1054" t="s">
        <v>1416</v>
      </c>
      <c r="J9" s="1054" t="s">
        <v>1412</v>
      </c>
      <c r="K9" s="1054" t="s">
        <v>1526</v>
      </c>
      <c r="M9" s="1140">
        <v>0</v>
      </c>
      <c r="N9" s="1140">
        <v>0</v>
      </c>
      <c r="O9" s="1140">
        <v>0</v>
      </c>
      <c r="P9" s="1140">
        <f t="shared" si="2"/>
        <v>0</v>
      </c>
    </row>
    <row r="10" spans="1:16" x14ac:dyDescent="0.2">
      <c r="A10" s="1052">
        <v>145</v>
      </c>
      <c r="B10" s="1052" t="s">
        <v>1412</v>
      </c>
      <c r="C10" s="1053" t="s">
        <v>1527</v>
      </c>
      <c r="D10" s="1054" t="s">
        <v>1527</v>
      </c>
      <c r="E10" s="1055" t="b">
        <f t="shared" si="0"/>
        <v>0</v>
      </c>
      <c r="F10" s="1055">
        <v>638586</v>
      </c>
      <c r="G10" s="1056">
        <f t="shared" si="1"/>
        <v>638586</v>
      </c>
      <c r="H10" s="1053" t="s">
        <v>10</v>
      </c>
      <c r="I10" s="1054" t="s">
        <v>1416</v>
      </c>
      <c r="J10" s="1054" t="s">
        <v>1412</v>
      </c>
      <c r="K10" s="1054" t="s">
        <v>1528</v>
      </c>
      <c r="M10" s="1140">
        <v>6013888.888888889</v>
      </c>
      <c r="N10" s="1140">
        <v>1944444.4444444445</v>
      </c>
      <c r="O10" s="1140">
        <v>0</v>
      </c>
      <c r="P10" s="1140">
        <f t="shared" si="2"/>
        <v>7958333.333333334</v>
      </c>
    </row>
    <row r="11" spans="1:16" x14ac:dyDescent="0.2">
      <c r="A11" s="1052">
        <v>302</v>
      </c>
      <c r="B11" s="1052" t="s">
        <v>1412</v>
      </c>
      <c r="C11" s="1053" t="s">
        <v>1529</v>
      </c>
      <c r="D11" s="1054" t="s">
        <v>1529</v>
      </c>
      <c r="E11" s="1055" t="b">
        <f t="shared" si="0"/>
        <v>0</v>
      </c>
      <c r="F11" s="1055">
        <v>0</v>
      </c>
      <c r="G11" s="1056">
        <f t="shared" si="1"/>
        <v>0</v>
      </c>
      <c r="H11" s="1053" t="s">
        <v>10</v>
      </c>
      <c r="I11" s="1054" t="s">
        <v>1416</v>
      </c>
      <c r="J11" s="1054" t="s">
        <v>1412</v>
      </c>
      <c r="K11" s="1054" t="s">
        <v>1532</v>
      </c>
      <c r="M11" s="1140">
        <v>652777.77777777787</v>
      </c>
      <c r="N11" s="1140">
        <v>1125000</v>
      </c>
      <c r="O11" s="1140">
        <v>152777.77777777778</v>
      </c>
      <c r="P11" s="1140">
        <f t="shared" si="2"/>
        <v>1930555.5555555557</v>
      </c>
    </row>
    <row r="12" spans="1:16" x14ac:dyDescent="0.2">
      <c r="A12" s="1052">
        <v>8099</v>
      </c>
      <c r="B12" s="1052"/>
      <c r="C12" s="1053" t="s">
        <v>1533</v>
      </c>
      <c r="D12" s="1054" t="s">
        <v>1533</v>
      </c>
      <c r="E12" s="1055" t="b">
        <f t="shared" si="0"/>
        <v>0</v>
      </c>
      <c r="F12" s="1055">
        <v>0</v>
      </c>
      <c r="G12" s="1056">
        <f t="shared" si="1"/>
        <v>0</v>
      </c>
      <c r="H12" s="1053" t="s">
        <v>10</v>
      </c>
      <c r="I12" s="1054" t="s">
        <v>1416</v>
      </c>
      <c r="J12" s="1054" t="s">
        <v>1417</v>
      </c>
      <c r="K12" s="1054" t="s">
        <v>1536</v>
      </c>
      <c r="M12" s="1140">
        <v>0</v>
      </c>
      <c r="N12" s="1140">
        <v>27777.777777777781</v>
      </c>
      <c r="O12" s="1140">
        <v>27777.777777777781</v>
      </c>
      <c r="P12" s="1140">
        <f t="shared" si="2"/>
        <v>55555.555555555562</v>
      </c>
    </row>
    <row r="13" spans="1:16" ht="22.5" x14ac:dyDescent="0.2">
      <c r="A13" s="1052">
        <v>8115</v>
      </c>
      <c r="B13" s="1052" t="s">
        <v>1412</v>
      </c>
      <c r="C13" s="1053" t="s">
        <v>1537</v>
      </c>
      <c r="D13" s="1054" t="s">
        <v>1537</v>
      </c>
      <c r="E13" s="1055" t="b">
        <f t="shared" si="0"/>
        <v>0</v>
      </c>
      <c r="F13" s="1055">
        <v>0</v>
      </c>
      <c r="G13" s="1056">
        <f t="shared" si="1"/>
        <v>0</v>
      </c>
      <c r="H13" s="1053" t="s">
        <v>10</v>
      </c>
      <c r="I13" s="1054" t="s">
        <v>1416</v>
      </c>
      <c r="J13" s="1054" t="s">
        <v>1412</v>
      </c>
      <c r="K13" s="1054" t="s">
        <v>1540</v>
      </c>
      <c r="M13" s="1140">
        <v>0</v>
      </c>
      <c r="N13" s="1140">
        <v>4805555.555555556</v>
      </c>
      <c r="O13" s="1140">
        <v>-277777.77777777781</v>
      </c>
      <c r="P13" s="1140">
        <f t="shared" si="2"/>
        <v>4527777.777777778</v>
      </c>
    </row>
    <row r="14" spans="1:16" x14ac:dyDescent="0.2">
      <c r="A14" s="1052">
        <v>8120</v>
      </c>
      <c r="B14" s="1052"/>
      <c r="C14" s="1053" t="s">
        <v>1542</v>
      </c>
      <c r="D14" s="1054" t="s">
        <v>1542</v>
      </c>
      <c r="E14" s="1055" t="b">
        <f t="shared" si="0"/>
        <v>0</v>
      </c>
      <c r="F14" s="1055">
        <v>0</v>
      </c>
      <c r="G14" s="1056">
        <f t="shared" si="1"/>
        <v>0</v>
      </c>
      <c r="H14" s="1053" t="s">
        <v>1417</v>
      </c>
      <c r="I14" s="1054" t="s">
        <v>1416</v>
      </c>
      <c r="J14" s="1054" t="s">
        <v>1417</v>
      </c>
      <c r="K14" s="1054" t="s">
        <v>1250</v>
      </c>
      <c r="M14" s="1140">
        <v>0</v>
      </c>
      <c r="N14" s="1140">
        <v>0</v>
      </c>
      <c r="O14" s="1140">
        <v>0</v>
      </c>
      <c r="P14" s="1140">
        <f t="shared" si="2"/>
        <v>0</v>
      </c>
    </row>
    <row r="15" spans="1:16" x14ac:dyDescent="0.2">
      <c r="A15" s="1070">
        <v>572</v>
      </c>
      <c r="B15" s="1070"/>
      <c r="C15" s="1070" t="s">
        <v>910</v>
      </c>
      <c r="D15" s="1071" t="s">
        <v>910</v>
      </c>
      <c r="E15" s="1055">
        <f t="shared" si="0"/>
        <v>0</v>
      </c>
      <c r="F15" s="1072"/>
      <c r="G15" s="1056">
        <f t="shared" si="1"/>
        <v>0</v>
      </c>
      <c r="H15" s="1070"/>
      <c r="I15" s="1071" t="s">
        <v>911</v>
      </c>
      <c r="J15" s="1071"/>
      <c r="K15" s="1071"/>
      <c r="M15" s="1140">
        <v>0</v>
      </c>
      <c r="N15" s="1140">
        <v>0</v>
      </c>
      <c r="O15" s="1140">
        <v>0</v>
      </c>
      <c r="P15" s="1140">
        <f t="shared" si="2"/>
        <v>0</v>
      </c>
    </row>
    <row r="16" spans="1:16" x14ac:dyDescent="0.2">
      <c r="A16" s="1075">
        <v>315</v>
      </c>
      <c r="B16" s="1075"/>
      <c r="C16" s="1076" t="s">
        <v>912</v>
      </c>
      <c r="D16" s="1063" t="s">
        <v>912</v>
      </c>
      <c r="E16" s="1055">
        <f t="shared" si="0"/>
        <v>0</v>
      </c>
      <c r="F16" s="1064" t="s">
        <v>10</v>
      </c>
      <c r="G16" s="1056" t="e">
        <f t="shared" si="1"/>
        <v>#VALUE!</v>
      </c>
      <c r="H16" s="1062" t="s">
        <v>1417</v>
      </c>
      <c r="I16" s="1063" t="s">
        <v>911</v>
      </c>
      <c r="J16" s="1063" t="s">
        <v>10</v>
      </c>
      <c r="K16" s="1063" t="s">
        <v>10</v>
      </c>
      <c r="M16" s="1140">
        <v>0</v>
      </c>
      <c r="N16" s="1140">
        <v>0</v>
      </c>
      <c r="O16" s="1140">
        <v>0</v>
      </c>
      <c r="P16" s="1140">
        <f t="shared" si="2"/>
        <v>0</v>
      </c>
    </row>
    <row r="17" spans="1:16" x14ac:dyDescent="0.2">
      <c r="A17" s="1052">
        <v>313</v>
      </c>
      <c r="B17" s="1052"/>
      <c r="C17" s="1053" t="s">
        <v>1543</v>
      </c>
      <c r="D17" s="1054" t="s">
        <v>1543</v>
      </c>
      <c r="E17" s="1055">
        <f t="shared" si="0"/>
        <v>0</v>
      </c>
      <c r="F17" s="1055">
        <v>0</v>
      </c>
      <c r="G17" s="1056">
        <f t="shared" si="1"/>
        <v>0</v>
      </c>
      <c r="H17" s="1053" t="s">
        <v>10</v>
      </c>
      <c r="I17" s="1054" t="s">
        <v>1512</v>
      </c>
      <c r="J17" s="1054" t="s">
        <v>10</v>
      </c>
      <c r="K17" s="1054" t="s">
        <v>1545</v>
      </c>
      <c r="M17" s="1140">
        <v>0</v>
      </c>
      <c r="N17" s="1140">
        <v>319444.4444444445</v>
      </c>
      <c r="O17" s="1140">
        <v>69444.444444444453</v>
      </c>
      <c r="P17" s="1140">
        <f t="shared" si="2"/>
        <v>388888.88888888893</v>
      </c>
    </row>
    <row r="18" spans="1:16" x14ac:dyDescent="0.2">
      <c r="A18" s="1052">
        <v>8680</v>
      </c>
      <c r="B18" s="1052"/>
      <c r="C18" s="1053" t="s">
        <v>1546</v>
      </c>
      <c r="D18" s="1054" t="s">
        <v>1546</v>
      </c>
      <c r="E18" s="1055">
        <f t="shared" si="0"/>
        <v>0</v>
      </c>
      <c r="F18" s="1055">
        <v>0</v>
      </c>
      <c r="G18" s="1056">
        <f t="shared" si="1"/>
        <v>0</v>
      </c>
      <c r="H18" s="1053" t="s">
        <v>10</v>
      </c>
      <c r="I18" s="1054" t="s">
        <v>1512</v>
      </c>
      <c r="J18" s="1054" t="s">
        <v>1417</v>
      </c>
      <c r="K18" s="1054" t="s">
        <v>1549</v>
      </c>
      <c r="M18" s="1140">
        <v>0</v>
      </c>
      <c r="N18" s="1140">
        <v>583333.33333333337</v>
      </c>
      <c r="O18" s="1140">
        <v>291666.66666666669</v>
      </c>
      <c r="P18" s="1140">
        <f t="shared" si="2"/>
        <v>875000</v>
      </c>
    </row>
    <row r="19" spans="1:16" x14ac:dyDescent="0.2">
      <c r="A19" s="1052">
        <v>8142</v>
      </c>
      <c r="B19" s="1052"/>
      <c r="C19" s="1053" t="s">
        <v>1550</v>
      </c>
      <c r="D19" s="1054" t="s">
        <v>1550</v>
      </c>
      <c r="E19" s="1055" t="b">
        <f t="shared" si="0"/>
        <v>0</v>
      </c>
      <c r="F19" s="1055">
        <v>0</v>
      </c>
      <c r="G19" s="1056">
        <f t="shared" si="1"/>
        <v>0</v>
      </c>
      <c r="H19" s="1053" t="s">
        <v>10</v>
      </c>
      <c r="I19" s="1054" t="s">
        <v>1416</v>
      </c>
      <c r="J19" s="1054" t="s">
        <v>1417</v>
      </c>
      <c r="K19" s="1054" t="s">
        <v>1552</v>
      </c>
      <c r="M19" s="1140">
        <v>0</v>
      </c>
      <c r="N19" s="1140">
        <v>2277777.777777778</v>
      </c>
      <c r="O19" s="1140">
        <v>-13888.888888888891</v>
      </c>
      <c r="P19" s="1140">
        <f t="shared" si="2"/>
        <v>2263888.888888889</v>
      </c>
    </row>
    <row r="20" spans="1:16" x14ac:dyDescent="0.2">
      <c r="A20" s="1052">
        <v>4821</v>
      </c>
      <c r="B20" s="1052" t="s">
        <v>1412</v>
      </c>
      <c r="C20" s="1053" t="s">
        <v>1553</v>
      </c>
      <c r="D20" s="1054" t="s">
        <v>1553</v>
      </c>
      <c r="E20" s="1055" t="b">
        <f t="shared" si="0"/>
        <v>0</v>
      </c>
      <c r="F20" s="1055">
        <v>0</v>
      </c>
      <c r="G20" s="1056">
        <f t="shared" si="1"/>
        <v>0</v>
      </c>
      <c r="H20" s="1053" t="s">
        <v>10</v>
      </c>
      <c r="I20" s="1054" t="s">
        <v>1416</v>
      </c>
      <c r="J20" s="1054" t="s">
        <v>1412</v>
      </c>
      <c r="K20" s="1054" t="s">
        <v>1556</v>
      </c>
      <c r="M20" s="1140">
        <v>236111.11111111112</v>
      </c>
      <c r="N20" s="1140">
        <v>4041666.666666667</v>
      </c>
      <c r="O20" s="1140">
        <v>0</v>
      </c>
      <c r="P20" s="1140">
        <f t="shared" si="2"/>
        <v>4277777.777777778</v>
      </c>
    </row>
    <row r="21" spans="1:16" x14ac:dyDescent="0.2">
      <c r="A21" s="1052">
        <v>323</v>
      </c>
      <c r="B21" s="1052"/>
      <c r="C21" s="1053" t="s">
        <v>1557</v>
      </c>
      <c r="D21" s="1054" t="s">
        <v>1557</v>
      </c>
      <c r="E21" s="1055">
        <f t="shared" si="0"/>
        <v>0</v>
      </c>
      <c r="F21" s="1055">
        <v>0</v>
      </c>
      <c r="G21" s="1056">
        <f t="shared" si="1"/>
        <v>0</v>
      </c>
      <c r="H21" s="1053" t="s">
        <v>10</v>
      </c>
      <c r="I21" s="1054" t="s">
        <v>1512</v>
      </c>
      <c r="J21" s="1054" t="s">
        <v>1417</v>
      </c>
      <c r="K21" s="1054" t="s">
        <v>1545</v>
      </c>
      <c r="M21" s="1140">
        <v>0</v>
      </c>
      <c r="N21" s="1140">
        <v>291666.66666666669</v>
      </c>
      <c r="O21" s="1140">
        <v>97222.222222222234</v>
      </c>
      <c r="P21" s="1140">
        <f t="shared" si="2"/>
        <v>388888.88888888893</v>
      </c>
    </row>
    <row r="22" spans="1:16" x14ac:dyDescent="0.2">
      <c r="A22" s="1052">
        <v>324</v>
      </c>
      <c r="B22" s="1052"/>
      <c r="C22" s="1053" t="s">
        <v>1562</v>
      </c>
      <c r="D22" s="1054" t="s">
        <v>1562</v>
      </c>
      <c r="E22" s="1055">
        <f t="shared" si="0"/>
        <v>0</v>
      </c>
      <c r="F22" s="1055">
        <v>0</v>
      </c>
      <c r="G22" s="1056">
        <f t="shared" si="1"/>
        <v>0</v>
      </c>
      <c r="H22" s="1053" t="s">
        <v>10</v>
      </c>
      <c r="I22" s="1054" t="s">
        <v>1512</v>
      </c>
      <c r="J22" s="1054" t="s">
        <v>10</v>
      </c>
      <c r="K22" s="1054" t="s">
        <v>1565</v>
      </c>
      <c r="M22" s="1140">
        <v>0</v>
      </c>
      <c r="N22" s="1140">
        <v>111111.11111111112</v>
      </c>
      <c r="O22" s="1140">
        <v>0</v>
      </c>
      <c r="P22" s="1140">
        <f t="shared" si="2"/>
        <v>111111.11111111112</v>
      </c>
    </row>
    <row r="23" spans="1:16" x14ac:dyDescent="0.2">
      <c r="A23" s="1052">
        <v>344</v>
      </c>
      <c r="B23" s="1052" t="s">
        <v>1412</v>
      </c>
      <c r="C23" s="1053" t="s">
        <v>1566</v>
      </c>
      <c r="D23" s="1054" t="s">
        <v>1566</v>
      </c>
      <c r="E23" s="1055" t="b">
        <f t="shared" si="0"/>
        <v>0</v>
      </c>
      <c r="F23" s="1055">
        <v>0</v>
      </c>
      <c r="G23" s="1056">
        <f t="shared" si="1"/>
        <v>0</v>
      </c>
      <c r="H23" s="1053" t="s">
        <v>10</v>
      </c>
      <c r="I23" s="1054" t="s">
        <v>1416</v>
      </c>
      <c r="J23" s="1054" t="s">
        <v>1412</v>
      </c>
      <c r="K23" s="1054" t="s">
        <v>1568</v>
      </c>
      <c r="M23" s="1140">
        <v>0</v>
      </c>
      <c r="N23" s="1140">
        <v>1666666.6666666667</v>
      </c>
      <c r="O23" s="1140">
        <v>0</v>
      </c>
      <c r="P23" s="1140">
        <f t="shared" si="2"/>
        <v>1666666.6666666667</v>
      </c>
    </row>
    <row r="24" spans="1:16" ht="22.5" x14ac:dyDescent="0.2">
      <c r="A24" s="1052">
        <v>8178</v>
      </c>
      <c r="B24" s="1052"/>
      <c r="C24" s="1053" t="s">
        <v>1569</v>
      </c>
      <c r="D24" s="1054" t="s">
        <v>1569</v>
      </c>
      <c r="E24" s="1055" t="b">
        <f t="shared" si="0"/>
        <v>0</v>
      </c>
      <c r="F24" s="1055">
        <v>0</v>
      </c>
      <c r="G24" s="1056">
        <f t="shared" si="1"/>
        <v>0</v>
      </c>
      <c r="H24" s="1053" t="s">
        <v>10</v>
      </c>
      <c r="I24" s="1054" t="s">
        <v>1416</v>
      </c>
      <c r="J24" s="1054" t="s">
        <v>1417</v>
      </c>
      <c r="K24" s="1054" t="s">
        <v>1540</v>
      </c>
      <c r="M24" s="1140">
        <v>0</v>
      </c>
      <c r="N24" s="1140">
        <v>875000</v>
      </c>
      <c r="O24" s="1140">
        <v>138888.88888888891</v>
      </c>
      <c r="P24" s="1140">
        <f t="shared" si="2"/>
        <v>1013888.8888888889</v>
      </c>
    </row>
    <row r="25" spans="1:16" x14ac:dyDescent="0.2">
      <c r="A25" s="1052">
        <v>339</v>
      </c>
      <c r="B25" s="1052"/>
      <c r="C25" s="1053" t="s">
        <v>1571</v>
      </c>
      <c r="D25" s="1054" t="s">
        <v>1571</v>
      </c>
      <c r="E25" s="1055">
        <f t="shared" si="0"/>
        <v>0</v>
      </c>
      <c r="F25" s="1055">
        <v>0</v>
      </c>
      <c r="G25" s="1056">
        <f t="shared" si="1"/>
        <v>0</v>
      </c>
      <c r="H25" s="1053" t="s">
        <v>10</v>
      </c>
      <c r="I25" s="1054" t="s">
        <v>1512</v>
      </c>
      <c r="J25" s="1054" t="s">
        <v>1417</v>
      </c>
      <c r="K25" s="1054" t="s">
        <v>1545</v>
      </c>
      <c r="M25" s="1140">
        <v>0</v>
      </c>
      <c r="N25" s="1140">
        <v>416666.66666666669</v>
      </c>
      <c r="O25" s="1140">
        <v>361111.11111111112</v>
      </c>
      <c r="P25" s="1140">
        <f t="shared" si="2"/>
        <v>777777.77777777775</v>
      </c>
    </row>
    <row r="26" spans="1:16" x14ac:dyDescent="0.2">
      <c r="A26" s="1052">
        <v>4822</v>
      </c>
      <c r="B26" s="1052"/>
      <c r="C26" s="1053" t="s">
        <v>1575</v>
      </c>
      <c r="D26" s="1054" t="s">
        <v>1575</v>
      </c>
      <c r="E26" s="1055" t="b">
        <f t="shared" si="0"/>
        <v>0</v>
      </c>
      <c r="F26" s="1055">
        <v>0</v>
      </c>
      <c r="G26" s="1056">
        <f t="shared" si="1"/>
        <v>0</v>
      </c>
      <c r="H26" s="1053" t="s">
        <v>10</v>
      </c>
      <c r="I26" s="1054" t="s">
        <v>1578</v>
      </c>
      <c r="J26" s="1054" t="s">
        <v>10</v>
      </c>
      <c r="K26" s="1054" t="s">
        <v>1579</v>
      </c>
      <c r="M26" s="1140">
        <v>0</v>
      </c>
      <c r="N26" s="1140">
        <v>5986111.1111111119</v>
      </c>
      <c r="O26" s="1140">
        <v>13888.888888888891</v>
      </c>
      <c r="P26" s="1140">
        <f t="shared" si="2"/>
        <v>6000000.0000000009</v>
      </c>
    </row>
    <row r="27" spans="1:16" x14ac:dyDescent="0.2">
      <c r="A27" s="1052">
        <v>8700</v>
      </c>
      <c r="B27" s="1052" t="s">
        <v>1412</v>
      </c>
      <c r="C27" s="1053" t="s">
        <v>1581</v>
      </c>
      <c r="D27" s="1054" t="s">
        <v>1581</v>
      </c>
      <c r="E27" s="1055" t="b">
        <f t="shared" si="0"/>
        <v>0</v>
      </c>
      <c r="F27" s="1055">
        <v>0</v>
      </c>
      <c r="G27" s="1056">
        <f t="shared" si="1"/>
        <v>0</v>
      </c>
      <c r="H27" s="1053" t="s">
        <v>10</v>
      </c>
      <c r="I27" s="1054" t="s">
        <v>1416</v>
      </c>
      <c r="J27" s="1054" t="s">
        <v>1412</v>
      </c>
      <c r="K27" s="1054" t="s">
        <v>1565</v>
      </c>
      <c r="M27" s="1140">
        <v>263888.88888888893</v>
      </c>
      <c r="N27" s="1140">
        <v>680555.55555555562</v>
      </c>
      <c r="O27" s="1140">
        <v>416666.66666666669</v>
      </c>
      <c r="P27" s="1140">
        <f t="shared" si="2"/>
        <v>1361111.1111111112</v>
      </c>
    </row>
    <row r="28" spans="1:16" x14ac:dyDescent="0.2">
      <c r="A28" s="1052">
        <v>512</v>
      </c>
      <c r="B28" s="1052"/>
      <c r="C28" s="1053" t="s">
        <v>1582</v>
      </c>
      <c r="D28" s="1054" t="s">
        <v>1582</v>
      </c>
      <c r="E28" s="1055">
        <f t="shared" si="0"/>
        <v>0</v>
      </c>
      <c r="F28" s="1055">
        <v>0</v>
      </c>
      <c r="G28" s="1056">
        <f t="shared" si="1"/>
        <v>0</v>
      </c>
      <c r="H28" s="1053" t="s">
        <v>10</v>
      </c>
      <c r="I28" s="1054" t="s">
        <v>1512</v>
      </c>
      <c r="J28" s="1054" t="s">
        <v>10</v>
      </c>
      <c r="K28" s="1054" t="s">
        <v>1591</v>
      </c>
      <c r="M28" s="1140">
        <v>0</v>
      </c>
      <c r="N28" s="1140">
        <v>97222.222222222234</v>
      </c>
      <c r="O28" s="1140">
        <v>0</v>
      </c>
      <c r="P28" s="1140">
        <f t="shared" si="2"/>
        <v>97222.222222222234</v>
      </c>
    </row>
    <row r="29" spans="1:16" x14ac:dyDescent="0.2">
      <c r="A29" s="1052">
        <v>8245</v>
      </c>
      <c r="B29" s="1052"/>
      <c r="C29" s="1053" t="s">
        <v>1592</v>
      </c>
      <c r="D29" s="1054" t="s">
        <v>1592</v>
      </c>
      <c r="E29" s="1055" t="b">
        <f t="shared" si="0"/>
        <v>0</v>
      </c>
      <c r="F29" s="1055">
        <v>0</v>
      </c>
      <c r="G29" s="1056">
        <f t="shared" si="1"/>
        <v>0</v>
      </c>
      <c r="H29" s="1053" t="s">
        <v>1412</v>
      </c>
      <c r="I29" s="1054" t="s">
        <v>1416</v>
      </c>
      <c r="J29" s="1054" t="s">
        <v>1417</v>
      </c>
      <c r="K29" s="1054" t="s">
        <v>1595</v>
      </c>
      <c r="M29" s="1140">
        <v>0</v>
      </c>
      <c r="N29" s="1140">
        <v>6152777.777777778</v>
      </c>
      <c r="O29" s="1140">
        <v>1611111.1111111112</v>
      </c>
      <c r="P29" s="1140">
        <f t="shared" si="2"/>
        <v>7763888.888888889</v>
      </c>
    </row>
    <row r="30" spans="1:16" x14ac:dyDescent="0.2">
      <c r="A30" s="1052">
        <v>513</v>
      </c>
      <c r="B30" s="1052"/>
      <c r="C30" s="1053" t="s">
        <v>1596</v>
      </c>
      <c r="D30" s="1054" t="s">
        <v>1596</v>
      </c>
      <c r="E30" s="1055" t="b">
        <f t="shared" si="0"/>
        <v>0</v>
      </c>
      <c r="F30" s="1055">
        <v>0</v>
      </c>
      <c r="G30" s="1056">
        <f t="shared" si="1"/>
        <v>0</v>
      </c>
      <c r="H30" s="1053" t="s">
        <v>10</v>
      </c>
      <c r="I30" s="1054" t="s">
        <v>1416</v>
      </c>
      <c r="J30" s="1054" t="s">
        <v>1417</v>
      </c>
      <c r="K30" s="1054" t="s">
        <v>1598</v>
      </c>
      <c r="M30" s="1140">
        <v>569444.4444444445</v>
      </c>
      <c r="N30" s="1140">
        <v>1513888.888888889</v>
      </c>
      <c r="O30" s="1140">
        <v>180555.55555555556</v>
      </c>
      <c r="P30" s="1140">
        <f t="shared" si="2"/>
        <v>2263888.888888889</v>
      </c>
    </row>
    <row r="31" spans="1:16" x14ac:dyDescent="0.2">
      <c r="A31" s="1052">
        <v>516</v>
      </c>
      <c r="B31" s="1052"/>
      <c r="C31" s="1053" t="s">
        <v>1599</v>
      </c>
      <c r="D31" s="1054" t="s">
        <v>1599</v>
      </c>
      <c r="E31" s="1055">
        <f t="shared" si="0"/>
        <v>0</v>
      </c>
      <c r="F31" s="1055">
        <v>0</v>
      </c>
      <c r="G31" s="1056">
        <f t="shared" si="1"/>
        <v>0</v>
      </c>
      <c r="H31" s="1053" t="s">
        <v>10</v>
      </c>
      <c r="I31" s="1054" t="s">
        <v>1512</v>
      </c>
      <c r="J31" s="1054" t="s">
        <v>1417</v>
      </c>
      <c r="K31" s="1054" t="s">
        <v>1601</v>
      </c>
      <c r="M31" s="1140">
        <v>0</v>
      </c>
      <c r="N31" s="1140">
        <v>13888.888888888891</v>
      </c>
      <c r="O31" s="1140">
        <v>0</v>
      </c>
      <c r="P31" s="1140">
        <f t="shared" si="2"/>
        <v>13888.888888888891</v>
      </c>
    </row>
    <row r="32" spans="1:16" x14ac:dyDescent="0.2">
      <c r="A32" s="1052">
        <v>4661</v>
      </c>
      <c r="B32" s="1052" t="s">
        <v>1412</v>
      </c>
      <c r="C32" s="1053" t="s">
        <v>1602</v>
      </c>
      <c r="D32" s="1054" t="s">
        <v>1602</v>
      </c>
      <c r="E32" s="1055" t="b">
        <f t="shared" si="0"/>
        <v>0</v>
      </c>
      <c r="F32" s="1055">
        <v>0</v>
      </c>
      <c r="G32" s="1056">
        <f t="shared" si="1"/>
        <v>0</v>
      </c>
      <c r="H32" s="1053" t="s">
        <v>10</v>
      </c>
      <c r="I32" s="1054" t="s">
        <v>1416</v>
      </c>
      <c r="J32" s="1054" t="s">
        <v>1412</v>
      </c>
      <c r="K32" s="1054" t="s">
        <v>1605</v>
      </c>
      <c r="M32" s="1140">
        <v>0</v>
      </c>
      <c r="N32" s="1140">
        <v>1569444.4444444445</v>
      </c>
      <c r="O32" s="1140">
        <v>0</v>
      </c>
      <c r="P32" s="1140">
        <f t="shared" si="2"/>
        <v>1569444.4444444445</v>
      </c>
    </row>
    <row r="33" spans="1:16" x14ac:dyDescent="0.2">
      <c r="A33" s="1052">
        <v>8250</v>
      </c>
      <c r="B33" s="1052"/>
      <c r="C33" s="1053" t="s">
        <v>1606</v>
      </c>
      <c r="D33" s="1054" t="s">
        <v>1606</v>
      </c>
      <c r="E33" s="1055" t="b">
        <f t="shared" si="0"/>
        <v>0</v>
      </c>
      <c r="F33" s="1055">
        <v>0</v>
      </c>
      <c r="G33" s="1056">
        <f t="shared" si="1"/>
        <v>0</v>
      </c>
      <c r="H33" s="1053" t="s">
        <v>10</v>
      </c>
      <c r="I33" s="1054" t="s">
        <v>1416</v>
      </c>
      <c r="J33" s="1054" t="s">
        <v>1417</v>
      </c>
      <c r="K33" s="1054" t="s">
        <v>0</v>
      </c>
      <c r="M33" s="1140">
        <v>0</v>
      </c>
      <c r="N33" s="1140">
        <v>2305555.5555555555</v>
      </c>
      <c r="O33" s="1140">
        <v>388888.88888888893</v>
      </c>
      <c r="P33" s="1140">
        <f t="shared" si="2"/>
        <v>2694444.4444444445</v>
      </c>
    </row>
    <row r="34" spans="1:16" x14ac:dyDescent="0.2">
      <c r="A34" s="1052">
        <v>8253</v>
      </c>
      <c r="B34" s="1052" t="s">
        <v>1412</v>
      </c>
      <c r="C34" s="1053" t="s">
        <v>1</v>
      </c>
      <c r="D34" s="1054" t="s">
        <v>1</v>
      </c>
      <c r="E34" s="1055" t="b">
        <f t="shared" si="0"/>
        <v>0</v>
      </c>
      <c r="F34" s="1055">
        <v>0</v>
      </c>
      <c r="G34" s="1056">
        <f t="shared" si="1"/>
        <v>0</v>
      </c>
      <c r="H34" s="1053" t="s">
        <v>10</v>
      </c>
      <c r="I34" s="1054" t="s">
        <v>1416</v>
      </c>
      <c r="J34" s="1054" t="s">
        <v>1412</v>
      </c>
      <c r="K34" s="1054" t="s">
        <v>3</v>
      </c>
      <c r="M34" s="1140">
        <v>0</v>
      </c>
      <c r="N34" s="1140">
        <v>2958333.3333333335</v>
      </c>
      <c r="O34" s="1140">
        <v>-416666.66666666669</v>
      </c>
      <c r="P34" s="1140">
        <f t="shared" si="2"/>
        <v>2541666.666666667</v>
      </c>
    </row>
    <row r="35" spans="1:16" x14ac:dyDescent="0.2">
      <c r="A35" s="1052">
        <v>8266</v>
      </c>
      <c r="B35" s="1052"/>
      <c r="C35" s="1053" t="s">
        <v>4</v>
      </c>
      <c r="D35" s="1054" t="s">
        <v>4</v>
      </c>
      <c r="E35" s="1055">
        <f t="shared" si="0"/>
        <v>0</v>
      </c>
      <c r="F35" s="1055">
        <v>0</v>
      </c>
      <c r="G35" s="1056">
        <f t="shared" si="1"/>
        <v>0</v>
      </c>
      <c r="H35" s="1053" t="s">
        <v>10</v>
      </c>
      <c r="I35" s="1054" t="s">
        <v>1512</v>
      </c>
      <c r="J35" s="1054" t="s">
        <v>1417</v>
      </c>
      <c r="K35" s="1054" t="s">
        <v>1605</v>
      </c>
      <c r="M35" s="1140">
        <v>0</v>
      </c>
      <c r="N35" s="1140">
        <v>291666.66666666669</v>
      </c>
      <c r="O35" s="1140">
        <v>0</v>
      </c>
      <c r="P35" s="1140">
        <f t="shared" si="2"/>
        <v>291666.66666666669</v>
      </c>
    </row>
    <row r="36" spans="1:16" x14ac:dyDescent="0.2">
      <c r="A36" s="1052">
        <v>9888</v>
      </c>
      <c r="B36" s="1052" t="s">
        <v>1412</v>
      </c>
      <c r="C36" s="1053" t="s">
        <v>6</v>
      </c>
      <c r="D36" s="1054" t="s">
        <v>6</v>
      </c>
      <c r="E36" s="1055" t="b">
        <f t="shared" si="0"/>
        <v>0</v>
      </c>
      <c r="F36" s="1055">
        <v>0</v>
      </c>
      <c r="G36" s="1056">
        <f t="shared" si="1"/>
        <v>0</v>
      </c>
      <c r="H36" s="1053" t="s">
        <v>1417</v>
      </c>
      <c r="I36" s="1054" t="s">
        <v>1416</v>
      </c>
      <c r="J36" s="1054" t="s">
        <v>1412</v>
      </c>
      <c r="K36" s="1054" t="s">
        <v>1605</v>
      </c>
      <c r="M36" s="1140">
        <v>0</v>
      </c>
      <c r="N36" s="1140">
        <v>0</v>
      </c>
      <c r="O36" s="1140">
        <v>0</v>
      </c>
      <c r="P36" s="1140">
        <f t="shared" si="2"/>
        <v>0</v>
      </c>
    </row>
    <row r="37" spans="1:16" x14ac:dyDescent="0.2">
      <c r="A37" s="1052">
        <v>511</v>
      </c>
      <c r="B37" s="1052" t="s">
        <v>1412</v>
      </c>
      <c r="C37" s="1053" t="s">
        <v>7</v>
      </c>
      <c r="D37" s="1054" t="s">
        <v>7</v>
      </c>
      <c r="E37" s="1055" t="b">
        <f t="shared" si="0"/>
        <v>0</v>
      </c>
      <c r="F37" s="1055">
        <v>561163</v>
      </c>
      <c r="G37" s="1056">
        <f t="shared" si="1"/>
        <v>561163</v>
      </c>
      <c r="H37" s="1053" t="s">
        <v>10</v>
      </c>
      <c r="I37" s="1054" t="s">
        <v>1416</v>
      </c>
      <c r="J37" s="1054" t="s">
        <v>1412</v>
      </c>
      <c r="K37" s="1054" t="s">
        <v>8</v>
      </c>
      <c r="M37" s="1140">
        <v>6555555.555555556</v>
      </c>
      <c r="N37" s="1140">
        <v>2444444.4444444445</v>
      </c>
      <c r="O37" s="1140">
        <v>0</v>
      </c>
      <c r="P37" s="1140">
        <f t="shared" si="2"/>
        <v>9000000</v>
      </c>
    </row>
    <row r="38" spans="1:16" x14ac:dyDescent="0.2">
      <c r="A38" s="1052">
        <v>564</v>
      </c>
      <c r="B38" s="1052" t="s">
        <v>1412</v>
      </c>
      <c r="C38" s="1053" t="s">
        <v>9</v>
      </c>
      <c r="D38" s="1054" t="s">
        <v>9</v>
      </c>
      <c r="E38" s="1055" t="b">
        <f t="shared" si="0"/>
        <v>0</v>
      </c>
      <c r="F38" s="1055">
        <v>0</v>
      </c>
      <c r="G38" s="1056">
        <f t="shared" si="1"/>
        <v>0</v>
      </c>
      <c r="H38" s="1053" t="s">
        <v>1417</v>
      </c>
      <c r="I38" s="1054" t="s">
        <v>1416</v>
      </c>
      <c r="J38" s="1054" t="s">
        <v>1412</v>
      </c>
      <c r="K38" s="1054" t="s">
        <v>1565</v>
      </c>
      <c r="M38" s="1140">
        <v>0</v>
      </c>
      <c r="N38" s="1140">
        <v>0</v>
      </c>
      <c r="O38" s="1140">
        <v>0</v>
      </c>
      <c r="P38" s="1140">
        <f t="shared" si="2"/>
        <v>0</v>
      </c>
    </row>
    <row r="39" spans="1:16" x14ac:dyDescent="0.2">
      <c r="A39" s="1080">
        <v>566</v>
      </c>
      <c r="B39" s="1080"/>
      <c r="C39" s="1083" t="s">
        <v>9</v>
      </c>
      <c r="D39" s="1063" t="s">
        <v>9</v>
      </c>
      <c r="E39" s="1055">
        <f t="shared" si="0"/>
        <v>0</v>
      </c>
      <c r="F39" s="1064" t="s">
        <v>10</v>
      </c>
      <c r="G39" s="1056" t="e">
        <f t="shared" si="1"/>
        <v>#VALUE!</v>
      </c>
      <c r="H39" s="1062" t="s">
        <v>1417</v>
      </c>
      <c r="I39" s="1063" t="s">
        <v>911</v>
      </c>
      <c r="J39" s="1063" t="s">
        <v>10</v>
      </c>
      <c r="K39" s="1063" t="s">
        <v>10</v>
      </c>
      <c r="M39" s="1140">
        <v>0</v>
      </c>
      <c r="N39" s="1140">
        <v>0</v>
      </c>
      <c r="O39" s="1140">
        <v>0</v>
      </c>
      <c r="P39" s="1140">
        <f t="shared" si="2"/>
        <v>0</v>
      </c>
    </row>
    <row r="40" spans="1:16" x14ac:dyDescent="0.2">
      <c r="A40" s="1052">
        <v>526</v>
      </c>
      <c r="B40" s="1052" t="s">
        <v>1412</v>
      </c>
      <c r="C40" s="1053" t="s">
        <v>919</v>
      </c>
      <c r="D40" s="1054" t="s">
        <v>11</v>
      </c>
      <c r="E40" s="1055" t="b">
        <f t="shared" si="0"/>
        <v>0</v>
      </c>
      <c r="F40" s="1055">
        <v>137606</v>
      </c>
      <c r="G40" s="1056">
        <f t="shared" si="1"/>
        <v>137606</v>
      </c>
      <c r="H40" s="1053" t="s">
        <v>1417</v>
      </c>
      <c r="I40" s="1054" t="s">
        <v>1416</v>
      </c>
      <c r="J40" s="1054" t="s">
        <v>1412</v>
      </c>
      <c r="K40" s="1054" t="s">
        <v>1565</v>
      </c>
      <c r="M40" s="1140">
        <v>0</v>
      </c>
      <c r="N40" s="1140">
        <v>0</v>
      </c>
      <c r="O40" s="1140">
        <v>0</v>
      </c>
      <c r="P40" s="1140">
        <f t="shared" si="2"/>
        <v>0</v>
      </c>
    </row>
    <row r="41" spans="1:16" x14ac:dyDescent="0.2">
      <c r="A41" s="1052">
        <v>548</v>
      </c>
      <c r="B41" s="1052"/>
      <c r="C41" s="1053" t="s">
        <v>12</v>
      </c>
      <c r="D41" s="1054" t="s">
        <v>12</v>
      </c>
      <c r="E41" s="1055">
        <f t="shared" si="0"/>
        <v>0</v>
      </c>
      <c r="F41" s="1055">
        <v>0</v>
      </c>
      <c r="G41" s="1056">
        <f t="shared" si="1"/>
        <v>0</v>
      </c>
      <c r="H41" s="1053" t="s">
        <v>1417</v>
      </c>
      <c r="I41" s="1054" t="s">
        <v>1512</v>
      </c>
      <c r="J41" s="1054" t="s">
        <v>10</v>
      </c>
      <c r="K41" s="1054" t="s">
        <v>14</v>
      </c>
      <c r="M41" s="1140">
        <v>0</v>
      </c>
      <c r="N41" s="1140">
        <v>0</v>
      </c>
      <c r="O41" s="1140">
        <v>0</v>
      </c>
      <c r="P41" s="1140">
        <f t="shared" si="2"/>
        <v>0</v>
      </c>
    </row>
    <row r="42" spans="1:16" x14ac:dyDescent="0.2">
      <c r="A42" s="1052">
        <v>540</v>
      </c>
      <c r="B42" s="1052" t="s">
        <v>1412</v>
      </c>
      <c r="C42" s="1053" t="s">
        <v>17</v>
      </c>
      <c r="D42" s="1054" t="s">
        <v>17</v>
      </c>
      <c r="E42" s="1055" t="b">
        <f t="shared" si="0"/>
        <v>0</v>
      </c>
      <c r="F42" s="1055">
        <v>0</v>
      </c>
      <c r="G42" s="1056">
        <f t="shared" si="1"/>
        <v>0</v>
      </c>
      <c r="H42" s="1053" t="s">
        <v>10</v>
      </c>
      <c r="I42" s="1054" t="s">
        <v>1416</v>
      </c>
      <c r="J42" s="1054" t="s">
        <v>1412</v>
      </c>
      <c r="K42" s="1054" t="s">
        <v>19</v>
      </c>
      <c r="M42" s="1140">
        <v>402777.77777777781</v>
      </c>
      <c r="N42" s="1140">
        <v>875000</v>
      </c>
      <c r="O42" s="1140">
        <v>180555.55555555556</v>
      </c>
      <c r="P42" s="1140">
        <f t="shared" si="2"/>
        <v>1458333.3333333333</v>
      </c>
    </row>
    <row r="43" spans="1:16" x14ac:dyDescent="0.2">
      <c r="A43" s="1052">
        <v>8262</v>
      </c>
      <c r="B43" s="1052"/>
      <c r="C43" s="1053" t="s">
        <v>20</v>
      </c>
      <c r="D43" s="1054" t="s">
        <v>20</v>
      </c>
      <c r="E43" s="1055" t="b">
        <f t="shared" si="0"/>
        <v>0</v>
      </c>
      <c r="F43" s="1055">
        <v>0</v>
      </c>
      <c r="G43" s="1056">
        <f t="shared" si="1"/>
        <v>0</v>
      </c>
      <c r="H43" s="1053" t="s">
        <v>10</v>
      </c>
      <c r="I43" s="1054" t="s">
        <v>1416</v>
      </c>
      <c r="J43" s="1054" t="s">
        <v>1417</v>
      </c>
      <c r="K43" s="1054" t="s">
        <v>23</v>
      </c>
      <c r="M43" s="1140">
        <v>0</v>
      </c>
      <c r="N43" s="1140">
        <v>1166666.6666666667</v>
      </c>
      <c r="O43" s="1140">
        <v>-41666.666666666672</v>
      </c>
      <c r="P43" s="1140">
        <f t="shared" si="2"/>
        <v>1125000</v>
      </c>
    </row>
    <row r="44" spans="1:16" x14ac:dyDescent="0.2">
      <c r="A44" s="1052">
        <v>9862</v>
      </c>
      <c r="B44" s="1052"/>
      <c r="C44" s="1053" t="s">
        <v>24</v>
      </c>
      <c r="D44" s="1054" t="s">
        <v>24</v>
      </c>
      <c r="E44" s="1055" t="b">
        <f t="shared" si="0"/>
        <v>0</v>
      </c>
      <c r="F44" s="1055">
        <v>0</v>
      </c>
      <c r="G44" s="1056">
        <f t="shared" si="1"/>
        <v>0</v>
      </c>
      <c r="H44" s="1053" t="s">
        <v>1417</v>
      </c>
      <c r="I44" s="1054" t="s">
        <v>1416</v>
      </c>
      <c r="J44" s="1054" t="s">
        <v>1417</v>
      </c>
      <c r="K44" s="1054" t="s">
        <v>1552</v>
      </c>
      <c r="M44" s="1140">
        <v>0</v>
      </c>
      <c r="N44" s="1140">
        <v>0</v>
      </c>
      <c r="O44" s="1140">
        <v>0</v>
      </c>
      <c r="P44" s="1140">
        <f t="shared" si="2"/>
        <v>0</v>
      </c>
    </row>
    <row r="45" spans="1:16" x14ac:dyDescent="0.2">
      <c r="A45" s="1052">
        <v>552</v>
      </c>
      <c r="B45" s="1052"/>
      <c r="C45" s="1053" t="s">
        <v>26</v>
      </c>
      <c r="D45" s="1054" t="s">
        <v>26</v>
      </c>
      <c r="E45" s="1055" t="b">
        <f t="shared" si="0"/>
        <v>0</v>
      </c>
      <c r="F45" s="1055">
        <v>0</v>
      </c>
      <c r="G45" s="1056">
        <f t="shared" si="1"/>
        <v>0</v>
      </c>
      <c r="H45" s="1053" t="s">
        <v>10</v>
      </c>
      <c r="I45" s="1054" t="s">
        <v>1416</v>
      </c>
      <c r="J45" s="1054" t="s">
        <v>10</v>
      </c>
      <c r="K45" s="1054" t="s">
        <v>28</v>
      </c>
      <c r="M45" s="1140">
        <v>0</v>
      </c>
      <c r="N45" s="1140">
        <v>2583333.3333333335</v>
      </c>
      <c r="O45" s="1140">
        <v>27777.777777777781</v>
      </c>
      <c r="P45" s="1140">
        <f t="shared" si="2"/>
        <v>2611111.1111111115</v>
      </c>
    </row>
    <row r="46" spans="1:16" x14ac:dyDescent="0.2">
      <c r="A46" s="1052">
        <v>549</v>
      </c>
      <c r="B46" s="1052" t="s">
        <v>1412</v>
      </c>
      <c r="C46" s="1053" t="s">
        <v>29</v>
      </c>
      <c r="D46" s="1054" t="s">
        <v>29</v>
      </c>
      <c r="E46" s="1055" t="b">
        <f t="shared" si="0"/>
        <v>0</v>
      </c>
      <c r="F46" s="1055">
        <v>392500</v>
      </c>
      <c r="G46" s="1056">
        <f t="shared" si="1"/>
        <v>392500</v>
      </c>
      <c r="H46" s="1053" t="s">
        <v>10</v>
      </c>
      <c r="I46" s="1054" t="s">
        <v>1416</v>
      </c>
      <c r="J46" s="1054" t="s">
        <v>1412</v>
      </c>
      <c r="K46" s="1054" t="s">
        <v>32</v>
      </c>
      <c r="M46" s="1140">
        <v>3791666.666666667</v>
      </c>
      <c r="N46" s="1140">
        <v>1652777.777777778</v>
      </c>
      <c r="O46" s="1140">
        <v>0</v>
      </c>
      <c r="P46" s="1140">
        <f t="shared" si="2"/>
        <v>5444444.444444445</v>
      </c>
    </row>
    <row r="47" spans="1:16" x14ac:dyDescent="0.2">
      <c r="A47" s="1052">
        <v>2315</v>
      </c>
      <c r="B47" s="1052"/>
      <c r="C47" s="1053" t="s">
        <v>34</v>
      </c>
      <c r="D47" s="1054" t="s">
        <v>34</v>
      </c>
      <c r="E47" s="1055">
        <f t="shared" si="0"/>
        <v>0</v>
      </c>
      <c r="F47" s="1055">
        <v>525332</v>
      </c>
      <c r="G47" s="1056">
        <f t="shared" si="1"/>
        <v>525332</v>
      </c>
      <c r="H47" s="1053" t="s">
        <v>10</v>
      </c>
      <c r="I47" s="1054" t="s">
        <v>1512</v>
      </c>
      <c r="J47" s="1054" t="s">
        <v>10</v>
      </c>
      <c r="K47" s="1054" t="s">
        <v>36</v>
      </c>
      <c r="M47" s="1140">
        <v>0</v>
      </c>
      <c r="N47" s="1140">
        <v>277777.77777777781</v>
      </c>
      <c r="O47" s="1140">
        <v>125000</v>
      </c>
      <c r="P47" s="1140">
        <f t="shared" si="2"/>
        <v>402777.77777777781</v>
      </c>
    </row>
    <row r="48" spans="1:16" x14ac:dyDescent="0.2">
      <c r="A48" s="1052">
        <v>582</v>
      </c>
      <c r="B48" s="1052" t="s">
        <v>1412</v>
      </c>
      <c r="C48" s="1053" t="s">
        <v>37</v>
      </c>
      <c r="D48" s="1054" t="s">
        <v>37</v>
      </c>
      <c r="E48" s="1055" t="b">
        <f t="shared" si="0"/>
        <v>0</v>
      </c>
      <c r="F48" s="1055">
        <v>570437</v>
      </c>
      <c r="G48" s="1056">
        <f t="shared" si="1"/>
        <v>570437</v>
      </c>
      <c r="H48" s="1053" t="s">
        <v>10</v>
      </c>
      <c r="I48" s="1054" t="s">
        <v>1416</v>
      </c>
      <c r="J48" s="1054" t="s">
        <v>1412</v>
      </c>
      <c r="K48" s="1054" t="s">
        <v>40</v>
      </c>
      <c r="M48" s="1140">
        <v>2333333.3333333335</v>
      </c>
      <c r="N48" s="1140">
        <v>1430555.5555555557</v>
      </c>
      <c r="O48" s="1140">
        <v>0</v>
      </c>
      <c r="P48" s="1140">
        <f t="shared" si="2"/>
        <v>3763888.888888889</v>
      </c>
    </row>
    <row r="49" spans="1:16" x14ac:dyDescent="0.2">
      <c r="A49" s="1052">
        <v>584</v>
      </c>
      <c r="B49" s="1052"/>
      <c r="C49" s="1053" t="s">
        <v>669</v>
      </c>
      <c r="D49" s="1054" t="s">
        <v>669</v>
      </c>
      <c r="E49" s="1055">
        <f t="shared" si="0"/>
        <v>0</v>
      </c>
      <c r="F49" s="1055">
        <v>0</v>
      </c>
      <c r="G49" s="1056">
        <f t="shared" si="1"/>
        <v>0</v>
      </c>
      <c r="H49" s="1053" t="s">
        <v>1417</v>
      </c>
      <c r="I49" s="1054" t="s">
        <v>1512</v>
      </c>
      <c r="J49" s="1054" t="s">
        <v>10</v>
      </c>
      <c r="K49" s="1054" t="s">
        <v>1545</v>
      </c>
      <c r="M49" s="1140">
        <v>0</v>
      </c>
      <c r="N49" s="1140">
        <v>0</v>
      </c>
      <c r="O49" s="1140">
        <v>0</v>
      </c>
      <c r="P49" s="1140">
        <f t="shared" si="2"/>
        <v>0</v>
      </c>
    </row>
    <row r="50" spans="1:16" x14ac:dyDescent="0.2">
      <c r="A50" s="1052">
        <v>8287</v>
      </c>
      <c r="B50" s="1052"/>
      <c r="C50" s="1053" t="s">
        <v>43</v>
      </c>
      <c r="D50" s="1054" t="s">
        <v>43</v>
      </c>
      <c r="E50" s="1055" t="b">
        <f t="shared" si="0"/>
        <v>0</v>
      </c>
      <c r="F50" s="1055">
        <v>172758</v>
      </c>
      <c r="G50" s="1056">
        <f t="shared" si="1"/>
        <v>172758</v>
      </c>
      <c r="H50" s="1053" t="s">
        <v>10</v>
      </c>
      <c r="I50" s="1054" t="s">
        <v>1416</v>
      </c>
      <c r="J50" s="1054" t="s">
        <v>1417</v>
      </c>
      <c r="K50" s="1054" t="s">
        <v>45</v>
      </c>
      <c r="M50" s="1140">
        <v>2041666.6666666667</v>
      </c>
      <c r="N50" s="1140">
        <v>486111.11111111112</v>
      </c>
      <c r="O50" s="1140">
        <v>55555.555555555562</v>
      </c>
      <c r="P50" s="1140">
        <f t="shared" si="2"/>
        <v>2583333.3333333335</v>
      </c>
    </row>
    <row r="51" spans="1:16" x14ac:dyDescent="0.2">
      <c r="A51" s="1052">
        <v>735</v>
      </c>
      <c r="B51" s="1052" t="s">
        <v>1412</v>
      </c>
      <c r="C51" s="1053" t="s">
        <v>46</v>
      </c>
      <c r="D51" s="1054" t="s">
        <v>46</v>
      </c>
      <c r="E51" s="1055" t="b">
        <f t="shared" si="0"/>
        <v>0</v>
      </c>
      <c r="F51" s="1055">
        <v>0</v>
      </c>
      <c r="G51" s="1056">
        <f t="shared" si="1"/>
        <v>0</v>
      </c>
      <c r="H51" s="1053" t="s">
        <v>1417</v>
      </c>
      <c r="I51" s="1054" t="s">
        <v>1416</v>
      </c>
      <c r="J51" s="1054" t="s">
        <v>1417</v>
      </c>
      <c r="K51" s="1054" t="s">
        <v>1552</v>
      </c>
      <c r="M51" s="1140">
        <v>0</v>
      </c>
      <c r="N51" s="1140">
        <v>0</v>
      </c>
      <c r="O51" s="1140">
        <v>0</v>
      </c>
      <c r="P51" s="1140">
        <f t="shared" si="2"/>
        <v>0</v>
      </c>
    </row>
    <row r="52" spans="1:16" x14ac:dyDescent="0.2">
      <c r="A52" s="1052">
        <v>8158</v>
      </c>
      <c r="B52" s="1052"/>
      <c r="C52" s="1053" t="s">
        <v>48</v>
      </c>
      <c r="D52" s="1054" t="s">
        <v>48</v>
      </c>
      <c r="E52" s="1055" t="b">
        <f t="shared" si="0"/>
        <v>0</v>
      </c>
      <c r="F52" s="1055">
        <v>0</v>
      </c>
      <c r="G52" s="1056">
        <f t="shared" si="1"/>
        <v>0</v>
      </c>
      <c r="H52" s="1053" t="s">
        <v>10</v>
      </c>
      <c r="I52" s="1054" t="s">
        <v>1416</v>
      </c>
      <c r="J52" s="1054" t="s">
        <v>1417</v>
      </c>
      <c r="K52" s="1054" t="s">
        <v>1552</v>
      </c>
      <c r="M52" s="1140">
        <v>0</v>
      </c>
      <c r="N52" s="1140">
        <v>2305555.5555555555</v>
      </c>
      <c r="O52" s="1140">
        <v>83333.333333333343</v>
      </c>
      <c r="P52" s="1140">
        <f t="shared" si="2"/>
        <v>2388888.888888889</v>
      </c>
    </row>
    <row r="53" spans="1:16" x14ac:dyDescent="0.2">
      <c r="A53" s="1052">
        <v>8185</v>
      </c>
      <c r="B53" s="1052"/>
      <c r="C53" s="1053" t="s">
        <v>50</v>
      </c>
      <c r="D53" s="1054" t="s">
        <v>50</v>
      </c>
      <c r="E53" s="1055" t="b">
        <f t="shared" si="0"/>
        <v>0</v>
      </c>
      <c r="F53" s="1055">
        <v>0</v>
      </c>
      <c r="G53" s="1056">
        <f t="shared" si="1"/>
        <v>0</v>
      </c>
      <c r="H53" s="1053" t="s">
        <v>10</v>
      </c>
      <c r="I53" s="1054" t="s">
        <v>1416</v>
      </c>
      <c r="J53" s="1054" t="s">
        <v>1417</v>
      </c>
      <c r="K53" s="1054" t="s">
        <v>52</v>
      </c>
      <c r="M53" s="1140">
        <v>0</v>
      </c>
      <c r="N53" s="1140">
        <v>4097222.2222222225</v>
      </c>
      <c r="O53" s="1140">
        <v>41666.666666666672</v>
      </c>
      <c r="P53" s="1140">
        <f t="shared" si="2"/>
        <v>4138888.888888889</v>
      </c>
    </row>
    <row r="54" spans="1:16" x14ac:dyDescent="0.2">
      <c r="A54" s="1052">
        <v>914</v>
      </c>
      <c r="B54" s="1052"/>
      <c r="C54" s="1053" t="s">
        <v>53</v>
      </c>
      <c r="D54" s="1054" t="s">
        <v>53</v>
      </c>
      <c r="E54" s="1055" t="b">
        <f t="shared" si="0"/>
        <v>0</v>
      </c>
      <c r="F54" s="1055">
        <v>411697</v>
      </c>
      <c r="G54" s="1056">
        <f t="shared" si="1"/>
        <v>411697</v>
      </c>
      <c r="H54" s="1053" t="s">
        <v>10</v>
      </c>
      <c r="I54" s="1054" t="s">
        <v>1416</v>
      </c>
      <c r="J54" s="1054" t="s">
        <v>1417</v>
      </c>
      <c r="K54" s="1054" t="s">
        <v>54</v>
      </c>
      <c r="M54" s="1140">
        <v>1666666.6666666667</v>
      </c>
      <c r="N54" s="1140">
        <v>652777.77777777787</v>
      </c>
      <c r="O54" s="1140">
        <v>361111.11111111112</v>
      </c>
      <c r="P54" s="1140">
        <f t="shared" si="2"/>
        <v>2680555.5555555555</v>
      </c>
    </row>
    <row r="55" spans="1:16" x14ac:dyDescent="0.2">
      <c r="A55" s="1052">
        <v>3937</v>
      </c>
      <c r="B55" s="1052" t="s">
        <v>1412</v>
      </c>
      <c r="C55" s="1053" t="s">
        <v>55</v>
      </c>
      <c r="D55" s="1054" t="s">
        <v>55</v>
      </c>
      <c r="E55" s="1055" t="b">
        <f t="shared" si="0"/>
        <v>0</v>
      </c>
      <c r="F55" s="1055">
        <v>488909</v>
      </c>
      <c r="G55" s="1056">
        <f t="shared" si="1"/>
        <v>488909</v>
      </c>
      <c r="H55" s="1053"/>
      <c r="I55" s="1054" t="s">
        <v>1416</v>
      </c>
      <c r="J55" s="1054" t="s">
        <v>1412</v>
      </c>
      <c r="K55" s="1054" t="s">
        <v>58</v>
      </c>
      <c r="M55" s="1140">
        <v>1680555.5555555557</v>
      </c>
      <c r="N55" s="1140">
        <v>1125000</v>
      </c>
      <c r="O55" s="1140">
        <v>83333.333333333343</v>
      </c>
      <c r="P55" s="1140">
        <f t="shared" si="2"/>
        <v>2888888.8888888895</v>
      </c>
    </row>
    <row r="56" spans="1:16" x14ac:dyDescent="0.2">
      <c r="A56" s="1052">
        <v>4773</v>
      </c>
      <c r="B56" s="1052" t="s">
        <v>1412</v>
      </c>
      <c r="C56" s="1053" t="s">
        <v>59</v>
      </c>
      <c r="D56" s="1054" t="s">
        <v>59</v>
      </c>
      <c r="E56" s="1055" t="b">
        <f t="shared" si="0"/>
        <v>0</v>
      </c>
      <c r="F56" s="1055">
        <v>0</v>
      </c>
      <c r="G56" s="1056">
        <f t="shared" si="1"/>
        <v>0</v>
      </c>
      <c r="H56" s="1053" t="s">
        <v>1417</v>
      </c>
      <c r="I56" s="1054" t="s">
        <v>1416</v>
      </c>
      <c r="J56" s="1054" t="s">
        <v>1412</v>
      </c>
      <c r="K56" s="1054" t="s">
        <v>61</v>
      </c>
      <c r="M56" s="1140">
        <v>0</v>
      </c>
      <c r="N56" s="1140">
        <v>0</v>
      </c>
      <c r="O56" s="1140">
        <v>0</v>
      </c>
      <c r="P56" s="1140">
        <f t="shared" si="2"/>
        <v>0</v>
      </c>
    </row>
    <row r="57" spans="1:16" x14ac:dyDescent="0.2">
      <c r="A57" s="1052">
        <v>918</v>
      </c>
      <c r="B57" s="1052"/>
      <c r="C57" s="1053" t="s">
        <v>62</v>
      </c>
      <c r="D57" s="1054" t="s">
        <v>62</v>
      </c>
      <c r="E57" s="1055">
        <f t="shared" si="0"/>
        <v>0</v>
      </c>
      <c r="F57" s="1055">
        <v>0</v>
      </c>
      <c r="G57" s="1056">
        <f t="shared" si="1"/>
        <v>0</v>
      </c>
      <c r="H57" s="1053" t="s">
        <v>10</v>
      </c>
      <c r="I57" s="1054" t="s">
        <v>1512</v>
      </c>
      <c r="J57" s="1054" t="s">
        <v>10</v>
      </c>
      <c r="K57" s="1054" t="s">
        <v>63</v>
      </c>
      <c r="M57" s="1140">
        <v>0</v>
      </c>
      <c r="N57" s="1140">
        <v>83333.333333333343</v>
      </c>
      <c r="O57" s="1140">
        <v>0</v>
      </c>
      <c r="P57" s="1140">
        <f t="shared" si="2"/>
        <v>83333.333333333343</v>
      </c>
    </row>
    <row r="58" spans="1:16" x14ac:dyDescent="0.2">
      <c r="A58" s="1052">
        <v>4662</v>
      </c>
      <c r="B58" s="1052"/>
      <c r="C58" s="1053" t="s">
        <v>64</v>
      </c>
      <c r="D58" s="1054" t="s">
        <v>64</v>
      </c>
      <c r="E58" s="1055" t="b">
        <f t="shared" si="0"/>
        <v>0</v>
      </c>
      <c r="F58" s="1055">
        <v>0</v>
      </c>
      <c r="G58" s="1056">
        <f t="shared" si="1"/>
        <v>0</v>
      </c>
      <c r="H58" s="1053" t="s">
        <v>10</v>
      </c>
      <c r="I58" s="1054" t="s">
        <v>1416</v>
      </c>
      <c r="J58" s="1054" t="s">
        <v>1417</v>
      </c>
      <c r="K58" s="1054" t="s">
        <v>1552</v>
      </c>
      <c r="M58" s="1140">
        <v>0</v>
      </c>
      <c r="N58" s="1140">
        <v>2152777.777777778</v>
      </c>
      <c r="O58" s="1140">
        <v>13888.888888888891</v>
      </c>
      <c r="P58" s="1140">
        <f t="shared" si="2"/>
        <v>2166666.666666667</v>
      </c>
    </row>
    <row r="59" spans="1:16" x14ac:dyDescent="0.2">
      <c r="A59" s="1052">
        <v>1101</v>
      </c>
      <c r="B59" s="1052"/>
      <c r="C59" s="1053" t="s">
        <v>670</v>
      </c>
      <c r="D59" s="1054" t="s">
        <v>670</v>
      </c>
      <c r="E59" s="1055">
        <f t="shared" si="0"/>
        <v>0</v>
      </c>
      <c r="F59" s="1055">
        <v>0</v>
      </c>
      <c r="G59" s="1056">
        <f t="shared" si="1"/>
        <v>0</v>
      </c>
      <c r="H59" s="1053" t="s">
        <v>1417</v>
      </c>
      <c r="I59" s="1054" t="s">
        <v>1512</v>
      </c>
      <c r="J59" s="1054" t="s">
        <v>10</v>
      </c>
      <c r="K59" s="1054" t="s">
        <v>1605</v>
      </c>
      <c r="M59" s="1140">
        <v>0</v>
      </c>
      <c r="N59" s="1140">
        <v>0</v>
      </c>
      <c r="O59" s="1140">
        <v>0</v>
      </c>
      <c r="P59" s="1140">
        <f t="shared" si="2"/>
        <v>0</v>
      </c>
    </row>
    <row r="60" spans="1:16" ht="22.5" x14ac:dyDescent="0.2">
      <c r="A60" s="1052">
        <v>1116</v>
      </c>
      <c r="B60" s="1052" t="s">
        <v>1412</v>
      </c>
      <c r="C60" s="1053" t="s">
        <v>70</v>
      </c>
      <c r="D60" s="1054" t="s">
        <v>70</v>
      </c>
      <c r="E60" s="1055" t="b">
        <f t="shared" si="0"/>
        <v>0</v>
      </c>
      <c r="F60" s="1055">
        <v>647222</v>
      </c>
      <c r="G60" s="1056">
        <f t="shared" si="1"/>
        <v>647222</v>
      </c>
      <c r="H60" s="1053" t="s">
        <v>1417</v>
      </c>
      <c r="I60" s="1054" t="s">
        <v>1416</v>
      </c>
      <c r="J60" s="1054" t="s">
        <v>1412</v>
      </c>
      <c r="K60" s="1054" t="s">
        <v>72</v>
      </c>
      <c r="M60" s="1140">
        <v>0</v>
      </c>
      <c r="N60" s="1140">
        <v>0</v>
      </c>
      <c r="O60" s="1140">
        <v>0</v>
      </c>
      <c r="P60" s="1140">
        <f t="shared" si="2"/>
        <v>0</v>
      </c>
    </row>
    <row r="61" spans="1:16" ht="22.5" x14ac:dyDescent="0.2">
      <c r="A61" s="1052">
        <v>2110</v>
      </c>
      <c r="B61" s="1052"/>
      <c r="C61" s="1053" t="s">
        <v>75</v>
      </c>
      <c r="D61" s="1054" t="s">
        <v>75</v>
      </c>
      <c r="E61" s="1055" t="b">
        <f t="shared" si="0"/>
        <v>0</v>
      </c>
      <c r="F61" s="1055">
        <v>0</v>
      </c>
      <c r="G61" s="1056">
        <f t="shared" si="1"/>
        <v>0</v>
      </c>
      <c r="H61" s="1053" t="s">
        <v>10</v>
      </c>
      <c r="I61" s="1054" t="s">
        <v>1416</v>
      </c>
      <c r="J61" s="1054" t="s">
        <v>10</v>
      </c>
      <c r="K61" s="1054" t="s">
        <v>10</v>
      </c>
      <c r="M61" s="1140">
        <v>0</v>
      </c>
      <c r="N61" s="1140">
        <v>1486111.1111111112</v>
      </c>
      <c r="O61" s="1140">
        <v>97222.222222222234</v>
      </c>
      <c r="P61" s="1140">
        <f t="shared" si="2"/>
        <v>1583333.3333333335</v>
      </c>
    </row>
    <row r="62" spans="1:16" x14ac:dyDescent="0.2">
      <c r="A62" s="1052">
        <v>8544</v>
      </c>
      <c r="B62" s="1052"/>
      <c r="C62" s="1053" t="s">
        <v>76</v>
      </c>
      <c r="D62" s="1054" t="s">
        <v>76</v>
      </c>
      <c r="E62" s="1055" t="b">
        <f t="shared" si="0"/>
        <v>0</v>
      </c>
      <c r="F62" s="1055">
        <v>0</v>
      </c>
      <c r="G62" s="1056">
        <f t="shared" si="1"/>
        <v>0</v>
      </c>
      <c r="H62" s="1053" t="s">
        <v>1417</v>
      </c>
      <c r="I62" s="1054" t="s">
        <v>1416</v>
      </c>
      <c r="J62" s="1054" t="s">
        <v>10</v>
      </c>
      <c r="K62" s="1054" t="s">
        <v>78</v>
      </c>
      <c r="M62" s="1140">
        <v>0</v>
      </c>
      <c r="N62" s="1140">
        <v>0</v>
      </c>
      <c r="O62" s="1140">
        <v>0</v>
      </c>
      <c r="P62" s="1140">
        <f t="shared" si="2"/>
        <v>0</v>
      </c>
    </row>
    <row r="63" spans="1:16" x14ac:dyDescent="0.2">
      <c r="A63" s="1052">
        <v>1118</v>
      </c>
      <c r="B63" s="1052"/>
      <c r="C63" s="1053" t="s">
        <v>79</v>
      </c>
      <c r="D63" s="1054" t="s">
        <v>79</v>
      </c>
      <c r="E63" s="1055" t="b">
        <f t="shared" si="0"/>
        <v>0</v>
      </c>
      <c r="F63" s="1055">
        <v>0</v>
      </c>
      <c r="G63" s="1056">
        <f t="shared" si="1"/>
        <v>0</v>
      </c>
      <c r="H63" s="1053" t="s">
        <v>10</v>
      </c>
      <c r="I63" s="1054" t="s">
        <v>1416</v>
      </c>
      <c r="J63" s="1054" t="s">
        <v>1417</v>
      </c>
      <c r="K63" s="1054" t="s">
        <v>81</v>
      </c>
      <c r="M63" s="1140">
        <v>361111.11111111112</v>
      </c>
      <c r="N63" s="1140">
        <v>319444.4444444445</v>
      </c>
      <c r="O63" s="1140">
        <v>69444.444444444453</v>
      </c>
      <c r="P63" s="1140">
        <f t="shared" si="2"/>
        <v>750000.00000000012</v>
      </c>
    </row>
    <row r="64" spans="1:16" x14ac:dyDescent="0.2">
      <c r="A64" s="1052">
        <v>3555</v>
      </c>
      <c r="B64" s="1052"/>
      <c r="C64" s="1053" t="s">
        <v>82</v>
      </c>
      <c r="D64" s="1054" t="s">
        <v>82</v>
      </c>
      <c r="E64" s="1055">
        <f t="shared" si="0"/>
        <v>0</v>
      </c>
      <c r="F64" s="1055">
        <v>0</v>
      </c>
      <c r="G64" s="1056">
        <f t="shared" si="1"/>
        <v>0</v>
      </c>
      <c r="H64" s="1053" t="s">
        <v>10</v>
      </c>
      <c r="I64" s="1054" t="s">
        <v>1512</v>
      </c>
      <c r="J64" s="1054" t="s">
        <v>10</v>
      </c>
      <c r="K64" s="1054" t="s">
        <v>1545</v>
      </c>
      <c r="M64" s="1140">
        <v>0</v>
      </c>
      <c r="N64" s="1140">
        <v>277777.77777777781</v>
      </c>
      <c r="O64" s="1140">
        <v>0</v>
      </c>
      <c r="P64" s="1140">
        <f t="shared" si="2"/>
        <v>277777.77777777781</v>
      </c>
    </row>
    <row r="65" spans="1:16" x14ac:dyDescent="0.2">
      <c r="A65" s="1052">
        <v>1125</v>
      </c>
      <c r="B65" s="1052" t="s">
        <v>1412</v>
      </c>
      <c r="C65" s="1053" t="s">
        <v>84</v>
      </c>
      <c r="D65" s="1054" t="s">
        <v>84</v>
      </c>
      <c r="E65" s="1055" t="b">
        <f t="shared" si="0"/>
        <v>0</v>
      </c>
      <c r="F65" s="1055">
        <v>0</v>
      </c>
      <c r="G65" s="1056">
        <f t="shared" si="1"/>
        <v>0</v>
      </c>
      <c r="H65" s="1053" t="s">
        <v>10</v>
      </c>
      <c r="I65" s="1054" t="s">
        <v>1416</v>
      </c>
      <c r="J65" s="1054" t="s">
        <v>1412</v>
      </c>
      <c r="K65" s="1054" t="s">
        <v>87</v>
      </c>
      <c r="M65" s="1140">
        <v>236111.11111111112</v>
      </c>
      <c r="N65" s="1140">
        <v>513888.88888888893</v>
      </c>
      <c r="O65" s="1140">
        <v>0</v>
      </c>
      <c r="P65" s="1140">
        <f t="shared" si="2"/>
        <v>750000</v>
      </c>
    </row>
    <row r="66" spans="1:16" ht="22.5" x14ac:dyDescent="0.2">
      <c r="A66" s="1052">
        <v>1145</v>
      </c>
      <c r="B66" s="1052" t="s">
        <v>1412</v>
      </c>
      <c r="C66" s="1053" t="s">
        <v>88</v>
      </c>
      <c r="D66" s="1054" t="s">
        <v>88</v>
      </c>
      <c r="E66" s="1055" t="b">
        <f t="shared" ref="E66:E129" si="3">IF(I66="regional",IF(R66*0.2975,S66*0.3484),S66*0.1939)</f>
        <v>0</v>
      </c>
      <c r="F66" s="1055">
        <v>0</v>
      </c>
      <c r="G66" s="1056">
        <f t="shared" ref="G66:G120" si="4">E66+F66</f>
        <v>0</v>
      </c>
      <c r="H66" s="1053" t="s">
        <v>1417</v>
      </c>
      <c r="I66" s="1054" t="s">
        <v>1416</v>
      </c>
      <c r="J66" s="1054" t="s">
        <v>1412</v>
      </c>
      <c r="K66" s="1054" t="s">
        <v>91</v>
      </c>
      <c r="M66" s="1140">
        <v>0</v>
      </c>
      <c r="N66" s="1140">
        <v>0</v>
      </c>
      <c r="O66" s="1140">
        <v>0</v>
      </c>
      <c r="P66" s="1140">
        <f t="shared" si="2"/>
        <v>0</v>
      </c>
    </row>
    <row r="67" spans="1:16" x14ac:dyDescent="0.2">
      <c r="A67" s="1080">
        <v>1148</v>
      </c>
      <c r="B67" s="1080" t="s">
        <v>1412</v>
      </c>
      <c r="C67" s="1083" t="s">
        <v>923</v>
      </c>
      <c r="D67" s="1063" t="s">
        <v>923</v>
      </c>
      <c r="E67" s="1055" t="b">
        <f t="shared" si="3"/>
        <v>0</v>
      </c>
      <c r="F67" s="1064" t="s">
        <v>10</v>
      </c>
      <c r="G67" s="1056" t="e">
        <f t="shared" si="4"/>
        <v>#VALUE!</v>
      </c>
      <c r="H67" s="1062" t="s">
        <v>1417</v>
      </c>
      <c r="I67" s="1063" t="s">
        <v>1416</v>
      </c>
      <c r="J67" s="1063" t="s">
        <v>10</v>
      </c>
      <c r="K67" s="1063" t="s">
        <v>10</v>
      </c>
      <c r="M67" s="1140">
        <v>0</v>
      </c>
      <c r="N67" s="1140">
        <v>0</v>
      </c>
      <c r="O67" s="1140">
        <v>0</v>
      </c>
      <c r="P67" s="1140">
        <f t="shared" ref="P67:P130" si="5">SUM(M67:O67)</f>
        <v>0</v>
      </c>
    </row>
    <row r="68" spans="1:16" x14ac:dyDescent="0.2">
      <c r="A68" s="1052">
        <v>941</v>
      </c>
      <c r="B68" s="1052"/>
      <c r="C68" s="1053" t="s">
        <v>92</v>
      </c>
      <c r="D68" s="1054" t="s">
        <v>92</v>
      </c>
      <c r="E68" s="1055">
        <f t="shared" si="3"/>
        <v>0</v>
      </c>
      <c r="F68" s="1055">
        <v>0</v>
      </c>
      <c r="G68" s="1056">
        <f t="shared" si="4"/>
        <v>0</v>
      </c>
      <c r="H68" s="1053" t="s">
        <v>10</v>
      </c>
      <c r="I68" s="1054" t="s">
        <v>1512</v>
      </c>
      <c r="J68" s="1054" t="s">
        <v>10</v>
      </c>
      <c r="K68" s="1054" t="s">
        <v>1545</v>
      </c>
      <c r="M68" s="1140">
        <v>0</v>
      </c>
      <c r="N68" s="1140">
        <v>222222.22222222225</v>
      </c>
      <c r="O68" s="1140">
        <v>472222.22222222225</v>
      </c>
      <c r="P68" s="1140">
        <f t="shared" si="5"/>
        <v>694444.4444444445</v>
      </c>
    </row>
    <row r="69" spans="1:16" x14ac:dyDescent="0.2">
      <c r="A69" s="1052">
        <v>1504</v>
      </c>
      <c r="B69" s="1052"/>
      <c r="C69" s="1053" t="s">
        <v>94</v>
      </c>
      <c r="D69" s="1054" t="s">
        <v>94</v>
      </c>
      <c r="E69" s="1055" t="b">
        <f t="shared" si="3"/>
        <v>0</v>
      </c>
      <c r="F69" s="1055">
        <v>0</v>
      </c>
      <c r="G69" s="1056">
        <f t="shared" si="4"/>
        <v>0</v>
      </c>
      <c r="H69" s="1053" t="s">
        <v>10</v>
      </c>
      <c r="I69" s="1054" t="s">
        <v>1416</v>
      </c>
      <c r="J69" s="1054" t="s">
        <v>1417</v>
      </c>
      <c r="K69" s="1054" t="s">
        <v>96</v>
      </c>
      <c r="M69" s="1140">
        <v>0</v>
      </c>
      <c r="N69" s="1140">
        <v>222222.22222222225</v>
      </c>
      <c r="O69" s="1140">
        <v>83333.333333333343</v>
      </c>
      <c r="P69" s="1140">
        <f t="shared" si="5"/>
        <v>305555.55555555562</v>
      </c>
    </row>
    <row r="70" spans="1:16" x14ac:dyDescent="0.2">
      <c r="A70" s="1052">
        <v>509</v>
      </c>
      <c r="B70" s="1052"/>
      <c r="C70" s="1053" t="s">
        <v>97</v>
      </c>
      <c r="D70" s="1054" t="s">
        <v>97</v>
      </c>
      <c r="E70" s="1055">
        <f t="shared" si="3"/>
        <v>0</v>
      </c>
      <c r="F70" s="1055">
        <v>0</v>
      </c>
      <c r="G70" s="1056">
        <f t="shared" si="4"/>
        <v>0</v>
      </c>
      <c r="H70" s="1053" t="s">
        <v>1417</v>
      </c>
      <c r="I70" s="1054" t="s">
        <v>1512</v>
      </c>
      <c r="J70" s="1054" t="s">
        <v>10</v>
      </c>
      <c r="K70" s="1054" t="s">
        <v>99</v>
      </c>
      <c r="M70" s="1140">
        <v>0</v>
      </c>
      <c r="N70" s="1140">
        <v>0</v>
      </c>
      <c r="O70" s="1140">
        <v>0</v>
      </c>
      <c r="P70" s="1140">
        <f t="shared" si="5"/>
        <v>0</v>
      </c>
    </row>
    <row r="71" spans="1:16" x14ac:dyDescent="0.2">
      <c r="A71" s="1052">
        <v>8638</v>
      </c>
      <c r="B71" s="1052"/>
      <c r="C71" s="1053" t="s">
        <v>100</v>
      </c>
      <c r="D71" s="1054" t="s">
        <v>100</v>
      </c>
      <c r="E71" s="1055" t="b">
        <f t="shared" si="3"/>
        <v>0</v>
      </c>
      <c r="F71" s="1055">
        <v>0</v>
      </c>
      <c r="G71" s="1056">
        <f t="shared" si="4"/>
        <v>0</v>
      </c>
      <c r="H71" s="1053" t="s">
        <v>10</v>
      </c>
      <c r="I71" s="1054" t="s">
        <v>1416</v>
      </c>
      <c r="J71" s="1054" t="s">
        <v>1417</v>
      </c>
      <c r="K71" s="1054" t="s">
        <v>102</v>
      </c>
      <c r="M71" s="1140">
        <v>0</v>
      </c>
      <c r="N71" s="1140">
        <v>1347222.2222222222</v>
      </c>
      <c r="O71" s="1140">
        <v>250000</v>
      </c>
      <c r="P71" s="1140">
        <f t="shared" si="5"/>
        <v>1597222.2222222222</v>
      </c>
    </row>
    <row r="72" spans="1:16" x14ac:dyDescent="0.2">
      <c r="A72" s="1052">
        <v>1313</v>
      </c>
      <c r="B72" s="1052" t="s">
        <v>1412</v>
      </c>
      <c r="C72" s="1053" t="s">
        <v>103</v>
      </c>
      <c r="D72" s="1054" t="s">
        <v>103</v>
      </c>
      <c r="E72" s="1055" t="b">
        <f t="shared" si="3"/>
        <v>0</v>
      </c>
      <c r="F72" s="1055">
        <v>357362</v>
      </c>
      <c r="G72" s="1056">
        <f t="shared" si="4"/>
        <v>357362</v>
      </c>
      <c r="H72" s="1053" t="s">
        <v>10</v>
      </c>
      <c r="I72" s="1054" t="s">
        <v>1416</v>
      </c>
      <c r="J72" s="1054" t="s">
        <v>1412</v>
      </c>
      <c r="K72" s="1054" t="s">
        <v>102</v>
      </c>
      <c r="M72" s="1140">
        <v>2777777.777777778</v>
      </c>
      <c r="N72" s="1140">
        <v>1611111.1111111112</v>
      </c>
      <c r="O72" s="1140">
        <v>13888.888888888891</v>
      </c>
      <c r="P72" s="1140">
        <f t="shared" si="5"/>
        <v>4402777.777777778</v>
      </c>
    </row>
    <row r="73" spans="1:16" ht="22.5" x14ac:dyDescent="0.2">
      <c r="A73" s="1080">
        <v>705</v>
      </c>
      <c r="B73" s="1080" t="s">
        <v>1412</v>
      </c>
      <c r="C73" s="1083" t="s">
        <v>924</v>
      </c>
      <c r="D73" s="1054" t="s">
        <v>925</v>
      </c>
      <c r="E73" s="1055" t="b">
        <f t="shared" si="3"/>
        <v>0</v>
      </c>
      <c r="F73" s="1055">
        <v>0</v>
      </c>
      <c r="G73" s="1056">
        <f t="shared" si="4"/>
        <v>0</v>
      </c>
      <c r="H73" s="1062" t="s">
        <v>1417</v>
      </c>
      <c r="I73" s="1054" t="s">
        <v>1416</v>
      </c>
      <c r="J73" s="1054" t="s">
        <v>10</v>
      </c>
      <c r="K73" s="1054" t="s">
        <v>10</v>
      </c>
      <c r="M73" s="1140">
        <v>0</v>
      </c>
      <c r="N73" s="1140">
        <v>0</v>
      </c>
      <c r="O73" s="1140">
        <v>0</v>
      </c>
      <c r="P73" s="1140">
        <f t="shared" si="5"/>
        <v>0</v>
      </c>
    </row>
    <row r="74" spans="1:16" x14ac:dyDescent="0.2">
      <c r="A74" s="1075">
        <v>4776</v>
      </c>
      <c r="B74" s="1075" t="s">
        <v>1412</v>
      </c>
      <c r="C74" s="1076" t="s">
        <v>106</v>
      </c>
      <c r="D74" s="1054" t="s">
        <v>106</v>
      </c>
      <c r="E74" s="1055" t="b">
        <f t="shared" si="3"/>
        <v>0</v>
      </c>
      <c r="F74" s="1055">
        <v>0</v>
      </c>
      <c r="G74" s="1056">
        <f t="shared" si="4"/>
        <v>0</v>
      </c>
      <c r="H74" s="1062" t="s">
        <v>1417</v>
      </c>
      <c r="I74" s="1054" t="s">
        <v>1416</v>
      </c>
      <c r="J74" s="1054" t="s">
        <v>10</v>
      </c>
      <c r="K74" s="1054" t="s">
        <v>10</v>
      </c>
      <c r="M74" s="1140">
        <v>0</v>
      </c>
      <c r="N74" s="1140">
        <v>0</v>
      </c>
      <c r="O74" s="1140">
        <v>0</v>
      </c>
      <c r="P74" s="1140">
        <f t="shared" si="5"/>
        <v>0</v>
      </c>
    </row>
    <row r="75" spans="1:16" x14ac:dyDescent="0.2">
      <c r="A75" s="1052">
        <v>8675</v>
      </c>
      <c r="B75" s="1052"/>
      <c r="C75" s="1053" t="s">
        <v>107</v>
      </c>
      <c r="D75" s="1054" t="s">
        <v>107</v>
      </c>
      <c r="E75" s="1055" t="b">
        <f t="shared" si="3"/>
        <v>0</v>
      </c>
      <c r="F75" s="1055">
        <v>0</v>
      </c>
      <c r="G75" s="1056">
        <f t="shared" si="4"/>
        <v>0</v>
      </c>
      <c r="H75" s="1053" t="s">
        <v>10</v>
      </c>
      <c r="I75" s="1054" t="s">
        <v>1416</v>
      </c>
      <c r="J75" s="1054" t="s">
        <v>1417</v>
      </c>
      <c r="K75" s="1054" t="s">
        <v>109</v>
      </c>
      <c r="M75" s="1140">
        <v>0</v>
      </c>
      <c r="N75" s="1140">
        <v>4763888.888888889</v>
      </c>
      <c r="O75" s="1140">
        <v>347222.22222222225</v>
      </c>
      <c r="P75" s="1140">
        <f t="shared" si="5"/>
        <v>5111111.111111111</v>
      </c>
    </row>
    <row r="76" spans="1:16" x14ac:dyDescent="0.2">
      <c r="A76" s="1052">
        <v>8678</v>
      </c>
      <c r="B76" s="1052"/>
      <c r="C76" s="1053" t="s">
        <v>110</v>
      </c>
      <c r="D76" s="1054" t="s">
        <v>110</v>
      </c>
      <c r="E76" s="1055">
        <f t="shared" si="3"/>
        <v>0</v>
      </c>
      <c r="F76" s="1055">
        <v>0</v>
      </c>
      <c r="G76" s="1056">
        <f t="shared" si="4"/>
        <v>0</v>
      </c>
      <c r="H76" s="1053" t="s">
        <v>10</v>
      </c>
      <c r="I76" s="1054" t="s">
        <v>1512</v>
      </c>
      <c r="J76" s="1054" t="s">
        <v>10</v>
      </c>
      <c r="K76" s="1054" t="s">
        <v>109</v>
      </c>
      <c r="M76" s="1140">
        <v>0</v>
      </c>
      <c r="N76" s="1140">
        <v>180555.55555555556</v>
      </c>
      <c r="O76" s="1140">
        <v>0</v>
      </c>
      <c r="P76" s="1140">
        <f t="shared" si="5"/>
        <v>180555.55555555556</v>
      </c>
    </row>
    <row r="77" spans="1:16" x14ac:dyDescent="0.2">
      <c r="A77" s="1091">
        <v>9375</v>
      </c>
      <c r="B77" s="1091" t="s">
        <v>1412</v>
      </c>
      <c r="C77" s="1076" t="s">
        <v>111</v>
      </c>
      <c r="D77" s="1054" t="s">
        <v>111</v>
      </c>
      <c r="E77" s="1055">
        <f t="shared" si="3"/>
        <v>0</v>
      </c>
      <c r="F77" s="1055">
        <v>0</v>
      </c>
      <c r="G77" s="1056">
        <f t="shared" si="4"/>
        <v>0</v>
      </c>
      <c r="H77" s="1053" t="s">
        <v>1417</v>
      </c>
      <c r="I77" s="1054" t="s">
        <v>1512</v>
      </c>
      <c r="J77" s="1054" t="s">
        <v>10</v>
      </c>
      <c r="K77" s="1054" t="s">
        <v>3</v>
      </c>
      <c r="M77" s="1140">
        <v>0</v>
      </c>
      <c r="N77" s="1140">
        <v>0</v>
      </c>
      <c r="O77" s="1140">
        <v>0</v>
      </c>
      <c r="P77" s="1140">
        <f t="shared" si="5"/>
        <v>0</v>
      </c>
    </row>
    <row r="78" spans="1:16" x14ac:dyDescent="0.2">
      <c r="A78" s="1052">
        <v>1325</v>
      </c>
      <c r="B78" s="1052" t="s">
        <v>1412</v>
      </c>
      <c r="C78" s="1053" t="s">
        <v>113</v>
      </c>
      <c r="D78" s="1054" t="s">
        <v>113</v>
      </c>
      <c r="E78" s="1055" t="b">
        <f t="shared" si="3"/>
        <v>0</v>
      </c>
      <c r="F78" s="1055">
        <v>0</v>
      </c>
      <c r="G78" s="1056">
        <f t="shared" si="4"/>
        <v>0</v>
      </c>
      <c r="H78" s="1053" t="s">
        <v>10</v>
      </c>
      <c r="I78" s="1054" t="s">
        <v>1416</v>
      </c>
      <c r="J78" s="1054" t="s">
        <v>1412</v>
      </c>
      <c r="K78" s="1054" t="s">
        <v>19</v>
      </c>
      <c r="M78" s="1140">
        <v>1000000</v>
      </c>
      <c r="N78" s="1140">
        <v>1402777.777777778</v>
      </c>
      <c r="O78" s="1140">
        <v>41666.666666666672</v>
      </c>
      <c r="P78" s="1140">
        <f t="shared" si="5"/>
        <v>2444444.4444444445</v>
      </c>
    </row>
    <row r="79" spans="1:16" x14ac:dyDescent="0.2">
      <c r="A79" s="1052">
        <v>1329</v>
      </c>
      <c r="B79" s="1052"/>
      <c r="C79" s="1053" t="s">
        <v>115</v>
      </c>
      <c r="D79" s="1054" t="s">
        <v>115</v>
      </c>
      <c r="E79" s="1055">
        <f t="shared" si="3"/>
        <v>0</v>
      </c>
      <c r="F79" s="1055">
        <v>0</v>
      </c>
      <c r="G79" s="1056">
        <f t="shared" si="4"/>
        <v>0</v>
      </c>
      <c r="H79" s="1053" t="s">
        <v>10</v>
      </c>
      <c r="I79" s="1054" t="s">
        <v>1512</v>
      </c>
      <c r="J79" s="1054" t="s">
        <v>10</v>
      </c>
      <c r="K79" s="1054" t="s">
        <v>19</v>
      </c>
      <c r="M79" s="1140">
        <v>0</v>
      </c>
      <c r="N79" s="1140">
        <v>0</v>
      </c>
      <c r="O79" s="1140">
        <v>0</v>
      </c>
      <c r="P79" s="1140">
        <f t="shared" si="5"/>
        <v>0</v>
      </c>
    </row>
    <row r="80" spans="1:16" x14ac:dyDescent="0.2">
      <c r="A80" s="1052">
        <v>1331</v>
      </c>
      <c r="B80" s="1052"/>
      <c r="C80" s="1053" t="s">
        <v>116</v>
      </c>
      <c r="D80" s="1054" t="s">
        <v>116</v>
      </c>
      <c r="E80" s="1055">
        <f t="shared" si="3"/>
        <v>0</v>
      </c>
      <c r="F80" s="1055">
        <v>0</v>
      </c>
      <c r="G80" s="1056">
        <f t="shared" si="4"/>
        <v>0</v>
      </c>
      <c r="H80" s="1053" t="s">
        <v>10</v>
      </c>
      <c r="I80" s="1054" t="s">
        <v>1512</v>
      </c>
      <c r="J80" s="1054" t="s">
        <v>10</v>
      </c>
      <c r="K80" s="1054" t="s">
        <v>1598</v>
      </c>
      <c r="M80" s="1140">
        <v>0</v>
      </c>
      <c r="N80" s="1140">
        <v>166666.66666666669</v>
      </c>
      <c r="O80" s="1140">
        <v>27777.777777777781</v>
      </c>
      <c r="P80" s="1140">
        <f t="shared" si="5"/>
        <v>194444.44444444447</v>
      </c>
    </row>
    <row r="81" spans="1:16" x14ac:dyDescent="0.2">
      <c r="A81" s="1052">
        <v>8682</v>
      </c>
      <c r="B81" s="1052"/>
      <c r="C81" s="1053" t="s">
        <v>118</v>
      </c>
      <c r="D81" s="1054" t="s">
        <v>118</v>
      </c>
      <c r="E81" s="1055">
        <f t="shared" si="3"/>
        <v>0</v>
      </c>
      <c r="F81" s="1055">
        <v>0</v>
      </c>
      <c r="G81" s="1056">
        <f t="shared" si="4"/>
        <v>0</v>
      </c>
      <c r="H81" s="1053" t="s">
        <v>10</v>
      </c>
      <c r="I81" s="1054" t="s">
        <v>1512</v>
      </c>
      <c r="J81" s="1054" t="s">
        <v>10</v>
      </c>
      <c r="K81" s="1054" t="s">
        <v>120</v>
      </c>
      <c r="M81" s="1140">
        <v>0</v>
      </c>
      <c r="N81" s="1140">
        <v>69444.444444444453</v>
      </c>
      <c r="O81" s="1140">
        <v>0</v>
      </c>
      <c r="P81" s="1140">
        <f t="shared" si="5"/>
        <v>69444.444444444453</v>
      </c>
    </row>
    <row r="82" spans="1:16" x14ac:dyDescent="0.2">
      <c r="A82" s="1052">
        <v>8688</v>
      </c>
      <c r="B82" s="1052"/>
      <c r="C82" s="1053" t="s">
        <v>121</v>
      </c>
      <c r="D82" s="1054" t="s">
        <v>121</v>
      </c>
      <c r="E82" s="1055" t="b">
        <f t="shared" si="3"/>
        <v>0</v>
      </c>
      <c r="F82" s="1055">
        <v>0</v>
      </c>
      <c r="G82" s="1056">
        <f t="shared" si="4"/>
        <v>0</v>
      </c>
      <c r="H82" s="1053" t="s">
        <v>10</v>
      </c>
      <c r="I82" s="1054" t="s">
        <v>1416</v>
      </c>
      <c r="J82" s="1054" t="s">
        <v>10</v>
      </c>
      <c r="K82" s="1054" t="s">
        <v>78</v>
      </c>
      <c r="M82" s="1140">
        <v>0</v>
      </c>
      <c r="N82" s="1140">
        <v>1819444.4444444445</v>
      </c>
      <c r="O82" s="1140">
        <v>41666.666666666672</v>
      </c>
      <c r="P82" s="1140">
        <f t="shared" si="5"/>
        <v>1861111.1111111112</v>
      </c>
    </row>
    <row r="83" spans="1:16" x14ac:dyDescent="0.2">
      <c r="A83" s="1052">
        <v>4824</v>
      </c>
      <c r="B83" s="1052" t="s">
        <v>1412</v>
      </c>
      <c r="C83" s="1053" t="s">
        <v>123</v>
      </c>
      <c r="D83" s="1054" t="s">
        <v>123</v>
      </c>
      <c r="E83" s="1055" t="b">
        <f t="shared" si="3"/>
        <v>0</v>
      </c>
      <c r="F83" s="1055">
        <v>0</v>
      </c>
      <c r="G83" s="1056">
        <f t="shared" si="4"/>
        <v>0</v>
      </c>
      <c r="H83" s="1053" t="s">
        <v>1417</v>
      </c>
      <c r="I83" s="1054" t="s">
        <v>1416</v>
      </c>
      <c r="J83" s="1054" t="s">
        <v>1412</v>
      </c>
      <c r="K83" s="1054" t="s">
        <v>126</v>
      </c>
      <c r="M83" s="1140">
        <v>0</v>
      </c>
      <c r="N83" s="1140">
        <v>0</v>
      </c>
      <c r="O83" s="1140">
        <v>0</v>
      </c>
      <c r="P83" s="1140">
        <f t="shared" si="5"/>
        <v>0</v>
      </c>
    </row>
    <row r="84" spans="1:16" x14ac:dyDescent="0.2">
      <c r="A84" s="1052">
        <v>4825</v>
      </c>
      <c r="B84" s="1052" t="s">
        <v>1412</v>
      </c>
      <c r="C84" s="1053" t="s">
        <v>927</v>
      </c>
      <c r="D84" s="1054" t="s">
        <v>127</v>
      </c>
      <c r="E84" s="1055" t="b">
        <f t="shared" si="3"/>
        <v>0</v>
      </c>
      <c r="F84" s="1055">
        <v>460000</v>
      </c>
      <c r="G84" s="1056">
        <f t="shared" si="4"/>
        <v>460000</v>
      </c>
      <c r="H84" s="1053" t="s">
        <v>10</v>
      </c>
      <c r="I84" s="1054" t="s">
        <v>1416</v>
      </c>
      <c r="J84" s="1054" t="s">
        <v>1412</v>
      </c>
      <c r="K84" s="1054" t="s">
        <v>129</v>
      </c>
      <c r="M84" s="1140">
        <v>3444444.4444444445</v>
      </c>
      <c r="N84" s="1140">
        <v>2097222.2222222225</v>
      </c>
      <c r="O84" s="1140">
        <v>0</v>
      </c>
      <c r="P84" s="1140">
        <f t="shared" si="5"/>
        <v>5541666.666666667</v>
      </c>
    </row>
    <row r="85" spans="1:16" x14ac:dyDescent="0.2">
      <c r="A85" s="1052">
        <v>1518</v>
      </c>
      <c r="B85" s="1052" t="s">
        <v>1412</v>
      </c>
      <c r="C85" s="1053" t="s">
        <v>130</v>
      </c>
      <c r="D85" s="1054" t="s">
        <v>130</v>
      </c>
      <c r="E85" s="1055" t="b">
        <f t="shared" si="3"/>
        <v>0</v>
      </c>
      <c r="F85" s="1055">
        <v>0</v>
      </c>
      <c r="G85" s="1056">
        <f t="shared" si="4"/>
        <v>0</v>
      </c>
      <c r="H85" s="1053" t="s">
        <v>10</v>
      </c>
      <c r="I85" s="1054" t="s">
        <v>1416</v>
      </c>
      <c r="J85" s="1054" t="s">
        <v>1412</v>
      </c>
      <c r="K85" s="1054" t="s">
        <v>132</v>
      </c>
      <c r="M85" s="1140">
        <v>916666.66666666674</v>
      </c>
      <c r="N85" s="1140">
        <v>444444.4444444445</v>
      </c>
      <c r="O85" s="1140">
        <v>13888.888888888891</v>
      </c>
      <c r="P85" s="1140">
        <f t="shared" si="5"/>
        <v>1375000.0000000002</v>
      </c>
    </row>
    <row r="86" spans="1:16" x14ac:dyDescent="0.2">
      <c r="A86" s="1052">
        <v>8735</v>
      </c>
      <c r="B86" s="1052"/>
      <c r="C86" s="1053" t="s">
        <v>133</v>
      </c>
      <c r="D86" s="1054" t="s">
        <v>133</v>
      </c>
      <c r="E86" s="1055">
        <f t="shared" si="3"/>
        <v>0</v>
      </c>
      <c r="F86" s="1055">
        <v>0</v>
      </c>
      <c r="G86" s="1056">
        <f t="shared" si="4"/>
        <v>0</v>
      </c>
      <c r="H86" s="1053" t="s">
        <v>10</v>
      </c>
      <c r="I86" s="1054" t="s">
        <v>1512</v>
      </c>
      <c r="J86" s="1054" t="s">
        <v>1417</v>
      </c>
      <c r="K86" s="1054" t="s">
        <v>78</v>
      </c>
      <c r="M86" s="1140">
        <v>0</v>
      </c>
      <c r="N86" s="1140">
        <v>458333.33333333337</v>
      </c>
      <c r="O86" s="1140">
        <v>13888.888888888891</v>
      </c>
      <c r="P86" s="1140">
        <f t="shared" si="5"/>
        <v>472222.22222222225</v>
      </c>
    </row>
    <row r="87" spans="1:16" x14ac:dyDescent="0.2">
      <c r="A87" s="1052">
        <v>1552</v>
      </c>
      <c r="B87" s="1052" t="s">
        <v>1412</v>
      </c>
      <c r="C87" s="1053" t="s">
        <v>135</v>
      </c>
      <c r="D87" s="1054" t="s">
        <v>135</v>
      </c>
      <c r="E87" s="1055" t="b">
        <f t="shared" si="3"/>
        <v>0</v>
      </c>
      <c r="F87" s="1055">
        <v>0</v>
      </c>
      <c r="G87" s="1056">
        <f t="shared" si="4"/>
        <v>0</v>
      </c>
      <c r="H87" s="1053" t="s">
        <v>10</v>
      </c>
      <c r="I87" s="1054" t="s">
        <v>1416</v>
      </c>
      <c r="J87" s="1054" t="s">
        <v>1412</v>
      </c>
      <c r="K87" s="1054" t="s">
        <v>138</v>
      </c>
      <c r="M87" s="1140">
        <v>777777.77777777787</v>
      </c>
      <c r="N87" s="1140">
        <v>597222.22222222225</v>
      </c>
      <c r="O87" s="1140">
        <v>0</v>
      </c>
      <c r="P87" s="1140">
        <f t="shared" si="5"/>
        <v>1375000</v>
      </c>
    </row>
    <row r="88" spans="1:16" x14ac:dyDescent="0.2">
      <c r="A88" s="1052">
        <v>1704</v>
      </c>
      <c r="B88" s="1052" t="s">
        <v>1412</v>
      </c>
      <c r="C88" s="1053" t="s">
        <v>139</v>
      </c>
      <c r="D88" s="1054" t="s">
        <v>139</v>
      </c>
      <c r="E88" s="1055" t="b">
        <f t="shared" si="3"/>
        <v>0</v>
      </c>
      <c r="F88" s="1055">
        <v>787736</v>
      </c>
      <c r="G88" s="1056">
        <f t="shared" si="4"/>
        <v>787736</v>
      </c>
      <c r="H88" s="1053" t="s">
        <v>10</v>
      </c>
      <c r="I88" s="1054" t="s">
        <v>1416</v>
      </c>
      <c r="J88" s="1054" t="s">
        <v>1412</v>
      </c>
      <c r="K88" s="1054" t="s">
        <v>141</v>
      </c>
      <c r="M88" s="1140">
        <v>3027777.777777778</v>
      </c>
      <c r="N88" s="1140">
        <v>2055555.5555555557</v>
      </c>
      <c r="O88" s="1140">
        <v>333333.33333333337</v>
      </c>
      <c r="P88" s="1140">
        <f t="shared" si="5"/>
        <v>5416666.666666667</v>
      </c>
    </row>
    <row r="89" spans="1:16" x14ac:dyDescent="0.2">
      <c r="A89" s="1052">
        <v>8807</v>
      </c>
      <c r="B89" s="1052"/>
      <c r="C89" s="1053" t="s">
        <v>142</v>
      </c>
      <c r="D89" s="1054" t="s">
        <v>142</v>
      </c>
      <c r="E89" s="1055">
        <f t="shared" si="3"/>
        <v>0</v>
      </c>
      <c r="F89" s="1055">
        <v>0</v>
      </c>
      <c r="G89" s="1056">
        <f t="shared" si="4"/>
        <v>0</v>
      </c>
      <c r="H89" s="1053" t="s">
        <v>1417</v>
      </c>
      <c r="I89" s="1054" t="s">
        <v>1512</v>
      </c>
      <c r="J89" s="1054" t="s">
        <v>10</v>
      </c>
      <c r="K89" s="1054" t="s">
        <v>144</v>
      </c>
      <c r="M89" s="1140">
        <v>0</v>
      </c>
      <c r="N89" s="1140">
        <v>0</v>
      </c>
      <c r="O89" s="1140">
        <v>0</v>
      </c>
      <c r="P89" s="1140">
        <f t="shared" si="5"/>
        <v>0</v>
      </c>
    </row>
    <row r="90" spans="1:16" x14ac:dyDescent="0.2">
      <c r="A90" s="1052">
        <v>8808</v>
      </c>
      <c r="B90" s="1052" t="s">
        <v>1412</v>
      </c>
      <c r="C90" s="1053" t="s">
        <v>145</v>
      </c>
      <c r="D90" s="1054" t="s">
        <v>145</v>
      </c>
      <c r="E90" s="1055" t="b">
        <f t="shared" si="3"/>
        <v>0</v>
      </c>
      <c r="F90" s="1055">
        <v>0</v>
      </c>
      <c r="G90" s="1056">
        <f t="shared" si="4"/>
        <v>0</v>
      </c>
      <c r="H90" s="1053" t="s">
        <v>1417</v>
      </c>
      <c r="I90" s="1054" t="s">
        <v>1416</v>
      </c>
      <c r="J90" s="1054" t="s">
        <v>1412</v>
      </c>
      <c r="K90" s="1054" t="s">
        <v>144</v>
      </c>
      <c r="M90" s="1140">
        <v>0</v>
      </c>
      <c r="N90" s="1140">
        <v>0</v>
      </c>
      <c r="O90" s="1140">
        <v>0</v>
      </c>
      <c r="P90" s="1140">
        <f t="shared" si="5"/>
        <v>0</v>
      </c>
    </row>
    <row r="91" spans="1:16" x14ac:dyDescent="0.2">
      <c r="A91" s="1052">
        <v>1711</v>
      </c>
      <c r="B91" s="1052" t="s">
        <v>1412</v>
      </c>
      <c r="C91" s="1053" t="s">
        <v>146</v>
      </c>
      <c r="D91" s="1054" t="s">
        <v>146</v>
      </c>
      <c r="E91" s="1055" t="b">
        <f t="shared" si="3"/>
        <v>0</v>
      </c>
      <c r="F91" s="1055">
        <v>546597</v>
      </c>
      <c r="G91" s="1056">
        <f t="shared" si="4"/>
        <v>546597</v>
      </c>
      <c r="H91" s="1053" t="s">
        <v>10</v>
      </c>
      <c r="I91" s="1054" t="s">
        <v>1416</v>
      </c>
      <c r="J91" s="1054" t="s">
        <v>1412</v>
      </c>
      <c r="K91" s="1054" t="s">
        <v>153</v>
      </c>
      <c r="M91" s="1140">
        <v>3097222.2222222225</v>
      </c>
      <c r="N91" s="1140">
        <v>875000</v>
      </c>
      <c r="O91" s="1140">
        <v>0</v>
      </c>
      <c r="P91" s="1140">
        <f t="shared" si="5"/>
        <v>3972222.2222222225</v>
      </c>
    </row>
    <row r="92" spans="1:16" x14ac:dyDescent="0.2">
      <c r="A92" s="1052">
        <v>1712</v>
      </c>
      <c r="B92" s="1052"/>
      <c r="C92" s="1053" t="s">
        <v>154</v>
      </c>
      <c r="D92" s="1054" t="s">
        <v>154</v>
      </c>
      <c r="E92" s="1055">
        <f t="shared" si="3"/>
        <v>0</v>
      </c>
      <c r="F92" s="1055">
        <v>0</v>
      </c>
      <c r="G92" s="1056">
        <f t="shared" si="4"/>
        <v>0</v>
      </c>
      <c r="H92" s="1053" t="s">
        <v>10</v>
      </c>
      <c r="I92" s="1054" t="s">
        <v>1512</v>
      </c>
      <c r="J92" s="1054" t="s">
        <v>10</v>
      </c>
      <c r="K92" s="1054" t="s">
        <v>153</v>
      </c>
      <c r="M92" s="1140">
        <v>0</v>
      </c>
      <c r="N92" s="1140">
        <v>27777.777777777781</v>
      </c>
      <c r="O92" s="1140">
        <v>0</v>
      </c>
      <c r="P92" s="1140">
        <f t="shared" si="5"/>
        <v>27777.777777777781</v>
      </c>
    </row>
    <row r="93" spans="1:16" x14ac:dyDescent="0.2">
      <c r="A93" s="1052">
        <v>1731</v>
      </c>
      <c r="B93" s="1052" t="s">
        <v>1412</v>
      </c>
      <c r="C93" s="1053" t="s">
        <v>155</v>
      </c>
      <c r="D93" s="1054" t="s">
        <v>155</v>
      </c>
      <c r="E93" s="1055" t="b">
        <f t="shared" si="3"/>
        <v>0</v>
      </c>
      <c r="F93" s="1055">
        <v>0</v>
      </c>
      <c r="G93" s="1056">
        <f t="shared" si="4"/>
        <v>0</v>
      </c>
      <c r="H93" s="1053" t="s">
        <v>10</v>
      </c>
      <c r="I93" s="1054" t="s">
        <v>1416</v>
      </c>
      <c r="J93" s="1054" t="s">
        <v>1412</v>
      </c>
      <c r="K93" s="1054" t="s">
        <v>157</v>
      </c>
      <c r="M93" s="1140">
        <v>1541666.6666666667</v>
      </c>
      <c r="N93" s="1140">
        <v>1458333.3333333335</v>
      </c>
      <c r="O93" s="1140">
        <v>0</v>
      </c>
      <c r="P93" s="1140">
        <f t="shared" si="5"/>
        <v>3000000</v>
      </c>
    </row>
    <row r="94" spans="1:16" x14ac:dyDescent="0.2">
      <c r="A94" s="1052">
        <v>3811</v>
      </c>
      <c r="B94" s="1052" t="s">
        <v>1412</v>
      </c>
      <c r="C94" s="1053" t="s">
        <v>158</v>
      </c>
      <c r="D94" s="1054" t="s">
        <v>158</v>
      </c>
      <c r="E94" s="1055" t="b">
        <f t="shared" si="3"/>
        <v>0</v>
      </c>
      <c r="F94" s="1055">
        <v>443648</v>
      </c>
      <c r="G94" s="1056">
        <f t="shared" si="4"/>
        <v>443648</v>
      </c>
      <c r="H94" s="1053" t="s">
        <v>10</v>
      </c>
      <c r="I94" s="1054" t="s">
        <v>1416</v>
      </c>
      <c r="J94" s="1054" t="s">
        <v>1412</v>
      </c>
      <c r="K94" s="1054" t="s">
        <v>160</v>
      </c>
      <c r="M94" s="1140">
        <v>6305555.555555556</v>
      </c>
      <c r="N94" s="1140">
        <v>1486111.1111111112</v>
      </c>
      <c r="O94" s="1140">
        <v>138888.88888888891</v>
      </c>
      <c r="P94" s="1140">
        <f t="shared" si="5"/>
        <v>7930555.555555556</v>
      </c>
    </row>
    <row r="95" spans="1:16" x14ac:dyDescent="0.2">
      <c r="A95" s="1075">
        <v>2114</v>
      </c>
      <c r="B95" s="1075"/>
      <c r="C95" s="1076" t="s">
        <v>162</v>
      </c>
      <c r="D95" s="1063" t="s">
        <v>162</v>
      </c>
      <c r="E95" s="1055" t="b">
        <f t="shared" si="3"/>
        <v>0</v>
      </c>
      <c r="F95" s="1064" t="s">
        <v>10</v>
      </c>
      <c r="G95" s="1056" t="e">
        <f t="shared" si="4"/>
        <v>#VALUE!</v>
      </c>
      <c r="H95" s="1062" t="s">
        <v>10</v>
      </c>
      <c r="I95" s="1063" t="s">
        <v>1416</v>
      </c>
      <c r="J95" s="1063" t="s">
        <v>10</v>
      </c>
      <c r="K95" s="1063" t="s">
        <v>10</v>
      </c>
      <c r="M95" s="1140">
        <v>0</v>
      </c>
      <c r="N95" s="1140">
        <v>41666.666666666672</v>
      </c>
      <c r="O95" s="1140">
        <v>27777.777777777781</v>
      </c>
      <c r="P95" s="1140">
        <f t="shared" si="5"/>
        <v>69444.444444444453</v>
      </c>
    </row>
    <row r="96" spans="1:16" x14ac:dyDescent="0.2">
      <c r="A96" s="1052">
        <v>906</v>
      </c>
      <c r="B96" s="1052" t="s">
        <v>1412</v>
      </c>
      <c r="C96" s="1053" t="s">
        <v>163</v>
      </c>
      <c r="D96" s="1054" t="s">
        <v>163</v>
      </c>
      <c r="E96" s="1055" t="b">
        <f t="shared" si="3"/>
        <v>0</v>
      </c>
      <c r="F96" s="1055">
        <v>549013</v>
      </c>
      <c r="G96" s="1056">
        <f t="shared" si="4"/>
        <v>549013</v>
      </c>
      <c r="H96" s="1053" t="s">
        <v>10</v>
      </c>
      <c r="I96" s="1054" t="s">
        <v>1416</v>
      </c>
      <c r="J96" s="1054" t="s">
        <v>1412</v>
      </c>
      <c r="K96" s="1054" t="s">
        <v>166</v>
      </c>
      <c r="M96" s="1140">
        <v>6138888.888888889</v>
      </c>
      <c r="N96" s="1140">
        <v>1611111.1111111112</v>
      </c>
      <c r="O96" s="1140">
        <v>0</v>
      </c>
      <c r="P96" s="1140">
        <f t="shared" si="5"/>
        <v>7750000</v>
      </c>
    </row>
    <row r="97" spans="1:16" x14ac:dyDescent="0.2">
      <c r="A97" s="1052">
        <v>907</v>
      </c>
      <c r="B97" s="1052"/>
      <c r="C97" s="1053" t="s">
        <v>167</v>
      </c>
      <c r="D97" s="1054" t="s">
        <v>167</v>
      </c>
      <c r="E97" s="1055">
        <f t="shared" si="3"/>
        <v>0</v>
      </c>
      <c r="F97" s="1055">
        <v>0</v>
      </c>
      <c r="G97" s="1056">
        <f t="shared" si="4"/>
        <v>0</v>
      </c>
      <c r="H97" s="1053" t="s">
        <v>10</v>
      </c>
      <c r="I97" s="1054" t="s">
        <v>1512</v>
      </c>
      <c r="J97" s="1054" t="s">
        <v>10</v>
      </c>
      <c r="K97" s="1054" t="s">
        <v>166</v>
      </c>
      <c r="M97" s="1140">
        <v>0</v>
      </c>
      <c r="N97" s="1140">
        <v>41666.666666666672</v>
      </c>
      <c r="O97" s="1140">
        <v>138888.88888888891</v>
      </c>
      <c r="P97" s="1140">
        <f t="shared" si="5"/>
        <v>180555.55555555556</v>
      </c>
    </row>
    <row r="98" spans="1:16" x14ac:dyDescent="0.2">
      <c r="A98" s="1052">
        <v>2546</v>
      </c>
      <c r="B98" s="1052" t="s">
        <v>1412</v>
      </c>
      <c r="C98" s="1053" t="s">
        <v>168</v>
      </c>
      <c r="D98" s="1054" t="s">
        <v>168</v>
      </c>
      <c r="E98" s="1055" t="b">
        <f t="shared" si="3"/>
        <v>0</v>
      </c>
      <c r="F98" s="1055">
        <v>0</v>
      </c>
      <c r="G98" s="1056">
        <f t="shared" si="4"/>
        <v>0</v>
      </c>
      <c r="H98" s="1053" t="s">
        <v>10</v>
      </c>
      <c r="I98" s="1054" t="s">
        <v>1416</v>
      </c>
      <c r="J98" s="1054" t="s">
        <v>1412</v>
      </c>
      <c r="K98" s="1054" t="s">
        <v>170</v>
      </c>
      <c r="M98" s="1140">
        <v>1375000</v>
      </c>
      <c r="N98" s="1140">
        <v>1472222.2222222222</v>
      </c>
      <c r="O98" s="1140">
        <v>250000</v>
      </c>
      <c r="P98" s="1140">
        <f t="shared" si="5"/>
        <v>3097222.222222222</v>
      </c>
    </row>
    <row r="99" spans="1:16" x14ac:dyDescent="0.2">
      <c r="A99" s="1052">
        <v>9060</v>
      </c>
      <c r="B99" s="1052" t="s">
        <v>1412</v>
      </c>
      <c r="C99" s="1053" t="s">
        <v>171</v>
      </c>
      <c r="D99" s="1054" t="s">
        <v>171</v>
      </c>
      <c r="E99" s="1055" t="b">
        <f t="shared" si="3"/>
        <v>0</v>
      </c>
      <c r="F99" s="1055">
        <v>0</v>
      </c>
      <c r="G99" s="1056">
        <f t="shared" si="4"/>
        <v>0</v>
      </c>
      <c r="H99" s="1053" t="s">
        <v>10</v>
      </c>
      <c r="I99" s="1054" t="s">
        <v>1416</v>
      </c>
      <c r="J99" s="1054" t="s">
        <v>1412</v>
      </c>
      <c r="K99" s="1054" t="s">
        <v>1565</v>
      </c>
      <c r="M99" s="1140">
        <v>83333.333333333343</v>
      </c>
      <c r="N99" s="1140">
        <v>750000</v>
      </c>
      <c r="O99" s="1140">
        <v>1361111.1111111112</v>
      </c>
      <c r="P99" s="1140">
        <f t="shared" si="5"/>
        <v>2194444.4444444445</v>
      </c>
    </row>
    <row r="100" spans="1:16" x14ac:dyDescent="0.2">
      <c r="A100" s="1052">
        <v>4665</v>
      </c>
      <c r="B100" s="1052" t="s">
        <v>1412</v>
      </c>
      <c r="C100" s="1053" t="s">
        <v>172</v>
      </c>
      <c r="D100" s="1054" t="s">
        <v>172</v>
      </c>
      <c r="E100" s="1055" t="b">
        <f t="shared" si="3"/>
        <v>0</v>
      </c>
      <c r="F100" s="1055">
        <v>0</v>
      </c>
      <c r="G100" s="1056">
        <f t="shared" si="4"/>
        <v>0</v>
      </c>
      <c r="H100" s="1053" t="s">
        <v>10</v>
      </c>
      <c r="I100" s="1054" t="s">
        <v>1416</v>
      </c>
      <c r="J100" s="1054" t="s">
        <v>1412</v>
      </c>
      <c r="K100" s="1054" t="s">
        <v>1556</v>
      </c>
      <c r="M100" s="1140">
        <v>0</v>
      </c>
      <c r="N100" s="1140">
        <v>2680555.555555556</v>
      </c>
      <c r="O100" s="1140">
        <v>13888.888888888891</v>
      </c>
      <c r="P100" s="1140">
        <f t="shared" si="5"/>
        <v>2694444.444444445</v>
      </c>
    </row>
    <row r="101" spans="1:16" x14ac:dyDescent="0.2">
      <c r="A101" s="1052">
        <v>4512</v>
      </c>
      <c r="B101" s="1052"/>
      <c r="C101" s="1053" t="s">
        <v>174</v>
      </c>
      <c r="D101" s="1054" t="s">
        <v>174</v>
      </c>
      <c r="E101" s="1055">
        <f t="shared" si="3"/>
        <v>0</v>
      </c>
      <c r="F101" s="1055">
        <v>0</v>
      </c>
      <c r="G101" s="1056">
        <f t="shared" si="4"/>
        <v>0</v>
      </c>
      <c r="H101" s="1053" t="s">
        <v>10</v>
      </c>
      <c r="I101" s="1054" t="s">
        <v>1512</v>
      </c>
      <c r="J101" s="1054" t="s">
        <v>10</v>
      </c>
      <c r="K101" s="1054" t="s">
        <v>1545</v>
      </c>
      <c r="M101" s="1140">
        <v>0</v>
      </c>
      <c r="N101" s="1140">
        <v>166666.66666666669</v>
      </c>
      <c r="O101" s="1140">
        <v>0</v>
      </c>
      <c r="P101" s="1140">
        <f t="shared" si="5"/>
        <v>166666.66666666669</v>
      </c>
    </row>
    <row r="102" spans="1:16" x14ac:dyDescent="0.2">
      <c r="A102" s="1091">
        <v>4774</v>
      </c>
      <c r="B102" s="1091"/>
      <c r="C102" s="1097" t="s">
        <v>928</v>
      </c>
      <c r="D102" s="1054" t="s">
        <v>928</v>
      </c>
      <c r="E102" s="1055" t="b">
        <f t="shared" si="3"/>
        <v>0</v>
      </c>
      <c r="F102" s="1055" t="s">
        <v>10</v>
      </c>
      <c r="G102" s="1056" t="e">
        <f t="shared" si="4"/>
        <v>#VALUE!</v>
      </c>
      <c r="H102" s="1053" t="s">
        <v>1417</v>
      </c>
      <c r="I102" s="1054" t="s">
        <v>1416</v>
      </c>
      <c r="J102" s="1054" t="s">
        <v>10</v>
      </c>
      <c r="K102" s="1054" t="s">
        <v>10</v>
      </c>
      <c r="M102" s="1140">
        <v>0</v>
      </c>
      <c r="N102" s="1140">
        <v>0</v>
      </c>
      <c r="O102" s="1140">
        <v>0</v>
      </c>
      <c r="P102" s="1140">
        <f t="shared" si="5"/>
        <v>0</v>
      </c>
    </row>
    <row r="103" spans="1:16" x14ac:dyDescent="0.2">
      <c r="A103" s="1052">
        <v>2952</v>
      </c>
      <c r="B103" s="1052"/>
      <c r="C103" s="1053" t="s">
        <v>176</v>
      </c>
      <c r="D103" s="1054" t="s">
        <v>176</v>
      </c>
      <c r="E103" s="1055">
        <f t="shared" si="3"/>
        <v>0</v>
      </c>
      <c r="F103" s="1055">
        <v>0</v>
      </c>
      <c r="G103" s="1056">
        <f t="shared" si="4"/>
        <v>0</v>
      </c>
      <c r="H103" s="1053" t="s">
        <v>10</v>
      </c>
      <c r="I103" s="1054" t="s">
        <v>1512</v>
      </c>
      <c r="J103" s="1054" t="s">
        <v>1417</v>
      </c>
      <c r="K103" s="1054" t="s">
        <v>1545</v>
      </c>
      <c r="M103" s="1140">
        <v>0</v>
      </c>
      <c r="N103" s="1140">
        <v>333333.33333333337</v>
      </c>
      <c r="O103" s="1140">
        <v>180555.55555555556</v>
      </c>
      <c r="P103" s="1140">
        <f t="shared" si="5"/>
        <v>513888.88888888893</v>
      </c>
    </row>
    <row r="104" spans="1:16" x14ac:dyDescent="0.2">
      <c r="A104" s="1052">
        <v>9894</v>
      </c>
      <c r="B104" s="1052"/>
      <c r="C104" s="1053" t="s">
        <v>178</v>
      </c>
      <c r="D104" s="1054" t="s">
        <v>178</v>
      </c>
      <c r="E104" s="1055" t="b">
        <f t="shared" si="3"/>
        <v>0</v>
      </c>
      <c r="F104" s="1055">
        <v>0</v>
      </c>
      <c r="G104" s="1056">
        <f t="shared" si="4"/>
        <v>0</v>
      </c>
      <c r="H104" s="1053" t="s">
        <v>1417</v>
      </c>
      <c r="I104" s="1054" t="s">
        <v>1416</v>
      </c>
      <c r="J104" s="1054" t="s">
        <v>1417</v>
      </c>
      <c r="K104" s="1054" t="s">
        <v>120</v>
      </c>
      <c r="M104" s="1140">
        <v>0</v>
      </c>
      <c r="N104" s="1140">
        <v>0</v>
      </c>
      <c r="O104" s="1140">
        <v>0</v>
      </c>
      <c r="P104" s="1140">
        <f t="shared" si="5"/>
        <v>0</v>
      </c>
    </row>
    <row r="105" spans="1:16" x14ac:dyDescent="0.2">
      <c r="A105" s="1052">
        <v>2324</v>
      </c>
      <c r="B105" s="1052" t="s">
        <v>1412</v>
      </c>
      <c r="C105" s="1053" t="s">
        <v>180</v>
      </c>
      <c r="D105" s="1054" t="s">
        <v>180</v>
      </c>
      <c r="E105" s="1055" t="b">
        <f t="shared" si="3"/>
        <v>0</v>
      </c>
      <c r="F105" s="1055">
        <v>0</v>
      </c>
      <c r="G105" s="1056">
        <f t="shared" si="4"/>
        <v>0</v>
      </c>
      <c r="H105" s="1053" t="s">
        <v>1412</v>
      </c>
      <c r="I105" s="1054" t="s">
        <v>1416</v>
      </c>
      <c r="J105" s="1054" t="s">
        <v>1412</v>
      </c>
      <c r="K105" s="1054" t="s">
        <v>182</v>
      </c>
      <c r="M105" s="1140">
        <v>4305555.555555556</v>
      </c>
      <c r="N105" s="1140">
        <v>1347222.2222222222</v>
      </c>
      <c r="O105" s="1140">
        <v>694444.4444444445</v>
      </c>
      <c r="P105" s="1140">
        <f t="shared" si="5"/>
        <v>6347222.222222222</v>
      </c>
    </row>
    <row r="106" spans="1:16" x14ac:dyDescent="0.2">
      <c r="A106" s="1052">
        <v>2325</v>
      </c>
      <c r="B106" s="1052"/>
      <c r="C106" s="1053" t="s">
        <v>183</v>
      </c>
      <c r="D106" s="1054" t="s">
        <v>183</v>
      </c>
      <c r="E106" s="1055">
        <f t="shared" si="3"/>
        <v>0</v>
      </c>
      <c r="F106" s="1055">
        <v>376250</v>
      </c>
      <c r="G106" s="1056">
        <f t="shared" si="4"/>
        <v>376250</v>
      </c>
      <c r="H106" s="1053" t="s">
        <v>10</v>
      </c>
      <c r="I106" s="1054" t="s">
        <v>1512</v>
      </c>
      <c r="J106" s="1054" t="s">
        <v>10</v>
      </c>
      <c r="K106" s="1054" t="s">
        <v>182</v>
      </c>
      <c r="M106" s="1140">
        <v>0</v>
      </c>
      <c r="N106" s="1140">
        <v>111111.11111111112</v>
      </c>
      <c r="O106" s="1140">
        <v>55555.555555555562</v>
      </c>
      <c r="P106" s="1140">
        <f t="shared" si="5"/>
        <v>166666.66666666669</v>
      </c>
    </row>
    <row r="107" spans="1:16" x14ac:dyDescent="0.2">
      <c r="A107" s="1075">
        <v>4848</v>
      </c>
      <c r="B107" s="1075"/>
      <c r="C107" s="1076" t="s">
        <v>929</v>
      </c>
      <c r="D107" s="1063" t="s">
        <v>929</v>
      </c>
      <c r="E107" s="1055">
        <f t="shared" si="3"/>
        <v>0</v>
      </c>
      <c r="F107" s="1064" t="s">
        <v>10</v>
      </c>
      <c r="G107" s="1056" t="e">
        <f t="shared" si="4"/>
        <v>#VALUE!</v>
      </c>
      <c r="H107" s="1062" t="s">
        <v>10</v>
      </c>
      <c r="I107" s="1063" t="s">
        <v>911</v>
      </c>
      <c r="J107" s="1063" t="s">
        <v>10</v>
      </c>
      <c r="K107" s="1063" t="s">
        <v>10</v>
      </c>
      <c r="M107" s="1140">
        <v>0</v>
      </c>
      <c r="N107" s="1140">
        <v>6972222.2222222229</v>
      </c>
      <c r="O107" s="1140">
        <v>0</v>
      </c>
      <c r="P107" s="1140">
        <f t="shared" si="5"/>
        <v>6972222.2222222229</v>
      </c>
    </row>
    <row r="108" spans="1:16" x14ac:dyDescent="0.2">
      <c r="A108" s="1052">
        <v>4827</v>
      </c>
      <c r="B108" s="1052"/>
      <c r="C108" s="1053" t="s">
        <v>931</v>
      </c>
      <c r="D108" s="1054" t="s">
        <v>660</v>
      </c>
      <c r="E108" s="1055" t="b">
        <f t="shared" si="3"/>
        <v>0</v>
      </c>
      <c r="F108" s="1055">
        <v>841000</v>
      </c>
      <c r="G108" s="1056">
        <f t="shared" si="4"/>
        <v>841000</v>
      </c>
      <c r="H108" s="1053" t="s">
        <v>10</v>
      </c>
      <c r="I108" s="1054" t="s">
        <v>1416</v>
      </c>
      <c r="J108" s="1054" t="s">
        <v>1417</v>
      </c>
      <c r="K108" s="1054" t="s">
        <v>126</v>
      </c>
      <c r="M108" s="1140">
        <v>3777777.777777778</v>
      </c>
      <c r="N108" s="1140">
        <v>6541666.666666667</v>
      </c>
      <c r="O108" s="1140">
        <v>222222.22222222225</v>
      </c>
      <c r="P108" s="1140">
        <f t="shared" si="5"/>
        <v>10541666.666666666</v>
      </c>
    </row>
    <row r="109" spans="1:16" x14ac:dyDescent="0.2">
      <c r="A109" s="1052">
        <v>9080</v>
      </c>
      <c r="B109" s="1052"/>
      <c r="C109" s="1053" t="s">
        <v>186</v>
      </c>
      <c r="D109" s="1054" t="s">
        <v>186</v>
      </c>
      <c r="E109" s="1055">
        <f t="shared" si="3"/>
        <v>0</v>
      </c>
      <c r="F109" s="1055">
        <v>0</v>
      </c>
      <c r="G109" s="1056">
        <f t="shared" si="4"/>
        <v>0</v>
      </c>
      <c r="H109" s="1053" t="s">
        <v>10</v>
      </c>
      <c r="I109" s="1054" t="s">
        <v>1512</v>
      </c>
      <c r="J109" s="1054" t="s">
        <v>1417</v>
      </c>
      <c r="K109" s="1054" t="s">
        <v>188</v>
      </c>
      <c r="M109" s="1140">
        <v>0</v>
      </c>
      <c r="N109" s="1140">
        <v>83333.333333333343</v>
      </c>
      <c r="O109" s="1140">
        <v>13888.888888888891</v>
      </c>
      <c r="P109" s="1140">
        <f t="shared" si="5"/>
        <v>97222.222222222234</v>
      </c>
    </row>
    <row r="110" spans="1:16" x14ac:dyDescent="0.2">
      <c r="A110" s="1052">
        <v>9075</v>
      </c>
      <c r="B110" s="1052"/>
      <c r="C110" s="1053" t="s">
        <v>189</v>
      </c>
      <c r="D110" s="1054" t="s">
        <v>189</v>
      </c>
      <c r="E110" s="1055" t="b">
        <f t="shared" si="3"/>
        <v>0</v>
      </c>
      <c r="F110" s="1055">
        <v>0</v>
      </c>
      <c r="G110" s="1056">
        <f t="shared" si="4"/>
        <v>0</v>
      </c>
      <c r="H110" s="1053" t="s">
        <v>10</v>
      </c>
      <c r="I110" s="1054" t="s">
        <v>1416</v>
      </c>
      <c r="J110" s="1054" t="s">
        <v>1417</v>
      </c>
      <c r="K110" s="1054" t="s">
        <v>188</v>
      </c>
      <c r="M110" s="1140">
        <v>0</v>
      </c>
      <c r="N110" s="1140">
        <v>694444.4444444445</v>
      </c>
      <c r="O110" s="1140">
        <v>263888.88888888893</v>
      </c>
      <c r="P110" s="1140">
        <f t="shared" si="5"/>
        <v>958333.33333333349</v>
      </c>
    </row>
    <row r="111" spans="1:16" x14ac:dyDescent="0.2">
      <c r="A111" s="1052">
        <v>2912</v>
      </c>
      <c r="B111" s="1052"/>
      <c r="C111" s="1053" t="s">
        <v>190</v>
      </c>
      <c r="D111" s="1054" t="s">
        <v>190</v>
      </c>
      <c r="E111" s="1055">
        <f t="shared" si="3"/>
        <v>0</v>
      </c>
      <c r="F111" s="1055">
        <v>0</v>
      </c>
      <c r="G111" s="1056">
        <f t="shared" si="4"/>
        <v>0</v>
      </c>
      <c r="H111" s="1053" t="s">
        <v>10</v>
      </c>
      <c r="I111" s="1054" t="s">
        <v>1512</v>
      </c>
      <c r="J111" s="1054" t="s">
        <v>1417</v>
      </c>
      <c r="K111" s="1054" t="s">
        <v>192</v>
      </c>
      <c r="M111" s="1140">
        <v>0</v>
      </c>
      <c r="N111" s="1140">
        <v>166666.66666666669</v>
      </c>
      <c r="O111" s="1140">
        <v>13888.888888888891</v>
      </c>
      <c r="P111" s="1140">
        <f t="shared" si="5"/>
        <v>180555.55555555556</v>
      </c>
    </row>
    <row r="112" spans="1:16" x14ac:dyDescent="0.2">
      <c r="A112" s="1052">
        <v>2340</v>
      </c>
      <c r="B112" s="1052"/>
      <c r="C112" s="1053" t="s">
        <v>193</v>
      </c>
      <c r="D112" s="1054" t="s">
        <v>193</v>
      </c>
      <c r="E112" s="1055" t="b">
        <f t="shared" si="3"/>
        <v>0</v>
      </c>
      <c r="F112" s="1055">
        <v>548228</v>
      </c>
      <c r="G112" s="1056">
        <f t="shared" si="4"/>
        <v>548228</v>
      </c>
      <c r="H112" s="1053" t="s">
        <v>10</v>
      </c>
      <c r="I112" s="1054" t="s">
        <v>1416</v>
      </c>
      <c r="J112" s="1054" t="s">
        <v>1417</v>
      </c>
      <c r="K112" s="1054" t="s">
        <v>195</v>
      </c>
      <c r="M112" s="1140">
        <v>3847222.2222222225</v>
      </c>
      <c r="N112" s="1140">
        <v>1375000</v>
      </c>
      <c r="O112" s="1140">
        <v>111111.11111111112</v>
      </c>
      <c r="P112" s="1140">
        <f t="shared" si="5"/>
        <v>5333333.333333333</v>
      </c>
    </row>
    <row r="113" spans="1:16" x14ac:dyDescent="0.2">
      <c r="A113" s="1052">
        <v>4828</v>
      </c>
      <c r="B113" s="1052" t="s">
        <v>1412</v>
      </c>
      <c r="C113" s="1053" t="s">
        <v>932</v>
      </c>
      <c r="D113" s="1054" t="s">
        <v>661</v>
      </c>
      <c r="E113" s="1055" t="b">
        <f t="shared" si="3"/>
        <v>0</v>
      </c>
      <c r="F113" s="1055">
        <v>513000</v>
      </c>
      <c r="G113" s="1056">
        <f t="shared" si="4"/>
        <v>513000</v>
      </c>
      <c r="H113" s="1053" t="s">
        <v>10</v>
      </c>
      <c r="I113" s="1054" t="s">
        <v>1416</v>
      </c>
      <c r="J113" s="1054" t="s">
        <v>1412</v>
      </c>
      <c r="K113" s="1054" t="s">
        <v>199</v>
      </c>
      <c r="M113" s="1140">
        <v>4569444.444444445</v>
      </c>
      <c r="N113" s="1140">
        <v>5472222.2222222229</v>
      </c>
      <c r="O113" s="1140">
        <v>0</v>
      </c>
      <c r="P113" s="1140">
        <f t="shared" si="5"/>
        <v>10041666.666666668</v>
      </c>
    </row>
    <row r="114" spans="1:16" x14ac:dyDescent="0.2">
      <c r="A114" s="1052">
        <v>2356</v>
      </c>
      <c r="B114" s="1052" t="s">
        <v>1412</v>
      </c>
      <c r="C114" s="1053" t="s">
        <v>200</v>
      </c>
      <c r="D114" s="1054" t="s">
        <v>200</v>
      </c>
      <c r="E114" s="1055" t="b">
        <f t="shared" si="3"/>
        <v>0</v>
      </c>
      <c r="F114" s="1055">
        <v>0</v>
      </c>
      <c r="G114" s="1056">
        <f t="shared" si="4"/>
        <v>0</v>
      </c>
      <c r="H114" s="1053" t="s">
        <v>10</v>
      </c>
      <c r="I114" s="1054" t="s">
        <v>1416</v>
      </c>
      <c r="J114" s="1054" t="s">
        <v>1412</v>
      </c>
      <c r="K114" s="1054" t="s">
        <v>202</v>
      </c>
      <c r="M114" s="1140">
        <v>916666.66666666674</v>
      </c>
      <c r="N114" s="1140">
        <v>1083333.3333333335</v>
      </c>
      <c r="O114" s="1140">
        <v>0</v>
      </c>
      <c r="P114" s="1140">
        <f t="shared" si="5"/>
        <v>2000000.0000000002</v>
      </c>
    </row>
    <row r="115" spans="1:16" x14ac:dyDescent="0.2">
      <c r="A115" s="1052">
        <v>2380</v>
      </c>
      <c r="B115" s="1052" t="s">
        <v>1412</v>
      </c>
      <c r="C115" s="1053" t="s">
        <v>933</v>
      </c>
      <c r="D115" s="1054" t="s">
        <v>672</v>
      </c>
      <c r="E115" s="1055" t="b">
        <f t="shared" si="3"/>
        <v>0</v>
      </c>
      <c r="F115" s="1055">
        <v>637927</v>
      </c>
      <c r="G115" s="1056">
        <f t="shared" si="4"/>
        <v>637927</v>
      </c>
      <c r="H115" s="1053" t="s">
        <v>1417</v>
      </c>
      <c r="I115" s="1054" t="s">
        <v>1416</v>
      </c>
      <c r="J115" s="1054" t="s">
        <v>1412</v>
      </c>
      <c r="K115" s="1054" t="s">
        <v>205</v>
      </c>
      <c r="M115" s="1140">
        <v>0</v>
      </c>
      <c r="N115" s="1140">
        <v>0</v>
      </c>
      <c r="O115" s="1140">
        <v>0</v>
      </c>
      <c r="P115" s="1140">
        <f t="shared" si="5"/>
        <v>0</v>
      </c>
    </row>
    <row r="116" spans="1:16" x14ac:dyDescent="0.2">
      <c r="A116" s="1052">
        <v>2518</v>
      </c>
      <c r="B116" s="1052" t="s">
        <v>1412</v>
      </c>
      <c r="C116" s="1053" t="s">
        <v>206</v>
      </c>
      <c r="D116" s="1054" t="s">
        <v>206</v>
      </c>
      <c r="E116" s="1055" t="b">
        <f t="shared" si="3"/>
        <v>0</v>
      </c>
      <c r="F116" s="1055">
        <v>0</v>
      </c>
      <c r="G116" s="1056">
        <f t="shared" si="4"/>
        <v>0</v>
      </c>
      <c r="H116" s="1053" t="s">
        <v>10</v>
      </c>
      <c r="I116" s="1054" t="s">
        <v>1416</v>
      </c>
      <c r="J116" s="1054" t="s">
        <v>1412</v>
      </c>
      <c r="K116" s="1054" t="s">
        <v>1545</v>
      </c>
      <c r="M116" s="1140">
        <v>1166666.6666666667</v>
      </c>
      <c r="N116" s="1140">
        <v>1111111.1111111112</v>
      </c>
      <c r="O116" s="1140">
        <v>541666.66666666674</v>
      </c>
      <c r="P116" s="1140">
        <f t="shared" si="5"/>
        <v>2819444.444444445</v>
      </c>
    </row>
    <row r="117" spans="1:16" x14ac:dyDescent="0.2">
      <c r="A117" s="1052">
        <v>9605</v>
      </c>
      <c r="B117" s="1052" t="s">
        <v>1412</v>
      </c>
      <c r="C117" s="1053" t="s">
        <v>207</v>
      </c>
      <c r="D117" s="1054" t="s">
        <v>207</v>
      </c>
      <c r="E117" s="1055">
        <f t="shared" si="3"/>
        <v>0</v>
      </c>
      <c r="F117" s="1055">
        <v>0</v>
      </c>
      <c r="G117" s="1056">
        <f t="shared" si="4"/>
        <v>0</v>
      </c>
      <c r="H117" s="1053" t="s">
        <v>10</v>
      </c>
      <c r="I117" s="1054" t="s">
        <v>1512</v>
      </c>
      <c r="J117" s="1054" t="s">
        <v>1412</v>
      </c>
      <c r="K117" s="1054" t="s">
        <v>209</v>
      </c>
      <c r="M117" s="1140">
        <v>0</v>
      </c>
      <c r="N117" s="1140">
        <v>97222.222222222234</v>
      </c>
      <c r="O117" s="1140">
        <v>0</v>
      </c>
      <c r="P117" s="1140">
        <f t="shared" si="5"/>
        <v>97222.222222222234</v>
      </c>
    </row>
    <row r="118" spans="1:16" x14ac:dyDescent="0.2">
      <c r="A118" s="1052">
        <v>2631</v>
      </c>
      <c r="B118" s="1052" t="s">
        <v>1412</v>
      </c>
      <c r="C118" s="1053" t="s">
        <v>934</v>
      </c>
      <c r="D118" s="1054" t="s">
        <v>934</v>
      </c>
      <c r="E118" s="1055" t="b">
        <f t="shared" si="3"/>
        <v>0</v>
      </c>
      <c r="F118" s="1055">
        <v>0</v>
      </c>
      <c r="G118" s="1056">
        <f t="shared" si="4"/>
        <v>0</v>
      </c>
      <c r="H118" s="1053" t="s">
        <v>1417</v>
      </c>
      <c r="I118" s="1054" t="s">
        <v>1416</v>
      </c>
      <c r="J118" s="1054" t="s">
        <v>1412</v>
      </c>
      <c r="K118" s="1054" t="s">
        <v>211</v>
      </c>
      <c r="M118" s="1140">
        <v>0</v>
      </c>
      <c r="N118" s="1140">
        <v>0</v>
      </c>
      <c r="O118" s="1140">
        <v>0</v>
      </c>
      <c r="P118" s="1140">
        <f t="shared" si="5"/>
        <v>0</v>
      </c>
    </row>
    <row r="119" spans="1:16" x14ac:dyDescent="0.2">
      <c r="A119" s="1075">
        <v>4852</v>
      </c>
      <c r="B119" s="1075"/>
      <c r="C119" s="1076" t="s">
        <v>935</v>
      </c>
      <c r="D119" s="1063" t="s">
        <v>935</v>
      </c>
      <c r="E119" s="1055" t="b">
        <f t="shared" si="3"/>
        <v>0</v>
      </c>
      <c r="F119" s="1064" t="s">
        <v>10</v>
      </c>
      <c r="G119" s="1056" t="e">
        <f t="shared" si="4"/>
        <v>#VALUE!</v>
      </c>
      <c r="H119" s="1062" t="s">
        <v>1417</v>
      </c>
      <c r="I119" s="1063" t="s">
        <v>1416</v>
      </c>
      <c r="J119" s="1063" t="s">
        <v>10</v>
      </c>
      <c r="K119" s="1063" t="s">
        <v>10</v>
      </c>
      <c r="M119" s="1140">
        <v>0</v>
      </c>
      <c r="N119" s="1140">
        <v>0</v>
      </c>
      <c r="O119" s="1140">
        <v>0</v>
      </c>
      <c r="P119" s="1140">
        <f t="shared" si="5"/>
        <v>0</v>
      </c>
    </row>
    <row r="120" spans="1:16" x14ac:dyDescent="0.2">
      <c r="A120" s="1061">
        <v>4855</v>
      </c>
      <c r="B120" s="1061"/>
      <c r="C120" s="1062" t="s">
        <v>936</v>
      </c>
      <c r="D120" s="1063" t="s">
        <v>935</v>
      </c>
      <c r="E120" s="1055">
        <f t="shared" si="3"/>
        <v>0</v>
      </c>
      <c r="F120" s="1064" t="s">
        <v>10</v>
      </c>
      <c r="G120" s="1056" t="e">
        <f t="shared" si="4"/>
        <v>#VALUE!</v>
      </c>
      <c r="H120" s="1062" t="s">
        <v>1417</v>
      </c>
      <c r="I120" s="1063" t="s">
        <v>1512</v>
      </c>
      <c r="J120" s="1063" t="s">
        <v>10</v>
      </c>
      <c r="K120" s="1063" t="s">
        <v>10</v>
      </c>
      <c r="M120" s="1140">
        <v>0</v>
      </c>
      <c r="N120" s="1140">
        <v>0</v>
      </c>
      <c r="O120" s="1140">
        <v>0</v>
      </c>
      <c r="P120" s="1140">
        <f t="shared" si="5"/>
        <v>0</v>
      </c>
    </row>
    <row r="121" spans="1:16" x14ac:dyDescent="0.2">
      <c r="A121" s="1061">
        <v>3878</v>
      </c>
      <c r="B121" s="1061"/>
      <c r="C121" s="1062" t="s">
        <v>938</v>
      </c>
      <c r="D121" s="1063"/>
      <c r="E121" s="1055" t="b">
        <f t="shared" si="3"/>
        <v>0</v>
      </c>
      <c r="F121" s="1064"/>
      <c r="G121" s="1056"/>
      <c r="H121" s="1062"/>
      <c r="I121" s="1063" t="s">
        <v>1416</v>
      </c>
      <c r="J121" s="1063"/>
      <c r="K121" s="1063"/>
      <c r="M121" s="1140">
        <v>11111111.111111112</v>
      </c>
      <c r="N121" s="1140">
        <v>6388888.888888889</v>
      </c>
      <c r="O121" s="1140">
        <v>694444.4444444445</v>
      </c>
      <c r="P121" s="1140">
        <f t="shared" si="5"/>
        <v>18194444.444444444</v>
      </c>
    </row>
    <row r="122" spans="1:16" x14ac:dyDescent="0.2">
      <c r="A122" s="1061">
        <v>3621</v>
      </c>
      <c r="B122" s="1061"/>
      <c r="C122" s="1062" t="s">
        <v>937</v>
      </c>
      <c r="D122" s="1063"/>
      <c r="E122" s="1055">
        <f t="shared" si="3"/>
        <v>0</v>
      </c>
      <c r="F122" s="1064"/>
      <c r="G122" s="1056"/>
      <c r="H122" s="1062"/>
      <c r="I122" s="1063" t="s">
        <v>911</v>
      </c>
      <c r="J122" s="1063"/>
      <c r="K122" s="1063"/>
      <c r="M122" s="1140">
        <v>0</v>
      </c>
      <c r="N122" s="1140">
        <v>0</v>
      </c>
      <c r="O122" s="1140">
        <v>1805555.5555555557</v>
      </c>
      <c r="P122" s="1140">
        <f t="shared" si="5"/>
        <v>1805555.5555555557</v>
      </c>
    </row>
    <row r="123" spans="1:16" x14ac:dyDescent="0.2">
      <c r="A123" s="1052">
        <v>2530</v>
      </c>
      <c r="B123" s="1052"/>
      <c r="C123" s="1053" t="s">
        <v>214</v>
      </c>
      <c r="D123" s="1054" t="s">
        <v>214</v>
      </c>
      <c r="E123" s="1055">
        <f t="shared" si="3"/>
        <v>0</v>
      </c>
      <c r="F123" s="1055">
        <v>0</v>
      </c>
      <c r="G123" s="1056">
        <f t="shared" ref="G123:G186" si="6">E123+F123</f>
        <v>0</v>
      </c>
      <c r="H123" s="1053" t="s">
        <v>10</v>
      </c>
      <c r="I123" s="1054" t="s">
        <v>1512</v>
      </c>
      <c r="J123" s="1054" t="s">
        <v>10</v>
      </c>
      <c r="K123" s="1054" t="s">
        <v>40</v>
      </c>
      <c r="M123" s="1140">
        <v>0</v>
      </c>
      <c r="N123" s="1140">
        <v>55555.555555555562</v>
      </c>
      <c r="O123" s="1140">
        <v>41666.666666666672</v>
      </c>
      <c r="P123" s="1140">
        <f t="shared" si="5"/>
        <v>97222.222222222234</v>
      </c>
    </row>
    <row r="124" spans="1:16" x14ac:dyDescent="0.2">
      <c r="A124" s="1052">
        <v>1506</v>
      </c>
      <c r="B124" s="1052"/>
      <c r="C124" s="1053" t="s">
        <v>215</v>
      </c>
      <c r="D124" s="1054" t="s">
        <v>215</v>
      </c>
      <c r="E124" s="1055" t="b">
        <f t="shared" si="3"/>
        <v>0</v>
      </c>
      <c r="F124" s="1055">
        <v>428123</v>
      </c>
      <c r="G124" s="1056">
        <f t="shared" si="6"/>
        <v>428123</v>
      </c>
      <c r="H124" s="1053" t="s">
        <v>10</v>
      </c>
      <c r="I124" s="1054" t="s">
        <v>1416</v>
      </c>
      <c r="J124" s="1054" t="s">
        <v>1417</v>
      </c>
      <c r="K124" s="1054" t="s">
        <v>19</v>
      </c>
      <c r="M124" s="1140">
        <v>277777.77777777781</v>
      </c>
      <c r="N124" s="1140">
        <v>180555.55555555556</v>
      </c>
      <c r="O124" s="1140">
        <v>69444.444444444453</v>
      </c>
      <c r="P124" s="1140">
        <f t="shared" si="5"/>
        <v>527777.77777777787</v>
      </c>
    </row>
    <row r="125" spans="1:16" x14ac:dyDescent="0.2">
      <c r="A125" s="1052">
        <v>2531</v>
      </c>
      <c r="B125" s="1052"/>
      <c r="C125" s="1053" t="s">
        <v>217</v>
      </c>
      <c r="D125" s="1054" t="s">
        <v>217</v>
      </c>
      <c r="E125" s="1055">
        <f t="shared" si="3"/>
        <v>0</v>
      </c>
      <c r="F125" s="1055">
        <v>0</v>
      </c>
      <c r="G125" s="1056">
        <f t="shared" si="6"/>
        <v>0</v>
      </c>
      <c r="H125" s="1053" t="s">
        <v>10</v>
      </c>
      <c r="I125" s="1054" t="s">
        <v>1512</v>
      </c>
      <c r="J125" s="1054" t="s">
        <v>10</v>
      </c>
      <c r="K125" s="1054" t="s">
        <v>19</v>
      </c>
      <c r="M125" s="1140">
        <v>0</v>
      </c>
      <c r="N125" s="1140">
        <v>55555.555555555562</v>
      </c>
      <c r="O125" s="1140">
        <v>0</v>
      </c>
      <c r="P125" s="1140">
        <f t="shared" si="5"/>
        <v>55555.555555555562</v>
      </c>
    </row>
    <row r="126" spans="1:16" x14ac:dyDescent="0.2">
      <c r="A126" s="1052">
        <v>2544</v>
      </c>
      <c r="B126" s="1052"/>
      <c r="C126" s="1053" t="s">
        <v>218</v>
      </c>
      <c r="D126" s="1054" t="s">
        <v>218</v>
      </c>
      <c r="E126" s="1055">
        <f t="shared" si="3"/>
        <v>0</v>
      </c>
      <c r="F126" s="1055">
        <v>0</v>
      </c>
      <c r="G126" s="1056">
        <f t="shared" si="6"/>
        <v>0</v>
      </c>
      <c r="H126" s="1053" t="s">
        <v>10</v>
      </c>
      <c r="I126" s="1054" t="s">
        <v>1512</v>
      </c>
      <c r="J126" s="1054" t="s">
        <v>10</v>
      </c>
      <c r="K126" s="1054" t="s">
        <v>188</v>
      </c>
      <c r="M126" s="1140">
        <v>0</v>
      </c>
      <c r="N126" s="1140">
        <v>0</v>
      </c>
      <c r="O126" s="1140">
        <v>0</v>
      </c>
      <c r="P126" s="1140">
        <f t="shared" si="5"/>
        <v>0</v>
      </c>
    </row>
    <row r="127" spans="1:16" x14ac:dyDescent="0.2">
      <c r="A127" s="1052">
        <v>1583</v>
      </c>
      <c r="B127" s="1052"/>
      <c r="C127" s="1053" t="s">
        <v>234</v>
      </c>
      <c r="D127" s="1054" t="s">
        <v>234</v>
      </c>
      <c r="E127" s="1055">
        <f t="shared" si="3"/>
        <v>0</v>
      </c>
      <c r="F127" s="1055">
        <v>0</v>
      </c>
      <c r="G127" s="1056">
        <f t="shared" si="6"/>
        <v>0</v>
      </c>
      <c r="H127" s="1053" t="s">
        <v>10</v>
      </c>
      <c r="I127" s="1054" t="s">
        <v>1512</v>
      </c>
      <c r="J127" s="1054" t="s">
        <v>10</v>
      </c>
      <c r="K127" s="1054" t="s">
        <v>1565</v>
      </c>
      <c r="M127" s="1140">
        <v>0</v>
      </c>
      <c r="N127" s="1140">
        <v>97222.222222222234</v>
      </c>
      <c r="O127" s="1140">
        <v>69444.444444444453</v>
      </c>
      <c r="P127" s="1140">
        <f t="shared" si="5"/>
        <v>166666.66666666669</v>
      </c>
    </row>
    <row r="128" spans="1:16" x14ac:dyDescent="0.2">
      <c r="A128" s="1052">
        <v>2614</v>
      </c>
      <c r="B128" s="1052"/>
      <c r="C128" s="1053" t="s">
        <v>235</v>
      </c>
      <c r="D128" s="1054" t="s">
        <v>235</v>
      </c>
      <c r="E128" s="1055">
        <f t="shared" si="3"/>
        <v>0</v>
      </c>
      <c r="F128" s="1055">
        <v>0</v>
      </c>
      <c r="G128" s="1056">
        <f t="shared" si="6"/>
        <v>0</v>
      </c>
      <c r="H128" s="1053" t="s">
        <v>10</v>
      </c>
      <c r="I128" s="1054" t="s">
        <v>1512</v>
      </c>
      <c r="J128" s="1054" t="s">
        <v>10</v>
      </c>
      <c r="K128" s="1054" t="s">
        <v>1545</v>
      </c>
      <c r="M128" s="1140">
        <v>0</v>
      </c>
      <c r="N128" s="1140">
        <v>166666.66666666669</v>
      </c>
      <c r="O128" s="1140">
        <v>55555.555555555562</v>
      </c>
      <c r="P128" s="1140">
        <f t="shared" si="5"/>
        <v>222222.22222222225</v>
      </c>
    </row>
    <row r="129" spans="1:16" x14ac:dyDescent="0.2">
      <c r="A129" s="1052">
        <v>2547</v>
      </c>
      <c r="B129" s="1052"/>
      <c r="C129" s="1053" t="s">
        <v>237</v>
      </c>
      <c r="D129" s="1054" t="s">
        <v>237</v>
      </c>
      <c r="E129" s="1055" t="b">
        <f t="shared" si="3"/>
        <v>0</v>
      </c>
      <c r="F129" s="1055">
        <v>276347</v>
      </c>
      <c r="G129" s="1056">
        <f t="shared" si="6"/>
        <v>276347</v>
      </c>
      <c r="H129" s="1053" t="s">
        <v>10</v>
      </c>
      <c r="I129" s="1054" t="s">
        <v>1416</v>
      </c>
      <c r="J129" s="1054" t="s">
        <v>1417</v>
      </c>
      <c r="K129" s="1054" t="s">
        <v>240</v>
      </c>
      <c r="M129" s="1140">
        <v>2763888.888888889</v>
      </c>
      <c r="N129" s="1140">
        <v>1000000</v>
      </c>
      <c r="O129" s="1140">
        <v>97222.222222222234</v>
      </c>
      <c r="P129" s="1140">
        <f t="shared" si="5"/>
        <v>3861111.111111111</v>
      </c>
    </row>
    <row r="130" spans="1:16" x14ac:dyDescent="0.2">
      <c r="A130" s="1052">
        <v>9133</v>
      </c>
      <c r="B130" s="1052"/>
      <c r="C130" s="1053" t="s">
        <v>241</v>
      </c>
      <c r="D130" s="1054" t="s">
        <v>241</v>
      </c>
      <c r="E130" s="1055" t="b">
        <f t="shared" ref="E130:E193" si="7">IF(I130="regional",IF(R130*0.2975,S130*0.3484),S130*0.1939)</f>
        <v>0</v>
      </c>
      <c r="F130" s="1055">
        <v>0</v>
      </c>
      <c r="G130" s="1056">
        <f t="shared" si="6"/>
        <v>0</v>
      </c>
      <c r="H130" s="1053" t="s">
        <v>10</v>
      </c>
      <c r="I130" s="1054" t="s">
        <v>1416</v>
      </c>
      <c r="J130" s="1054" t="s">
        <v>10</v>
      </c>
      <c r="K130" s="1054" t="s">
        <v>1552</v>
      </c>
      <c r="M130" s="1140">
        <v>0</v>
      </c>
      <c r="N130" s="1140">
        <v>1430555.5555555557</v>
      </c>
      <c r="O130" s="1140">
        <v>125000</v>
      </c>
      <c r="P130" s="1140">
        <f t="shared" si="5"/>
        <v>1555555.5555555557</v>
      </c>
    </row>
    <row r="131" spans="1:16" x14ac:dyDescent="0.2">
      <c r="A131" s="1052">
        <v>1509</v>
      </c>
      <c r="B131" s="1052"/>
      <c r="C131" s="1053" t="s">
        <v>243</v>
      </c>
      <c r="D131" s="1054" t="s">
        <v>243</v>
      </c>
      <c r="E131" s="1055" t="b">
        <f t="shared" si="7"/>
        <v>0</v>
      </c>
      <c r="F131" s="1055">
        <v>0</v>
      </c>
      <c r="G131" s="1056">
        <f t="shared" si="6"/>
        <v>0</v>
      </c>
      <c r="H131" s="1053" t="s">
        <v>10</v>
      </c>
      <c r="I131" s="1054" t="s">
        <v>1416</v>
      </c>
      <c r="J131" s="1054" t="s">
        <v>1417</v>
      </c>
      <c r="K131" s="1054" t="s">
        <v>81</v>
      </c>
      <c r="M131" s="1140">
        <v>194444.44444444447</v>
      </c>
      <c r="N131" s="1140">
        <v>263888.88888888893</v>
      </c>
      <c r="O131" s="1140">
        <v>41666.666666666672</v>
      </c>
      <c r="P131" s="1140">
        <f t="shared" ref="P131:P194" si="8">SUM(M131:O131)</f>
        <v>500000.00000000006</v>
      </c>
    </row>
    <row r="132" spans="1:16" x14ac:dyDescent="0.2">
      <c r="A132" s="1052">
        <v>3724</v>
      </c>
      <c r="B132" s="1052"/>
      <c r="C132" s="1053" t="s">
        <v>245</v>
      </c>
      <c r="D132" s="1054" t="s">
        <v>245</v>
      </c>
      <c r="E132" s="1055">
        <f t="shared" si="7"/>
        <v>0</v>
      </c>
      <c r="F132" s="1055">
        <v>0</v>
      </c>
      <c r="G132" s="1056">
        <f t="shared" si="6"/>
        <v>0</v>
      </c>
      <c r="H132" s="1053" t="s">
        <v>10</v>
      </c>
      <c r="I132" s="1054" t="s">
        <v>1512</v>
      </c>
      <c r="J132" s="1054" t="s">
        <v>10</v>
      </c>
      <c r="K132" s="1054" t="s">
        <v>81</v>
      </c>
      <c r="M132" s="1140">
        <v>0</v>
      </c>
      <c r="N132" s="1140">
        <v>13888.888888888891</v>
      </c>
      <c r="O132" s="1140">
        <v>0</v>
      </c>
      <c r="P132" s="1140">
        <f t="shared" si="8"/>
        <v>13888.888888888891</v>
      </c>
    </row>
    <row r="133" spans="1:16" x14ac:dyDescent="0.2">
      <c r="A133" s="1091">
        <v>4666</v>
      </c>
      <c r="B133" s="1091"/>
      <c r="C133" s="1097" t="s">
        <v>246</v>
      </c>
      <c r="D133" s="1054" t="s">
        <v>246</v>
      </c>
      <c r="E133" s="1055" t="b">
        <f t="shared" si="7"/>
        <v>0</v>
      </c>
      <c r="F133" s="1055">
        <v>0</v>
      </c>
      <c r="G133" s="1056">
        <f t="shared" si="6"/>
        <v>0</v>
      </c>
      <c r="H133" s="1053" t="s">
        <v>10</v>
      </c>
      <c r="I133" s="1054" t="s">
        <v>1416</v>
      </c>
      <c r="J133" s="1054" t="s">
        <v>1417</v>
      </c>
      <c r="K133" s="1054" t="s">
        <v>248</v>
      </c>
      <c r="M133" s="1140">
        <v>13430555.555555556</v>
      </c>
      <c r="N133" s="1140">
        <v>7680555.555555556</v>
      </c>
      <c r="O133" s="1140">
        <v>0</v>
      </c>
      <c r="P133" s="1140">
        <f t="shared" si="8"/>
        <v>21111111.111111112</v>
      </c>
    </row>
    <row r="134" spans="1:16" x14ac:dyDescent="0.2">
      <c r="A134" s="1080">
        <v>4667</v>
      </c>
      <c r="B134" s="1080" t="s">
        <v>1412</v>
      </c>
      <c r="C134" s="1083" t="s">
        <v>939</v>
      </c>
      <c r="D134" s="1063" t="s">
        <v>939</v>
      </c>
      <c r="E134" s="1055">
        <f t="shared" si="7"/>
        <v>0</v>
      </c>
      <c r="F134" s="1064" t="s">
        <v>10</v>
      </c>
      <c r="G134" s="1056" t="e">
        <f t="shared" si="6"/>
        <v>#VALUE!</v>
      </c>
      <c r="H134" s="1083" t="s">
        <v>10</v>
      </c>
      <c r="I134" s="1063" t="s">
        <v>911</v>
      </c>
      <c r="J134" s="1063" t="s">
        <v>10</v>
      </c>
      <c r="K134" s="1063" t="s">
        <v>10</v>
      </c>
      <c r="M134" s="1140">
        <v>0</v>
      </c>
      <c r="N134" s="1140">
        <v>1888888.888888889</v>
      </c>
      <c r="O134" s="1140">
        <v>0</v>
      </c>
      <c r="P134" s="1140">
        <f t="shared" si="8"/>
        <v>1888888.888888889</v>
      </c>
    </row>
    <row r="135" spans="1:16" x14ac:dyDescent="0.2">
      <c r="A135" s="1061">
        <v>9780</v>
      </c>
      <c r="B135" s="1061"/>
      <c r="C135" s="1062" t="s">
        <v>250</v>
      </c>
      <c r="D135" s="1054" t="s">
        <v>250</v>
      </c>
      <c r="E135" s="1055" t="b">
        <f t="shared" si="7"/>
        <v>0</v>
      </c>
      <c r="F135" s="1055">
        <v>0</v>
      </c>
      <c r="G135" s="1056">
        <f t="shared" si="6"/>
        <v>0</v>
      </c>
      <c r="H135" s="1062" t="s">
        <v>1417</v>
      </c>
      <c r="I135" s="1054" t="s">
        <v>1416</v>
      </c>
      <c r="J135" s="1054" t="s">
        <v>1417</v>
      </c>
      <c r="K135" s="1054" t="s">
        <v>1552</v>
      </c>
      <c r="M135" s="1140">
        <v>0</v>
      </c>
      <c r="N135" s="1140">
        <v>0</v>
      </c>
      <c r="O135" s="1140">
        <v>0</v>
      </c>
      <c r="P135" s="1140">
        <f t="shared" si="8"/>
        <v>0</v>
      </c>
    </row>
    <row r="136" spans="1:16" x14ac:dyDescent="0.2">
      <c r="A136" s="1061">
        <v>2580</v>
      </c>
      <c r="B136" s="1061" t="s">
        <v>1412</v>
      </c>
      <c r="C136" s="1062" t="s">
        <v>251</v>
      </c>
      <c r="D136" s="1054" t="s">
        <v>251</v>
      </c>
      <c r="E136" s="1055" t="b">
        <f t="shared" si="7"/>
        <v>0</v>
      </c>
      <c r="F136" s="1055">
        <v>0</v>
      </c>
      <c r="G136" s="1056">
        <f t="shared" si="6"/>
        <v>0</v>
      </c>
      <c r="H136" s="1062" t="s">
        <v>10</v>
      </c>
      <c r="I136" s="1054" t="s">
        <v>1416</v>
      </c>
      <c r="J136" s="1054" t="s">
        <v>1412</v>
      </c>
      <c r="K136" s="1054" t="s">
        <v>1568</v>
      </c>
      <c r="M136" s="1140">
        <v>486111.11111111112</v>
      </c>
      <c r="N136" s="1140">
        <v>1180555.5555555557</v>
      </c>
      <c r="O136" s="1140">
        <v>555555.55555555562</v>
      </c>
      <c r="P136" s="1140">
        <f t="shared" si="8"/>
        <v>2222222.2222222225</v>
      </c>
    </row>
    <row r="137" spans="1:16" x14ac:dyDescent="0.2">
      <c r="A137" s="1080">
        <v>3854</v>
      </c>
      <c r="B137" s="1080" t="s">
        <v>1412</v>
      </c>
      <c r="C137" s="1083" t="s">
        <v>253</v>
      </c>
      <c r="D137" s="1054" t="s">
        <v>253</v>
      </c>
      <c r="E137" s="1055" t="b">
        <f t="shared" si="7"/>
        <v>0</v>
      </c>
      <c r="F137" s="1055">
        <v>0</v>
      </c>
      <c r="G137" s="1056">
        <f t="shared" si="6"/>
        <v>0</v>
      </c>
      <c r="H137" s="1083" t="s">
        <v>1417</v>
      </c>
      <c r="I137" s="1063" t="s">
        <v>1416</v>
      </c>
      <c r="J137" s="1054" t="s">
        <v>10</v>
      </c>
      <c r="K137" s="1054" t="s">
        <v>10</v>
      </c>
      <c r="M137" s="1140">
        <v>0</v>
      </c>
      <c r="N137" s="1140">
        <v>0</v>
      </c>
      <c r="O137" s="1140">
        <v>0</v>
      </c>
      <c r="P137" s="1140">
        <f t="shared" si="8"/>
        <v>0</v>
      </c>
    </row>
    <row r="138" spans="1:16" x14ac:dyDescent="0.2">
      <c r="A138" s="1052">
        <v>732</v>
      </c>
      <c r="B138" s="1052" t="s">
        <v>1412</v>
      </c>
      <c r="C138" s="1053" t="s">
        <v>254</v>
      </c>
      <c r="D138" s="1054" t="s">
        <v>254</v>
      </c>
      <c r="E138" s="1055" t="b">
        <f t="shared" si="7"/>
        <v>0</v>
      </c>
      <c r="F138" s="1055">
        <v>0</v>
      </c>
      <c r="G138" s="1056">
        <f t="shared" si="6"/>
        <v>0</v>
      </c>
      <c r="H138" s="1053" t="s">
        <v>10</v>
      </c>
      <c r="I138" s="1054" t="s">
        <v>1416</v>
      </c>
      <c r="J138" s="1054" t="s">
        <v>1412</v>
      </c>
      <c r="K138" s="1054" t="s">
        <v>258</v>
      </c>
      <c r="M138" s="1140">
        <v>361111.11111111112</v>
      </c>
      <c r="N138" s="1140">
        <v>1277777.777777778</v>
      </c>
      <c r="O138" s="1140">
        <v>263888.88888888893</v>
      </c>
      <c r="P138" s="1140">
        <f t="shared" si="8"/>
        <v>1902777.777777778</v>
      </c>
    </row>
    <row r="139" spans="1:16" x14ac:dyDescent="0.2">
      <c r="A139" s="1052">
        <v>9180</v>
      </c>
      <c r="B139" s="1052"/>
      <c r="C139" s="1053" t="s">
        <v>259</v>
      </c>
      <c r="D139" s="1054" t="s">
        <v>259</v>
      </c>
      <c r="E139" s="1055" t="b">
        <f t="shared" si="7"/>
        <v>0</v>
      </c>
      <c r="F139" s="1055">
        <v>0</v>
      </c>
      <c r="G139" s="1056">
        <f t="shared" si="6"/>
        <v>0</v>
      </c>
      <c r="H139" s="1053" t="s">
        <v>10</v>
      </c>
      <c r="I139" s="1054" t="s">
        <v>1416</v>
      </c>
      <c r="J139" s="1054" t="s">
        <v>1417</v>
      </c>
      <c r="K139" s="1054" t="s">
        <v>261</v>
      </c>
      <c r="M139" s="1140">
        <v>0</v>
      </c>
      <c r="N139" s="1140">
        <v>2416666.666666667</v>
      </c>
      <c r="O139" s="1140">
        <v>208333.33333333334</v>
      </c>
      <c r="P139" s="1140">
        <f t="shared" si="8"/>
        <v>2625000.0000000005</v>
      </c>
    </row>
    <row r="140" spans="1:16" x14ac:dyDescent="0.2">
      <c r="A140" s="1052">
        <v>2568</v>
      </c>
      <c r="B140" s="1052"/>
      <c r="C140" s="1053" t="s">
        <v>262</v>
      </c>
      <c r="D140" s="1054" t="s">
        <v>262</v>
      </c>
      <c r="E140" s="1055" t="b">
        <f t="shared" si="7"/>
        <v>0</v>
      </c>
      <c r="F140" s="1055">
        <v>0</v>
      </c>
      <c r="G140" s="1056">
        <f t="shared" si="6"/>
        <v>0</v>
      </c>
      <c r="H140" s="1053" t="s">
        <v>10</v>
      </c>
      <c r="I140" s="1054" t="s">
        <v>1416</v>
      </c>
      <c r="J140" s="1054" t="s">
        <v>1417</v>
      </c>
      <c r="K140" s="1054" t="s">
        <v>263</v>
      </c>
      <c r="M140" s="1140">
        <v>138888.88888888891</v>
      </c>
      <c r="N140" s="1140">
        <v>458333.33333333337</v>
      </c>
      <c r="O140" s="1140">
        <v>83333.333333333343</v>
      </c>
      <c r="P140" s="1140">
        <f t="shared" si="8"/>
        <v>680555.55555555562</v>
      </c>
    </row>
    <row r="141" spans="1:16" x14ac:dyDescent="0.2">
      <c r="A141" s="1052">
        <v>520</v>
      </c>
      <c r="B141" s="1052"/>
      <c r="C141" s="1053" t="s">
        <v>940</v>
      </c>
      <c r="D141" s="1054" t="s">
        <v>940</v>
      </c>
      <c r="E141" s="1055">
        <f t="shared" si="7"/>
        <v>0</v>
      </c>
      <c r="F141" s="1055">
        <v>0</v>
      </c>
      <c r="G141" s="1056">
        <f t="shared" si="6"/>
        <v>0</v>
      </c>
      <c r="H141" s="1053" t="s">
        <v>10</v>
      </c>
      <c r="I141" s="1054" t="s">
        <v>1512</v>
      </c>
      <c r="J141" s="1054" t="s">
        <v>10</v>
      </c>
      <c r="K141" s="1054" t="s">
        <v>263</v>
      </c>
      <c r="M141" s="1140">
        <v>0</v>
      </c>
      <c r="N141" s="1140">
        <v>0</v>
      </c>
      <c r="O141" s="1140">
        <v>0</v>
      </c>
      <c r="P141" s="1140">
        <f t="shared" si="8"/>
        <v>0</v>
      </c>
    </row>
    <row r="142" spans="1:16" x14ac:dyDescent="0.2">
      <c r="A142" s="1052">
        <v>1584</v>
      </c>
      <c r="B142" s="1052"/>
      <c r="C142" s="1053" t="s">
        <v>264</v>
      </c>
      <c r="D142" s="1054" t="s">
        <v>264</v>
      </c>
      <c r="E142" s="1055" t="b">
        <f t="shared" si="7"/>
        <v>0</v>
      </c>
      <c r="F142" s="1055">
        <v>0</v>
      </c>
      <c r="G142" s="1056">
        <f t="shared" si="6"/>
        <v>0</v>
      </c>
      <c r="H142" s="1053" t="s">
        <v>10</v>
      </c>
      <c r="I142" s="1054" t="s">
        <v>1416</v>
      </c>
      <c r="J142" s="1054" t="s">
        <v>1417</v>
      </c>
      <c r="K142" s="1054" t="s">
        <v>188</v>
      </c>
      <c r="M142" s="1140">
        <v>597222.22222222225</v>
      </c>
      <c r="N142" s="1140">
        <v>847222.22222222225</v>
      </c>
      <c r="O142" s="1140">
        <v>236111.11111111112</v>
      </c>
      <c r="P142" s="1140">
        <f t="shared" si="8"/>
        <v>1680555.5555555555</v>
      </c>
    </row>
    <row r="143" spans="1:16" x14ac:dyDescent="0.2">
      <c r="A143" s="1052">
        <v>2654</v>
      </c>
      <c r="B143" s="1052"/>
      <c r="C143" s="1053" t="s">
        <v>266</v>
      </c>
      <c r="D143" s="1054" t="s">
        <v>266</v>
      </c>
      <c r="E143" s="1055">
        <f t="shared" si="7"/>
        <v>0</v>
      </c>
      <c r="F143" s="1055">
        <v>0</v>
      </c>
      <c r="G143" s="1056">
        <f t="shared" si="6"/>
        <v>0</v>
      </c>
      <c r="H143" s="1053" t="s">
        <v>10</v>
      </c>
      <c r="I143" s="1054" t="s">
        <v>1512</v>
      </c>
      <c r="J143" s="1054" t="s">
        <v>10</v>
      </c>
      <c r="K143" s="1054" t="s">
        <v>188</v>
      </c>
      <c r="M143" s="1140">
        <v>0</v>
      </c>
      <c r="N143" s="1140">
        <v>152777.77777777778</v>
      </c>
      <c r="O143" s="1140">
        <v>55555.555555555562</v>
      </c>
      <c r="P143" s="1140">
        <f t="shared" si="8"/>
        <v>208333.33333333334</v>
      </c>
    </row>
    <row r="144" spans="1:16" x14ac:dyDescent="0.2">
      <c r="A144" s="1052">
        <v>4830</v>
      </c>
      <c r="B144" s="1052" t="s">
        <v>1412</v>
      </c>
      <c r="C144" s="1053" t="s">
        <v>941</v>
      </c>
      <c r="D144" s="1054" t="s">
        <v>662</v>
      </c>
      <c r="E144" s="1055" t="b">
        <f t="shared" si="7"/>
        <v>0</v>
      </c>
      <c r="F144" s="1055">
        <v>396000</v>
      </c>
      <c r="G144" s="1056">
        <f t="shared" si="6"/>
        <v>396000</v>
      </c>
      <c r="H144" s="1053" t="s">
        <v>10</v>
      </c>
      <c r="I144" s="1054" t="s">
        <v>1416</v>
      </c>
      <c r="J144" s="1054" t="s">
        <v>1417</v>
      </c>
      <c r="K144" s="1054" t="s">
        <v>269</v>
      </c>
      <c r="M144" s="1140">
        <v>9194444.4444444459</v>
      </c>
      <c r="N144" s="1140">
        <v>4361111.111111111</v>
      </c>
      <c r="O144" s="1140">
        <v>83333.333333333343</v>
      </c>
      <c r="P144" s="1140">
        <f t="shared" si="8"/>
        <v>13638888.88888889</v>
      </c>
    </row>
    <row r="145" spans="1:16" x14ac:dyDescent="0.2">
      <c r="A145" s="1052">
        <v>1585</v>
      </c>
      <c r="B145" s="1052"/>
      <c r="C145" s="1053" t="s">
        <v>270</v>
      </c>
      <c r="D145" s="1054" t="s">
        <v>270</v>
      </c>
      <c r="E145" s="1055">
        <f t="shared" si="7"/>
        <v>0</v>
      </c>
      <c r="F145" s="1055">
        <v>0</v>
      </c>
      <c r="G145" s="1056">
        <f t="shared" si="6"/>
        <v>0</v>
      </c>
      <c r="H145" s="1053" t="s">
        <v>10</v>
      </c>
      <c r="I145" s="1054" t="s">
        <v>1512</v>
      </c>
      <c r="J145" s="1054" t="s">
        <v>10</v>
      </c>
      <c r="K145" s="1054" t="s">
        <v>19</v>
      </c>
      <c r="M145" s="1140">
        <v>0</v>
      </c>
      <c r="N145" s="1140">
        <v>111111.11111111112</v>
      </c>
      <c r="O145" s="1140">
        <v>69444.444444444453</v>
      </c>
      <c r="P145" s="1140">
        <f t="shared" si="8"/>
        <v>180555.55555555556</v>
      </c>
    </row>
    <row r="146" spans="1:16" x14ac:dyDescent="0.2">
      <c r="A146" s="1061">
        <v>9395</v>
      </c>
      <c r="B146" s="1061"/>
      <c r="C146" s="1062" t="s">
        <v>272</v>
      </c>
      <c r="D146" s="1054" t="s">
        <v>272</v>
      </c>
      <c r="E146" s="1055">
        <f t="shared" si="7"/>
        <v>0</v>
      </c>
      <c r="F146" s="1055">
        <v>0</v>
      </c>
      <c r="G146" s="1056">
        <f t="shared" si="6"/>
        <v>0</v>
      </c>
      <c r="H146" s="1062" t="s">
        <v>10</v>
      </c>
      <c r="I146" s="1054" t="s">
        <v>275</v>
      </c>
      <c r="J146" s="1054" t="s">
        <v>1417</v>
      </c>
      <c r="K146" s="1054" t="s">
        <v>276</v>
      </c>
      <c r="M146" s="1140">
        <v>0</v>
      </c>
      <c r="N146" s="1140">
        <v>10583333.333333334</v>
      </c>
      <c r="O146" s="1140">
        <v>0</v>
      </c>
      <c r="P146" s="1140">
        <f t="shared" si="8"/>
        <v>10583333.333333334</v>
      </c>
    </row>
    <row r="147" spans="1:16" x14ac:dyDescent="0.2">
      <c r="A147" s="1052">
        <v>9397</v>
      </c>
      <c r="B147" s="1052"/>
      <c r="C147" s="1053" t="s">
        <v>272</v>
      </c>
      <c r="D147" s="1063" t="s">
        <v>272</v>
      </c>
      <c r="E147" s="1055">
        <f t="shared" si="7"/>
        <v>0</v>
      </c>
      <c r="F147" s="1064" t="s">
        <v>10</v>
      </c>
      <c r="G147" s="1056" t="e">
        <f t="shared" si="6"/>
        <v>#VALUE!</v>
      </c>
      <c r="H147" s="1053" t="s">
        <v>10</v>
      </c>
      <c r="I147" s="1063" t="s">
        <v>911</v>
      </c>
      <c r="J147" s="1063" t="s">
        <v>10</v>
      </c>
      <c r="K147" s="1063" t="s">
        <v>10</v>
      </c>
      <c r="M147" s="1140">
        <v>2763888.888888889</v>
      </c>
      <c r="N147" s="1140">
        <v>1611111.1111111112</v>
      </c>
      <c r="O147" s="1140">
        <v>-680555.55555555562</v>
      </c>
      <c r="P147" s="1140">
        <f t="shared" si="8"/>
        <v>3694444.4444444445</v>
      </c>
    </row>
    <row r="148" spans="1:16" x14ac:dyDescent="0.2">
      <c r="A148" s="1052">
        <v>2810</v>
      </c>
      <c r="B148" s="1052" t="s">
        <v>1412</v>
      </c>
      <c r="C148" s="1053" t="s">
        <v>277</v>
      </c>
      <c r="D148" s="1054" t="s">
        <v>277</v>
      </c>
      <c r="E148" s="1055" t="b">
        <f t="shared" si="7"/>
        <v>0</v>
      </c>
      <c r="F148" s="1055">
        <v>699163</v>
      </c>
      <c r="G148" s="1056">
        <f t="shared" si="6"/>
        <v>699163</v>
      </c>
      <c r="H148" s="1053" t="s">
        <v>1417</v>
      </c>
      <c r="I148" s="1054" t="s">
        <v>1416</v>
      </c>
      <c r="J148" s="1054" t="s">
        <v>1412</v>
      </c>
      <c r="K148" s="1054" t="s">
        <v>279</v>
      </c>
      <c r="M148" s="1140">
        <v>0</v>
      </c>
      <c r="N148" s="1140">
        <v>0</v>
      </c>
      <c r="O148" s="1140">
        <v>0</v>
      </c>
      <c r="P148" s="1140">
        <f t="shared" si="8"/>
        <v>0</v>
      </c>
    </row>
    <row r="149" spans="1:16" x14ac:dyDescent="0.2">
      <c r="A149" s="1070">
        <v>2811</v>
      </c>
      <c r="B149" s="1070"/>
      <c r="C149" s="1070" t="s">
        <v>944</v>
      </c>
      <c r="D149" s="1071" t="s">
        <v>944</v>
      </c>
      <c r="E149" s="1055">
        <f t="shared" si="7"/>
        <v>0</v>
      </c>
      <c r="F149" s="1072"/>
      <c r="G149" s="1056">
        <f t="shared" si="6"/>
        <v>0</v>
      </c>
      <c r="H149" s="1070"/>
      <c r="I149" s="1071" t="s">
        <v>1512</v>
      </c>
      <c r="J149" s="1071"/>
      <c r="K149" s="1071"/>
      <c r="M149" s="1140">
        <v>0</v>
      </c>
      <c r="N149" s="1140">
        <v>166666.66666666669</v>
      </c>
      <c r="O149" s="1140">
        <v>0</v>
      </c>
      <c r="P149" s="1140">
        <f t="shared" si="8"/>
        <v>166666.66666666669</v>
      </c>
    </row>
    <row r="150" spans="1:16" x14ac:dyDescent="0.2">
      <c r="A150" s="1052">
        <v>1540</v>
      </c>
      <c r="B150" s="1052"/>
      <c r="C150" s="1053" t="s">
        <v>280</v>
      </c>
      <c r="D150" s="1054" t="s">
        <v>280</v>
      </c>
      <c r="E150" s="1055" t="b">
        <f t="shared" si="7"/>
        <v>0</v>
      </c>
      <c r="F150" s="1055">
        <v>0</v>
      </c>
      <c r="G150" s="1056">
        <f t="shared" si="6"/>
        <v>0</v>
      </c>
      <c r="H150" s="1053" t="s">
        <v>10</v>
      </c>
      <c r="I150" s="1054" t="s">
        <v>1416</v>
      </c>
      <c r="J150" s="1054" t="s">
        <v>1417</v>
      </c>
      <c r="K150" s="1054" t="s">
        <v>1568</v>
      </c>
      <c r="M150" s="1140">
        <v>1611111.1111111112</v>
      </c>
      <c r="N150" s="1140">
        <v>1569444.4444444445</v>
      </c>
      <c r="O150" s="1140">
        <v>736111.11111111112</v>
      </c>
      <c r="P150" s="1140">
        <f t="shared" si="8"/>
        <v>3916666.666666667</v>
      </c>
    </row>
    <row r="151" spans="1:16" x14ac:dyDescent="0.2">
      <c r="A151" s="1052">
        <v>4771</v>
      </c>
      <c r="B151" s="1052" t="s">
        <v>1412</v>
      </c>
      <c r="C151" s="1053" t="s">
        <v>674</v>
      </c>
      <c r="D151" s="1054" t="s">
        <v>674</v>
      </c>
      <c r="E151" s="1055" t="b">
        <f t="shared" si="7"/>
        <v>0</v>
      </c>
      <c r="F151" s="1055">
        <v>426000</v>
      </c>
      <c r="G151" s="1056">
        <f t="shared" si="6"/>
        <v>426000</v>
      </c>
      <c r="H151" s="1053" t="s">
        <v>1417</v>
      </c>
      <c r="I151" s="1054" t="s">
        <v>1416</v>
      </c>
      <c r="J151" s="1054" t="s">
        <v>1412</v>
      </c>
      <c r="K151" s="1054" t="s">
        <v>290</v>
      </c>
      <c r="M151" s="1140">
        <v>0</v>
      </c>
      <c r="N151" s="1140">
        <v>0</v>
      </c>
      <c r="O151" s="1140">
        <v>0</v>
      </c>
      <c r="P151" s="1140">
        <f t="shared" si="8"/>
        <v>0</v>
      </c>
    </row>
    <row r="152" spans="1:16" x14ac:dyDescent="0.2">
      <c r="A152" s="1052">
        <v>1926</v>
      </c>
      <c r="B152" s="1052"/>
      <c r="C152" s="1053" t="s">
        <v>291</v>
      </c>
      <c r="D152" s="1054" t="s">
        <v>291</v>
      </c>
      <c r="E152" s="1055">
        <f t="shared" si="7"/>
        <v>0</v>
      </c>
      <c r="F152" s="1055">
        <v>0</v>
      </c>
      <c r="G152" s="1056">
        <f t="shared" si="6"/>
        <v>0</v>
      </c>
      <c r="H152" s="1053" t="s">
        <v>10</v>
      </c>
      <c r="I152" s="1054" t="s">
        <v>1512</v>
      </c>
      <c r="J152" s="1054" t="s">
        <v>10</v>
      </c>
      <c r="K152" s="1054" t="s">
        <v>1545</v>
      </c>
      <c r="M152" s="1140">
        <v>0</v>
      </c>
      <c r="N152" s="1140">
        <v>13888.888888888891</v>
      </c>
      <c r="O152" s="1140">
        <v>-166666.66666666669</v>
      </c>
      <c r="P152" s="1140">
        <f t="shared" si="8"/>
        <v>-152777.77777777781</v>
      </c>
    </row>
    <row r="153" spans="1:16" x14ac:dyDescent="0.2">
      <c r="A153" s="1052">
        <v>3527</v>
      </c>
      <c r="B153" s="1052"/>
      <c r="C153" s="1053" t="s">
        <v>293</v>
      </c>
      <c r="D153" s="1054" t="s">
        <v>293</v>
      </c>
      <c r="E153" s="1055">
        <f t="shared" si="7"/>
        <v>0</v>
      </c>
      <c r="F153" s="1055">
        <v>0</v>
      </c>
      <c r="G153" s="1056">
        <f t="shared" si="6"/>
        <v>0</v>
      </c>
      <c r="H153" s="1053" t="s">
        <v>10</v>
      </c>
      <c r="I153" s="1054" t="s">
        <v>1512</v>
      </c>
      <c r="J153" s="1054" t="s">
        <v>1417</v>
      </c>
      <c r="K153" s="1054" t="s">
        <v>1545</v>
      </c>
      <c r="M153" s="1140">
        <v>0</v>
      </c>
      <c r="N153" s="1140">
        <v>97222.222222222234</v>
      </c>
      <c r="O153" s="1140">
        <v>263888.88888888893</v>
      </c>
      <c r="P153" s="1140">
        <f t="shared" si="8"/>
        <v>361111.11111111118</v>
      </c>
    </row>
    <row r="154" spans="1:16" x14ac:dyDescent="0.2">
      <c r="A154" s="1052">
        <v>2717</v>
      </c>
      <c r="B154" s="1052" t="s">
        <v>1412</v>
      </c>
      <c r="C154" s="1053" t="s">
        <v>295</v>
      </c>
      <c r="D154" s="1054" t="s">
        <v>295</v>
      </c>
      <c r="E154" s="1055" t="b">
        <f t="shared" si="7"/>
        <v>0</v>
      </c>
      <c r="F154" s="1055">
        <v>0</v>
      </c>
      <c r="G154" s="1056">
        <f t="shared" si="6"/>
        <v>0</v>
      </c>
      <c r="H154" s="1053" t="s">
        <v>10</v>
      </c>
      <c r="I154" s="1054" t="s">
        <v>1416</v>
      </c>
      <c r="J154" s="1054" t="s">
        <v>1412</v>
      </c>
      <c r="K154" s="1054" t="s">
        <v>297</v>
      </c>
      <c r="M154" s="1140">
        <v>750000</v>
      </c>
      <c r="N154" s="1140">
        <v>1583333.3333333335</v>
      </c>
      <c r="O154" s="1140">
        <v>0</v>
      </c>
      <c r="P154" s="1140">
        <f t="shared" si="8"/>
        <v>2333333.3333333335</v>
      </c>
    </row>
    <row r="155" spans="1:16" x14ac:dyDescent="0.2">
      <c r="A155" s="1052">
        <v>9245</v>
      </c>
      <c r="B155" s="1052"/>
      <c r="C155" s="1053" t="s">
        <v>298</v>
      </c>
      <c r="D155" s="1054" t="s">
        <v>298</v>
      </c>
      <c r="E155" s="1055" t="b">
        <f t="shared" si="7"/>
        <v>0</v>
      </c>
      <c r="F155" s="1055">
        <v>0</v>
      </c>
      <c r="G155" s="1056">
        <f t="shared" si="6"/>
        <v>0</v>
      </c>
      <c r="H155" s="1053" t="s">
        <v>1417</v>
      </c>
      <c r="I155" s="1054" t="s">
        <v>1416</v>
      </c>
      <c r="J155" s="1054" t="s">
        <v>1417</v>
      </c>
      <c r="K155" s="1054" t="s">
        <v>1545</v>
      </c>
      <c r="M155" s="1140">
        <v>0</v>
      </c>
      <c r="N155" s="1140">
        <v>0</v>
      </c>
      <c r="O155" s="1140">
        <v>0</v>
      </c>
      <c r="P155" s="1140">
        <f t="shared" si="8"/>
        <v>0</v>
      </c>
    </row>
    <row r="156" spans="1:16" x14ac:dyDescent="0.2">
      <c r="A156" s="1052">
        <v>9250</v>
      </c>
      <c r="B156" s="1052"/>
      <c r="C156" s="1053" t="s">
        <v>300</v>
      </c>
      <c r="D156" s="1054" t="s">
        <v>300</v>
      </c>
      <c r="E156" s="1055" t="b">
        <f t="shared" si="7"/>
        <v>0</v>
      </c>
      <c r="F156" s="1055">
        <v>0</v>
      </c>
      <c r="G156" s="1056">
        <f t="shared" si="6"/>
        <v>0</v>
      </c>
      <c r="H156" s="1053" t="s">
        <v>10</v>
      </c>
      <c r="I156" s="1054" t="s">
        <v>1416</v>
      </c>
      <c r="J156" s="1054" t="s">
        <v>1417</v>
      </c>
      <c r="K156" s="1054" t="s">
        <v>302</v>
      </c>
      <c r="M156" s="1140">
        <v>0</v>
      </c>
      <c r="N156" s="1140">
        <v>1541666.6666666667</v>
      </c>
      <c r="O156" s="1140">
        <v>27777.777777777781</v>
      </c>
      <c r="P156" s="1140">
        <f t="shared" si="8"/>
        <v>1569444.4444444445</v>
      </c>
    </row>
    <row r="157" spans="1:16" x14ac:dyDescent="0.2">
      <c r="A157" s="1052">
        <v>4831</v>
      </c>
      <c r="B157" s="1052"/>
      <c r="C157" s="1053" t="s">
        <v>945</v>
      </c>
      <c r="D157" s="1054" t="s">
        <v>303</v>
      </c>
      <c r="E157" s="1055" t="b">
        <f t="shared" si="7"/>
        <v>0</v>
      </c>
      <c r="F157" s="1055">
        <v>356000</v>
      </c>
      <c r="G157" s="1056">
        <f t="shared" si="6"/>
        <v>356000</v>
      </c>
      <c r="H157" s="1053" t="s">
        <v>10</v>
      </c>
      <c r="I157" s="1054" t="s">
        <v>1416</v>
      </c>
      <c r="J157" s="1054" t="s">
        <v>1417</v>
      </c>
      <c r="K157" s="1054" t="s">
        <v>126</v>
      </c>
      <c r="M157" s="1140">
        <v>3597222.2222222225</v>
      </c>
      <c r="N157" s="1140">
        <v>2833333.3333333335</v>
      </c>
      <c r="O157" s="1140">
        <v>111111.11111111112</v>
      </c>
      <c r="P157" s="1140">
        <f t="shared" si="8"/>
        <v>6541666.666666667</v>
      </c>
    </row>
    <row r="158" spans="1:16" x14ac:dyDescent="0.2">
      <c r="A158" s="1052">
        <v>544</v>
      </c>
      <c r="B158" s="1052"/>
      <c r="C158" s="1053" t="s">
        <v>304</v>
      </c>
      <c r="D158" s="1054" t="s">
        <v>304</v>
      </c>
      <c r="E158" s="1055">
        <f t="shared" si="7"/>
        <v>0</v>
      </c>
      <c r="F158" s="1055">
        <v>0</v>
      </c>
      <c r="G158" s="1056">
        <f t="shared" si="6"/>
        <v>0</v>
      </c>
      <c r="H158" s="1053" t="s">
        <v>10</v>
      </c>
      <c r="I158" s="1054" t="s">
        <v>1512</v>
      </c>
      <c r="J158" s="1054" t="s">
        <v>10</v>
      </c>
      <c r="K158" s="1054" t="s">
        <v>188</v>
      </c>
      <c r="M158" s="1140">
        <v>0</v>
      </c>
      <c r="N158" s="1140">
        <v>416666.66666666669</v>
      </c>
      <c r="O158" s="1140">
        <v>83333.333333333343</v>
      </c>
      <c r="P158" s="1140">
        <f t="shared" si="8"/>
        <v>500000</v>
      </c>
    </row>
    <row r="159" spans="1:16" x14ac:dyDescent="0.2">
      <c r="A159" s="1052">
        <v>2525</v>
      </c>
      <c r="B159" s="1052"/>
      <c r="C159" s="1053" t="s">
        <v>306</v>
      </c>
      <c r="D159" s="1054" t="s">
        <v>306</v>
      </c>
      <c r="E159" s="1055">
        <f t="shared" si="7"/>
        <v>0</v>
      </c>
      <c r="F159" s="1055">
        <v>0</v>
      </c>
      <c r="G159" s="1056">
        <f t="shared" si="6"/>
        <v>0</v>
      </c>
      <c r="H159" s="1053" t="s">
        <v>10</v>
      </c>
      <c r="I159" s="1054" t="s">
        <v>1512</v>
      </c>
      <c r="J159" s="1054" t="s">
        <v>1417</v>
      </c>
      <c r="K159" s="1054" t="s">
        <v>188</v>
      </c>
      <c r="M159" s="1140">
        <v>0</v>
      </c>
      <c r="N159" s="1140">
        <v>250000</v>
      </c>
      <c r="O159" s="1140">
        <v>83333.333333333343</v>
      </c>
      <c r="P159" s="1140">
        <f t="shared" si="8"/>
        <v>333333.33333333337</v>
      </c>
    </row>
    <row r="160" spans="1:16" x14ac:dyDescent="0.2">
      <c r="A160" s="1052">
        <v>2743</v>
      </c>
      <c r="B160" s="1052" t="s">
        <v>1412</v>
      </c>
      <c r="C160" s="1053" t="s">
        <v>308</v>
      </c>
      <c r="D160" s="1054" t="s">
        <v>308</v>
      </c>
      <c r="E160" s="1055" t="b">
        <f t="shared" si="7"/>
        <v>0</v>
      </c>
      <c r="F160" s="1055">
        <v>455134</v>
      </c>
      <c r="G160" s="1056">
        <f t="shared" si="6"/>
        <v>455134</v>
      </c>
      <c r="H160" s="1053" t="s">
        <v>10</v>
      </c>
      <c r="I160" s="1054" t="s">
        <v>1416</v>
      </c>
      <c r="J160" s="1054" t="s">
        <v>1412</v>
      </c>
      <c r="K160" s="1054" t="s">
        <v>310</v>
      </c>
      <c r="M160" s="1140">
        <v>2625000</v>
      </c>
      <c r="N160" s="1140">
        <v>375000</v>
      </c>
      <c r="O160" s="1140">
        <v>0</v>
      </c>
      <c r="P160" s="1140">
        <f t="shared" si="8"/>
        <v>3000000</v>
      </c>
    </row>
    <row r="161" spans="1:16" x14ac:dyDescent="0.2">
      <c r="A161" s="1052">
        <v>4668</v>
      </c>
      <c r="B161" s="1052"/>
      <c r="C161" s="1053" t="s">
        <v>311</v>
      </c>
      <c r="D161" s="1054" t="s">
        <v>311</v>
      </c>
      <c r="E161" s="1055" t="b">
        <f t="shared" si="7"/>
        <v>0</v>
      </c>
      <c r="F161" s="1055">
        <v>0</v>
      </c>
      <c r="G161" s="1056">
        <f t="shared" si="6"/>
        <v>0</v>
      </c>
      <c r="H161" s="1053" t="s">
        <v>10</v>
      </c>
      <c r="I161" s="1054" t="s">
        <v>1416</v>
      </c>
      <c r="J161" s="1054" t="s">
        <v>1417</v>
      </c>
      <c r="K161" s="1054" t="s">
        <v>313</v>
      </c>
      <c r="M161" s="1140">
        <v>0</v>
      </c>
      <c r="N161" s="1140">
        <v>2625000</v>
      </c>
      <c r="O161" s="1140">
        <v>13888.888888888891</v>
      </c>
      <c r="P161" s="1140">
        <f t="shared" si="8"/>
        <v>2638888.888888889</v>
      </c>
    </row>
    <row r="162" spans="1:16" x14ac:dyDescent="0.2">
      <c r="A162" s="1080">
        <v>4669</v>
      </c>
      <c r="B162" s="1080"/>
      <c r="C162" s="1083" t="s">
        <v>946</v>
      </c>
      <c r="D162" s="1063" t="s">
        <v>946</v>
      </c>
      <c r="E162" s="1055">
        <f t="shared" si="7"/>
        <v>0</v>
      </c>
      <c r="F162" s="1064" t="s">
        <v>10</v>
      </c>
      <c r="G162" s="1056" t="e">
        <f t="shared" si="6"/>
        <v>#VALUE!</v>
      </c>
      <c r="H162" s="1083" t="s">
        <v>10</v>
      </c>
      <c r="I162" s="1063" t="s">
        <v>911</v>
      </c>
      <c r="J162" s="1063" t="s">
        <v>10</v>
      </c>
      <c r="K162" s="1063" t="s">
        <v>10</v>
      </c>
      <c r="M162" s="1140">
        <v>0</v>
      </c>
      <c r="N162" s="1140">
        <v>2916666.666666667</v>
      </c>
      <c r="O162" s="1140">
        <v>0</v>
      </c>
      <c r="P162" s="1140">
        <f t="shared" si="8"/>
        <v>2916666.666666667</v>
      </c>
    </row>
    <row r="163" spans="1:16" x14ac:dyDescent="0.2">
      <c r="A163" s="1080">
        <v>2905</v>
      </c>
      <c r="B163" s="1080" t="s">
        <v>1412</v>
      </c>
      <c r="C163" s="1083" t="s">
        <v>314</v>
      </c>
      <c r="D163" s="1054" t="s">
        <v>314</v>
      </c>
      <c r="E163" s="1055" t="b">
        <f t="shared" si="7"/>
        <v>0</v>
      </c>
      <c r="F163" s="1055">
        <v>0</v>
      </c>
      <c r="G163" s="1056">
        <f t="shared" si="6"/>
        <v>0</v>
      </c>
      <c r="H163" s="1083" t="s">
        <v>1417</v>
      </c>
      <c r="I163" s="1054" t="s">
        <v>1416</v>
      </c>
      <c r="J163" s="1054" t="s">
        <v>10</v>
      </c>
      <c r="K163" s="1054" t="s">
        <v>10</v>
      </c>
      <c r="M163" s="1140">
        <v>0</v>
      </c>
      <c r="N163" s="1140">
        <v>0</v>
      </c>
      <c r="O163" s="1140">
        <v>0</v>
      </c>
      <c r="P163" s="1140">
        <f t="shared" si="8"/>
        <v>0</v>
      </c>
    </row>
    <row r="164" spans="1:16" x14ac:dyDescent="0.2">
      <c r="A164" s="1080">
        <v>4832</v>
      </c>
      <c r="B164" s="1080"/>
      <c r="C164" s="1083" t="s">
        <v>315</v>
      </c>
      <c r="D164" s="1054" t="s">
        <v>315</v>
      </c>
      <c r="E164" s="1055" t="b">
        <f t="shared" si="7"/>
        <v>0</v>
      </c>
      <c r="F164" s="1055">
        <v>0</v>
      </c>
      <c r="G164" s="1056">
        <f t="shared" si="6"/>
        <v>0</v>
      </c>
      <c r="H164" s="1083" t="s">
        <v>10</v>
      </c>
      <c r="I164" s="1054" t="s">
        <v>1416</v>
      </c>
      <c r="J164" s="1054" t="s">
        <v>1417</v>
      </c>
      <c r="K164" s="1054" t="s">
        <v>199</v>
      </c>
      <c r="M164" s="1140">
        <v>0</v>
      </c>
      <c r="N164" s="1140">
        <v>3361111.1111111115</v>
      </c>
      <c r="O164" s="1140">
        <v>69444.444444444453</v>
      </c>
      <c r="P164" s="1140">
        <f t="shared" si="8"/>
        <v>3430555.555555556</v>
      </c>
    </row>
    <row r="165" spans="1:16" x14ac:dyDescent="0.2">
      <c r="A165" s="1075">
        <v>1625</v>
      </c>
      <c r="B165" s="1075"/>
      <c r="C165" s="1076" t="s">
        <v>317</v>
      </c>
      <c r="D165" s="1063" t="s">
        <v>317</v>
      </c>
      <c r="E165" s="1055">
        <f t="shared" si="7"/>
        <v>0</v>
      </c>
      <c r="F165" s="1064" t="s">
        <v>10</v>
      </c>
      <c r="G165" s="1056" t="e">
        <f t="shared" si="6"/>
        <v>#VALUE!</v>
      </c>
      <c r="H165" s="1062" t="s">
        <v>10</v>
      </c>
      <c r="I165" s="1063" t="s">
        <v>911</v>
      </c>
      <c r="J165" s="1063" t="s">
        <v>10</v>
      </c>
      <c r="K165" s="1063" t="s">
        <v>10</v>
      </c>
      <c r="M165" s="1140">
        <v>0</v>
      </c>
      <c r="N165" s="1140">
        <v>3222222.2222222225</v>
      </c>
      <c r="O165" s="1140">
        <v>-347222.22222222225</v>
      </c>
      <c r="P165" s="1140">
        <f t="shared" si="8"/>
        <v>2875000</v>
      </c>
    </row>
    <row r="166" spans="1:16" x14ac:dyDescent="0.2">
      <c r="A166" s="1061">
        <v>1626</v>
      </c>
      <c r="B166" s="1061"/>
      <c r="C166" s="1062" t="s">
        <v>317</v>
      </c>
      <c r="D166" s="1054" t="s">
        <v>317</v>
      </c>
      <c r="E166" s="1055">
        <f t="shared" si="7"/>
        <v>0</v>
      </c>
      <c r="F166" s="1055">
        <v>0</v>
      </c>
      <c r="G166" s="1056">
        <f t="shared" si="6"/>
        <v>0</v>
      </c>
      <c r="H166" s="1062" t="s">
        <v>10</v>
      </c>
      <c r="I166" s="1063" t="s">
        <v>911</v>
      </c>
      <c r="J166" s="1054" t="s">
        <v>10</v>
      </c>
      <c r="K166" s="1054" t="s">
        <v>10</v>
      </c>
      <c r="M166" s="1140">
        <v>0</v>
      </c>
      <c r="N166" s="1140">
        <v>4013888.888888889</v>
      </c>
      <c r="O166" s="1140">
        <v>166666.66666666669</v>
      </c>
      <c r="P166" s="1140">
        <f t="shared" si="8"/>
        <v>4180555.5555555555</v>
      </c>
    </row>
    <row r="167" spans="1:16" x14ac:dyDescent="0.2">
      <c r="A167" s="1061">
        <v>2924</v>
      </c>
      <c r="B167" s="1061"/>
      <c r="C167" s="1062" t="s">
        <v>319</v>
      </c>
      <c r="D167" s="1054" t="s">
        <v>319</v>
      </c>
      <c r="E167" s="1055" t="b">
        <f t="shared" si="7"/>
        <v>0</v>
      </c>
      <c r="F167" s="1055">
        <v>0</v>
      </c>
      <c r="G167" s="1056">
        <f t="shared" si="6"/>
        <v>0</v>
      </c>
      <c r="H167" s="1062" t="s">
        <v>10</v>
      </c>
      <c r="I167" s="1054" t="s">
        <v>1416</v>
      </c>
      <c r="J167" s="1054" t="s">
        <v>1417</v>
      </c>
      <c r="K167" s="1054" t="s">
        <v>320</v>
      </c>
      <c r="M167" s="1140">
        <v>0</v>
      </c>
      <c r="N167" s="1140">
        <v>2402777.777777778</v>
      </c>
      <c r="O167" s="1140">
        <v>236111.11111111112</v>
      </c>
      <c r="P167" s="1140">
        <f t="shared" si="8"/>
        <v>2638888.888888889</v>
      </c>
    </row>
    <row r="168" spans="1:16" x14ac:dyDescent="0.2">
      <c r="A168" s="1061">
        <v>4670</v>
      </c>
      <c r="B168" s="1061"/>
      <c r="C168" s="1062" t="s">
        <v>321</v>
      </c>
      <c r="D168" s="1054" t="s">
        <v>321</v>
      </c>
      <c r="E168" s="1055" t="b">
        <f t="shared" si="7"/>
        <v>0</v>
      </c>
      <c r="F168" s="1055">
        <v>562000</v>
      </c>
      <c r="G168" s="1056">
        <f t="shared" si="6"/>
        <v>562000</v>
      </c>
      <c r="H168" s="1062" t="s">
        <v>10</v>
      </c>
      <c r="I168" s="1054" t="s">
        <v>1416</v>
      </c>
      <c r="J168" s="1054" t="s">
        <v>1417</v>
      </c>
      <c r="K168" s="1054" t="s">
        <v>1545</v>
      </c>
      <c r="M168" s="1140">
        <v>21111111.111111112</v>
      </c>
      <c r="N168" s="1140">
        <v>888888.88888888899</v>
      </c>
      <c r="O168" s="1140">
        <v>-638888.88888888899</v>
      </c>
      <c r="P168" s="1140">
        <f t="shared" si="8"/>
        <v>21361111.111111112</v>
      </c>
    </row>
    <row r="169" spans="1:16" x14ac:dyDescent="0.2">
      <c r="A169" s="1061">
        <v>9353</v>
      </c>
      <c r="B169" s="1061"/>
      <c r="C169" s="1062" t="s">
        <v>322</v>
      </c>
      <c r="D169" s="1054" t="s">
        <v>322</v>
      </c>
      <c r="E169" s="1055" t="b">
        <f t="shared" si="7"/>
        <v>0</v>
      </c>
      <c r="F169" s="1055">
        <v>0</v>
      </c>
      <c r="G169" s="1056">
        <f t="shared" si="6"/>
        <v>0</v>
      </c>
      <c r="H169" s="1062" t="s">
        <v>10</v>
      </c>
      <c r="I169" s="1054" t="s">
        <v>1416</v>
      </c>
      <c r="J169" s="1054" t="s">
        <v>10</v>
      </c>
      <c r="K169" s="1054" t="s">
        <v>99</v>
      </c>
      <c r="M169" s="1140">
        <v>0</v>
      </c>
      <c r="N169" s="1140">
        <v>2263888.888888889</v>
      </c>
      <c r="O169" s="1140">
        <v>0</v>
      </c>
      <c r="P169" s="1140">
        <f t="shared" si="8"/>
        <v>2263888.888888889</v>
      </c>
    </row>
    <row r="170" spans="1:16" x14ac:dyDescent="0.2">
      <c r="A170" s="1075">
        <v>9363</v>
      </c>
      <c r="B170" s="1075"/>
      <c r="C170" s="1076" t="s">
        <v>323</v>
      </c>
      <c r="D170" s="1054" t="s">
        <v>323</v>
      </c>
      <c r="E170" s="1055" t="b">
        <f t="shared" si="7"/>
        <v>0</v>
      </c>
      <c r="F170" s="1055">
        <v>0</v>
      </c>
      <c r="G170" s="1056">
        <f t="shared" si="6"/>
        <v>0</v>
      </c>
      <c r="H170" s="1062" t="s">
        <v>10</v>
      </c>
      <c r="I170" s="1054" t="s">
        <v>1416</v>
      </c>
      <c r="J170" s="1054" t="s">
        <v>1417</v>
      </c>
      <c r="K170" s="1054" t="s">
        <v>325</v>
      </c>
      <c r="M170" s="1140">
        <v>0</v>
      </c>
      <c r="N170" s="1140">
        <v>3597222.2222222225</v>
      </c>
      <c r="O170" s="1140">
        <v>180555.55555555556</v>
      </c>
      <c r="P170" s="1140">
        <f t="shared" si="8"/>
        <v>3777777.777777778</v>
      </c>
    </row>
    <row r="171" spans="1:16" x14ac:dyDescent="0.2">
      <c r="A171" s="1052">
        <v>1536</v>
      </c>
      <c r="B171" s="1052"/>
      <c r="C171" s="1053" t="s">
        <v>326</v>
      </c>
      <c r="D171" s="1054" t="s">
        <v>326</v>
      </c>
      <c r="E171" s="1055">
        <f t="shared" si="7"/>
        <v>0</v>
      </c>
      <c r="F171" s="1055">
        <v>0</v>
      </c>
      <c r="G171" s="1056">
        <f t="shared" si="6"/>
        <v>0</v>
      </c>
      <c r="H171" s="1053" t="s">
        <v>10</v>
      </c>
      <c r="I171" s="1054" t="s">
        <v>1512</v>
      </c>
      <c r="J171" s="1054" t="s">
        <v>10</v>
      </c>
      <c r="K171" s="1054" t="s">
        <v>329</v>
      </c>
      <c r="M171" s="1140">
        <v>0</v>
      </c>
      <c r="N171" s="1140">
        <v>69444.444444444453</v>
      </c>
      <c r="O171" s="1140">
        <v>0</v>
      </c>
      <c r="P171" s="1140">
        <f t="shared" si="8"/>
        <v>69444.444444444453</v>
      </c>
    </row>
    <row r="172" spans="1:16" x14ac:dyDescent="0.2">
      <c r="A172" s="1052">
        <v>4834</v>
      </c>
      <c r="B172" s="1052" t="s">
        <v>1412</v>
      </c>
      <c r="C172" s="1053" t="s">
        <v>949</v>
      </c>
      <c r="D172" s="1054" t="s">
        <v>663</v>
      </c>
      <c r="E172" s="1055" t="b">
        <f t="shared" si="7"/>
        <v>0</v>
      </c>
      <c r="F172" s="1055">
        <v>491000</v>
      </c>
      <c r="G172" s="1056">
        <f t="shared" si="6"/>
        <v>491000</v>
      </c>
      <c r="H172" s="1053" t="s">
        <v>10</v>
      </c>
      <c r="I172" s="1054" t="s">
        <v>1416</v>
      </c>
      <c r="J172" s="1054" t="s">
        <v>1412</v>
      </c>
      <c r="K172" s="1054" t="s">
        <v>126</v>
      </c>
      <c r="M172" s="1140">
        <v>4541666.666666667</v>
      </c>
      <c r="N172" s="1140">
        <v>2986111.1111111115</v>
      </c>
      <c r="O172" s="1140">
        <v>0</v>
      </c>
      <c r="P172" s="1140">
        <f t="shared" si="8"/>
        <v>7527777.777777778</v>
      </c>
    </row>
    <row r="173" spans="1:16" x14ac:dyDescent="0.2">
      <c r="A173" s="1052">
        <v>728</v>
      </c>
      <c r="B173" s="1052"/>
      <c r="C173" s="1053" t="s">
        <v>331</v>
      </c>
      <c r="D173" s="1054" t="s">
        <v>331</v>
      </c>
      <c r="E173" s="1055">
        <f t="shared" si="7"/>
        <v>0</v>
      </c>
      <c r="F173" s="1055">
        <v>0</v>
      </c>
      <c r="G173" s="1056">
        <f t="shared" si="6"/>
        <v>0</v>
      </c>
      <c r="H173" s="1053" t="s">
        <v>1417</v>
      </c>
      <c r="I173" s="1054" t="s">
        <v>1512</v>
      </c>
      <c r="J173" s="1054" t="s">
        <v>10</v>
      </c>
      <c r="K173" s="1054" t="s">
        <v>334</v>
      </c>
      <c r="M173" s="1140">
        <v>0</v>
      </c>
      <c r="N173" s="1140">
        <v>0</v>
      </c>
      <c r="O173" s="1140">
        <v>0</v>
      </c>
      <c r="P173" s="1140">
        <f t="shared" si="8"/>
        <v>0</v>
      </c>
    </row>
    <row r="174" spans="1:16" x14ac:dyDescent="0.2">
      <c r="A174" s="1052">
        <v>9903</v>
      </c>
      <c r="B174" s="1052"/>
      <c r="C174" s="1053" t="s">
        <v>335</v>
      </c>
      <c r="D174" s="1054" t="s">
        <v>335</v>
      </c>
      <c r="E174" s="1055" t="b">
        <f t="shared" si="7"/>
        <v>0</v>
      </c>
      <c r="F174" s="1055">
        <v>0</v>
      </c>
      <c r="G174" s="1056">
        <f t="shared" si="6"/>
        <v>0</v>
      </c>
      <c r="H174" s="1053" t="s">
        <v>1417</v>
      </c>
      <c r="I174" s="1054" t="s">
        <v>1416</v>
      </c>
      <c r="J174" s="1054" t="s">
        <v>1417</v>
      </c>
      <c r="K174" s="1054" t="s">
        <v>325</v>
      </c>
      <c r="M174" s="1140">
        <v>0</v>
      </c>
      <c r="N174" s="1140">
        <v>0</v>
      </c>
      <c r="O174" s="1140">
        <v>0</v>
      </c>
      <c r="P174" s="1140">
        <f t="shared" si="8"/>
        <v>0</v>
      </c>
    </row>
    <row r="175" spans="1:16" x14ac:dyDescent="0.2">
      <c r="A175" s="1052">
        <v>2318</v>
      </c>
      <c r="B175" s="1052" t="s">
        <v>1412</v>
      </c>
      <c r="C175" s="1053" t="s">
        <v>337</v>
      </c>
      <c r="D175" s="1054" t="s">
        <v>337</v>
      </c>
      <c r="E175" s="1055" t="b">
        <f t="shared" si="7"/>
        <v>0</v>
      </c>
      <c r="F175" s="1055">
        <v>0</v>
      </c>
      <c r="G175" s="1056">
        <f t="shared" si="6"/>
        <v>0</v>
      </c>
      <c r="H175" s="1053" t="s">
        <v>10</v>
      </c>
      <c r="I175" s="1054" t="s">
        <v>1416</v>
      </c>
      <c r="J175" s="1054" t="s">
        <v>1412</v>
      </c>
      <c r="K175" s="1054" t="s">
        <v>276</v>
      </c>
      <c r="M175" s="1140">
        <v>708333.33333333337</v>
      </c>
      <c r="N175" s="1140">
        <v>333333.33333333337</v>
      </c>
      <c r="O175" s="1140">
        <v>13888.888888888891</v>
      </c>
      <c r="P175" s="1140">
        <f t="shared" si="8"/>
        <v>1055555.5555555557</v>
      </c>
    </row>
    <row r="176" spans="1:16" x14ac:dyDescent="0.2">
      <c r="A176" s="1052">
        <v>9419</v>
      </c>
      <c r="B176" s="1052"/>
      <c r="C176" s="1053" t="s">
        <v>339</v>
      </c>
      <c r="D176" s="1054" t="s">
        <v>339</v>
      </c>
      <c r="E176" s="1055" t="b">
        <f t="shared" si="7"/>
        <v>0</v>
      </c>
      <c r="F176" s="1055">
        <v>0</v>
      </c>
      <c r="G176" s="1056">
        <f t="shared" si="6"/>
        <v>0</v>
      </c>
      <c r="H176" s="1053" t="s">
        <v>10</v>
      </c>
      <c r="I176" s="1054" t="s">
        <v>1416</v>
      </c>
      <c r="J176" s="1054" t="s">
        <v>1417</v>
      </c>
      <c r="K176" s="1054" t="s">
        <v>340</v>
      </c>
      <c r="M176" s="1140">
        <v>0</v>
      </c>
      <c r="N176" s="1140">
        <v>861111.11111111112</v>
      </c>
      <c r="O176" s="1140">
        <v>361111.11111111112</v>
      </c>
      <c r="P176" s="1140">
        <f t="shared" si="8"/>
        <v>1222222.2222222222</v>
      </c>
    </row>
    <row r="177" spans="1:16" x14ac:dyDescent="0.2">
      <c r="A177" s="1052">
        <v>9421</v>
      </c>
      <c r="B177" s="1052"/>
      <c r="C177" s="1053" t="s">
        <v>341</v>
      </c>
      <c r="D177" s="1054" t="s">
        <v>341</v>
      </c>
      <c r="E177" s="1055" t="b">
        <f t="shared" si="7"/>
        <v>0</v>
      </c>
      <c r="F177" s="1055">
        <v>0</v>
      </c>
      <c r="G177" s="1056">
        <f t="shared" si="6"/>
        <v>0</v>
      </c>
      <c r="H177" s="1053" t="s">
        <v>10</v>
      </c>
      <c r="I177" s="1054" t="s">
        <v>1416</v>
      </c>
      <c r="J177" s="1054" t="s">
        <v>10</v>
      </c>
      <c r="K177" s="1054" t="s">
        <v>109</v>
      </c>
      <c r="M177" s="1140">
        <v>0</v>
      </c>
      <c r="N177" s="1140">
        <v>5305555.555555556</v>
      </c>
      <c r="O177" s="1140">
        <v>138888.88888888891</v>
      </c>
      <c r="P177" s="1140">
        <f t="shared" si="8"/>
        <v>5444444.444444445</v>
      </c>
    </row>
    <row r="178" spans="1:16" x14ac:dyDescent="0.2">
      <c r="A178" s="1052">
        <v>3518</v>
      </c>
      <c r="B178" s="1052"/>
      <c r="C178" s="1053" t="s">
        <v>343</v>
      </c>
      <c r="D178" s="1054" t="s">
        <v>343</v>
      </c>
      <c r="E178" s="1055">
        <f t="shared" si="7"/>
        <v>0</v>
      </c>
      <c r="F178" s="1055">
        <v>0</v>
      </c>
      <c r="G178" s="1056">
        <f t="shared" si="6"/>
        <v>0</v>
      </c>
      <c r="H178" s="1053" t="s">
        <v>10</v>
      </c>
      <c r="I178" s="1054" t="s">
        <v>1512</v>
      </c>
      <c r="J178" s="1054" t="s">
        <v>10</v>
      </c>
      <c r="K178" s="1054" t="s">
        <v>1418</v>
      </c>
      <c r="M178" s="1140">
        <v>0</v>
      </c>
      <c r="N178" s="1140">
        <v>138888.88888888891</v>
      </c>
      <c r="O178" s="1140">
        <v>0</v>
      </c>
      <c r="P178" s="1140">
        <f t="shared" si="8"/>
        <v>138888.88888888891</v>
      </c>
    </row>
    <row r="179" spans="1:16" x14ac:dyDescent="0.2">
      <c r="A179" s="1052">
        <v>9555</v>
      </c>
      <c r="B179" s="1052"/>
      <c r="C179" s="1053" t="s">
        <v>345</v>
      </c>
      <c r="D179" s="1054" t="s">
        <v>345</v>
      </c>
      <c r="E179" s="1055" t="b">
        <f t="shared" si="7"/>
        <v>0</v>
      </c>
      <c r="F179" s="1055">
        <v>0</v>
      </c>
      <c r="G179" s="1056">
        <f t="shared" si="6"/>
        <v>0</v>
      </c>
      <c r="H179" s="1053" t="s">
        <v>10</v>
      </c>
      <c r="I179" s="1054" t="s">
        <v>1416</v>
      </c>
      <c r="J179" s="1054" t="s">
        <v>10</v>
      </c>
      <c r="K179" s="1054" t="s">
        <v>1568</v>
      </c>
      <c r="M179" s="1140">
        <v>0</v>
      </c>
      <c r="N179" s="1140">
        <v>2333333.3333333335</v>
      </c>
      <c r="O179" s="1140">
        <v>138888.88888888891</v>
      </c>
      <c r="P179" s="1140">
        <f t="shared" si="8"/>
        <v>2472222.2222222225</v>
      </c>
    </row>
    <row r="180" spans="1:16" x14ac:dyDescent="0.2">
      <c r="A180" s="1052">
        <v>9448</v>
      </c>
      <c r="B180" s="1052"/>
      <c r="C180" s="1053" t="s">
        <v>364</v>
      </c>
      <c r="D180" s="1054" t="s">
        <v>364</v>
      </c>
      <c r="E180" s="1055" t="b">
        <f t="shared" si="7"/>
        <v>0</v>
      </c>
      <c r="F180" s="1055">
        <v>0</v>
      </c>
      <c r="G180" s="1056">
        <f t="shared" si="6"/>
        <v>0</v>
      </c>
      <c r="H180" s="1053" t="s">
        <v>10</v>
      </c>
      <c r="I180" s="1054" t="s">
        <v>1416</v>
      </c>
      <c r="J180" s="1054" t="s">
        <v>1417</v>
      </c>
      <c r="K180" s="1054" t="s">
        <v>366</v>
      </c>
      <c r="M180" s="1140">
        <v>0</v>
      </c>
      <c r="N180" s="1140">
        <v>388888.88888888893</v>
      </c>
      <c r="O180" s="1140">
        <v>125000</v>
      </c>
      <c r="P180" s="1140">
        <f t="shared" si="8"/>
        <v>513888.88888888893</v>
      </c>
    </row>
    <row r="181" spans="1:16" x14ac:dyDescent="0.2">
      <c r="A181" s="1052">
        <v>9445</v>
      </c>
      <c r="B181" s="1052"/>
      <c r="C181" s="1053" t="s">
        <v>367</v>
      </c>
      <c r="D181" s="1054" t="s">
        <v>367</v>
      </c>
      <c r="E181" s="1055" t="b">
        <f t="shared" si="7"/>
        <v>0</v>
      </c>
      <c r="F181" s="1055">
        <v>0</v>
      </c>
      <c r="G181" s="1056">
        <f t="shared" si="6"/>
        <v>0</v>
      </c>
      <c r="H181" s="1053" t="s">
        <v>10</v>
      </c>
      <c r="I181" s="1054" t="s">
        <v>1416</v>
      </c>
      <c r="J181" s="1054" t="s">
        <v>1417</v>
      </c>
      <c r="K181" s="1054" t="s">
        <v>109</v>
      </c>
      <c r="M181" s="1140">
        <v>0</v>
      </c>
      <c r="N181" s="1140">
        <v>1277777.777777778</v>
      </c>
      <c r="O181" s="1140">
        <v>513888.88888888893</v>
      </c>
      <c r="P181" s="1140">
        <f t="shared" si="8"/>
        <v>1791666.666666667</v>
      </c>
    </row>
    <row r="182" spans="1:16" x14ac:dyDescent="0.2">
      <c r="A182" s="1052">
        <v>7314</v>
      </c>
      <c r="B182" s="1052"/>
      <c r="C182" s="1053" t="s">
        <v>368</v>
      </c>
      <c r="D182" s="1054" t="s">
        <v>368</v>
      </c>
      <c r="E182" s="1055">
        <f t="shared" si="7"/>
        <v>0</v>
      </c>
      <c r="F182" s="1055">
        <v>0</v>
      </c>
      <c r="G182" s="1056">
        <f t="shared" si="6"/>
        <v>0</v>
      </c>
      <c r="H182" s="1053" t="s">
        <v>1417</v>
      </c>
      <c r="I182" s="1054" t="s">
        <v>1512</v>
      </c>
      <c r="J182" s="1054" t="s">
        <v>10</v>
      </c>
      <c r="K182" s="1054" t="s">
        <v>1545</v>
      </c>
      <c r="M182" s="1140">
        <v>0</v>
      </c>
      <c r="N182" s="1140">
        <v>0</v>
      </c>
      <c r="O182" s="1140">
        <v>0</v>
      </c>
      <c r="P182" s="1140">
        <f t="shared" si="8"/>
        <v>0</v>
      </c>
    </row>
    <row r="183" spans="1:16" x14ac:dyDescent="0.2">
      <c r="A183" s="1052">
        <v>1904</v>
      </c>
      <c r="B183" s="1052"/>
      <c r="C183" s="1053" t="s">
        <v>370</v>
      </c>
      <c r="D183" s="1054" t="s">
        <v>370</v>
      </c>
      <c r="E183" s="1055">
        <f t="shared" si="7"/>
        <v>0</v>
      </c>
      <c r="F183" s="1055">
        <v>0</v>
      </c>
      <c r="G183" s="1056">
        <f t="shared" si="6"/>
        <v>0</v>
      </c>
      <c r="H183" s="1053" t="s">
        <v>1417</v>
      </c>
      <c r="I183" s="1054" t="s">
        <v>1512</v>
      </c>
      <c r="J183" s="1054" t="s">
        <v>10</v>
      </c>
      <c r="K183" s="1054" t="s">
        <v>276</v>
      </c>
      <c r="M183" s="1140">
        <v>0</v>
      </c>
      <c r="N183" s="1140">
        <v>0</v>
      </c>
      <c r="O183" s="1140">
        <v>0</v>
      </c>
      <c r="P183" s="1140">
        <f t="shared" si="8"/>
        <v>0</v>
      </c>
    </row>
    <row r="184" spans="1:16" x14ac:dyDescent="0.2">
      <c r="A184" s="1052">
        <v>4671</v>
      </c>
      <c r="B184" s="1052"/>
      <c r="C184" s="1053" t="s">
        <v>373</v>
      </c>
      <c r="D184" s="1054" t="s">
        <v>373</v>
      </c>
      <c r="E184" s="1055" t="b">
        <f t="shared" si="7"/>
        <v>0</v>
      </c>
      <c r="F184" s="1055">
        <v>427000</v>
      </c>
      <c r="G184" s="1056">
        <f t="shared" si="6"/>
        <v>427000</v>
      </c>
      <c r="H184" s="1053" t="s">
        <v>10</v>
      </c>
      <c r="I184" s="1054" t="s">
        <v>1416</v>
      </c>
      <c r="J184" s="1054" t="s">
        <v>1417</v>
      </c>
      <c r="K184" s="1054" t="s">
        <v>10</v>
      </c>
      <c r="M184" s="1140">
        <v>3847222.2222222225</v>
      </c>
      <c r="N184" s="1140">
        <v>4111111.1111111115</v>
      </c>
      <c r="O184" s="1140">
        <v>55555.555555555562</v>
      </c>
      <c r="P184" s="1140">
        <f t="shared" si="8"/>
        <v>8013888.8888888899</v>
      </c>
    </row>
    <row r="185" spans="1:16" x14ac:dyDescent="0.2">
      <c r="A185" s="1080">
        <v>4672</v>
      </c>
      <c r="B185" s="1080"/>
      <c r="C185" s="1083" t="s">
        <v>950</v>
      </c>
      <c r="D185" s="1063" t="s">
        <v>950</v>
      </c>
      <c r="E185" s="1055">
        <f t="shared" si="7"/>
        <v>0</v>
      </c>
      <c r="F185" s="1064" t="s">
        <v>10</v>
      </c>
      <c r="G185" s="1056" t="e">
        <f t="shared" si="6"/>
        <v>#VALUE!</v>
      </c>
      <c r="H185" s="1083" t="s">
        <v>10</v>
      </c>
      <c r="I185" s="1063" t="s">
        <v>911</v>
      </c>
      <c r="J185" s="1063" t="s">
        <v>10</v>
      </c>
      <c r="K185" s="1063" t="s">
        <v>10</v>
      </c>
      <c r="M185" s="1140">
        <v>1583333.3333333335</v>
      </c>
      <c r="N185" s="1140">
        <v>97222.222222222234</v>
      </c>
      <c r="O185" s="1140">
        <v>0</v>
      </c>
      <c r="P185" s="1140">
        <f t="shared" si="8"/>
        <v>1680555.5555555557</v>
      </c>
    </row>
    <row r="186" spans="1:16" x14ac:dyDescent="0.2">
      <c r="A186" s="1061">
        <v>3824</v>
      </c>
      <c r="B186" s="1061"/>
      <c r="C186" s="1062" t="s">
        <v>951</v>
      </c>
      <c r="D186" s="1054" t="s">
        <v>414</v>
      </c>
      <c r="E186" s="1055">
        <f t="shared" si="7"/>
        <v>0</v>
      </c>
      <c r="F186" s="1055">
        <v>0</v>
      </c>
      <c r="G186" s="1056">
        <f t="shared" si="6"/>
        <v>0</v>
      </c>
      <c r="H186" s="1062" t="s">
        <v>10</v>
      </c>
      <c r="I186" s="1054" t="s">
        <v>275</v>
      </c>
      <c r="J186" s="1054" t="s">
        <v>10</v>
      </c>
      <c r="K186" s="1054" t="s">
        <v>1545</v>
      </c>
      <c r="M186" s="1140">
        <v>0</v>
      </c>
      <c r="N186" s="1140">
        <v>0</v>
      </c>
      <c r="O186" s="1140">
        <v>0</v>
      </c>
      <c r="P186" s="1140">
        <f t="shared" si="8"/>
        <v>0</v>
      </c>
    </row>
    <row r="187" spans="1:16" x14ac:dyDescent="0.2">
      <c r="A187" s="1061">
        <v>3894</v>
      </c>
      <c r="B187" s="1061"/>
      <c r="C187" s="1062" t="s">
        <v>952</v>
      </c>
      <c r="D187" s="1054"/>
      <c r="E187" s="1055" t="b">
        <f t="shared" si="7"/>
        <v>0</v>
      </c>
      <c r="F187" s="1055"/>
      <c r="G187" s="1056"/>
      <c r="H187" s="1062"/>
      <c r="I187" s="1054" t="s">
        <v>1416</v>
      </c>
      <c r="J187" s="1054"/>
      <c r="K187" s="1054"/>
      <c r="M187" s="1140">
        <v>0</v>
      </c>
      <c r="N187" s="1140">
        <v>0</v>
      </c>
      <c r="O187" s="1140">
        <v>4944444.444444445</v>
      </c>
      <c r="P187" s="1140">
        <f t="shared" si="8"/>
        <v>4944444.444444445</v>
      </c>
    </row>
    <row r="188" spans="1:16" x14ac:dyDescent="0.2">
      <c r="A188" s="1080">
        <v>4843</v>
      </c>
      <c r="B188" s="1080" t="s">
        <v>1412</v>
      </c>
      <c r="C188" s="1083" t="s">
        <v>953</v>
      </c>
      <c r="D188" s="1063" t="s">
        <v>953</v>
      </c>
      <c r="E188" s="1055">
        <f t="shared" si="7"/>
        <v>0</v>
      </c>
      <c r="F188" s="1064" t="s">
        <v>10</v>
      </c>
      <c r="G188" s="1056" t="e">
        <f t="shared" ref="G188:G251" si="9">E188+F188</f>
        <v>#VALUE!</v>
      </c>
      <c r="H188" s="1083" t="s">
        <v>10</v>
      </c>
      <c r="I188" s="1063" t="s">
        <v>911</v>
      </c>
      <c r="J188" s="1063" t="s">
        <v>10</v>
      </c>
      <c r="K188" s="1063" t="s">
        <v>10</v>
      </c>
      <c r="M188" s="1140">
        <v>361111.11111111112</v>
      </c>
      <c r="N188" s="1140">
        <v>902777.77777777787</v>
      </c>
      <c r="O188" s="1140">
        <v>0</v>
      </c>
      <c r="P188" s="1140">
        <f t="shared" si="8"/>
        <v>1263888.888888889</v>
      </c>
    </row>
    <row r="189" spans="1:16" x14ac:dyDescent="0.2">
      <c r="A189" s="1080">
        <v>4849</v>
      </c>
      <c r="B189" s="1080"/>
      <c r="C189" s="1083" t="s">
        <v>954</v>
      </c>
      <c r="D189" s="1063" t="s">
        <v>954</v>
      </c>
      <c r="E189" s="1055">
        <f t="shared" si="7"/>
        <v>0</v>
      </c>
      <c r="F189" s="1064" t="s">
        <v>10</v>
      </c>
      <c r="G189" s="1056" t="e">
        <f t="shared" si="9"/>
        <v>#VALUE!</v>
      </c>
      <c r="H189" s="1083" t="s">
        <v>10</v>
      </c>
      <c r="I189" s="1063" t="s">
        <v>911</v>
      </c>
      <c r="J189" s="1063" t="s">
        <v>10</v>
      </c>
      <c r="K189" s="1063" t="s">
        <v>10</v>
      </c>
      <c r="M189" s="1140">
        <v>0</v>
      </c>
      <c r="N189" s="1140">
        <v>1027777.7777777779</v>
      </c>
      <c r="O189" s="1140">
        <v>0</v>
      </c>
      <c r="P189" s="1140">
        <f t="shared" si="8"/>
        <v>1027777.7777777779</v>
      </c>
    </row>
    <row r="190" spans="1:16" x14ac:dyDescent="0.2">
      <c r="A190" s="1061">
        <v>4835</v>
      </c>
      <c r="B190" s="1061" t="s">
        <v>1412</v>
      </c>
      <c r="C190" s="1062" t="s">
        <v>955</v>
      </c>
      <c r="D190" s="1054" t="s">
        <v>664</v>
      </c>
      <c r="E190" s="1055" t="b">
        <f t="shared" si="7"/>
        <v>0</v>
      </c>
      <c r="F190" s="1055">
        <v>558000</v>
      </c>
      <c r="G190" s="1056">
        <f t="shared" si="9"/>
        <v>558000</v>
      </c>
      <c r="H190" s="1062" t="s">
        <v>10</v>
      </c>
      <c r="I190" s="1054" t="s">
        <v>1416</v>
      </c>
      <c r="J190" s="1054" t="s">
        <v>1412</v>
      </c>
      <c r="K190" s="1054" t="s">
        <v>199</v>
      </c>
      <c r="M190" s="1140">
        <v>9125000</v>
      </c>
      <c r="N190" s="1140">
        <v>8000000</v>
      </c>
      <c r="O190" s="1140">
        <v>0</v>
      </c>
      <c r="P190" s="1140">
        <f t="shared" si="8"/>
        <v>17125000</v>
      </c>
    </row>
    <row r="191" spans="1:16" x14ac:dyDescent="0.2">
      <c r="A191" s="1061">
        <v>3805</v>
      </c>
      <c r="B191" s="1061" t="s">
        <v>1412</v>
      </c>
      <c r="C191" s="1062" t="s">
        <v>417</v>
      </c>
      <c r="D191" s="1054" t="s">
        <v>417</v>
      </c>
      <c r="E191" s="1055" t="b">
        <f t="shared" si="7"/>
        <v>0</v>
      </c>
      <c r="F191" s="1055">
        <v>407721</v>
      </c>
      <c r="G191" s="1056">
        <f t="shared" si="9"/>
        <v>407721</v>
      </c>
      <c r="H191" s="1062" t="s">
        <v>1412</v>
      </c>
      <c r="I191" s="1054" t="s">
        <v>1416</v>
      </c>
      <c r="J191" s="1054" t="s">
        <v>1412</v>
      </c>
      <c r="K191" s="1054" t="s">
        <v>419</v>
      </c>
      <c r="M191" s="1140">
        <v>3638888.888888889</v>
      </c>
      <c r="N191" s="1140">
        <v>1180555.5555555557</v>
      </c>
      <c r="O191" s="1140">
        <v>0</v>
      </c>
      <c r="P191" s="1140">
        <f t="shared" si="8"/>
        <v>4819444.444444445</v>
      </c>
    </row>
    <row r="192" spans="1:16" x14ac:dyDescent="0.2">
      <c r="A192" s="1061">
        <v>4836</v>
      </c>
      <c r="B192" s="1061"/>
      <c r="C192" s="1062" t="s">
        <v>665</v>
      </c>
      <c r="D192" s="1054" t="s">
        <v>665</v>
      </c>
      <c r="E192" s="1055" t="b">
        <f t="shared" si="7"/>
        <v>0</v>
      </c>
      <c r="F192" s="1055">
        <v>0</v>
      </c>
      <c r="G192" s="1056">
        <f t="shared" si="9"/>
        <v>0</v>
      </c>
      <c r="H192" s="1062" t="s">
        <v>10</v>
      </c>
      <c r="I192" s="1054" t="s">
        <v>1416</v>
      </c>
      <c r="J192" s="1054" t="s">
        <v>10</v>
      </c>
      <c r="K192" s="1054" t="s">
        <v>422</v>
      </c>
      <c r="M192" s="1140">
        <v>1666666.6666666667</v>
      </c>
      <c r="N192" s="1140">
        <v>19152777.77777778</v>
      </c>
      <c r="O192" s="1140">
        <v>263888.88888888893</v>
      </c>
      <c r="P192" s="1140">
        <f t="shared" si="8"/>
        <v>21083333.333333336</v>
      </c>
    </row>
    <row r="193" spans="1:16" x14ac:dyDescent="0.2">
      <c r="A193" s="1075">
        <v>4851</v>
      </c>
      <c r="B193" s="1075"/>
      <c r="C193" s="1076" t="s">
        <v>956</v>
      </c>
      <c r="D193" s="1063" t="s">
        <v>665</v>
      </c>
      <c r="E193" s="1055" t="b">
        <f t="shared" si="7"/>
        <v>0</v>
      </c>
      <c r="F193" s="1064" t="s">
        <v>10</v>
      </c>
      <c r="G193" s="1056" t="e">
        <f t="shared" si="9"/>
        <v>#VALUE!</v>
      </c>
      <c r="H193" s="1062"/>
      <c r="I193" s="1063" t="s">
        <v>1416</v>
      </c>
      <c r="J193" s="1063" t="s">
        <v>10</v>
      </c>
      <c r="K193" s="1063" t="s">
        <v>10</v>
      </c>
      <c r="M193" s="1140">
        <v>0</v>
      </c>
      <c r="N193" s="1140">
        <v>0</v>
      </c>
      <c r="O193" s="1140">
        <v>97222.222222222234</v>
      </c>
      <c r="P193" s="1140">
        <f t="shared" si="8"/>
        <v>97222.222222222234</v>
      </c>
    </row>
    <row r="194" spans="1:16" x14ac:dyDescent="0.2">
      <c r="A194" s="1052">
        <v>3107</v>
      </c>
      <c r="B194" s="1052" t="s">
        <v>1412</v>
      </c>
      <c r="C194" s="1053" t="s">
        <v>423</v>
      </c>
      <c r="D194" s="1054" t="s">
        <v>423</v>
      </c>
      <c r="E194" s="1055" t="b">
        <f t="shared" ref="E194:E253" si="10">IF(I194="regional",IF(R194*0.2975,S194*0.3484),S194*0.1939)</f>
        <v>0</v>
      </c>
      <c r="F194" s="1055">
        <v>659993</v>
      </c>
      <c r="G194" s="1056">
        <f t="shared" si="9"/>
        <v>659993</v>
      </c>
      <c r="H194" s="1053" t="s">
        <v>10</v>
      </c>
      <c r="I194" s="1054" t="s">
        <v>1416</v>
      </c>
      <c r="J194" s="1054" t="s">
        <v>1412</v>
      </c>
      <c r="K194" s="1054" t="s">
        <v>424</v>
      </c>
      <c r="M194" s="1140">
        <v>6847222.2222222229</v>
      </c>
      <c r="N194" s="1140">
        <v>2680555.555555556</v>
      </c>
      <c r="O194" s="1140">
        <v>13888.888888888891</v>
      </c>
      <c r="P194" s="1140">
        <f t="shared" si="8"/>
        <v>9541666.6666666679</v>
      </c>
    </row>
    <row r="195" spans="1:16" x14ac:dyDescent="0.2">
      <c r="A195" s="1052">
        <v>546</v>
      </c>
      <c r="B195" s="1052"/>
      <c r="C195" s="1053" t="s">
        <v>425</v>
      </c>
      <c r="D195" s="1054" t="s">
        <v>425</v>
      </c>
      <c r="E195" s="1055">
        <f t="shared" si="10"/>
        <v>0</v>
      </c>
      <c r="F195" s="1055">
        <v>0</v>
      </c>
      <c r="G195" s="1056">
        <f t="shared" si="9"/>
        <v>0</v>
      </c>
      <c r="H195" s="1053" t="s">
        <v>1417</v>
      </c>
      <c r="I195" s="1054" t="s">
        <v>1512</v>
      </c>
      <c r="J195" s="1054" t="s">
        <v>10</v>
      </c>
      <c r="K195" s="1054" t="s">
        <v>325</v>
      </c>
      <c r="M195" s="1140">
        <v>0</v>
      </c>
      <c r="N195" s="1140">
        <v>0</v>
      </c>
      <c r="O195" s="1140">
        <v>0</v>
      </c>
      <c r="P195" s="1140">
        <f t="shared" ref="P195:P252" si="11">SUM(M195:O195)</f>
        <v>0</v>
      </c>
    </row>
    <row r="196" spans="1:16" x14ac:dyDescent="0.2">
      <c r="A196" s="1052">
        <v>4837</v>
      </c>
      <c r="B196" s="1052"/>
      <c r="C196" s="1053" t="s">
        <v>427</v>
      </c>
      <c r="D196" s="1054" t="s">
        <v>427</v>
      </c>
      <c r="E196" s="1055" t="b">
        <f t="shared" si="10"/>
        <v>0</v>
      </c>
      <c r="F196" s="1055">
        <v>0</v>
      </c>
      <c r="G196" s="1056">
        <f t="shared" si="9"/>
        <v>0</v>
      </c>
      <c r="H196" s="1053" t="s">
        <v>10</v>
      </c>
      <c r="I196" s="1054" t="s">
        <v>1416</v>
      </c>
      <c r="J196" s="1054" t="s">
        <v>1417</v>
      </c>
      <c r="K196" s="1054" t="s">
        <v>429</v>
      </c>
      <c r="M196" s="1140">
        <v>3375000</v>
      </c>
      <c r="N196" s="1140">
        <v>3625000</v>
      </c>
      <c r="O196" s="1140">
        <v>125000</v>
      </c>
      <c r="P196" s="1140">
        <f t="shared" si="11"/>
        <v>7125000</v>
      </c>
    </row>
    <row r="197" spans="1:16" x14ac:dyDescent="0.2">
      <c r="A197" s="1052">
        <v>3625</v>
      </c>
      <c r="B197" s="1052" t="s">
        <v>1412</v>
      </c>
      <c r="C197" s="1053" t="s">
        <v>430</v>
      </c>
      <c r="D197" s="1054" t="s">
        <v>430</v>
      </c>
      <c r="E197" s="1055" t="b">
        <f t="shared" si="10"/>
        <v>0</v>
      </c>
      <c r="F197" s="1055">
        <v>0</v>
      </c>
      <c r="G197" s="1056">
        <f t="shared" si="9"/>
        <v>0</v>
      </c>
      <c r="H197" s="1053" t="s">
        <v>1417</v>
      </c>
      <c r="I197" s="1054" t="s">
        <v>1416</v>
      </c>
      <c r="J197" s="1054" t="s">
        <v>1412</v>
      </c>
      <c r="K197" s="1054" t="s">
        <v>325</v>
      </c>
      <c r="M197" s="1140">
        <v>0</v>
      </c>
      <c r="N197" s="1140">
        <v>0</v>
      </c>
      <c r="O197" s="1140">
        <v>0</v>
      </c>
      <c r="P197" s="1140">
        <f t="shared" si="11"/>
        <v>0</v>
      </c>
    </row>
    <row r="198" spans="1:16" ht="22.5" x14ac:dyDescent="0.2">
      <c r="A198" s="1052">
        <v>303</v>
      </c>
      <c r="B198" s="1052"/>
      <c r="C198" s="1053" t="s">
        <v>432</v>
      </c>
      <c r="D198" s="1054" t="s">
        <v>432</v>
      </c>
      <c r="E198" s="1055">
        <f t="shared" si="10"/>
        <v>0</v>
      </c>
      <c r="F198" s="1055">
        <v>0</v>
      </c>
      <c r="G198" s="1056">
        <f t="shared" si="9"/>
        <v>0</v>
      </c>
      <c r="H198" s="1053" t="s">
        <v>1417</v>
      </c>
      <c r="I198" s="1054" t="s">
        <v>433</v>
      </c>
      <c r="J198" s="1054" t="s">
        <v>1412</v>
      </c>
      <c r="K198" s="1054" t="s">
        <v>36</v>
      </c>
      <c r="M198" s="1140">
        <v>0</v>
      </c>
      <c r="N198" s="1140">
        <v>0</v>
      </c>
      <c r="O198" s="1140">
        <v>0</v>
      </c>
      <c r="P198" s="1140">
        <f t="shared" si="11"/>
        <v>0</v>
      </c>
    </row>
    <row r="199" spans="1:16" x14ac:dyDescent="0.2">
      <c r="A199" s="1052">
        <v>3632</v>
      </c>
      <c r="B199" s="1052"/>
      <c r="C199" s="1053" t="s">
        <v>436</v>
      </c>
      <c r="D199" s="1054" t="s">
        <v>436</v>
      </c>
      <c r="E199" s="1055" t="b">
        <f t="shared" si="10"/>
        <v>0</v>
      </c>
      <c r="F199" s="1055">
        <v>664161</v>
      </c>
      <c r="G199" s="1056">
        <f t="shared" si="9"/>
        <v>664161</v>
      </c>
      <c r="H199" s="1053" t="s">
        <v>1417</v>
      </c>
      <c r="I199" s="1054" t="s">
        <v>1416</v>
      </c>
      <c r="J199" s="1054" t="s">
        <v>1417</v>
      </c>
      <c r="K199" s="1054" t="s">
        <v>422</v>
      </c>
      <c r="M199" s="1140">
        <v>0</v>
      </c>
      <c r="N199" s="1140">
        <v>0</v>
      </c>
      <c r="O199" s="1140">
        <v>0</v>
      </c>
      <c r="P199" s="1140">
        <f t="shared" si="11"/>
        <v>0</v>
      </c>
    </row>
    <row r="200" spans="1:16" x14ac:dyDescent="0.2">
      <c r="A200" s="1052">
        <v>3635</v>
      </c>
      <c r="B200" s="1052" t="s">
        <v>1412</v>
      </c>
      <c r="C200" s="1053" t="s">
        <v>438</v>
      </c>
      <c r="D200" s="1054" t="s">
        <v>438</v>
      </c>
      <c r="E200" s="1055" t="b">
        <f t="shared" si="10"/>
        <v>0</v>
      </c>
      <c r="F200" s="1055">
        <v>0</v>
      </c>
      <c r="G200" s="1056">
        <f t="shared" si="9"/>
        <v>0</v>
      </c>
      <c r="H200" s="1053" t="s">
        <v>1417</v>
      </c>
      <c r="I200" s="1054" t="s">
        <v>1416</v>
      </c>
      <c r="J200" s="1054" t="s">
        <v>1412</v>
      </c>
      <c r="K200" s="1054" t="s">
        <v>422</v>
      </c>
      <c r="M200" s="1140">
        <v>0</v>
      </c>
      <c r="N200" s="1140">
        <v>0</v>
      </c>
      <c r="O200" s="1140">
        <v>0</v>
      </c>
      <c r="P200" s="1140">
        <f t="shared" si="11"/>
        <v>0</v>
      </c>
    </row>
    <row r="201" spans="1:16" x14ac:dyDescent="0.2">
      <c r="A201" s="1052">
        <v>4674</v>
      </c>
      <c r="B201" s="1052" t="s">
        <v>1412</v>
      </c>
      <c r="C201" s="1053" t="s">
        <v>440</v>
      </c>
      <c r="D201" s="1054" t="s">
        <v>440</v>
      </c>
      <c r="E201" s="1055" t="b">
        <f t="shared" si="10"/>
        <v>0</v>
      </c>
      <c r="F201" s="1055">
        <v>0</v>
      </c>
      <c r="G201" s="1056">
        <f t="shared" si="9"/>
        <v>0</v>
      </c>
      <c r="H201" s="1053" t="s">
        <v>10</v>
      </c>
      <c r="I201" s="1054" t="s">
        <v>1416</v>
      </c>
      <c r="J201" s="1054" t="s">
        <v>1412</v>
      </c>
      <c r="K201" s="1054" t="s">
        <v>441</v>
      </c>
      <c r="M201" s="1140">
        <v>10611111.111111112</v>
      </c>
      <c r="N201" s="1140">
        <v>2041666.6666666667</v>
      </c>
      <c r="O201" s="1140">
        <v>402777.77777777781</v>
      </c>
      <c r="P201" s="1140">
        <f t="shared" si="11"/>
        <v>13055555.555555556</v>
      </c>
    </row>
    <row r="202" spans="1:16" x14ac:dyDescent="0.2">
      <c r="A202" s="1052">
        <v>3725</v>
      </c>
      <c r="B202" s="1052" t="s">
        <v>1412</v>
      </c>
      <c r="C202" s="1053" t="s">
        <v>442</v>
      </c>
      <c r="D202" s="1054" t="s">
        <v>442</v>
      </c>
      <c r="E202" s="1055" t="b">
        <f t="shared" si="10"/>
        <v>0</v>
      </c>
      <c r="F202" s="1055">
        <v>0</v>
      </c>
      <c r="G202" s="1056">
        <f t="shared" si="9"/>
        <v>0</v>
      </c>
      <c r="H202" s="1053" t="s">
        <v>10</v>
      </c>
      <c r="I202" s="1054" t="s">
        <v>1416</v>
      </c>
      <c r="J202" s="1054" t="s">
        <v>1412</v>
      </c>
      <c r="K202" s="1054" t="s">
        <v>450</v>
      </c>
      <c r="M202" s="1140">
        <v>569444.4444444445</v>
      </c>
      <c r="N202" s="1140">
        <v>958333.33333333337</v>
      </c>
      <c r="O202" s="1140">
        <v>0</v>
      </c>
      <c r="P202" s="1140">
        <f t="shared" si="11"/>
        <v>1527777.777777778</v>
      </c>
    </row>
    <row r="203" spans="1:16" x14ac:dyDescent="0.2">
      <c r="A203" s="1052">
        <v>4772</v>
      </c>
      <c r="B203" s="1052" t="s">
        <v>1412</v>
      </c>
      <c r="C203" s="1053" t="s">
        <v>442</v>
      </c>
      <c r="D203" s="1054" t="s">
        <v>442</v>
      </c>
      <c r="E203" s="1055" t="b">
        <f t="shared" si="10"/>
        <v>0</v>
      </c>
      <c r="F203" s="1055">
        <v>0</v>
      </c>
      <c r="G203" s="1056">
        <f t="shared" si="9"/>
        <v>0</v>
      </c>
      <c r="H203" s="1053" t="s">
        <v>1417</v>
      </c>
      <c r="I203" s="1054" t="s">
        <v>1416</v>
      </c>
      <c r="J203" s="1054" t="s">
        <v>1412</v>
      </c>
      <c r="K203" s="1054" t="s">
        <v>444</v>
      </c>
      <c r="M203" s="1140">
        <v>0</v>
      </c>
      <c r="N203" s="1140">
        <v>0</v>
      </c>
      <c r="O203" s="1140">
        <v>0</v>
      </c>
      <c r="P203" s="1140">
        <f t="shared" si="11"/>
        <v>0</v>
      </c>
    </row>
    <row r="204" spans="1:16" ht="22.5" x14ac:dyDescent="0.2">
      <c r="A204" s="1052">
        <v>4838</v>
      </c>
      <c r="B204" s="1052"/>
      <c r="C204" s="1053" t="s">
        <v>451</v>
      </c>
      <c r="D204" s="1054" t="s">
        <v>451</v>
      </c>
      <c r="E204" s="1055" t="b">
        <f t="shared" si="10"/>
        <v>0</v>
      </c>
      <c r="F204" s="1055">
        <v>0</v>
      </c>
      <c r="G204" s="1056">
        <f t="shared" si="9"/>
        <v>0</v>
      </c>
      <c r="H204" s="1053" t="s">
        <v>10</v>
      </c>
      <c r="I204" s="1054" t="s">
        <v>1416</v>
      </c>
      <c r="J204" s="1054" t="s">
        <v>1417</v>
      </c>
      <c r="K204" s="1054" t="s">
        <v>453</v>
      </c>
      <c r="M204" s="1140">
        <v>2972222.2222222225</v>
      </c>
      <c r="N204" s="1140">
        <v>10875000</v>
      </c>
      <c r="O204" s="1140">
        <v>69444.444444444453</v>
      </c>
      <c r="P204" s="1140">
        <f t="shared" si="11"/>
        <v>13916666.666666666</v>
      </c>
    </row>
    <row r="205" spans="1:16" x14ac:dyDescent="0.2">
      <c r="A205" s="1052">
        <v>9550</v>
      </c>
      <c r="B205" s="1052"/>
      <c r="C205" s="1053" t="s">
        <v>455</v>
      </c>
      <c r="D205" s="1054" t="s">
        <v>455</v>
      </c>
      <c r="E205" s="1055" t="b">
        <f t="shared" si="10"/>
        <v>0</v>
      </c>
      <c r="F205" s="1055">
        <v>0</v>
      </c>
      <c r="G205" s="1056">
        <f t="shared" si="9"/>
        <v>0</v>
      </c>
      <c r="H205" s="1053" t="s">
        <v>10</v>
      </c>
      <c r="I205" s="1054" t="s">
        <v>1416</v>
      </c>
      <c r="J205" s="1054" t="s">
        <v>1417</v>
      </c>
      <c r="K205" s="1054" t="s">
        <v>1549</v>
      </c>
      <c r="M205" s="1140">
        <v>0</v>
      </c>
      <c r="N205" s="1140">
        <v>4250000</v>
      </c>
      <c r="O205" s="1140">
        <v>166666.66666666669</v>
      </c>
      <c r="P205" s="1140">
        <f t="shared" si="11"/>
        <v>4416666.666666667</v>
      </c>
    </row>
    <row r="206" spans="1:16" x14ac:dyDescent="0.2">
      <c r="A206" s="1052">
        <v>3892</v>
      </c>
      <c r="B206" s="1052"/>
      <c r="C206" s="1053" t="s">
        <v>457</v>
      </c>
      <c r="D206" s="1054" t="s">
        <v>457</v>
      </c>
      <c r="E206" s="1055" t="b">
        <f t="shared" si="10"/>
        <v>0</v>
      </c>
      <c r="F206" s="1055">
        <v>0</v>
      </c>
      <c r="G206" s="1056">
        <f t="shared" si="9"/>
        <v>0</v>
      </c>
      <c r="H206" s="1053" t="s">
        <v>10</v>
      </c>
      <c r="I206" s="1054" t="s">
        <v>1416</v>
      </c>
      <c r="J206" s="1054" t="s">
        <v>1417</v>
      </c>
      <c r="K206" s="1054" t="s">
        <v>460</v>
      </c>
      <c r="M206" s="1140">
        <v>291666.66666666669</v>
      </c>
      <c r="N206" s="1140">
        <v>388888.88888888893</v>
      </c>
      <c r="O206" s="1140">
        <v>27777.777777777781</v>
      </c>
      <c r="P206" s="1140">
        <f t="shared" si="11"/>
        <v>708333.33333333337</v>
      </c>
    </row>
    <row r="207" spans="1:16" x14ac:dyDescent="0.2">
      <c r="A207" s="1052">
        <v>508</v>
      </c>
      <c r="B207" s="1052" t="s">
        <v>1412</v>
      </c>
      <c r="C207" s="1053" t="s">
        <v>462</v>
      </c>
      <c r="D207" s="1054" t="s">
        <v>462</v>
      </c>
      <c r="E207" s="1055" t="b">
        <f t="shared" si="10"/>
        <v>0</v>
      </c>
      <c r="F207" s="1055">
        <v>491081</v>
      </c>
      <c r="G207" s="1056">
        <f t="shared" si="9"/>
        <v>491081</v>
      </c>
      <c r="H207" s="1053" t="s">
        <v>10</v>
      </c>
      <c r="I207" s="1054" t="s">
        <v>1416</v>
      </c>
      <c r="J207" s="1054" t="s">
        <v>1412</v>
      </c>
      <c r="K207" s="1054" t="s">
        <v>464</v>
      </c>
      <c r="M207" s="1140">
        <v>4555555.555555556</v>
      </c>
      <c r="N207" s="1140">
        <v>1513888.888888889</v>
      </c>
      <c r="O207" s="1140">
        <v>0</v>
      </c>
      <c r="P207" s="1140">
        <f t="shared" si="11"/>
        <v>6069444.444444445</v>
      </c>
    </row>
    <row r="208" spans="1:16" x14ac:dyDescent="0.2">
      <c r="A208" s="1052">
        <v>3881</v>
      </c>
      <c r="B208" s="1052" t="s">
        <v>1412</v>
      </c>
      <c r="C208" s="1053" t="s">
        <v>958</v>
      </c>
      <c r="D208" s="1054" t="s">
        <v>667</v>
      </c>
      <c r="E208" s="1055" t="b">
        <f t="shared" si="10"/>
        <v>0</v>
      </c>
      <c r="F208" s="1055">
        <v>1130444</v>
      </c>
      <c r="G208" s="1056">
        <f t="shared" si="9"/>
        <v>1130444</v>
      </c>
      <c r="H208" s="1053" t="s">
        <v>1417</v>
      </c>
      <c r="I208" s="1054" t="s">
        <v>1416</v>
      </c>
      <c r="J208" s="1054" t="s">
        <v>1412</v>
      </c>
      <c r="K208" s="1054" t="s">
        <v>1418</v>
      </c>
      <c r="M208" s="1140">
        <v>0</v>
      </c>
      <c r="N208" s="1140">
        <v>0</v>
      </c>
      <c r="O208" s="1140">
        <v>0</v>
      </c>
      <c r="P208" s="1140">
        <f t="shared" si="11"/>
        <v>0</v>
      </c>
    </row>
    <row r="209" spans="1:16" x14ac:dyDescent="0.2">
      <c r="A209" s="1052">
        <v>3762</v>
      </c>
      <c r="B209" s="1052"/>
      <c r="C209" s="1053" t="s">
        <v>468</v>
      </c>
      <c r="D209" s="1054" t="s">
        <v>468</v>
      </c>
      <c r="E209" s="1055">
        <f t="shared" si="10"/>
        <v>0</v>
      </c>
      <c r="F209" s="1055">
        <v>0</v>
      </c>
      <c r="G209" s="1056">
        <f t="shared" si="9"/>
        <v>0</v>
      </c>
      <c r="H209" s="1053" t="s">
        <v>10</v>
      </c>
      <c r="I209" s="1054" t="s">
        <v>1512</v>
      </c>
      <c r="J209" s="1054" t="s">
        <v>10</v>
      </c>
      <c r="K209" s="1054" t="s">
        <v>469</v>
      </c>
      <c r="M209" s="1140">
        <v>0</v>
      </c>
      <c r="N209" s="1140">
        <v>319444.4444444445</v>
      </c>
      <c r="O209" s="1140">
        <v>69444.444444444453</v>
      </c>
      <c r="P209" s="1140">
        <f t="shared" si="11"/>
        <v>388888.88888888893</v>
      </c>
    </row>
    <row r="210" spans="1:16" x14ac:dyDescent="0.2">
      <c r="A210" s="1052">
        <v>9570</v>
      </c>
      <c r="B210" s="1052"/>
      <c r="C210" s="1053" t="s">
        <v>470</v>
      </c>
      <c r="D210" s="1054" t="s">
        <v>470</v>
      </c>
      <c r="E210" s="1055" t="b">
        <f t="shared" si="10"/>
        <v>0</v>
      </c>
      <c r="F210" s="1055">
        <v>0</v>
      </c>
      <c r="G210" s="1056">
        <f t="shared" si="9"/>
        <v>0</v>
      </c>
      <c r="H210" s="1053" t="s">
        <v>10</v>
      </c>
      <c r="I210" s="1054" t="s">
        <v>1416</v>
      </c>
      <c r="J210" s="1054" t="s">
        <v>1417</v>
      </c>
      <c r="K210" s="1054" t="s">
        <v>1549</v>
      </c>
      <c r="M210" s="1140">
        <v>0</v>
      </c>
      <c r="N210" s="1140">
        <v>2513888.888888889</v>
      </c>
      <c r="O210" s="1140">
        <v>611111.11111111112</v>
      </c>
      <c r="P210" s="1140">
        <f t="shared" si="11"/>
        <v>3125000</v>
      </c>
    </row>
    <row r="211" spans="1:16" x14ac:dyDescent="0.2">
      <c r="A211" s="1052">
        <v>2550</v>
      </c>
      <c r="B211" s="1052" t="s">
        <v>1412</v>
      </c>
      <c r="C211" s="1053" t="s">
        <v>472</v>
      </c>
      <c r="D211" s="1054" t="s">
        <v>472</v>
      </c>
      <c r="E211" s="1055" t="b">
        <f t="shared" si="10"/>
        <v>0</v>
      </c>
      <c r="F211" s="1055">
        <v>516572</v>
      </c>
      <c r="G211" s="1056">
        <f t="shared" si="9"/>
        <v>516572</v>
      </c>
      <c r="H211" s="1053" t="s">
        <v>10</v>
      </c>
      <c r="I211" s="1054" t="s">
        <v>1416</v>
      </c>
      <c r="J211" s="1054" t="s">
        <v>1412</v>
      </c>
      <c r="K211" s="1054" t="s">
        <v>8</v>
      </c>
      <c r="M211" s="1140">
        <v>5722222.2222222229</v>
      </c>
      <c r="N211" s="1140">
        <v>3111111.1111111115</v>
      </c>
      <c r="O211" s="1140">
        <v>0</v>
      </c>
      <c r="P211" s="1140">
        <f t="shared" si="11"/>
        <v>8833333.333333334</v>
      </c>
    </row>
    <row r="212" spans="1:16" x14ac:dyDescent="0.2">
      <c r="A212" s="1052">
        <v>9600</v>
      </c>
      <c r="B212" s="1052"/>
      <c r="C212" s="1053" t="s">
        <v>473</v>
      </c>
      <c r="D212" s="1054" t="s">
        <v>473</v>
      </c>
      <c r="E212" s="1055" t="b">
        <f t="shared" si="10"/>
        <v>0</v>
      </c>
      <c r="F212" s="1055">
        <v>0</v>
      </c>
      <c r="G212" s="1056">
        <f t="shared" si="9"/>
        <v>0</v>
      </c>
      <c r="H212" s="1053" t="s">
        <v>10</v>
      </c>
      <c r="I212" s="1054" t="s">
        <v>1416</v>
      </c>
      <c r="J212" s="1054" t="s">
        <v>1417</v>
      </c>
      <c r="K212" s="1054" t="s">
        <v>475</v>
      </c>
      <c r="M212" s="1140">
        <v>0</v>
      </c>
      <c r="N212" s="1140">
        <v>1708333.3333333335</v>
      </c>
      <c r="O212" s="1140">
        <v>291666.66666666669</v>
      </c>
      <c r="P212" s="1140">
        <f t="shared" si="11"/>
        <v>2000000.0000000002</v>
      </c>
    </row>
    <row r="213" spans="1:16" x14ac:dyDescent="0.2">
      <c r="A213" s="1052">
        <v>3911</v>
      </c>
      <c r="B213" s="1052"/>
      <c r="C213" s="1053" t="s">
        <v>476</v>
      </c>
      <c r="D213" s="1054" t="s">
        <v>476</v>
      </c>
      <c r="E213" s="1055">
        <f t="shared" si="10"/>
        <v>0</v>
      </c>
      <c r="F213" s="1055">
        <v>0</v>
      </c>
      <c r="G213" s="1056">
        <f t="shared" si="9"/>
        <v>0</v>
      </c>
      <c r="H213" s="1053" t="s">
        <v>10</v>
      </c>
      <c r="I213" s="1054" t="s">
        <v>1512</v>
      </c>
      <c r="J213" s="1054" t="s">
        <v>10</v>
      </c>
      <c r="K213" s="1054" t="s">
        <v>19</v>
      </c>
      <c r="M213" s="1140">
        <v>0</v>
      </c>
      <c r="N213" s="1140">
        <v>111111.11111111112</v>
      </c>
      <c r="O213" s="1140">
        <v>0</v>
      </c>
      <c r="P213" s="1140">
        <f t="shared" si="11"/>
        <v>111111.11111111112</v>
      </c>
    </row>
    <row r="214" spans="1:16" x14ac:dyDescent="0.2">
      <c r="A214" s="1052">
        <v>9620</v>
      </c>
      <c r="B214" s="1052"/>
      <c r="C214" s="1053" t="s">
        <v>478</v>
      </c>
      <c r="D214" s="1054" t="s">
        <v>478</v>
      </c>
      <c r="E214" s="1055">
        <f t="shared" si="10"/>
        <v>0</v>
      </c>
      <c r="F214" s="1055">
        <v>0</v>
      </c>
      <c r="G214" s="1056">
        <f t="shared" si="9"/>
        <v>0</v>
      </c>
      <c r="H214" s="1053" t="s">
        <v>10</v>
      </c>
      <c r="I214" s="1054" t="s">
        <v>1512</v>
      </c>
      <c r="J214" s="1054" t="s">
        <v>10</v>
      </c>
      <c r="K214" s="1054" t="s">
        <v>78</v>
      </c>
      <c r="M214" s="1140">
        <v>0</v>
      </c>
      <c r="N214" s="1140">
        <v>13888.888888888891</v>
      </c>
      <c r="O214" s="1140">
        <v>0</v>
      </c>
      <c r="P214" s="1140">
        <f t="shared" si="11"/>
        <v>13888.888888888891</v>
      </c>
    </row>
    <row r="215" spans="1:16" x14ac:dyDescent="0.2">
      <c r="A215" s="1075">
        <v>4602</v>
      </c>
      <c r="B215" s="1075"/>
      <c r="C215" s="1076" t="s">
        <v>959</v>
      </c>
      <c r="D215" s="1063" t="s">
        <v>959</v>
      </c>
      <c r="E215" s="1055" t="b">
        <f t="shared" si="10"/>
        <v>0</v>
      </c>
      <c r="F215" s="1064" t="s">
        <v>10</v>
      </c>
      <c r="G215" s="1056" t="e">
        <f t="shared" si="9"/>
        <v>#VALUE!</v>
      </c>
      <c r="H215" s="1062" t="s">
        <v>1417</v>
      </c>
      <c r="I215" s="1063" t="s">
        <v>1416</v>
      </c>
      <c r="J215" s="1063" t="s">
        <v>10</v>
      </c>
      <c r="K215" s="1063" t="s">
        <v>10</v>
      </c>
      <c r="M215" s="1140">
        <v>0</v>
      </c>
      <c r="N215" s="1140">
        <v>0</v>
      </c>
      <c r="O215" s="1140">
        <v>0</v>
      </c>
      <c r="P215" s="1140">
        <f t="shared" si="11"/>
        <v>0</v>
      </c>
    </row>
    <row r="216" spans="1:16" x14ac:dyDescent="0.2">
      <c r="A216" s="1061">
        <v>2307</v>
      </c>
      <c r="B216" s="1061" t="s">
        <v>1412</v>
      </c>
      <c r="C216" s="1062" t="s">
        <v>479</v>
      </c>
      <c r="D216" s="1054" t="s">
        <v>479</v>
      </c>
      <c r="E216" s="1055" t="b">
        <f t="shared" si="10"/>
        <v>0</v>
      </c>
      <c r="F216" s="1055">
        <v>0</v>
      </c>
      <c r="G216" s="1056">
        <f t="shared" si="9"/>
        <v>0</v>
      </c>
      <c r="H216" s="1062" t="s">
        <v>10</v>
      </c>
      <c r="I216" s="1054" t="s">
        <v>1416</v>
      </c>
      <c r="J216" s="1054" t="s">
        <v>1412</v>
      </c>
      <c r="K216" s="1054" t="s">
        <v>19</v>
      </c>
      <c r="M216" s="1140">
        <v>527777.77777777787</v>
      </c>
      <c r="N216" s="1140">
        <v>861111.11111111112</v>
      </c>
      <c r="O216" s="1140">
        <v>208333.33333333334</v>
      </c>
      <c r="P216" s="1140">
        <f t="shared" si="11"/>
        <v>1597222.2222222222</v>
      </c>
    </row>
    <row r="217" spans="1:16" x14ac:dyDescent="0.2">
      <c r="A217" s="1052">
        <v>2311</v>
      </c>
      <c r="B217" s="1052"/>
      <c r="C217" s="1053" t="s">
        <v>480</v>
      </c>
      <c r="D217" s="1054" t="s">
        <v>480</v>
      </c>
      <c r="E217" s="1055">
        <f t="shared" si="10"/>
        <v>0</v>
      </c>
      <c r="F217" s="1055">
        <v>0</v>
      </c>
      <c r="G217" s="1056">
        <f t="shared" si="9"/>
        <v>0</v>
      </c>
      <c r="H217" s="1053" t="s">
        <v>10</v>
      </c>
      <c r="I217" s="1054" t="s">
        <v>1512</v>
      </c>
      <c r="J217" s="1054" t="s">
        <v>1417</v>
      </c>
      <c r="K217" s="1054" t="s">
        <v>19</v>
      </c>
      <c r="M217" s="1140">
        <v>0</v>
      </c>
      <c r="N217" s="1140">
        <v>0</v>
      </c>
      <c r="O217" s="1140">
        <v>69444.444444444453</v>
      </c>
      <c r="P217" s="1140">
        <f t="shared" si="11"/>
        <v>69444.444444444453</v>
      </c>
    </row>
    <row r="218" spans="1:16" x14ac:dyDescent="0.2">
      <c r="A218" s="1052">
        <v>3633</v>
      </c>
      <c r="B218" s="1052" t="s">
        <v>1412</v>
      </c>
      <c r="C218" s="1053" t="s">
        <v>481</v>
      </c>
      <c r="D218" s="1054" t="s">
        <v>481</v>
      </c>
      <c r="E218" s="1055" t="b">
        <f t="shared" si="10"/>
        <v>0</v>
      </c>
      <c r="F218" s="1055">
        <v>0</v>
      </c>
      <c r="G218" s="1056">
        <f t="shared" si="9"/>
        <v>0</v>
      </c>
      <c r="H218" s="1053" t="s">
        <v>1417</v>
      </c>
      <c r="I218" s="1054" t="s">
        <v>1416</v>
      </c>
      <c r="J218" s="1054" t="s">
        <v>1412</v>
      </c>
      <c r="K218" s="1054" t="s">
        <v>10</v>
      </c>
      <c r="M218" s="1140">
        <v>0</v>
      </c>
      <c r="N218" s="1140">
        <v>0</v>
      </c>
      <c r="O218" s="1140">
        <v>0</v>
      </c>
      <c r="P218" s="1140">
        <f t="shared" si="11"/>
        <v>0</v>
      </c>
    </row>
    <row r="219" spans="1:16" x14ac:dyDescent="0.2">
      <c r="A219" s="1052">
        <v>4839</v>
      </c>
      <c r="B219" s="1052" t="s">
        <v>1412</v>
      </c>
      <c r="C219" s="1053" t="s">
        <v>482</v>
      </c>
      <c r="D219" s="1054" t="s">
        <v>482</v>
      </c>
      <c r="E219" s="1055" t="b">
        <f t="shared" si="10"/>
        <v>0</v>
      </c>
      <c r="F219" s="1055">
        <v>0</v>
      </c>
      <c r="G219" s="1056">
        <f t="shared" si="9"/>
        <v>0</v>
      </c>
      <c r="H219" s="1053" t="s">
        <v>10</v>
      </c>
      <c r="I219" s="1054" t="s">
        <v>1416</v>
      </c>
      <c r="J219" s="1054" t="s">
        <v>1412</v>
      </c>
      <c r="K219" s="1054" t="s">
        <v>325</v>
      </c>
      <c r="M219" s="1140">
        <v>0</v>
      </c>
      <c r="N219" s="1140">
        <v>7916666.666666667</v>
      </c>
      <c r="O219" s="1140">
        <v>13888.888888888891</v>
      </c>
      <c r="P219" s="1140">
        <f t="shared" si="11"/>
        <v>7930555.555555556</v>
      </c>
    </row>
    <row r="220" spans="1:16" x14ac:dyDescent="0.2">
      <c r="A220" s="1052">
        <v>4840</v>
      </c>
      <c r="B220" s="1052" t="s">
        <v>1412</v>
      </c>
      <c r="C220" s="1053" t="s">
        <v>484</v>
      </c>
      <c r="D220" s="1054" t="s">
        <v>484</v>
      </c>
      <c r="E220" s="1055" t="b">
        <f t="shared" si="10"/>
        <v>0</v>
      </c>
      <c r="F220" s="1055">
        <v>0</v>
      </c>
      <c r="G220" s="1056">
        <f t="shared" si="9"/>
        <v>0</v>
      </c>
      <c r="H220" s="1053" t="s">
        <v>1417</v>
      </c>
      <c r="I220" s="1054" t="s">
        <v>1416</v>
      </c>
      <c r="J220" s="1054" t="s">
        <v>1412</v>
      </c>
      <c r="K220" s="1054" t="s">
        <v>126</v>
      </c>
      <c r="M220" s="1140">
        <v>0</v>
      </c>
      <c r="N220" s="1140">
        <v>0</v>
      </c>
      <c r="O220" s="1140">
        <v>0</v>
      </c>
      <c r="P220" s="1140">
        <f t="shared" si="11"/>
        <v>0</v>
      </c>
    </row>
    <row r="221" spans="1:16" x14ac:dyDescent="0.2">
      <c r="A221" s="1052">
        <v>2105</v>
      </c>
      <c r="B221" s="1052" t="s">
        <v>1412</v>
      </c>
      <c r="C221" s="1053" t="s">
        <v>486</v>
      </c>
      <c r="D221" s="1054" t="s">
        <v>486</v>
      </c>
      <c r="E221" s="1055" t="b">
        <f t="shared" si="10"/>
        <v>0</v>
      </c>
      <c r="F221" s="1055">
        <v>541854</v>
      </c>
      <c r="G221" s="1056">
        <f t="shared" si="9"/>
        <v>541854</v>
      </c>
      <c r="H221" s="1053" t="s">
        <v>10</v>
      </c>
      <c r="I221" s="1054" t="s">
        <v>1416</v>
      </c>
      <c r="J221" s="1054" t="s">
        <v>1412</v>
      </c>
      <c r="K221" s="1054" t="s">
        <v>488</v>
      </c>
      <c r="M221" s="1140">
        <v>3861111.1111111115</v>
      </c>
      <c r="N221" s="1140">
        <v>1763888.888888889</v>
      </c>
      <c r="O221" s="1140">
        <v>13888.888888888891</v>
      </c>
      <c r="P221" s="1140">
        <f t="shared" si="11"/>
        <v>5638888.888888889</v>
      </c>
    </row>
    <row r="222" spans="1:16" x14ac:dyDescent="0.2">
      <c r="A222" s="1052">
        <v>3920</v>
      </c>
      <c r="B222" s="1052" t="s">
        <v>1412</v>
      </c>
      <c r="C222" s="1053" t="s">
        <v>489</v>
      </c>
      <c r="D222" s="1054" t="s">
        <v>489</v>
      </c>
      <c r="E222" s="1055" t="b">
        <f t="shared" si="10"/>
        <v>0</v>
      </c>
      <c r="F222" s="1055">
        <v>0</v>
      </c>
      <c r="G222" s="1056">
        <f t="shared" si="9"/>
        <v>0</v>
      </c>
      <c r="H222" s="1053" t="s">
        <v>10</v>
      </c>
      <c r="I222" s="1054" t="s">
        <v>1416</v>
      </c>
      <c r="J222" s="1054" t="s">
        <v>1412</v>
      </c>
      <c r="K222" s="1054" t="s">
        <v>490</v>
      </c>
      <c r="M222" s="1140">
        <v>1305555.5555555557</v>
      </c>
      <c r="N222" s="1140">
        <v>1444444.4444444445</v>
      </c>
      <c r="O222" s="1140">
        <v>13888.888888888891</v>
      </c>
      <c r="P222" s="1140">
        <f t="shared" si="11"/>
        <v>2763888.888888889</v>
      </c>
    </row>
    <row r="223" spans="1:16" x14ac:dyDescent="0.2">
      <c r="A223" s="1052">
        <v>9896</v>
      </c>
      <c r="B223" s="1052"/>
      <c r="C223" s="1053" t="s">
        <v>491</v>
      </c>
      <c r="D223" s="1054" t="s">
        <v>491</v>
      </c>
      <c r="E223" s="1055" t="b">
        <f t="shared" si="10"/>
        <v>0</v>
      </c>
      <c r="F223" s="1055">
        <v>0</v>
      </c>
      <c r="G223" s="1056">
        <f t="shared" si="9"/>
        <v>0</v>
      </c>
      <c r="H223" s="1053" t="s">
        <v>10</v>
      </c>
      <c r="I223" s="1054" t="s">
        <v>1416</v>
      </c>
      <c r="J223" s="1054" t="s">
        <v>10</v>
      </c>
      <c r="K223" s="1054" t="s">
        <v>325</v>
      </c>
      <c r="M223" s="1140">
        <v>0</v>
      </c>
      <c r="N223" s="1140">
        <v>3791666.666666667</v>
      </c>
      <c r="O223" s="1140">
        <v>41666.666666666672</v>
      </c>
      <c r="P223" s="1140">
        <f t="shared" si="11"/>
        <v>3833333.3333333335</v>
      </c>
    </row>
    <row r="224" spans="1:16" x14ac:dyDescent="0.2">
      <c r="A224" s="1052">
        <v>3951</v>
      </c>
      <c r="B224" s="1052"/>
      <c r="C224" s="1062" t="s">
        <v>493</v>
      </c>
      <c r="D224" s="1054" t="s">
        <v>493</v>
      </c>
      <c r="E224" s="1055" t="b">
        <f t="shared" si="10"/>
        <v>0</v>
      </c>
      <c r="F224" s="1055">
        <v>235391</v>
      </c>
      <c r="G224" s="1056">
        <f t="shared" si="9"/>
        <v>235391</v>
      </c>
      <c r="H224" s="1053" t="s">
        <v>1417</v>
      </c>
      <c r="I224" s="1054" t="s">
        <v>1416</v>
      </c>
      <c r="J224" s="1054" t="s">
        <v>1417</v>
      </c>
      <c r="K224" s="1054" t="s">
        <v>496</v>
      </c>
      <c r="M224" s="1140">
        <v>0</v>
      </c>
      <c r="N224" s="1140">
        <v>0</v>
      </c>
      <c r="O224" s="1140">
        <v>0</v>
      </c>
      <c r="P224" s="1140">
        <f t="shared" si="11"/>
        <v>0</v>
      </c>
    </row>
    <row r="225" spans="1:16" x14ac:dyDescent="0.2">
      <c r="A225" s="1052">
        <v>9690</v>
      </c>
      <c r="B225" s="1052"/>
      <c r="C225" s="1053" t="s">
        <v>497</v>
      </c>
      <c r="D225" s="1054" t="s">
        <v>497</v>
      </c>
      <c r="E225" s="1055" t="b">
        <f t="shared" si="10"/>
        <v>0</v>
      </c>
      <c r="F225" s="1055">
        <v>0</v>
      </c>
      <c r="G225" s="1056">
        <f t="shared" si="9"/>
        <v>0</v>
      </c>
      <c r="H225" s="1053" t="s">
        <v>10</v>
      </c>
      <c r="I225" s="1054" t="s">
        <v>1416</v>
      </c>
      <c r="J225" s="1054" t="s">
        <v>1417</v>
      </c>
      <c r="K225" s="1054" t="s">
        <v>78</v>
      </c>
      <c r="M225" s="1140">
        <v>0</v>
      </c>
      <c r="N225" s="1140">
        <v>3250000</v>
      </c>
      <c r="O225" s="1140">
        <v>13888.888888888891</v>
      </c>
      <c r="P225" s="1140">
        <f t="shared" si="11"/>
        <v>3263888.888888889</v>
      </c>
    </row>
    <row r="226" spans="1:16" x14ac:dyDescent="0.2">
      <c r="A226" s="1052">
        <v>9711</v>
      </c>
      <c r="B226" s="1052"/>
      <c r="C226" s="1053" t="s">
        <v>499</v>
      </c>
      <c r="D226" s="1054" t="s">
        <v>499</v>
      </c>
      <c r="E226" s="1055">
        <f t="shared" si="10"/>
        <v>0</v>
      </c>
      <c r="F226" s="1055">
        <v>0</v>
      </c>
      <c r="G226" s="1056">
        <f t="shared" si="9"/>
        <v>0</v>
      </c>
      <c r="H226" s="1053" t="s">
        <v>1417</v>
      </c>
      <c r="I226" s="1054" t="s">
        <v>1512</v>
      </c>
      <c r="J226" s="1054" t="s">
        <v>10</v>
      </c>
      <c r="K226" s="1054" t="s">
        <v>501</v>
      </c>
      <c r="M226" s="1140">
        <v>0</v>
      </c>
      <c r="N226" s="1140">
        <v>0</v>
      </c>
      <c r="O226" s="1140">
        <v>0</v>
      </c>
      <c r="P226" s="1140">
        <f t="shared" si="11"/>
        <v>0</v>
      </c>
    </row>
    <row r="227" spans="1:16" x14ac:dyDescent="0.2">
      <c r="A227" s="1052">
        <v>2520</v>
      </c>
      <c r="B227" s="1052" t="s">
        <v>1412</v>
      </c>
      <c r="C227" s="1053" t="s">
        <v>504</v>
      </c>
      <c r="D227" s="1054" t="s">
        <v>504</v>
      </c>
      <c r="E227" s="1055" t="b">
        <f t="shared" si="10"/>
        <v>0</v>
      </c>
      <c r="F227" s="1055">
        <v>0</v>
      </c>
      <c r="G227" s="1056">
        <f t="shared" si="9"/>
        <v>0</v>
      </c>
      <c r="H227" s="1053" t="s">
        <v>10</v>
      </c>
      <c r="I227" s="1054" t="s">
        <v>1416</v>
      </c>
      <c r="J227" s="1054" t="s">
        <v>1417</v>
      </c>
      <c r="K227" s="1054" t="s">
        <v>506</v>
      </c>
      <c r="M227" s="1140">
        <v>2819444.4444444445</v>
      </c>
      <c r="N227" s="1140">
        <v>1138888.888888889</v>
      </c>
      <c r="O227" s="1140">
        <v>41666.666666666672</v>
      </c>
      <c r="P227" s="1140">
        <f t="shared" si="11"/>
        <v>4000000</v>
      </c>
    </row>
    <row r="228" spans="1:16" x14ac:dyDescent="0.2">
      <c r="A228" s="1052">
        <v>4116</v>
      </c>
      <c r="B228" s="1052"/>
      <c r="C228" s="1053" t="s">
        <v>504</v>
      </c>
      <c r="D228" s="1054" t="s">
        <v>504</v>
      </c>
      <c r="E228" s="1055" t="b">
        <f t="shared" si="10"/>
        <v>0</v>
      </c>
      <c r="F228" s="1055">
        <v>315718</v>
      </c>
      <c r="G228" s="1056">
        <f t="shared" si="9"/>
        <v>315718</v>
      </c>
      <c r="H228" s="1053" t="s">
        <v>10</v>
      </c>
      <c r="I228" s="1054" t="s">
        <v>1416</v>
      </c>
      <c r="J228" s="1054" t="s">
        <v>1412</v>
      </c>
      <c r="K228" s="1054" t="s">
        <v>506</v>
      </c>
      <c r="M228" s="1140">
        <v>430555.55555555556</v>
      </c>
      <c r="N228" s="1140">
        <v>694444.4444444445</v>
      </c>
      <c r="O228" s="1140">
        <v>27777.777777777781</v>
      </c>
      <c r="P228" s="1140">
        <f t="shared" si="11"/>
        <v>1152777.7777777778</v>
      </c>
    </row>
    <row r="229" spans="1:16" x14ac:dyDescent="0.2">
      <c r="A229" s="1052">
        <v>9710</v>
      </c>
      <c r="B229" s="1052"/>
      <c r="C229" s="1053" t="s">
        <v>507</v>
      </c>
      <c r="D229" s="1054" t="s">
        <v>507</v>
      </c>
      <c r="E229" s="1055" t="b">
        <f t="shared" si="10"/>
        <v>0</v>
      </c>
      <c r="F229" s="1055">
        <v>0</v>
      </c>
      <c r="G229" s="1056">
        <f t="shared" si="9"/>
        <v>0</v>
      </c>
      <c r="H229" s="1053" t="s">
        <v>1417</v>
      </c>
      <c r="I229" s="1054" t="s">
        <v>1416</v>
      </c>
      <c r="J229" s="1054" t="s">
        <v>10</v>
      </c>
      <c r="K229" s="1054" t="s">
        <v>501</v>
      </c>
      <c r="M229" s="1140">
        <v>0</v>
      </c>
      <c r="N229" s="1140">
        <v>0</v>
      </c>
      <c r="O229" s="1140">
        <v>0</v>
      </c>
      <c r="P229" s="1140">
        <f t="shared" si="11"/>
        <v>0</v>
      </c>
    </row>
    <row r="230" spans="1:16" x14ac:dyDescent="0.2">
      <c r="A230" s="1052">
        <v>9750</v>
      </c>
      <c r="B230" s="1052"/>
      <c r="C230" s="1053" t="s">
        <v>509</v>
      </c>
      <c r="D230" s="1054" t="s">
        <v>509</v>
      </c>
      <c r="E230" s="1055" t="b">
        <f t="shared" si="10"/>
        <v>0</v>
      </c>
      <c r="F230" s="1055">
        <v>0</v>
      </c>
      <c r="G230" s="1056">
        <f t="shared" si="9"/>
        <v>0</v>
      </c>
      <c r="H230" s="1053" t="s">
        <v>10</v>
      </c>
      <c r="I230" s="1054" t="s">
        <v>1416</v>
      </c>
      <c r="J230" s="1054" t="s">
        <v>1417</v>
      </c>
      <c r="K230" s="1054" t="s">
        <v>1549</v>
      </c>
      <c r="M230" s="1140">
        <v>0</v>
      </c>
      <c r="N230" s="1140">
        <v>1125000</v>
      </c>
      <c r="O230" s="1140">
        <v>152777.77777777778</v>
      </c>
      <c r="P230" s="1140">
        <f t="shared" si="11"/>
        <v>1277777.7777777778</v>
      </c>
    </row>
    <row r="231" spans="1:16" x14ac:dyDescent="0.2">
      <c r="A231" s="1052">
        <v>1511</v>
      </c>
      <c r="B231" s="1052" t="s">
        <v>1412</v>
      </c>
      <c r="C231" s="1053" t="s">
        <v>510</v>
      </c>
      <c r="D231" s="1054" t="s">
        <v>510</v>
      </c>
      <c r="E231" s="1055" t="b">
        <f t="shared" si="10"/>
        <v>0</v>
      </c>
      <c r="F231" s="1055">
        <v>0</v>
      </c>
      <c r="G231" s="1056">
        <f t="shared" si="9"/>
        <v>0</v>
      </c>
      <c r="H231" s="1053" t="s">
        <v>10</v>
      </c>
      <c r="I231" s="1054" t="s">
        <v>1416</v>
      </c>
      <c r="J231" s="1054" t="s">
        <v>1412</v>
      </c>
      <c r="K231" s="1054" t="s">
        <v>512</v>
      </c>
      <c r="M231" s="1140">
        <v>1083333.3333333335</v>
      </c>
      <c r="N231" s="1140">
        <v>833333.33333333337</v>
      </c>
      <c r="O231" s="1140">
        <v>125000</v>
      </c>
      <c r="P231" s="1140">
        <f t="shared" si="11"/>
        <v>2041666.666666667</v>
      </c>
    </row>
    <row r="232" spans="1:16" x14ac:dyDescent="0.2">
      <c r="A232" s="1075">
        <v>4775</v>
      </c>
      <c r="B232" s="1075"/>
      <c r="C232" s="1076" t="s">
        <v>513</v>
      </c>
      <c r="D232" s="1054" t="s">
        <v>513</v>
      </c>
      <c r="E232" s="1055" t="b">
        <f t="shared" si="10"/>
        <v>0</v>
      </c>
      <c r="F232" s="1055">
        <v>0</v>
      </c>
      <c r="G232" s="1056">
        <f t="shared" si="9"/>
        <v>0</v>
      </c>
      <c r="H232" s="1062" t="s">
        <v>1417</v>
      </c>
      <c r="I232" s="1063" t="s">
        <v>1416</v>
      </c>
      <c r="J232" s="1054" t="s">
        <v>10</v>
      </c>
      <c r="K232" s="1054" t="s">
        <v>1411</v>
      </c>
      <c r="M232" s="1140">
        <v>0</v>
      </c>
      <c r="N232" s="1140">
        <v>0</v>
      </c>
      <c r="O232" s="1140">
        <v>0</v>
      </c>
      <c r="P232" s="1140">
        <f t="shared" si="11"/>
        <v>0</v>
      </c>
    </row>
    <row r="233" spans="1:16" x14ac:dyDescent="0.2">
      <c r="A233" s="1052">
        <v>4316</v>
      </c>
      <c r="B233" s="1052"/>
      <c r="C233" s="1053" t="s">
        <v>514</v>
      </c>
      <c r="D233" s="1054" t="s">
        <v>514</v>
      </c>
      <c r="E233" s="1055">
        <f t="shared" si="10"/>
        <v>0</v>
      </c>
      <c r="F233" s="1055">
        <v>0</v>
      </c>
      <c r="G233" s="1056">
        <f t="shared" si="9"/>
        <v>0</v>
      </c>
      <c r="H233" s="1053" t="s">
        <v>1417</v>
      </c>
      <c r="I233" s="1054" t="s">
        <v>1512</v>
      </c>
      <c r="J233" s="1054" t="s">
        <v>10</v>
      </c>
      <c r="K233" s="1054" t="s">
        <v>19</v>
      </c>
      <c r="M233" s="1140">
        <v>0</v>
      </c>
      <c r="N233" s="1140">
        <v>0</v>
      </c>
      <c r="O233" s="1140">
        <v>0</v>
      </c>
      <c r="P233" s="1140">
        <f t="shared" si="11"/>
        <v>0</v>
      </c>
    </row>
    <row r="234" spans="1:16" x14ac:dyDescent="0.2">
      <c r="A234" s="1052">
        <v>9270</v>
      </c>
      <c r="B234" s="1052" t="s">
        <v>1412</v>
      </c>
      <c r="C234" s="1053" t="s">
        <v>516</v>
      </c>
      <c r="D234" s="1054" t="s">
        <v>516</v>
      </c>
      <c r="E234" s="1055" t="b">
        <f t="shared" si="10"/>
        <v>0</v>
      </c>
      <c r="F234" s="1055">
        <v>0</v>
      </c>
      <c r="G234" s="1056">
        <f t="shared" si="9"/>
        <v>0</v>
      </c>
      <c r="H234" s="1053"/>
      <c r="I234" s="1054" t="s">
        <v>1416</v>
      </c>
      <c r="J234" s="1054" t="s">
        <v>1412</v>
      </c>
      <c r="K234" s="1054" t="s">
        <v>517</v>
      </c>
      <c r="M234" s="1140">
        <v>55555.555555555562</v>
      </c>
      <c r="N234" s="1140">
        <v>3333333.3333333335</v>
      </c>
      <c r="O234" s="1140">
        <v>916666.66666666674</v>
      </c>
      <c r="P234" s="1140">
        <f t="shared" si="11"/>
        <v>4305555.555555556</v>
      </c>
    </row>
    <row r="235" spans="1:16" x14ac:dyDescent="0.2">
      <c r="A235" s="1052">
        <v>1582</v>
      </c>
      <c r="B235" s="1052"/>
      <c r="C235" s="1053" t="s">
        <v>518</v>
      </c>
      <c r="D235" s="1054" t="s">
        <v>518</v>
      </c>
      <c r="E235" s="1055">
        <f t="shared" si="10"/>
        <v>0</v>
      </c>
      <c r="F235" s="1055">
        <v>0</v>
      </c>
      <c r="G235" s="1056">
        <f t="shared" si="9"/>
        <v>0</v>
      </c>
      <c r="H235" s="1053" t="s">
        <v>10</v>
      </c>
      <c r="I235" s="1054" t="s">
        <v>1512</v>
      </c>
      <c r="J235" s="1054" t="s">
        <v>10</v>
      </c>
      <c r="K235" s="1054" t="s">
        <v>19</v>
      </c>
      <c r="M235" s="1140">
        <v>0</v>
      </c>
      <c r="N235" s="1140">
        <v>83333.333333333343</v>
      </c>
      <c r="O235" s="1140">
        <v>0</v>
      </c>
      <c r="P235" s="1140">
        <f t="shared" si="11"/>
        <v>83333.333333333343</v>
      </c>
    </row>
    <row r="236" spans="1:16" x14ac:dyDescent="0.2">
      <c r="A236" s="1052">
        <v>4841</v>
      </c>
      <c r="B236" s="1052"/>
      <c r="C236" s="1053" t="s">
        <v>520</v>
      </c>
      <c r="D236" s="1054" t="s">
        <v>520</v>
      </c>
      <c r="E236" s="1055" t="b">
        <f t="shared" si="10"/>
        <v>0</v>
      </c>
      <c r="F236" s="1055">
        <v>0</v>
      </c>
      <c r="G236" s="1056">
        <f t="shared" si="9"/>
        <v>0</v>
      </c>
      <c r="H236" s="1053" t="s">
        <v>1417</v>
      </c>
      <c r="I236" s="1054" t="s">
        <v>1416</v>
      </c>
      <c r="J236" s="1054" t="s">
        <v>1417</v>
      </c>
      <c r="K236" s="1054" t="s">
        <v>422</v>
      </c>
      <c r="M236" s="1140">
        <v>0</v>
      </c>
      <c r="N236" s="1140">
        <v>0</v>
      </c>
      <c r="O236" s="1140">
        <v>0</v>
      </c>
      <c r="P236" s="1140">
        <f t="shared" si="11"/>
        <v>0</v>
      </c>
    </row>
    <row r="237" spans="1:16" x14ac:dyDescent="0.2">
      <c r="A237" s="1052">
        <v>9774</v>
      </c>
      <c r="B237" s="1052"/>
      <c r="C237" s="1053" t="s">
        <v>522</v>
      </c>
      <c r="D237" s="1054" t="s">
        <v>522</v>
      </c>
      <c r="E237" s="1055">
        <f t="shared" si="10"/>
        <v>0</v>
      </c>
      <c r="F237" s="1055">
        <v>0</v>
      </c>
      <c r="G237" s="1056">
        <f t="shared" si="9"/>
        <v>0</v>
      </c>
      <c r="H237" s="1053" t="s">
        <v>1412</v>
      </c>
      <c r="I237" s="1054" t="s">
        <v>1512</v>
      </c>
      <c r="J237" s="1054" t="s">
        <v>10</v>
      </c>
      <c r="K237" s="1054" t="s">
        <v>523</v>
      </c>
      <c r="M237" s="1140">
        <v>0</v>
      </c>
      <c r="N237" s="1140">
        <v>0</v>
      </c>
      <c r="O237" s="1140">
        <v>0</v>
      </c>
      <c r="P237" s="1140">
        <f t="shared" si="11"/>
        <v>0</v>
      </c>
    </row>
    <row r="238" spans="1:16" x14ac:dyDescent="0.2">
      <c r="A238" s="1052">
        <v>9773</v>
      </c>
      <c r="B238" s="1052"/>
      <c r="C238" s="1053" t="s">
        <v>524</v>
      </c>
      <c r="D238" s="1054" t="s">
        <v>524</v>
      </c>
      <c r="E238" s="1055" t="b">
        <f t="shared" si="10"/>
        <v>0</v>
      </c>
      <c r="F238" s="1055">
        <v>0</v>
      </c>
      <c r="G238" s="1056">
        <f t="shared" si="9"/>
        <v>0</v>
      </c>
      <c r="H238" s="1053" t="s">
        <v>10</v>
      </c>
      <c r="I238" s="1054" t="s">
        <v>1416</v>
      </c>
      <c r="J238" s="1054" t="s">
        <v>1417</v>
      </c>
      <c r="K238" s="1054" t="s">
        <v>523</v>
      </c>
      <c r="M238" s="1140">
        <v>0</v>
      </c>
      <c r="N238" s="1140">
        <v>1805555.5555555557</v>
      </c>
      <c r="O238" s="1140">
        <v>527777.77777777787</v>
      </c>
      <c r="P238" s="1140">
        <f t="shared" si="11"/>
        <v>2333333.3333333335</v>
      </c>
    </row>
    <row r="239" spans="1:16" x14ac:dyDescent="0.2">
      <c r="A239" s="1052">
        <v>3917</v>
      </c>
      <c r="B239" s="1052" t="s">
        <v>1412</v>
      </c>
      <c r="C239" s="1053" t="s">
        <v>525</v>
      </c>
      <c r="D239" s="1054" t="s">
        <v>525</v>
      </c>
      <c r="E239" s="1055" t="b">
        <f t="shared" si="10"/>
        <v>0</v>
      </c>
      <c r="F239" s="1055">
        <v>490459</v>
      </c>
      <c r="G239" s="1056">
        <f t="shared" si="9"/>
        <v>490459</v>
      </c>
      <c r="H239" s="1053" t="s">
        <v>10</v>
      </c>
      <c r="I239" s="1054" t="s">
        <v>1416</v>
      </c>
      <c r="J239" s="1054" t="s">
        <v>1412</v>
      </c>
      <c r="K239" s="1054" t="s">
        <v>527</v>
      </c>
      <c r="M239" s="1140">
        <v>2888888.888888889</v>
      </c>
      <c r="N239" s="1140">
        <v>1763888.888888889</v>
      </c>
      <c r="O239" s="1140">
        <v>0</v>
      </c>
      <c r="P239" s="1140">
        <f t="shared" si="11"/>
        <v>4652777.777777778</v>
      </c>
    </row>
    <row r="240" spans="1:16" x14ac:dyDescent="0.2">
      <c r="A240" s="1052">
        <v>3915</v>
      </c>
      <c r="B240" s="1052"/>
      <c r="C240" s="1053" t="s">
        <v>528</v>
      </c>
      <c r="D240" s="1054" t="s">
        <v>528</v>
      </c>
      <c r="E240" s="1055">
        <f t="shared" si="10"/>
        <v>0</v>
      </c>
      <c r="F240" s="1055">
        <v>0</v>
      </c>
      <c r="G240" s="1056">
        <f t="shared" si="9"/>
        <v>0</v>
      </c>
      <c r="H240" s="1053" t="s">
        <v>10</v>
      </c>
      <c r="I240" s="1054" t="s">
        <v>1512</v>
      </c>
      <c r="J240" s="1054" t="s">
        <v>10</v>
      </c>
      <c r="K240" s="1054" t="s">
        <v>527</v>
      </c>
      <c r="M240" s="1140">
        <v>0</v>
      </c>
      <c r="N240" s="1140">
        <v>111111.11111111112</v>
      </c>
      <c r="O240" s="1140">
        <v>0</v>
      </c>
      <c r="P240" s="1140">
        <f t="shared" si="11"/>
        <v>111111.11111111112</v>
      </c>
    </row>
    <row r="241" spans="1:16" x14ac:dyDescent="0.2">
      <c r="A241" s="1052">
        <v>519</v>
      </c>
      <c r="B241" s="1052"/>
      <c r="C241" s="1053" t="s">
        <v>529</v>
      </c>
      <c r="D241" s="1054" t="s">
        <v>529</v>
      </c>
      <c r="E241" s="1055">
        <f t="shared" si="10"/>
        <v>0</v>
      </c>
      <c r="F241" s="1055">
        <v>0</v>
      </c>
      <c r="G241" s="1056">
        <f t="shared" si="9"/>
        <v>0</v>
      </c>
      <c r="H241" s="1053" t="s">
        <v>1417</v>
      </c>
      <c r="I241" s="1054" t="s">
        <v>1512</v>
      </c>
      <c r="J241" s="1054" t="s">
        <v>10</v>
      </c>
      <c r="K241" s="1054" t="s">
        <v>325</v>
      </c>
      <c r="M241" s="1140">
        <v>0</v>
      </c>
      <c r="N241" s="1140">
        <v>0</v>
      </c>
      <c r="O241" s="1140">
        <v>0</v>
      </c>
      <c r="P241" s="1140">
        <f t="shared" si="11"/>
        <v>0</v>
      </c>
    </row>
    <row r="242" spans="1:16" x14ac:dyDescent="0.2">
      <c r="A242" s="1052">
        <v>9805</v>
      </c>
      <c r="B242" s="1052"/>
      <c r="C242" s="1053" t="s">
        <v>531</v>
      </c>
      <c r="D242" s="1054" t="s">
        <v>531</v>
      </c>
      <c r="E242" s="1055" t="b">
        <f t="shared" si="10"/>
        <v>0</v>
      </c>
      <c r="F242" s="1055">
        <v>0</v>
      </c>
      <c r="G242" s="1056">
        <f t="shared" si="9"/>
        <v>0</v>
      </c>
      <c r="H242" s="1053" t="s">
        <v>1417</v>
      </c>
      <c r="I242" s="1054" t="s">
        <v>1416</v>
      </c>
      <c r="J242" s="1054" t="s">
        <v>1417</v>
      </c>
      <c r="K242" s="1054" t="s">
        <v>532</v>
      </c>
      <c r="M242" s="1140">
        <v>0</v>
      </c>
      <c r="N242" s="1140">
        <v>0</v>
      </c>
      <c r="O242" s="1140">
        <v>0</v>
      </c>
      <c r="P242" s="1140">
        <f t="shared" si="11"/>
        <v>0</v>
      </c>
    </row>
    <row r="243" spans="1:16" x14ac:dyDescent="0.2">
      <c r="A243" s="1101">
        <v>4676</v>
      </c>
      <c r="B243" s="1101"/>
      <c r="C243" s="1118" t="s">
        <v>533</v>
      </c>
      <c r="D243" s="1054" t="s">
        <v>533</v>
      </c>
      <c r="E243" s="1055" t="b">
        <f t="shared" si="10"/>
        <v>0</v>
      </c>
      <c r="F243" s="1055">
        <v>0</v>
      </c>
      <c r="G243" s="1056">
        <f t="shared" si="9"/>
        <v>0</v>
      </c>
      <c r="H243" s="1053" t="s">
        <v>1417</v>
      </c>
      <c r="I243" s="1054" t="s">
        <v>1416</v>
      </c>
      <c r="J243" s="1054" t="s">
        <v>1417</v>
      </c>
      <c r="K243" s="1054" t="s">
        <v>160</v>
      </c>
      <c r="M243" s="1140">
        <v>0</v>
      </c>
      <c r="N243" s="1140">
        <v>0</v>
      </c>
      <c r="O243" s="1140">
        <v>0</v>
      </c>
      <c r="P243" s="1140">
        <f t="shared" si="11"/>
        <v>0</v>
      </c>
    </row>
    <row r="244" spans="1:16" x14ac:dyDescent="0.2">
      <c r="A244" s="1052">
        <v>4514</v>
      </c>
      <c r="B244" s="1052"/>
      <c r="C244" s="1053" t="s">
        <v>535</v>
      </c>
      <c r="D244" s="1054" t="s">
        <v>535</v>
      </c>
      <c r="E244" s="1055">
        <f t="shared" si="10"/>
        <v>0</v>
      </c>
      <c r="F244" s="1055">
        <v>0</v>
      </c>
      <c r="G244" s="1056">
        <f t="shared" si="9"/>
        <v>0</v>
      </c>
      <c r="H244" s="1053" t="s">
        <v>1417</v>
      </c>
      <c r="I244" s="1054" t="s">
        <v>1512</v>
      </c>
      <c r="J244" s="1054" t="s">
        <v>10</v>
      </c>
      <c r="K244" s="1054" t="s">
        <v>537</v>
      </c>
      <c r="M244" s="1140">
        <v>0</v>
      </c>
      <c r="N244" s="1140">
        <v>0</v>
      </c>
      <c r="O244" s="1140">
        <v>0</v>
      </c>
      <c r="P244" s="1140">
        <f t="shared" si="11"/>
        <v>0</v>
      </c>
    </row>
    <row r="245" spans="1:16" x14ac:dyDescent="0.2">
      <c r="A245" s="1052">
        <v>4842</v>
      </c>
      <c r="B245" s="1052" t="s">
        <v>1412</v>
      </c>
      <c r="C245" s="1053" t="s">
        <v>961</v>
      </c>
      <c r="D245" s="1054" t="s">
        <v>961</v>
      </c>
      <c r="E245" s="1055" t="b">
        <f t="shared" si="10"/>
        <v>0</v>
      </c>
      <c r="F245" s="1055">
        <v>663000</v>
      </c>
      <c r="G245" s="1056">
        <f t="shared" si="9"/>
        <v>663000</v>
      </c>
      <c r="H245" s="1053" t="s">
        <v>10</v>
      </c>
      <c r="I245" s="1054" t="s">
        <v>1416</v>
      </c>
      <c r="J245" s="1054" t="s">
        <v>1412</v>
      </c>
      <c r="K245" s="1054" t="s">
        <v>540</v>
      </c>
      <c r="M245" s="1140">
        <v>5555555.555555556</v>
      </c>
      <c r="N245" s="1140">
        <v>5486111.1111111119</v>
      </c>
      <c r="O245" s="1140">
        <v>0</v>
      </c>
      <c r="P245" s="1140">
        <f t="shared" si="11"/>
        <v>11041666.666666668</v>
      </c>
    </row>
    <row r="246" spans="1:16" x14ac:dyDescent="0.2">
      <c r="A246" s="1052">
        <v>4536</v>
      </c>
      <c r="B246" s="1052" t="s">
        <v>1412</v>
      </c>
      <c r="C246" s="1053" t="s">
        <v>541</v>
      </c>
      <c r="D246" s="1054" t="s">
        <v>541</v>
      </c>
      <c r="E246" s="1055" t="b">
        <f t="shared" si="10"/>
        <v>0</v>
      </c>
      <c r="F246" s="1055">
        <v>0</v>
      </c>
      <c r="G246" s="1056">
        <f t="shared" si="9"/>
        <v>0</v>
      </c>
      <c r="H246" s="1053" t="s">
        <v>1417</v>
      </c>
      <c r="I246" s="1054" t="s">
        <v>1416</v>
      </c>
      <c r="J246" s="1054" t="s">
        <v>1412</v>
      </c>
      <c r="K246" s="1054" t="s">
        <v>542</v>
      </c>
      <c r="M246" s="1140">
        <v>0</v>
      </c>
      <c r="N246" s="1140">
        <v>0</v>
      </c>
      <c r="O246" s="1140">
        <v>0</v>
      </c>
      <c r="P246" s="1140">
        <f t="shared" si="11"/>
        <v>0</v>
      </c>
    </row>
    <row r="247" spans="1:16" x14ac:dyDescent="0.2">
      <c r="A247" s="1052">
        <v>3764</v>
      </c>
      <c r="B247" s="1052"/>
      <c r="C247" s="1053" t="s">
        <v>543</v>
      </c>
      <c r="D247" s="1054" t="s">
        <v>543</v>
      </c>
      <c r="E247" s="1055">
        <f t="shared" si="10"/>
        <v>0</v>
      </c>
      <c r="F247" s="1055">
        <v>0</v>
      </c>
      <c r="G247" s="1056">
        <f t="shared" si="9"/>
        <v>0</v>
      </c>
      <c r="H247" s="1053" t="s">
        <v>10</v>
      </c>
      <c r="I247" s="1054" t="s">
        <v>1512</v>
      </c>
      <c r="J247" s="1054" t="s">
        <v>10</v>
      </c>
      <c r="K247" s="1054" t="s">
        <v>542</v>
      </c>
      <c r="M247" s="1140">
        <v>0</v>
      </c>
      <c r="N247" s="1140">
        <v>333333.33333333337</v>
      </c>
      <c r="O247" s="1140">
        <v>69444.444444444453</v>
      </c>
      <c r="P247" s="1140">
        <f t="shared" si="11"/>
        <v>402777.77777777781</v>
      </c>
    </row>
    <row r="248" spans="1:16" x14ac:dyDescent="0.2">
      <c r="A248" s="1052">
        <v>4530</v>
      </c>
      <c r="B248" s="1052" t="s">
        <v>1412</v>
      </c>
      <c r="C248" s="1053" t="s">
        <v>544</v>
      </c>
      <c r="D248" s="1054" t="s">
        <v>544</v>
      </c>
      <c r="E248" s="1055" t="b">
        <f t="shared" si="10"/>
        <v>0</v>
      </c>
      <c r="F248" s="1055">
        <v>0</v>
      </c>
      <c r="G248" s="1056">
        <f t="shared" si="9"/>
        <v>0</v>
      </c>
      <c r="H248" s="1053" t="s">
        <v>1412</v>
      </c>
      <c r="I248" s="1054" t="s">
        <v>1416</v>
      </c>
      <c r="J248" s="1054" t="s">
        <v>1412</v>
      </c>
      <c r="K248" s="1054" t="s">
        <v>490</v>
      </c>
      <c r="M248" s="1140">
        <v>69444.444444444453</v>
      </c>
      <c r="N248" s="1140">
        <v>916666.66666666674</v>
      </c>
      <c r="O248" s="1140">
        <v>0</v>
      </c>
      <c r="P248" s="1140">
        <f t="shared" si="11"/>
        <v>986111.11111111124</v>
      </c>
    </row>
    <row r="249" spans="1:16" x14ac:dyDescent="0.2">
      <c r="A249" s="1052">
        <v>4534</v>
      </c>
      <c r="B249" s="1052"/>
      <c r="C249" s="1053" t="s">
        <v>546</v>
      </c>
      <c r="D249" s="1054" t="s">
        <v>546</v>
      </c>
      <c r="E249" s="1055">
        <f t="shared" si="10"/>
        <v>0</v>
      </c>
      <c r="F249" s="1055">
        <v>0</v>
      </c>
      <c r="G249" s="1056">
        <f t="shared" si="9"/>
        <v>0</v>
      </c>
      <c r="H249" s="1053" t="s">
        <v>1417</v>
      </c>
      <c r="I249" s="1054" t="s">
        <v>1512</v>
      </c>
      <c r="J249" s="1054" t="s">
        <v>10</v>
      </c>
      <c r="K249" s="1054" t="s">
        <v>547</v>
      </c>
      <c r="M249" s="1140">
        <v>0</v>
      </c>
      <c r="N249" s="1140">
        <v>0</v>
      </c>
      <c r="O249" s="1140">
        <v>0</v>
      </c>
      <c r="P249" s="1140">
        <f t="shared" si="11"/>
        <v>0</v>
      </c>
    </row>
    <row r="250" spans="1:16" x14ac:dyDescent="0.2">
      <c r="A250" s="1052">
        <v>4523</v>
      </c>
      <c r="B250" s="1052" t="s">
        <v>1412</v>
      </c>
      <c r="C250" s="1053" t="s">
        <v>548</v>
      </c>
      <c r="D250" s="1054" t="s">
        <v>548</v>
      </c>
      <c r="E250" s="1055" t="b">
        <f t="shared" si="10"/>
        <v>0</v>
      </c>
      <c r="F250" s="1055">
        <v>59946</v>
      </c>
      <c r="G250" s="1056">
        <f t="shared" si="9"/>
        <v>59946</v>
      </c>
      <c r="H250" s="1053" t="s">
        <v>10</v>
      </c>
      <c r="I250" s="1054" t="s">
        <v>1416</v>
      </c>
      <c r="J250" s="1054" t="s">
        <v>1412</v>
      </c>
      <c r="K250" s="1054" t="s">
        <v>962</v>
      </c>
      <c r="M250" s="1140">
        <v>2013888.888888889</v>
      </c>
      <c r="N250" s="1140">
        <v>1986111.1111111112</v>
      </c>
      <c r="O250" s="1140">
        <v>0</v>
      </c>
      <c r="P250" s="1140">
        <f t="shared" si="11"/>
        <v>4000000</v>
      </c>
    </row>
    <row r="251" spans="1:16" x14ac:dyDescent="0.2">
      <c r="A251" s="1052">
        <v>4533</v>
      </c>
      <c r="B251" s="1052"/>
      <c r="C251" s="1053" t="s">
        <v>550</v>
      </c>
      <c r="D251" s="1054" t="s">
        <v>550</v>
      </c>
      <c r="E251" s="1055">
        <f t="shared" si="10"/>
        <v>0</v>
      </c>
      <c r="F251" s="1055">
        <v>0</v>
      </c>
      <c r="G251" s="1056">
        <f t="shared" si="9"/>
        <v>0</v>
      </c>
      <c r="H251" s="1053" t="s">
        <v>10</v>
      </c>
      <c r="I251" s="1054" t="s">
        <v>1512</v>
      </c>
      <c r="J251" s="1054" t="s">
        <v>10</v>
      </c>
      <c r="K251" s="1054" t="s">
        <v>450</v>
      </c>
      <c r="M251" s="1140">
        <v>0</v>
      </c>
      <c r="N251" s="1140">
        <v>55555.555555555562</v>
      </c>
      <c r="O251" s="1140">
        <v>0</v>
      </c>
      <c r="P251" s="1140">
        <f t="shared" si="11"/>
        <v>55555.555555555562</v>
      </c>
    </row>
    <row r="252" spans="1:16" x14ac:dyDescent="0.2">
      <c r="A252" s="1081">
        <v>9855</v>
      </c>
      <c r="B252" s="1081"/>
      <c r="C252" s="1119" t="s">
        <v>553</v>
      </c>
      <c r="D252" s="1120" t="s">
        <v>553</v>
      </c>
      <c r="E252" s="1055" t="b">
        <f t="shared" si="10"/>
        <v>0</v>
      </c>
      <c r="F252" s="1121">
        <v>0</v>
      </c>
      <c r="G252" s="1056">
        <f>E252+F252</f>
        <v>0</v>
      </c>
      <c r="H252" s="1119" t="s">
        <v>10</v>
      </c>
      <c r="I252" s="1120" t="s">
        <v>1416</v>
      </c>
      <c r="J252" s="1120" t="s">
        <v>1417</v>
      </c>
      <c r="K252" s="1120" t="s">
        <v>297</v>
      </c>
      <c r="M252" s="1140">
        <v>0</v>
      </c>
      <c r="N252" s="1140">
        <v>3458333.3333333335</v>
      </c>
      <c r="O252" s="1140">
        <v>305555.55555555556</v>
      </c>
      <c r="P252" s="1140">
        <f t="shared" si="11"/>
        <v>3763888.888888889</v>
      </c>
    </row>
    <row r="253" spans="1:16" x14ac:dyDescent="0.2">
      <c r="A253" s="1081">
        <v>4612</v>
      </c>
      <c r="B253" s="1081"/>
      <c r="C253" s="1119" t="s">
        <v>554</v>
      </c>
      <c r="D253" s="1120" t="s">
        <v>554</v>
      </c>
      <c r="E253" s="1055">
        <f t="shared" si="10"/>
        <v>0</v>
      </c>
      <c r="F253" s="1121">
        <v>0</v>
      </c>
      <c r="G253" s="1125">
        <f>E253+F253</f>
        <v>0</v>
      </c>
      <c r="H253" s="1119" t="s">
        <v>1417</v>
      </c>
      <c r="I253" s="1120" t="s">
        <v>1512</v>
      </c>
      <c r="J253" s="1120" t="s">
        <v>10</v>
      </c>
      <c r="K253" s="1120" t="s">
        <v>1545</v>
      </c>
      <c r="M253" s="1140">
        <v>0</v>
      </c>
      <c r="N253" s="1140">
        <v>0</v>
      </c>
      <c r="O253" s="1140">
        <v>0</v>
      </c>
      <c r="P253" s="1140">
        <f>SUM(M253:O253)</f>
        <v>0</v>
      </c>
    </row>
    <row r="254" spans="1:16" x14ac:dyDescent="0.2">
      <c r="A254" s="1126"/>
      <c r="B254" s="1126"/>
      <c r="C254" s="1127"/>
      <c r="D254" s="1127"/>
      <c r="E254" s="1127"/>
      <c r="F254" s="1127"/>
      <c r="G254" s="1127"/>
      <c r="H254" s="1127"/>
      <c r="I254" s="1127"/>
      <c r="J254" s="1127"/>
      <c r="K254" s="1127">
        <f>COUNTIF(L2:L253,"y")</f>
        <v>0</v>
      </c>
      <c r="L254" s="1137"/>
      <c r="M254" s="1140">
        <v>233013888.88888887</v>
      </c>
      <c r="N254" s="1140">
        <v>322388888.88888884</v>
      </c>
      <c r="O254" s="1140">
        <v>27138888.888888881</v>
      </c>
      <c r="P254" s="1140">
        <f>SUM(P2:P253)</f>
        <v>582541666.66666675</v>
      </c>
    </row>
    <row r="255" spans="1:16" ht="13.5" thickBot="1" x14ac:dyDescent="0.25">
      <c r="A255" s="1130"/>
      <c r="B255" s="1130"/>
      <c r="C255" s="1131"/>
      <c r="D255" s="1131"/>
      <c r="E255" s="1131"/>
      <c r="F255" s="1131"/>
      <c r="G255" s="1131"/>
      <c r="H255" s="1131"/>
      <c r="I255" s="1131"/>
      <c r="J255" s="1131"/>
      <c r="K255" s="1131"/>
      <c r="L255" s="1138"/>
      <c r="M255" s="1140"/>
      <c r="N255" s="1140"/>
      <c r="O255" s="1140"/>
    </row>
    <row r="256" spans="1:16" ht="13.5" thickTop="1" x14ac:dyDescent="0.2"/>
  </sheetData>
  <pageMargins left="0.75" right="0.75" top="1" bottom="1" header="0.5" footer="0.5"/>
  <pageSetup scale="53" fitToHeight="4" orientation="portrait" verticalDpi="0" r:id="rId1"/>
  <headerFooter alignWithMargins="0">
    <oddFooter>&amp;L&amp;D &amp;T</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I256"/>
  <sheetViews>
    <sheetView tabSelected="1" zoomScaleNormal="100" workbookViewId="0">
      <selection activeCell="C2" sqref="C2"/>
    </sheetView>
  </sheetViews>
  <sheetFormatPr defaultRowHeight="11.25" x14ac:dyDescent="0.2"/>
  <cols>
    <col min="1" max="2" width="6.42578125" style="1060" customWidth="1"/>
    <col min="3" max="3" width="30.28515625" style="1060" customWidth="1"/>
    <col min="4" max="4" width="24.42578125" style="1060" hidden="1" customWidth="1"/>
    <col min="5" max="5" width="11.140625" style="1060" customWidth="1"/>
    <col min="6" max="6" width="10.28515625" style="1060" customWidth="1"/>
    <col min="7" max="7" width="14.140625" style="1060" customWidth="1"/>
    <col min="8" max="8" width="6" style="1060" customWidth="1"/>
    <col min="9" max="9" width="10.85546875" style="1060" customWidth="1"/>
    <col min="10" max="10" width="17.28515625" style="1060" hidden="1" customWidth="1"/>
    <col min="11" max="11" width="22.42578125" style="1060" customWidth="1"/>
    <col min="12" max="12" width="6.85546875" style="1060" customWidth="1"/>
    <col min="13" max="13" width="4.140625" style="1060" customWidth="1"/>
    <col min="14" max="14" width="6.42578125" style="1060" customWidth="1"/>
    <col min="15" max="15" width="9.7109375" style="1060" customWidth="1"/>
    <col min="16" max="16" width="9" style="1060" customWidth="1"/>
    <col min="17" max="17" width="9.140625" style="1060" customWidth="1"/>
    <col min="18" max="18" width="14.85546875" style="1060" customWidth="1"/>
    <col min="19" max="19" width="11.28515625" style="1060" customWidth="1"/>
    <col min="20" max="20" width="11.140625" style="1060" customWidth="1"/>
    <col min="21" max="21" width="10.42578125" style="1060" customWidth="1"/>
    <col min="22" max="23" width="11.85546875" style="1060" customWidth="1"/>
    <col min="24" max="24" width="9" style="1060" customWidth="1"/>
    <col min="25" max="25" width="14.140625" style="1060" customWidth="1"/>
    <col min="26" max="26" width="10.28515625" style="1060" customWidth="1"/>
    <col min="27" max="27" width="9.42578125" style="1060" customWidth="1"/>
    <col min="28" max="28" width="11.28515625" style="1060" customWidth="1"/>
    <col min="29" max="29" width="8.28515625" style="1060" customWidth="1"/>
    <col min="30" max="30" width="10.85546875" style="1060" customWidth="1"/>
    <col min="31" max="31" width="10.42578125" style="1060" customWidth="1"/>
    <col min="32" max="32" width="6.85546875" style="1060" customWidth="1"/>
    <col min="33" max="33" width="7.5703125" style="1060" customWidth="1"/>
    <col min="34" max="34" width="11.140625" style="1060" customWidth="1"/>
    <col min="35" max="35" width="10.140625" style="1060" customWidth="1"/>
    <col min="36" max="36" width="5" style="1060" customWidth="1"/>
    <col min="37" max="37" width="11.7109375" style="1060" customWidth="1"/>
    <col min="38" max="38" width="10.5703125" style="1060" customWidth="1"/>
    <col min="39" max="39" width="6" style="1060" customWidth="1"/>
    <col min="40" max="40" width="38.7109375" style="1060" customWidth="1"/>
    <col min="41" max="41" width="12.7109375" style="1060" customWidth="1"/>
    <col min="42" max="43" width="18.28515625" style="1060" customWidth="1"/>
    <col min="44" max="46" width="9.42578125" style="1060" customWidth="1"/>
    <col min="47" max="47" width="8.28515625" style="1060" customWidth="1"/>
    <col min="48" max="49" width="6.5703125" style="1060" customWidth="1"/>
    <col min="50" max="50" width="8" style="1060" customWidth="1"/>
    <col min="51" max="51" width="6.5703125" style="1060" customWidth="1"/>
    <col min="52" max="54" width="8.28515625" style="1060" customWidth="1"/>
    <col min="55" max="55" width="6.5703125" style="1060" customWidth="1"/>
    <col min="56" max="56" width="8.28515625" style="1060" customWidth="1"/>
    <col min="57" max="57" width="6.85546875" style="1060" customWidth="1"/>
    <col min="58" max="59" width="6.28515625" style="1060" customWidth="1"/>
    <col min="60" max="60" width="8.28515625" style="1060" customWidth="1"/>
    <col min="61" max="61" width="7" style="1060" customWidth="1"/>
    <col min="62" max="62" width="7.5703125" style="1060" customWidth="1"/>
    <col min="63" max="63" width="6.28515625" style="1060" customWidth="1"/>
    <col min="64" max="64" width="12" style="1060" customWidth="1"/>
    <col min="65" max="65" width="10.5703125" style="1060" customWidth="1"/>
    <col min="66" max="66" width="11.5703125" style="1060" customWidth="1"/>
    <col min="67" max="67" width="9.42578125" style="1060" customWidth="1"/>
    <col min="68" max="68" width="9.140625" style="1060" customWidth="1"/>
    <col min="69" max="69" width="9.140625" style="1136"/>
    <col min="70" max="71" width="10.7109375" style="1060" bestFit="1" customWidth="1"/>
    <col min="72" max="72" width="9.85546875" style="1060" bestFit="1" customWidth="1"/>
    <col min="73" max="73" width="11" style="1060" bestFit="1" customWidth="1"/>
    <col min="74" max="76" width="11" style="1060" customWidth="1"/>
    <col min="77" max="77" width="9.140625" style="1060"/>
    <col min="78" max="78" width="9.140625" style="1136"/>
    <col min="79" max="80" width="10.7109375" style="1060" bestFit="1" customWidth="1"/>
    <col min="81" max="81" width="9.85546875" style="1060" bestFit="1" customWidth="1"/>
    <col min="82" max="82" width="10.7109375" style="1060" bestFit="1" customWidth="1"/>
    <col min="83" max="85" width="10.7109375" style="1060" customWidth="1"/>
    <col min="86" max="86" width="9.140625" style="1060"/>
    <col min="87" max="87" width="1.85546875" style="1146" customWidth="1"/>
    <col min="88" max="16384" width="9.140625" style="1060"/>
  </cols>
  <sheetData>
    <row r="1" spans="1:87" s="1051" customFormat="1" ht="123.75" customHeight="1" x14ac:dyDescent="0.2">
      <c r="A1" s="1050" t="s">
        <v>882</v>
      </c>
      <c r="B1" s="1050" t="s">
        <v>883</v>
      </c>
      <c r="C1" s="1050" t="s">
        <v>1377</v>
      </c>
      <c r="D1" s="1050" t="s">
        <v>1377</v>
      </c>
      <c r="E1" s="1050" t="s">
        <v>884</v>
      </c>
      <c r="F1" s="1050" t="s">
        <v>885</v>
      </c>
      <c r="G1" s="1050" t="s">
        <v>886</v>
      </c>
      <c r="H1" s="1050" t="s">
        <v>1380</v>
      </c>
      <c r="I1" s="1050" t="s">
        <v>887</v>
      </c>
      <c r="J1" s="1050" t="s">
        <v>888</v>
      </c>
      <c r="K1" s="1050" t="s">
        <v>1385</v>
      </c>
      <c r="L1" s="1050" t="s">
        <v>1375</v>
      </c>
      <c r="M1" s="1050" t="s">
        <v>1386</v>
      </c>
      <c r="N1" s="1050" t="s">
        <v>1387</v>
      </c>
      <c r="O1" s="1050" t="s">
        <v>889</v>
      </c>
      <c r="P1" s="1050" t="s">
        <v>890</v>
      </c>
      <c r="Q1" s="1050" t="s">
        <v>1390</v>
      </c>
      <c r="R1" s="1050" t="s">
        <v>1391</v>
      </c>
      <c r="S1" s="1050" t="s">
        <v>1392</v>
      </c>
      <c r="T1" s="1050" t="s">
        <v>884</v>
      </c>
      <c r="U1" s="1050" t="s">
        <v>1394</v>
      </c>
      <c r="V1" s="1050" t="s">
        <v>1395</v>
      </c>
      <c r="W1" s="1050" t="s">
        <v>1396</v>
      </c>
      <c r="X1" s="1050" t="s">
        <v>1397</v>
      </c>
      <c r="Y1" s="1050" t="s">
        <v>1398</v>
      </c>
      <c r="Z1" s="1050" t="s">
        <v>891</v>
      </c>
      <c r="AA1" s="1050" t="s">
        <v>1400</v>
      </c>
      <c r="AB1" s="1050" t="s">
        <v>1401</v>
      </c>
      <c r="AC1" s="1050" t="s">
        <v>1402</v>
      </c>
      <c r="AD1" s="1050" t="s">
        <v>892</v>
      </c>
      <c r="AE1" s="1050" t="s">
        <v>893</v>
      </c>
      <c r="AF1" s="1050" t="s">
        <v>894</v>
      </c>
      <c r="AG1" s="1050" t="s">
        <v>895</v>
      </c>
      <c r="AH1" s="1050" t="s">
        <v>1407</v>
      </c>
      <c r="AI1" s="1050" t="s">
        <v>1408</v>
      </c>
      <c r="AJ1" s="1050" t="s">
        <v>896</v>
      </c>
      <c r="AK1" s="1050" t="s">
        <v>897</v>
      </c>
      <c r="AL1" s="1050" t="s">
        <v>887</v>
      </c>
      <c r="AM1" s="1050" t="s">
        <v>1380</v>
      </c>
      <c r="AN1" s="1050" t="s">
        <v>1377</v>
      </c>
      <c r="AO1" s="1050" t="s">
        <v>257</v>
      </c>
      <c r="AP1" s="1050" t="s">
        <v>898</v>
      </c>
      <c r="AQ1" s="1050" t="s">
        <v>256</v>
      </c>
      <c r="AR1" s="1050" t="s">
        <v>637</v>
      </c>
      <c r="AS1" s="1050" t="s">
        <v>638</v>
      </c>
      <c r="AT1" s="1050" t="s">
        <v>639</v>
      </c>
      <c r="AU1" s="1050" t="s">
        <v>640</v>
      </c>
      <c r="AV1" s="1050" t="s">
        <v>641</v>
      </c>
      <c r="AW1" s="1050" t="s">
        <v>642</v>
      </c>
      <c r="AX1" s="1050" t="s">
        <v>643</v>
      </c>
      <c r="AY1" s="1050" t="s">
        <v>644</v>
      </c>
      <c r="AZ1" s="1050" t="s">
        <v>645</v>
      </c>
      <c r="BA1" s="1050" t="s">
        <v>646</v>
      </c>
      <c r="BB1" s="1050" t="s">
        <v>647</v>
      </c>
      <c r="BC1" s="1050" t="s">
        <v>648</v>
      </c>
      <c r="BD1" s="1050" t="s">
        <v>649</v>
      </c>
      <c r="BE1" s="1050" t="s">
        <v>650</v>
      </c>
      <c r="BF1" s="1050" t="s">
        <v>651</v>
      </c>
      <c r="BG1" s="1050" t="s">
        <v>652</v>
      </c>
      <c r="BH1" s="1050" t="s">
        <v>653</v>
      </c>
      <c r="BI1" s="1050" t="s">
        <v>654</v>
      </c>
      <c r="BJ1" s="1050" t="s">
        <v>655</v>
      </c>
      <c r="BK1" s="1050" t="s">
        <v>656</v>
      </c>
      <c r="BL1" s="1050" t="s">
        <v>657</v>
      </c>
      <c r="BM1" s="1050" t="s">
        <v>658</v>
      </c>
      <c r="BN1" s="1050" t="s">
        <v>659</v>
      </c>
      <c r="BO1" s="1050" t="s">
        <v>634</v>
      </c>
      <c r="BQ1" s="1143" t="s">
        <v>286</v>
      </c>
      <c r="BR1" s="1050" t="s">
        <v>637</v>
      </c>
      <c r="BS1" s="1050" t="s">
        <v>639</v>
      </c>
      <c r="BT1" s="1050" t="s">
        <v>640</v>
      </c>
      <c r="BU1" s="1050" t="s">
        <v>289</v>
      </c>
      <c r="BV1" s="1050" t="s">
        <v>641</v>
      </c>
      <c r="BW1" s="1050" t="s">
        <v>643</v>
      </c>
      <c r="BX1" s="1050" t="s">
        <v>644</v>
      </c>
      <c r="BY1" s="1050" t="s">
        <v>288</v>
      </c>
      <c r="BZ1" s="1142" t="s">
        <v>285</v>
      </c>
      <c r="CA1" s="1050" t="s">
        <v>637</v>
      </c>
      <c r="CB1" s="1050" t="s">
        <v>639</v>
      </c>
      <c r="CC1" s="1050" t="s">
        <v>640</v>
      </c>
      <c r="CD1" s="1050" t="s">
        <v>284</v>
      </c>
      <c r="CE1" s="1050" t="s">
        <v>641</v>
      </c>
      <c r="CF1" s="1050" t="s">
        <v>643</v>
      </c>
      <c r="CG1" s="1050" t="s">
        <v>644</v>
      </c>
      <c r="CH1" s="1050" t="s">
        <v>288</v>
      </c>
      <c r="CI1" s="1145"/>
    </row>
    <row r="2" spans="1:87" ht="15" customHeight="1" x14ac:dyDescent="0.2">
      <c r="A2" s="1052">
        <v>110</v>
      </c>
      <c r="B2" s="1052"/>
      <c r="C2" s="1053" t="s">
        <v>1413</v>
      </c>
      <c r="D2" s="1054" t="s">
        <v>1413</v>
      </c>
      <c r="E2" s="1055">
        <f t="shared" ref="E2:E65" si="0">IF(I2="regional",IF(R2*0.2975,S2*0.3484),S2*0.1939)</f>
        <v>221768.79399999999</v>
      </c>
      <c r="F2" s="1055">
        <v>0</v>
      </c>
      <c r="G2" s="1056">
        <f t="shared" ref="G2:G65" si="1">E2+F2</f>
        <v>221768.79399999999</v>
      </c>
      <c r="H2" s="1053" t="s">
        <v>10</v>
      </c>
      <c r="I2" s="1054" t="s">
        <v>1416</v>
      </c>
      <c r="J2" s="1054" t="s">
        <v>1417</v>
      </c>
      <c r="K2" s="1054" t="s">
        <v>1418</v>
      </c>
      <c r="L2" s="1054" t="s">
        <v>10</v>
      </c>
      <c r="M2" s="1057">
        <v>80</v>
      </c>
      <c r="N2" s="1057">
        <v>0.73899999999999999</v>
      </c>
      <c r="O2" s="1057">
        <v>0.75</v>
      </c>
      <c r="P2" s="1057">
        <v>0.67500000000000004</v>
      </c>
      <c r="Q2" s="1057">
        <v>0.71</v>
      </c>
      <c r="R2" s="1057">
        <v>746273</v>
      </c>
      <c r="S2" s="1057">
        <v>636535</v>
      </c>
      <c r="T2" s="1058">
        <f t="shared" ref="T2:T65" si="2">IF(I2="regional",IF(R2&gt;0,R2*0.2975,S2*0.3484),S2*0.1939)</f>
        <v>222016.2175</v>
      </c>
      <c r="U2" s="1057">
        <v>426315</v>
      </c>
      <c r="V2" s="1057">
        <v>210220</v>
      </c>
      <c r="W2" s="1057">
        <v>3017</v>
      </c>
      <c r="X2" s="1057">
        <v>0</v>
      </c>
      <c r="Y2" s="1057">
        <v>0</v>
      </c>
      <c r="Z2" s="1057">
        <v>0</v>
      </c>
      <c r="AA2" s="1057">
        <v>858551.21750000003</v>
      </c>
      <c r="AB2" s="1057">
        <v>222016.2175</v>
      </c>
      <c r="AC2" s="1057">
        <v>636535</v>
      </c>
      <c r="AD2" s="1057">
        <v>0</v>
      </c>
      <c r="AE2" s="1057">
        <v>0</v>
      </c>
      <c r="AF2" s="1057">
        <v>0</v>
      </c>
      <c r="AG2" s="1057">
        <v>636535</v>
      </c>
      <c r="AH2" s="1057">
        <v>0</v>
      </c>
      <c r="AI2" s="1057">
        <v>0</v>
      </c>
      <c r="AJ2" s="1053">
        <v>4</v>
      </c>
      <c r="AK2" s="1053" t="s">
        <v>899</v>
      </c>
      <c r="AL2" s="1054" t="s">
        <v>1416</v>
      </c>
      <c r="AM2" s="1053" t="s">
        <v>10</v>
      </c>
      <c r="AN2" s="1054" t="s">
        <v>1413</v>
      </c>
      <c r="AO2" s="1054">
        <v>222016.2175</v>
      </c>
      <c r="AP2" s="1059">
        <f t="shared" ref="AP2:AP14" si="3">AR2+AT2+AU2+AV2+AX2+AY2+AZ2+BD2+BF2+BG2+BH2+BJ2+BK2+(BL2+BM2+BN2)/1000+(0.1*BO2)</f>
        <v>153.55889999999999</v>
      </c>
      <c r="AQ2" s="1059">
        <f>AR2+AT2+AU2+AV2+AX2+AY2+AZ2+BB2+BC2+BD2+BF2+BG2+BH2+BJ2+BK2+(BL2+BM2+BN2)/1000+(0.1*BO2)</f>
        <v>164.55889999999999</v>
      </c>
      <c r="AR2" s="1052">
        <v>42</v>
      </c>
      <c r="AS2" s="1052">
        <v>0</v>
      </c>
      <c r="AT2" s="1052">
        <v>26</v>
      </c>
      <c r="AU2" s="1052">
        <v>33</v>
      </c>
      <c r="AV2" s="1052">
        <v>0</v>
      </c>
      <c r="AW2" s="1052">
        <v>0</v>
      </c>
      <c r="AX2" s="1052">
        <v>0</v>
      </c>
      <c r="AY2" s="1052">
        <v>0</v>
      </c>
      <c r="AZ2" s="1052">
        <v>0</v>
      </c>
      <c r="BA2" s="1052">
        <v>0</v>
      </c>
      <c r="BB2" s="1052">
        <v>7</v>
      </c>
      <c r="BC2" s="1052">
        <v>4</v>
      </c>
      <c r="BD2" s="1052">
        <v>0</v>
      </c>
      <c r="BE2" s="1052">
        <v>0</v>
      </c>
      <c r="BF2" s="1052">
        <v>0</v>
      </c>
      <c r="BG2" s="1052">
        <v>0</v>
      </c>
      <c r="BH2" s="1052">
        <v>0</v>
      </c>
      <c r="BI2" s="1052">
        <v>0</v>
      </c>
      <c r="BJ2" s="1052">
        <v>0</v>
      </c>
      <c r="BK2" s="1052">
        <v>0</v>
      </c>
      <c r="BL2" s="1052">
        <v>8728</v>
      </c>
      <c r="BM2" s="1052">
        <v>0</v>
      </c>
      <c r="BN2" s="1052">
        <v>0</v>
      </c>
      <c r="BO2" s="1052">
        <v>438.30900000000003</v>
      </c>
      <c r="BR2" s="1140">
        <f>AR2*1000/0.072</f>
        <v>583333.33333333337</v>
      </c>
      <c r="BS2" s="1140">
        <f>AT2*1000/0.072</f>
        <v>361111.11111111112</v>
      </c>
      <c r="BT2" s="1140">
        <f>AU2*1000/0.072</f>
        <v>458333.33333333337</v>
      </c>
      <c r="BU2" s="1140">
        <f>SUM(BR2:BT2)</f>
        <v>1402777.777777778</v>
      </c>
      <c r="BV2" s="1140">
        <f>AV2*1000/5</f>
        <v>0</v>
      </c>
      <c r="BW2" s="1140">
        <f t="shared" ref="BW2:BX4" si="4">AX2*1000/5</f>
        <v>0</v>
      </c>
      <c r="BX2" s="1140">
        <f t="shared" si="4"/>
        <v>0</v>
      </c>
      <c r="BY2" s="1140">
        <f>SUM(BV2:BX2)</f>
        <v>0</v>
      </c>
      <c r="CA2" s="1140">
        <f>IF($AM2="n",0,BR2)</f>
        <v>583333.33333333337</v>
      </c>
      <c r="CB2" s="1140">
        <f>IF($AM2="n",0,BS2)</f>
        <v>361111.11111111112</v>
      </c>
      <c r="CC2" s="1140">
        <f>IF($AM2="n",0,BT2)</f>
        <v>458333.33333333337</v>
      </c>
      <c r="CD2" s="1140">
        <f>SUM(CA2:CC2)</f>
        <v>1402777.777777778</v>
      </c>
      <c r="CE2" s="1140">
        <f>IF($AM$2="n",0,BV2)</f>
        <v>0</v>
      </c>
      <c r="CF2" s="1140">
        <f>IF($AM$2="n",0,BW2)</f>
        <v>0</v>
      </c>
      <c r="CG2" s="1140">
        <f>IF($AM$2="n",0,BX2)</f>
        <v>0</v>
      </c>
      <c r="CH2" s="1140">
        <f>SUM(CE2:CG2)</f>
        <v>0</v>
      </c>
    </row>
    <row r="3" spans="1:87" ht="15" customHeight="1" x14ac:dyDescent="0.2">
      <c r="A3" s="1052">
        <v>328</v>
      </c>
      <c r="B3" s="1052" t="s">
        <v>1412</v>
      </c>
      <c r="C3" s="1053" t="s">
        <v>1420</v>
      </c>
      <c r="D3" s="1054" t="s">
        <v>1420</v>
      </c>
      <c r="E3" s="1055">
        <f t="shared" si="0"/>
        <v>191628.3616</v>
      </c>
      <c r="F3" s="1055">
        <v>276843</v>
      </c>
      <c r="G3" s="1056">
        <f t="shared" si="1"/>
        <v>468471.3616</v>
      </c>
      <c r="H3" s="1053" t="s">
        <v>10</v>
      </c>
      <c r="I3" s="1054" t="s">
        <v>1416</v>
      </c>
      <c r="J3" s="1054" t="s">
        <v>1412</v>
      </c>
      <c r="K3" s="1054" t="s">
        <v>1423</v>
      </c>
      <c r="L3" s="1054" t="s">
        <v>1412</v>
      </c>
      <c r="M3" s="1057">
        <v>64</v>
      </c>
      <c r="N3" s="1057">
        <v>0.73499999999999999</v>
      </c>
      <c r="O3" s="1057">
        <v>0.754</v>
      </c>
      <c r="P3" s="1057">
        <v>0.68</v>
      </c>
      <c r="Q3" s="1057">
        <v>0.70399999999999996</v>
      </c>
      <c r="R3" s="1057">
        <v>628918</v>
      </c>
      <c r="S3" s="1057">
        <v>550024</v>
      </c>
      <c r="T3" s="1058">
        <f t="shared" si="2"/>
        <v>187103.10499999998</v>
      </c>
      <c r="U3" s="1057">
        <v>332773</v>
      </c>
      <c r="V3" s="1057">
        <v>217251</v>
      </c>
      <c r="W3" s="1057">
        <v>3242</v>
      </c>
      <c r="X3" s="1057">
        <v>463946.10499999998</v>
      </c>
      <c r="Y3" s="1057">
        <v>187103.10500000001</v>
      </c>
      <c r="Z3" s="1057">
        <v>276843</v>
      </c>
      <c r="AA3" s="1057">
        <v>273181</v>
      </c>
      <c r="AB3" s="1057">
        <v>0</v>
      </c>
      <c r="AC3" s="1057">
        <v>273181</v>
      </c>
      <c r="AD3" s="1057">
        <v>276843</v>
      </c>
      <c r="AE3" s="1057">
        <v>0</v>
      </c>
      <c r="AF3" s="1057">
        <v>273181</v>
      </c>
      <c r="AG3" s="1057">
        <v>0</v>
      </c>
      <c r="AH3" s="1057">
        <v>189000</v>
      </c>
      <c r="AI3" s="1057">
        <v>222000</v>
      </c>
      <c r="AJ3" s="1053" t="s">
        <v>900</v>
      </c>
      <c r="AK3" s="1053" t="s">
        <v>901</v>
      </c>
      <c r="AL3" s="1054" t="s">
        <v>1416</v>
      </c>
      <c r="AM3" s="1053" t="s">
        <v>10</v>
      </c>
      <c r="AN3" s="1054" t="s">
        <v>1420</v>
      </c>
      <c r="AO3" s="1054">
        <v>463946.10499999998</v>
      </c>
      <c r="AP3" s="1059">
        <f t="shared" si="3"/>
        <v>366.892</v>
      </c>
      <c r="AQ3" s="1059">
        <f t="shared" ref="AQ3:AQ66" si="5">AR3+AT3+AU3+AV3+AX3+AY3+AZ3+BB3+BC3+BD3+BF3+BG3+BH3+BJ3+BK3+(BL3+BM3+BN3)/1000+(0.1*BO3)</f>
        <v>394.892</v>
      </c>
      <c r="AR3" s="1052">
        <v>181</v>
      </c>
      <c r="AS3" s="1052">
        <v>222</v>
      </c>
      <c r="AT3" s="1052">
        <v>44</v>
      </c>
      <c r="AU3" s="1052">
        <v>19</v>
      </c>
      <c r="AV3" s="1052">
        <v>0</v>
      </c>
      <c r="AW3" s="1052">
        <v>0</v>
      </c>
      <c r="AX3" s="1052">
        <v>0</v>
      </c>
      <c r="AY3" s="1052">
        <v>0</v>
      </c>
      <c r="AZ3" s="1052">
        <v>7</v>
      </c>
      <c r="BA3" s="1052">
        <v>10</v>
      </c>
      <c r="BB3" s="1052">
        <v>28</v>
      </c>
      <c r="BC3" s="1052">
        <v>0</v>
      </c>
      <c r="BD3" s="1052">
        <v>30</v>
      </c>
      <c r="BE3" s="1052">
        <v>0</v>
      </c>
      <c r="BF3" s="1052">
        <v>0</v>
      </c>
      <c r="BG3" s="1052">
        <v>0</v>
      </c>
      <c r="BH3" s="1052">
        <v>34</v>
      </c>
      <c r="BI3" s="1052">
        <v>0</v>
      </c>
      <c r="BJ3" s="1052">
        <v>0</v>
      </c>
      <c r="BK3" s="1052">
        <v>0</v>
      </c>
      <c r="BL3" s="1052">
        <v>0</v>
      </c>
      <c r="BM3" s="1052">
        <v>0</v>
      </c>
      <c r="BN3" s="1052">
        <v>0</v>
      </c>
      <c r="BO3" s="1052">
        <v>518.91999999999996</v>
      </c>
      <c r="BR3" s="1140">
        <f t="shared" ref="BR3:BR66" si="6">AR3*1000/0.072</f>
        <v>2513888.888888889</v>
      </c>
      <c r="BS3" s="1140">
        <f t="shared" ref="BS3:BS66" si="7">AT3*1000/0.072</f>
        <v>611111.11111111112</v>
      </c>
      <c r="BT3" s="1140">
        <f t="shared" ref="BT3:BT66" si="8">AU3*1000/0.072</f>
        <v>263888.88888888893</v>
      </c>
      <c r="BU3" s="1140">
        <f t="shared" ref="BU3:BU66" si="9">SUM(BR3:BT3)</f>
        <v>3388888.888888889</v>
      </c>
      <c r="BV3" s="1140">
        <f>AV3*1000/5</f>
        <v>0</v>
      </c>
      <c r="BW3" s="1140">
        <f t="shared" si="4"/>
        <v>0</v>
      </c>
      <c r="BX3" s="1140">
        <f t="shared" si="4"/>
        <v>0</v>
      </c>
      <c r="BY3" s="1140">
        <f t="shared" ref="BY3:BY66" si="10">SUM(BV3:BX3)</f>
        <v>0</v>
      </c>
      <c r="CA3" s="1140">
        <f t="shared" ref="CA3:CA66" si="11">IF($AM3="n",0,BR3)</f>
        <v>2513888.888888889</v>
      </c>
      <c r="CB3" s="1140">
        <f t="shared" ref="CB3:CB66" si="12">IF($AM3="n",0,BS3)</f>
        <v>611111.11111111112</v>
      </c>
      <c r="CC3" s="1140">
        <f t="shared" ref="CC3:CC66" si="13">IF($AM3="n",0,BT3)</f>
        <v>263888.88888888893</v>
      </c>
      <c r="CD3" s="1140">
        <f t="shared" ref="CD3:CD66" si="14">SUM(CA3:CC3)</f>
        <v>3388888.888888889</v>
      </c>
      <c r="CE3" s="1140">
        <f t="shared" ref="CE3:CE66" si="15">IF($AM$2="n",0,BV3)</f>
        <v>0</v>
      </c>
      <c r="CF3" s="1140">
        <f t="shared" ref="CF3:CF66" si="16">IF($AM$2="n",0,BW3)</f>
        <v>0</v>
      </c>
      <c r="CG3" s="1140">
        <f t="shared" ref="CG3:CG66" si="17">IF($AM$2="n",0,BX3)</f>
        <v>0</v>
      </c>
      <c r="CH3" s="1140">
        <f t="shared" ref="CH3:CH66" si="18">SUM(CE3:CG3)</f>
        <v>0</v>
      </c>
    </row>
    <row r="4" spans="1:87" s="1069" customFormat="1" ht="15" customHeight="1" x14ac:dyDescent="0.2">
      <c r="A4" s="1061">
        <v>115</v>
      </c>
      <c r="B4" s="1061"/>
      <c r="C4" s="1062" t="s">
        <v>902</v>
      </c>
      <c r="D4" s="1063" t="s">
        <v>902</v>
      </c>
      <c r="E4" s="1055" t="e">
        <f t="shared" si="0"/>
        <v>#VALUE!</v>
      </c>
      <c r="F4" s="1064" t="s">
        <v>10</v>
      </c>
      <c r="G4" s="1056" t="e">
        <f t="shared" si="1"/>
        <v>#VALUE!</v>
      </c>
      <c r="H4" s="1062" t="s">
        <v>1417</v>
      </c>
      <c r="I4" s="1063" t="s">
        <v>1416</v>
      </c>
      <c r="J4" s="1063" t="s">
        <v>10</v>
      </c>
      <c r="K4" s="1063" t="s">
        <v>10</v>
      </c>
      <c r="L4" s="1063" t="s">
        <v>1412</v>
      </c>
      <c r="M4" s="1065" t="s">
        <v>10</v>
      </c>
      <c r="N4" s="1065" t="s">
        <v>10</v>
      </c>
      <c r="O4" s="1065" t="s">
        <v>10</v>
      </c>
      <c r="P4" s="1065" t="s">
        <v>10</v>
      </c>
      <c r="Q4" s="1065" t="s">
        <v>10</v>
      </c>
      <c r="R4" s="1065" t="s">
        <v>10</v>
      </c>
      <c r="S4" s="1065" t="s">
        <v>10</v>
      </c>
      <c r="T4" s="1058" t="e">
        <f t="shared" si="2"/>
        <v>#VALUE!</v>
      </c>
      <c r="U4" s="1065" t="s">
        <v>10</v>
      </c>
      <c r="V4" s="1065" t="s">
        <v>10</v>
      </c>
      <c r="W4" s="1065" t="s">
        <v>10</v>
      </c>
      <c r="X4" s="1065" t="s">
        <v>10</v>
      </c>
      <c r="Y4" s="1065" t="s">
        <v>10</v>
      </c>
      <c r="Z4" s="1065" t="s">
        <v>10</v>
      </c>
      <c r="AA4" s="1065" t="s">
        <v>10</v>
      </c>
      <c r="AB4" s="1065" t="s">
        <v>10</v>
      </c>
      <c r="AC4" s="1065" t="s">
        <v>10</v>
      </c>
      <c r="AD4" s="1065" t="s">
        <v>10</v>
      </c>
      <c r="AE4" s="1065" t="s">
        <v>10</v>
      </c>
      <c r="AF4" s="1065" t="s">
        <v>10</v>
      </c>
      <c r="AG4" s="1065" t="s">
        <v>10</v>
      </c>
      <c r="AH4" s="1065" t="s">
        <v>10</v>
      </c>
      <c r="AI4" s="1065" t="s">
        <v>10</v>
      </c>
      <c r="AJ4" s="1062" t="s">
        <v>903</v>
      </c>
      <c r="AK4" s="1062" t="s">
        <v>904</v>
      </c>
      <c r="AL4" s="1066" t="s">
        <v>1578</v>
      </c>
      <c r="AM4" s="1062" t="s">
        <v>1417</v>
      </c>
      <c r="AN4" s="1066" t="s">
        <v>902</v>
      </c>
      <c r="AO4" s="1066">
        <v>0</v>
      </c>
      <c r="AP4" s="1067">
        <f t="shared" si="3"/>
        <v>334</v>
      </c>
      <c r="AQ4" s="1059">
        <f>AR4+AT4+AU4+AV4+AX4+AY4+AZ4+BB4+BC4+BD4+BF4+BG4+BH4+BJ4+BK4+(BL4+BM4+BN4)/1000+(0.1*BO4)</f>
        <v>380</v>
      </c>
      <c r="AR4" s="1068">
        <v>94</v>
      </c>
      <c r="AS4" s="1068">
        <v>0</v>
      </c>
      <c r="AT4" s="1068">
        <v>125</v>
      </c>
      <c r="AU4" s="1068">
        <v>1</v>
      </c>
      <c r="AV4" s="1068">
        <v>21</v>
      </c>
      <c r="AW4" s="1068">
        <v>6</v>
      </c>
      <c r="AX4" s="1068">
        <v>10</v>
      </c>
      <c r="AY4" s="1068">
        <v>0</v>
      </c>
      <c r="AZ4" s="1068">
        <v>0</v>
      </c>
      <c r="BA4" s="1068">
        <v>0</v>
      </c>
      <c r="BB4" s="1068">
        <v>46</v>
      </c>
      <c r="BC4" s="1068">
        <v>0</v>
      </c>
      <c r="BD4" s="1068">
        <v>-2</v>
      </c>
      <c r="BE4" s="1068">
        <v>0</v>
      </c>
      <c r="BF4" s="1068">
        <v>0</v>
      </c>
      <c r="BG4" s="1068">
        <v>0</v>
      </c>
      <c r="BH4" s="1068">
        <v>41</v>
      </c>
      <c r="BI4" s="1068">
        <v>0</v>
      </c>
      <c r="BJ4" s="1068">
        <v>0</v>
      </c>
      <c r="BK4" s="1068">
        <v>0</v>
      </c>
      <c r="BL4" s="1068">
        <v>0</v>
      </c>
      <c r="BM4" s="1068">
        <v>0</v>
      </c>
      <c r="BN4" s="1068">
        <v>44000</v>
      </c>
      <c r="BO4" s="1068">
        <v>0</v>
      </c>
      <c r="BQ4" s="1136"/>
      <c r="BR4" s="1140">
        <f t="shared" si="6"/>
        <v>1305555.5555555557</v>
      </c>
      <c r="BS4" s="1140">
        <f t="shared" si="7"/>
        <v>1736111.1111111112</v>
      </c>
      <c r="BT4" s="1140">
        <f t="shared" si="8"/>
        <v>13888.888888888891</v>
      </c>
      <c r="BU4" s="1140">
        <f t="shared" si="9"/>
        <v>3055555.555555556</v>
      </c>
      <c r="BV4" s="1140">
        <f>AV4*1000/5</f>
        <v>4200</v>
      </c>
      <c r="BW4" s="1140">
        <f t="shared" si="4"/>
        <v>2000</v>
      </c>
      <c r="BX4" s="1140">
        <f t="shared" si="4"/>
        <v>0</v>
      </c>
      <c r="BY4" s="1140">
        <f t="shared" si="10"/>
        <v>6200</v>
      </c>
      <c r="BZ4" s="1136"/>
      <c r="CA4" s="1140">
        <f t="shared" si="11"/>
        <v>0</v>
      </c>
      <c r="CB4" s="1140">
        <f t="shared" si="12"/>
        <v>0</v>
      </c>
      <c r="CC4" s="1140">
        <f t="shared" si="13"/>
        <v>0</v>
      </c>
      <c r="CD4" s="1140">
        <f t="shared" si="14"/>
        <v>0</v>
      </c>
      <c r="CE4" s="1140">
        <f t="shared" si="15"/>
        <v>4200</v>
      </c>
      <c r="CF4" s="1140">
        <f t="shared" si="16"/>
        <v>2000</v>
      </c>
      <c r="CG4" s="1140">
        <f t="shared" si="17"/>
        <v>0</v>
      </c>
      <c r="CH4" s="1140">
        <f t="shared" si="18"/>
        <v>6200</v>
      </c>
      <c r="CI4" s="1146"/>
    </row>
    <row r="5" spans="1:87" ht="15" customHeight="1" x14ac:dyDescent="0.2">
      <c r="A5" s="1052">
        <v>124</v>
      </c>
      <c r="B5" s="1052" t="s">
        <v>1412</v>
      </c>
      <c r="C5" s="1053" t="s">
        <v>1424</v>
      </c>
      <c r="D5" s="1054" t="s">
        <v>1424</v>
      </c>
      <c r="E5" s="1055">
        <f t="shared" si="0"/>
        <v>220331.99239999999</v>
      </c>
      <c r="F5" s="1055">
        <v>342809</v>
      </c>
      <c r="G5" s="1056">
        <f t="shared" si="1"/>
        <v>563140.99239999999</v>
      </c>
      <c r="H5" s="1053" t="s">
        <v>10</v>
      </c>
      <c r="I5" s="1054" t="s">
        <v>1416</v>
      </c>
      <c r="J5" s="1054" t="s">
        <v>1412</v>
      </c>
      <c r="K5" s="1054" t="s">
        <v>1509</v>
      </c>
      <c r="L5" s="1054" t="s">
        <v>1412</v>
      </c>
      <c r="M5" s="1057">
        <v>107</v>
      </c>
      <c r="N5" s="1057">
        <v>0.93500000000000005</v>
      </c>
      <c r="O5" s="1057">
        <v>0.93400000000000005</v>
      </c>
      <c r="P5" s="1057">
        <v>0.747</v>
      </c>
      <c r="Q5" s="1057">
        <v>0.84299999999999997</v>
      </c>
      <c r="R5" s="1057">
        <v>739600</v>
      </c>
      <c r="S5" s="1057">
        <v>632411</v>
      </c>
      <c r="T5" s="1058">
        <f t="shared" si="2"/>
        <v>220031</v>
      </c>
      <c r="U5" s="1057">
        <v>404394</v>
      </c>
      <c r="V5" s="1057">
        <v>228017</v>
      </c>
      <c r="W5" s="1057">
        <v>3500</v>
      </c>
      <c r="X5" s="1057">
        <v>562840</v>
      </c>
      <c r="Y5" s="1057">
        <v>220031</v>
      </c>
      <c r="Z5" s="1057">
        <v>342809</v>
      </c>
      <c r="AA5" s="1057">
        <v>289602</v>
      </c>
      <c r="AB5" s="1057">
        <v>0</v>
      </c>
      <c r="AC5" s="1057">
        <v>289602</v>
      </c>
      <c r="AD5" s="1057">
        <v>342809</v>
      </c>
      <c r="AE5" s="1057">
        <v>0</v>
      </c>
      <c r="AF5" s="1057">
        <v>289602</v>
      </c>
      <c r="AG5" s="1057">
        <v>0</v>
      </c>
      <c r="AH5" s="1057">
        <v>301000</v>
      </c>
      <c r="AI5" s="1057">
        <v>239000</v>
      </c>
      <c r="AJ5" s="1053" t="s">
        <v>900</v>
      </c>
      <c r="AK5" s="1053" t="s">
        <v>905</v>
      </c>
      <c r="AL5" s="1054" t="s">
        <v>1416</v>
      </c>
      <c r="AM5" s="1053" t="s">
        <v>10</v>
      </c>
      <c r="AN5" s="1054" t="s">
        <v>1424</v>
      </c>
      <c r="AO5" s="1054">
        <v>562840</v>
      </c>
      <c r="AP5" s="1059">
        <f t="shared" si="3"/>
        <v>356.49690000000004</v>
      </c>
      <c r="AQ5" s="1059">
        <f t="shared" si="5"/>
        <v>377.49690000000004</v>
      </c>
      <c r="AR5" s="1052">
        <v>144</v>
      </c>
      <c r="AS5" s="1052">
        <v>239</v>
      </c>
      <c r="AT5" s="1052">
        <v>59</v>
      </c>
      <c r="AU5" s="1052">
        <v>8</v>
      </c>
      <c r="AV5" s="1052">
        <v>0</v>
      </c>
      <c r="AW5" s="1052">
        <v>0</v>
      </c>
      <c r="AX5" s="1052">
        <v>0</v>
      </c>
      <c r="AY5" s="1052">
        <v>0</v>
      </c>
      <c r="AZ5" s="1052">
        <v>11</v>
      </c>
      <c r="BA5" s="1052">
        <v>15</v>
      </c>
      <c r="BB5" s="1052">
        <v>21</v>
      </c>
      <c r="BC5" s="1052">
        <v>0</v>
      </c>
      <c r="BD5" s="1052">
        <v>23</v>
      </c>
      <c r="BE5" s="1052">
        <v>0</v>
      </c>
      <c r="BF5" s="1052">
        <v>0</v>
      </c>
      <c r="BG5" s="1052">
        <v>0</v>
      </c>
      <c r="BH5" s="1052">
        <v>43</v>
      </c>
      <c r="BI5" s="1052">
        <v>0</v>
      </c>
      <c r="BJ5" s="1052">
        <v>0</v>
      </c>
      <c r="BK5" s="1052">
        <v>0</v>
      </c>
      <c r="BL5" s="1052">
        <v>0</v>
      </c>
      <c r="BM5" s="1052">
        <v>0</v>
      </c>
      <c r="BN5" s="1052">
        <v>14564</v>
      </c>
      <c r="BO5" s="1052">
        <v>539.32899999999995</v>
      </c>
      <c r="BR5" s="1140">
        <f t="shared" si="6"/>
        <v>2000000.0000000002</v>
      </c>
      <c r="BS5" s="1140">
        <f t="shared" si="7"/>
        <v>819444.4444444445</v>
      </c>
      <c r="BT5" s="1140">
        <f t="shared" si="8"/>
        <v>111111.11111111112</v>
      </c>
      <c r="BU5" s="1140">
        <f t="shared" si="9"/>
        <v>2930555.555555556</v>
      </c>
      <c r="BV5" s="1140">
        <f t="shared" ref="BV5:BV68" si="19">AV5*1000/5</f>
        <v>0</v>
      </c>
      <c r="BW5" s="1140">
        <f t="shared" ref="BW5:BW68" si="20">AX5*1000/5</f>
        <v>0</v>
      </c>
      <c r="BX5" s="1140">
        <f t="shared" ref="BX5:BX68" si="21">AY5*1000/5</f>
        <v>0</v>
      </c>
      <c r="BY5" s="1140">
        <f t="shared" si="10"/>
        <v>0</v>
      </c>
      <c r="CA5" s="1140">
        <f t="shared" si="11"/>
        <v>2000000.0000000002</v>
      </c>
      <c r="CB5" s="1140">
        <f t="shared" si="12"/>
        <v>819444.4444444445</v>
      </c>
      <c r="CC5" s="1140">
        <f t="shared" si="13"/>
        <v>111111.11111111112</v>
      </c>
      <c r="CD5" s="1140">
        <f t="shared" si="14"/>
        <v>2930555.555555556</v>
      </c>
      <c r="CE5" s="1140">
        <f t="shared" si="15"/>
        <v>0</v>
      </c>
      <c r="CF5" s="1140">
        <f t="shared" si="16"/>
        <v>0</v>
      </c>
      <c r="CG5" s="1140">
        <f t="shared" si="17"/>
        <v>0</v>
      </c>
      <c r="CH5" s="1140">
        <f t="shared" si="18"/>
        <v>0</v>
      </c>
    </row>
    <row r="6" spans="1:87" ht="15" customHeight="1" x14ac:dyDescent="0.2">
      <c r="A6" s="1052">
        <v>140</v>
      </c>
      <c r="B6" s="1052"/>
      <c r="C6" s="1053" t="s">
        <v>1514</v>
      </c>
      <c r="D6" s="1054" t="s">
        <v>1514</v>
      </c>
      <c r="E6" s="1055">
        <f t="shared" si="0"/>
        <v>17620.4686</v>
      </c>
      <c r="F6" s="1055">
        <v>0</v>
      </c>
      <c r="G6" s="1056">
        <f t="shared" si="1"/>
        <v>17620.4686</v>
      </c>
      <c r="H6" s="1053" t="s">
        <v>10</v>
      </c>
      <c r="I6" s="1054" t="s">
        <v>1512</v>
      </c>
      <c r="J6" s="1054" t="s">
        <v>1417</v>
      </c>
      <c r="K6" s="1054" t="s">
        <v>1517</v>
      </c>
      <c r="L6" s="1054" t="s">
        <v>10</v>
      </c>
      <c r="M6" s="1057">
        <v>5</v>
      </c>
      <c r="N6" s="1057">
        <v>1</v>
      </c>
      <c r="O6" s="1057">
        <v>1</v>
      </c>
      <c r="P6" s="1057">
        <v>0.747</v>
      </c>
      <c r="Q6" s="1057">
        <v>0.84299999999999997</v>
      </c>
      <c r="R6" s="1057">
        <v>0</v>
      </c>
      <c r="S6" s="1057">
        <v>90874</v>
      </c>
      <c r="T6" s="1058">
        <f t="shared" si="2"/>
        <v>17620.4686</v>
      </c>
      <c r="U6" s="1057">
        <v>81047</v>
      </c>
      <c r="V6" s="1057">
        <v>9827</v>
      </c>
      <c r="W6" s="1057">
        <v>488</v>
      </c>
      <c r="X6" s="1057">
        <v>0</v>
      </c>
      <c r="Y6" s="1057">
        <v>0</v>
      </c>
      <c r="Z6" s="1057">
        <v>0</v>
      </c>
      <c r="AA6" s="1057">
        <v>108494.46859999999</v>
      </c>
      <c r="AB6" s="1057">
        <v>17620.4686</v>
      </c>
      <c r="AC6" s="1057">
        <v>90874</v>
      </c>
      <c r="AD6" s="1057">
        <v>0</v>
      </c>
      <c r="AE6" s="1057">
        <v>0</v>
      </c>
      <c r="AF6" s="1057">
        <v>0</v>
      </c>
      <c r="AG6" s="1057">
        <v>90874</v>
      </c>
      <c r="AH6" s="1057">
        <v>0</v>
      </c>
      <c r="AI6" s="1057">
        <v>0</v>
      </c>
      <c r="AJ6" s="1053">
        <v>4</v>
      </c>
      <c r="AK6" s="1053" t="s">
        <v>906</v>
      </c>
      <c r="AL6" s="1054" t="s">
        <v>1512</v>
      </c>
      <c r="AM6" s="1053" t="s">
        <v>10</v>
      </c>
      <c r="AN6" s="1054" t="s">
        <v>1514</v>
      </c>
      <c r="AO6" s="1054">
        <v>17620.4686</v>
      </c>
      <c r="AP6" s="1059">
        <f t="shared" si="3"/>
        <v>5</v>
      </c>
      <c r="AQ6" s="1059">
        <f t="shared" si="5"/>
        <v>6</v>
      </c>
      <c r="AR6" s="1052">
        <v>0</v>
      </c>
      <c r="AS6" s="1052">
        <v>0</v>
      </c>
      <c r="AT6" s="1052">
        <v>5</v>
      </c>
      <c r="AU6" s="1052">
        <v>0</v>
      </c>
      <c r="AV6" s="1052">
        <v>0</v>
      </c>
      <c r="AW6" s="1052">
        <v>0</v>
      </c>
      <c r="AX6" s="1052">
        <v>0</v>
      </c>
      <c r="AY6" s="1052">
        <v>0</v>
      </c>
      <c r="AZ6" s="1052">
        <v>0</v>
      </c>
      <c r="BA6" s="1052">
        <v>0</v>
      </c>
      <c r="BB6" s="1052">
        <v>1</v>
      </c>
      <c r="BC6" s="1052">
        <v>0</v>
      </c>
      <c r="BD6" s="1052">
        <v>0</v>
      </c>
      <c r="BE6" s="1052">
        <v>0</v>
      </c>
      <c r="BF6" s="1052">
        <v>0</v>
      </c>
      <c r="BG6" s="1052">
        <v>0</v>
      </c>
      <c r="BH6" s="1052">
        <v>0</v>
      </c>
      <c r="BI6" s="1052">
        <v>0</v>
      </c>
      <c r="BJ6" s="1052">
        <v>0</v>
      </c>
      <c r="BK6" s="1052">
        <v>0</v>
      </c>
      <c r="BL6" s="1052">
        <v>0</v>
      </c>
      <c r="BM6" s="1052">
        <v>0</v>
      </c>
      <c r="BN6" s="1052">
        <v>0</v>
      </c>
      <c r="BO6" s="1052">
        <v>0</v>
      </c>
      <c r="BR6" s="1140">
        <f t="shared" si="6"/>
        <v>0</v>
      </c>
      <c r="BS6" s="1140">
        <f t="shared" si="7"/>
        <v>69444.444444444453</v>
      </c>
      <c r="BT6" s="1140">
        <f t="shared" si="8"/>
        <v>0</v>
      </c>
      <c r="BU6" s="1140">
        <f t="shared" si="9"/>
        <v>69444.444444444453</v>
      </c>
      <c r="BV6" s="1140">
        <f t="shared" si="19"/>
        <v>0</v>
      </c>
      <c r="BW6" s="1140">
        <f t="shared" si="20"/>
        <v>0</v>
      </c>
      <c r="BX6" s="1140">
        <f t="shared" si="21"/>
        <v>0</v>
      </c>
      <c r="BY6" s="1140">
        <f t="shared" si="10"/>
        <v>0</v>
      </c>
      <c r="CA6" s="1140">
        <f t="shared" si="11"/>
        <v>0</v>
      </c>
      <c r="CB6" s="1140">
        <f t="shared" si="12"/>
        <v>69444.444444444453</v>
      </c>
      <c r="CC6" s="1140">
        <f t="shared" si="13"/>
        <v>0</v>
      </c>
      <c r="CD6" s="1140">
        <f t="shared" si="14"/>
        <v>69444.444444444453</v>
      </c>
      <c r="CE6" s="1140">
        <f t="shared" si="15"/>
        <v>0</v>
      </c>
      <c r="CF6" s="1140">
        <f t="shared" si="16"/>
        <v>0</v>
      </c>
      <c r="CG6" s="1140">
        <f t="shared" si="17"/>
        <v>0</v>
      </c>
      <c r="CH6" s="1140">
        <f t="shared" si="18"/>
        <v>0</v>
      </c>
    </row>
    <row r="7" spans="1:87" ht="15" customHeight="1" x14ac:dyDescent="0.2">
      <c r="A7" s="1052">
        <v>4820</v>
      </c>
      <c r="B7" s="1052"/>
      <c r="C7" s="1053" t="s">
        <v>1518</v>
      </c>
      <c r="D7" s="1054" t="s">
        <v>1518</v>
      </c>
      <c r="E7" s="1055">
        <f t="shared" si="0"/>
        <v>330980</v>
      </c>
      <c r="F7" s="1055">
        <v>0</v>
      </c>
      <c r="G7" s="1056">
        <f t="shared" si="1"/>
        <v>330980</v>
      </c>
      <c r="H7" s="1053" t="s">
        <v>10</v>
      </c>
      <c r="I7" s="1054" t="s">
        <v>1416</v>
      </c>
      <c r="J7" s="1054" t="s">
        <v>1417</v>
      </c>
      <c r="K7" s="1054" t="s">
        <v>1517</v>
      </c>
      <c r="L7" s="1054" t="s">
        <v>10</v>
      </c>
      <c r="M7" s="1057">
        <v>130</v>
      </c>
      <c r="N7" s="1057">
        <v>0.67400000000000004</v>
      </c>
      <c r="O7" s="1057">
        <v>0.69199999999999995</v>
      </c>
      <c r="P7" s="1057">
        <v>0.92500000000000004</v>
      </c>
      <c r="Q7" s="1057">
        <v>0.95199999999999996</v>
      </c>
      <c r="R7" s="1057">
        <v>501572</v>
      </c>
      <c r="S7" s="1057">
        <v>950000</v>
      </c>
      <c r="T7" s="1058">
        <f t="shared" si="2"/>
        <v>149217.66999999998</v>
      </c>
      <c r="U7" s="1057">
        <v>501572</v>
      </c>
      <c r="V7" s="1057">
        <v>448428</v>
      </c>
      <c r="W7" s="1057">
        <v>5500</v>
      </c>
      <c r="X7" s="1057">
        <v>0</v>
      </c>
      <c r="Y7" s="1057">
        <v>0</v>
      </c>
      <c r="Z7" s="1057">
        <v>0</v>
      </c>
      <c r="AA7" s="1057">
        <v>1099217.67</v>
      </c>
      <c r="AB7" s="1057">
        <v>149217.67000000001</v>
      </c>
      <c r="AC7" s="1057">
        <v>950000</v>
      </c>
      <c r="AD7" s="1057">
        <v>0</v>
      </c>
      <c r="AE7" s="1057">
        <v>0</v>
      </c>
      <c r="AF7" s="1057">
        <v>0</v>
      </c>
      <c r="AG7" s="1057">
        <v>950000</v>
      </c>
      <c r="AH7" s="1057">
        <v>0</v>
      </c>
      <c r="AI7" s="1057">
        <v>0</v>
      </c>
      <c r="AJ7" s="1053">
        <v>4</v>
      </c>
      <c r="AK7" s="1053" t="s">
        <v>906</v>
      </c>
      <c r="AL7" s="1054" t="s">
        <v>1416</v>
      </c>
      <c r="AM7" s="1053" t="s">
        <v>10</v>
      </c>
      <c r="AN7" s="1054" t="s">
        <v>1518</v>
      </c>
      <c r="AO7" s="1054">
        <v>149217.67000000001</v>
      </c>
      <c r="AP7" s="1059">
        <f t="shared" si="3"/>
        <v>228.306265</v>
      </c>
      <c r="AQ7" s="1059">
        <f t="shared" si="5"/>
        <v>243.306265</v>
      </c>
      <c r="AR7" s="1052">
        <v>0</v>
      </c>
      <c r="AS7" s="1052">
        <v>0</v>
      </c>
      <c r="AT7" s="1052">
        <v>160</v>
      </c>
      <c r="AU7" s="1052">
        <v>49</v>
      </c>
      <c r="AV7" s="1052">
        <v>0</v>
      </c>
      <c r="AW7" s="1052">
        <v>0</v>
      </c>
      <c r="AX7" s="1052">
        <v>17</v>
      </c>
      <c r="AY7" s="1052">
        <v>2</v>
      </c>
      <c r="AZ7" s="1052">
        <v>0</v>
      </c>
      <c r="BA7" s="1052">
        <v>0</v>
      </c>
      <c r="BB7" s="1052">
        <v>11</v>
      </c>
      <c r="BC7" s="1052">
        <v>4</v>
      </c>
      <c r="BD7" s="1052">
        <v>0</v>
      </c>
      <c r="BE7" s="1052">
        <v>1</v>
      </c>
      <c r="BF7" s="1052">
        <v>0</v>
      </c>
      <c r="BG7" s="1052">
        <v>0</v>
      </c>
      <c r="BH7" s="1052">
        <v>0</v>
      </c>
      <c r="BI7" s="1052">
        <v>0</v>
      </c>
      <c r="BJ7" s="1052">
        <v>0</v>
      </c>
      <c r="BK7" s="1052">
        <v>0</v>
      </c>
      <c r="BL7" s="1052">
        <v>0</v>
      </c>
      <c r="BM7" s="1052">
        <v>0</v>
      </c>
      <c r="BN7" s="1052">
        <v>0</v>
      </c>
      <c r="BO7" s="1052">
        <v>3.0626500000000001</v>
      </c>
      <c r="BR7" s="1140">
        <f t="shared" si="6"/>
        <v>0</v>
      </c>
      <c r="BS7" s="1140">
        <f t="shared" si="7"/>
        <v>2222222.2222222225</v>
      </c>
      <c r="BT7" s="1140">
        <f t="shared" si="8"/>
        <v>680555.55555555562</v>
      </c>
      <c r="BU7" s="1140">
        <f t="shared" si="9"/>
        <v>2902777.777777778</v>
      </c>
      <c r="BV7" s="1140">
        <f t="shared" si="19"/>
        <v>0</v>
      </c>
      <c r="BW7" s="1140">
        <f t="shared" si="20"/>
        <v>3400</v>
      </c>
      <c r="BX7" s="1140">
        <f t="shared" si="21"/>
        <v>400</v>
      </c>
      <c r="BY7" s="1140">
        <f t="shared" si="10"/>
        <v>3800</v>
      </c>
      <c r="CA7" s="1140">
        <f t="shared" si="11"/>
        <v>0</v>
      </c>
      <c r="CB7" s="1140">
        <f t="shared" si="12"/>
        <v>2222222.2222222225</v>
      </c>
      <c r="CC7" s="1140">
        <f t="shared" si="13"/>
        <v>680555.55555555562</v>
      </c>
      <c r="CD7" s="1140">
        <f t="shared" si="14"/>
        <v>2902777.777777778</v>
      </c>
      <c r="CE7" s="1140">
        <f t="shared" si="15"/>
        <v>0</v>
      </c>
      <c r="CF7" s="1140">
        <f t="shared" si="16"/>
        <v>3400</v>
      </c>
      <c r="CG7" s="1140">
        <f t="shared" si="17"/>
        <v>400</v>
      </c>
      <c r="CH7" s="1140">
        <f t="shared" si="18"/>
        <v>3800</v>
      </c>
    </row>
    <row r="8" spans="1:87" ht="15" customHeight="1" x14ac:dyDescent="0.2">
      <c r="A8" s="1052">
        <v>3116</v>
      </c>
      <c r="B8" s="1052"/>
      <c r="C8" s="1053" t="s">
        <v>1521</v>
      </c>
      <c r="D8" s="1054" t="s">
        <v>1521</v>
      </c>
      <c r="E8" s="1055">
        <f t="shared" si="0"/>
        <v>24103.515099999997</v>
      </c>
      <c r="F8" s="1055">
        <v>0</v>
      </c>
      <c r="G8" s="1056">
        <f t="shared" si="1"/>
        <v>24103.515099999997</v>
      </c>
      <c r="H8" s="1053" t="s">
        <v>10</v>
      </c>
      <c r="I8" s="1054" t="s">
        <v>1512</v>
      </c>
      <c r="J8" s="1054" t="s">
        <v>1417</v>
      </c>
      <c r="K8" s="1054" t="s">
        <v>1517</v>
      </c>
      <c r="L8" s="1054" t="s">
        <v>10</v>
      </c>
      <c r="M8" s="1057">
        <v>22</v>
      </c>
      <c r="N8" s="1057">
        <v>0.96</v>
      </c>
      <c r="O8" s="1057">
        <v>0.96</v>
      </c>
      <c r="P8" s="1057">
        <v>0.96</v>
      </c>
      <c r="Q8" s="1057">
        <v>0.96699999999999997</v>
      </c>
      <c r="R8" s="1057">
        <v>0</v>
      </c>
      <c r="S8" s="1057">
        <v>124309</v>
      </c>
      <c r="T8" s="1058">
        <f t="shared" si="2"/>
        <v>24103.515099999997</v>
      </c>
      <c r="U8" s="1057">
        <v>81319</v>
      </c>
      <c r="V8" s="1057">
        <v>42990</v>
      </c>
      <c r="W8" s="1057">
        <v>1102</v>
      </c>
      <c r="X8" s="1057">
        <v>0</v>
      </c>
      <c r="Y8" s="1057">
        <v>0</v>
      </c>
      <c r="Z8" s="1057">
        <v>0</v>
      </c>
      <c r="AA8" s="1057">
        <v>148412.51509999999</v>
      </c>
      <c r="AB8" s="1057">
        <v>24103.515100000001</v>
      </c>
      <c r="AC8" s="1057">
        <v>124309</v>
      </c>
      <c r="AD8" s="1057">
        <v>0</v>
      </c>
      <c r="AE8" s="1057">
        <v>0</v>
      </c>
      <c r="AF8" s="1057">
        <v>0</v>
      </c>
      <c r="AG8" s="1057">
        <v>124309</v>
      </c>
      <c r="AH8" s="1057">
        <v>0</v>
      </c>
      <c r="AI8" s="1057">
        <v>0</v>
      </c>
      <c r="AJ8" s="1053">
        <v>4</v>
      </c>
      <c r="AK8" s="1053" t="s">
        <v>906</v>
      </c>
      <c r="AL8" s="1054" t="s">
        <v>1512</v>
      </c>
      <c r="AM8" s="1053" t="s">
        <v>10</v>
      </c>
      <c r="AN8" s="1054" t="s">
        <v>1521</v>
      </c>
      <c r="AO8" s="1054">
        <v>24103.515100000001</v>
      </c>
      <c r="AP8" s="1059">
        <f t="shared" si="3"/>
        <v>18</v>
      </c>
      <c r="AQ8" s="1059">
        <f t="shared" si="5"/>
        <v>40</v>
      </c>
      <c r="AR8" s="1052">
        <v>0</v>
      </c>
      <c r="AS8" s="1052">
        <v>0</v>
      </c>
      <c r="AT8" s="1052">
        <v>5</v>
      </c>
      <c r="AU8" s="1052">
        <v>11</v>
      </c>
      <c r="AV8" s="1052">
        <v>0</v>
      </c>
      <c r="AW8" s="1052">
        <v>0</v>
      </c>
      <c r="AX8" s="1052">
        <v>0</v>
      </c>
      <c r="AY8" s="1052">
        <v>2</v>
      </c>
      <c r="AZ8" s="1052">
        <v>0</v>
      </c>
      <c r="BA8" s="1052">
        <v>5</v>
      </c>
      <c r="BB8" s="1052">
        <v>21</v>
      </c>
      <c r="BC8" s="1052">
        <v>1</v>
      </c>
      <c r="BD8" s="1052">
        <v>0</v>
      </c>
      <c r="BE8" s="1052">
        <v>0</v>
      </c>
      <c r="BF8" s="1052">
        <v>0</v>
      </c>
      <c r="BG8" s="1052">
        <v>0</v>
      </c>
      <c r="BH8" s="1052">
        <v>0</v>
      </c>
      <c r="BI8" s="1052">
        <v>0</v>
      </c>
      <c r="BJ8" s="1052">
        <v>0</v>
      </c>
      <c r="BK8" s="1052">
        <v>0</v>
      </c>
      <c r="BL8" s="1052">
        <v>0</v>
      </c>
      <c r="BM8" s="1052">
        <v>0</v>
      </c>
      <c r="BN8" s="1052">
        <v>0</v>
      </c>
      <c r="BO8" s="1052">
        <v>0</v>
      </c>
      <c r="BR8" s="1140">
        <f t="shared" si="6"/>
        <v>0</v>
      </c>
      <c r="BS8" s="1140">
        <f t="shared" si="7"/>
        <v>69444.444444444453</v>
      </c>
      <c r="BT8" s="1140">
        <f t="shared" si="8"/>
        <v>152777.77777777778</v>
      </c>
      <c r="BU8" s="1140">
        <f t="shared" si="9"/>
        <v>222222.22222222225</v>
      </c>
      <c r="BV8" s="1140">
        <f t="shared" si="19"/>
        <v>0</v>
      </c>
      <c r="BW8" s="1140">
        <f t="shared" si="20"/>
        <v>0</v>
      </c>
      <c r="BX8" s="1140">
        <f t="shared" si="21"/>
        <v>400</v>
      </c>
      <c r="BY8" s="1140">
        <f t="shared" si="10"/>
        <v>400</v>
      </c>
      <c r="CA8" s="1140">
        <f t="shared" si="11"/>
        <v>0</v>
      </c>
      <c r="CB8" s="1140">
        <f t="shared" si="12"/>
        <v>69444.444444444453</v>
      </c>
      <c r="CC8" s="1140">
        <f t="shared" si="13"/>
        <v>152777.77777777778</v>
      </c>
      <c r="CD8" s="1140">
        <f t="shared" si="14"/>
        <v>222222.22222222225</v>
      </c>
      <c r="CE8" s="1140">
        <f t="shared" si="15"/>
        <v>0</v>
      </c>
      <c r="CF8" s="1140">
        <f t="shared" si="16"/>
        <v>0</v>
      </c>
      <c r="CG8" s="1140">
        <f t="shared" si="17"/>
        <v>400</v>
      </c>
      <c r="CH8" s="1140">
        <f t="shared" si="18"/>
        <v>400</v>
      </c>
    </row>
    <row r="9" spans="1:87" ht="15" customHeight="1" x14ac:dyDescent="0.2">
      <c r="A9" s="1052">
        <v>9087</v>
      </c>
      <c r="B9" s="1052" t="s">
        <v>1412</v>
      </c>
      <c r="C9" s="1053" t="s">
        <v>1523</v>
      </c>
      <c r="D9" s="1054" t="s">
        <v>1523</v>
      </c>
      <c r="E9" s="1055">
        <f t="shared" si="0"/>
        <v>386706.92839999998</v>
      </c>
      <c r="F9" s="1055">
        <v>488036</v>
      </c>
      <c r="G9" s="1056">
        <f t="shared" si="1"/>
        <v>874742.92839999998</v>
      </c>
      <c r="H9" s="1053" t="s">
        <v>1417</v>
      </c>
      <c r="I9" s="1054" t="s">
        <v>1416</v>
      </c>
      <c r="J9" s="1054" t="s">
        <v>1412</v>
      </c>
      <c r="K9" s="1054" t="s">
        <v>1526</v>
      </c>
      <c r="L9" s="1054" t="s">
        <v>1412</v>
      </c>
      <c r="M9" s="1057">
        <v>141</v>
      </c>
      <c r="N9" s="1057">
        <v>0.98599999999999999</v>
      </c>
      <c r="O9" s="1057">
        <v>0.98599999999999999</v>
      </c>
      <c r="P9" s="1057">
        <v>0.95599999999999996</v>
      </c>
      <c r="Q9" s="1057">
        <v>0.83499999999999996</v>
      </c>
      <c r="R9" s="1057">
        <v>1385850</v>
      </c>
      <c r="S9" s="1057">
        <v>1109951</v>
      </c>
      <c r="T9" s="1058">
        <f t="shared" si="2"/>
        <v>412290.375</v>
      </c>
      <c r="U9" s="1057">
        <v>754956</v>
      </c>
      <c r="V9" s="1057">
        <v>354995</v>
      </c>
      <c r="W9" s="1057">
        <v>4602</v>
      </c>
      <c r="X9" s="1057">
        <v>900326.375</v>
      </c>
      <c r="Y9" s="1057">
        <v>412290.375</v>
      </c>
      <c r="Z9" s="1057">
        <v>488036</v>
      </c>
      <c r="AA9" s="1057">
        <v>621915</v>
      </c>
      <c r="AB9" s="1057">
        <v>0</v>
      </c>
      <c r="AC9" s="1057">
        <v>621915</v>
      </c>
      <c r="AD9" s="1057">
        <v>488036</v>
      </c>
      <c r="AE9" s="1057">
        <v>0</v>
      </c>
      <c r="AF9" s="1057">
        <v>621915</v>
      </c>
      <c r="AG9" s="1057">
        <v>0</v>
      </c>
      <c r="AH9" s="1057">
        <v>660000</v>
      </c>
      <c r="AI9" s="1057">
        <v>449000</v>
      </c>
      <c r="AJ9" s="1053" t="s">
        <v>900</v>
      </c>
      <c r="AK9" s="1053" t="s">
        <v>907</v>
      </c>
      <c r="AL9" s="1054" t="s">
        <v>1416</v>
      </c>
      <c r="AM9" s="1053" t="s">
        <v>1417</v>
      </c>
      <c r="AN9" s="1054" t="s">
        <v>1523</v>
      </c>
      <c r="AO9" s="1054">
        <v>900326.375</v>
      </c>
      <c r="AP9" s="1059">
        <f t="shared" si="3"/>
        <v>928.91390000000001</v>
      </c>
      <c r="AQ9" s="1059">
        <f t="shared" si="5"/>
        <v>971.91390000000001</v>
      </c>
      <c r="AR9" s="1052">
        <v>229</v>
      </c>
      <c r="AS9" s="1052">
        <v>449</v>
      </c>
      <c r="AT9" s="1052">
        <v>307</v>
      </c>
      <c r="AU9" s="1052">
        <v>50</v>
      </c>
      <c r="AV9" s="1052">
        <v>0</v>
      </c>
      <c r="AW9" s="1052">
        <v>0</v>
      </c>
      <c r="AX9" s="1052">
        <v>0</v>
      </c>
      <c r="AY9" s="1052">
        <v>0</v>
      </c>
      <c r="AZ9" s="1052">
        <v>0</v>
      </c>
      <c r="BA9" s="1052">
        <v>114</v>
      </c>
      <c r="BB9" s="1052">
        <v>43</v>
      </c>
      <c r="BC9" s="1052">
        <v>0</v>
      </c>
      <c r="BD9" s="1052">
        <v>19</v>
      </c>
      <c r="BE9" s="1052">
        <v>0</v>
      </c>
      <c r="BF9" s="1052">
        <v>0</v>
      </c>
      <c r="BG9" s="1052">
        <v>0</v>
      </c>
      <c r="BH9" s="1052">
        <v>146</v>
      </c>
      <c r="BI9" s="1052">
        <v>0</v>
      </c>
      <c r="BJ9" s="1052">
        <v>0</v>
      </c>
      <c r="BK9" s="1052">
        <v>0</v>
      </c>
      <c r="BL9" s="1052">
        <v>0</v>
      </c>
      <c r="BM9" s="1052">
        <v>12926</v>
      </c>
      <c r="BN9" s="1052">
        <v>47091</v>
      </c>
      <c r="BO9" s="1052">
        <v>1178.9690000000001</v>
      </c>
      <c r="BR9" s="1140">
        <f t="shared" si="6"/>
        <v>3180555.555555556</v>
      </c>
      <c r="BS9" s="1140">
        <f t="shared" si="7"/>
        <v>4263888.888888889</v>
      </c>
      <c r="BT9" s="1140">
        <f t="shared" si="8"/>
        <v>694444.4444444445</v>
      </c>
      <c r="BU9" s="1140">
        <f t="shared" si="9"/>
        <v>8138888.8888888899</v>
      </c>
      <c r="BV9" s="1140">
        <f t="shared" si="19"/>
        <v>0</v>
      </c>
      <c r="BW9" s="1140">
        <f t="shared" si="20"/>
        <v>0</v>
      </c>
      <c r="BX9" s="1140">
        <f t="shared" si="21"/>
        <v>0</v>
      </c>
      <c r="BY9" s="1140">
        <f t="shared" si="10"/>
        <v>0</v>
      </c>
      <c r="CA9" s="1140">
        <f t="shared" si="11"/>
        <v>0</v>
      </c>
      <c r="CB9" s="1140">
        <f t="shared" si="12"/>
        <v>0</v>
      </c>
      <c r="CC9" s="1140">
        <f t="shared" si="13"/>
        <v>0</v>
      </c>
      <c r="CD9" s="1140">
        <f t="shared" si="14"/>
        <v>0</v>
      </c>
      <c r="CE9" s="1140">
        <f t="shared" si="15"/>
        <v>0</v>
      </c>
      <c r="CF9" s="1140">
        <f t="shared" si="16"/>
        <v>0</v>
      </c>
      <c r="CG9" s="1140">
        <f t="shared" si="17"/>
        <v>0</v>
      </c>
      <c r="CH9" s="1140">
        <f t="shared" si="18"/>
        <v>0</v>
      </c>
    </row>
    <row r="10" spans="1:87" ht="15" customHeight="1" x14ac:dyDescent="0.2">
      <c r="A10" s="1052">
        <v>145</v>
      </c>
      <c r="B10" s="1052" t="s">
        <v>1412</v>
      </c>
      <c r="C10" s="1053" t="s">
        <v>1527</v>
      </c>
      <c r="D10" s="1054" t="s">
        <v>1527</v>
      </c>
      <c r="E10" s="1055">
        <f t="shared" si="0"/>
        <v>475897.67679999996</v>
      </c>
      <c r="F10" s="1055">
        <v>638586</v>
      </c>
      <c r="G10" s="1056">
        <f t="shared" si="1"/>
        <v>1114483.6768</v>
      </c>
      <c r="H10" s="1053" t="s">
        <v>10</v>
      </c>
      <c r="I10" s="1054" t="s">
        <v>1416</v>
      </c>
      <c r="J10" s="1054" t="s">
        <v>1412</v>
      </c>
      <c r="K10" s="1054" t="s">
        <v>1528</v>
      </c>
      <c r="L10" s="1054" t="s">
        <v>1412</v>
      </c>
      <c r="M10" s="1057">
        <v>184</v>
      </c>
      <c r="N10" s="1057">
        <v>0.95099999999999996</v>
      </c>
      <c r="O10" s="1057">
        <v>0.95399999999999996</v>
      </c>
      <c r="P10" s="1057">
        <v>0.86299999999999999</v>
      </c>
      <c r="Q10" s="1057">
        <v>0.92100000000000004</v>
      </c>
      <c r="R10" s="1057">
        <v>1645545</v>
      </c>
      <c r="S10" s="1057">
        <v>1365952</v>
      </c>
      <c r="T10" s="1058">
        <f t="shared" si="2"/>
        <v>489549.63749999995</v>
      </c>
      <c r="U10" s="1057">
        <v>932372</v>
      </c>
      <c r="V10" s="1057">
        <v>433580</v>
      </c>
      <c r="W10" s="1057">
        <v>5600</v>
      </c>
      <c r="X10" s="1057">
        <v>1128135.638</v>
      </c>
      <c r="Y10" s="1057">
        <v>489549.63750000001</v>
      </c>
      <c r="Z10" s="1057">
        <v>638586</v>
      </c>
      <c r="AA10" s="1057">
        <v>727366</v>
      </c>
      <c r="AB10" s="1057">
        <v>0</v>
      </c>
      <c r="AC10" s="1057">
        <v>727366</v>
      </c>
      <c r="AD10" s="1057">
        <v>638586</v>
      </c>
      <c r="AE10" s="1057">
        <v>0</v>
      </c>
      <c r="AF10" s="1057">
        <v>727366</v>
      </c>
      <c r="AG10" s="1057">
        <v>0</v>
      </c>
      <c r="AH10" s="1057">
        <v>849000</v>
      </c>
      <c r="AI10" s="1057">
        <v>769000</v>
      </c>
      <c r="AJ10" s="1053" t="s">
        <v>900</v>
      </c>
      <c r="AK10" s="1053" t="s">
        <v>901</v>
      </c>
      <c r="AL10" s="1054" t="s">
        <v>1416</v>
      </c>
      <c r="AM10" s="1053" t="s">
        <v>10</v>
      </c>
      <c r="AN10" s="1054" t="s">
        <v>1527</v>
      </c>
      <c r="AO10" s="1054">
        <v>1128135.6375</v>
      </c>
      <c r="AP10" s="1059">
        <f t="shared" si="3"/>
        <v>866.48255599999993</v>
      </c>
      <c r="AQ10" s="1059">
        <f t="shared" si="5"/>
        <v>1054.4825559999999</v>
      </c>
      <c r="AR10" s="1052">
        <v>433</v>
      </c>
      <c r="AS10" s="1052">
        <v>769</v>
      </c>
      <c r="AT10" s="1052">
        <v>140</v>
      </c>
      <c r="AU10" s="1052">
        <v>0</v>
      </c>
      <c r="AV10" s="1052">
        <v>0</v>
      </c>
      <c r="AW10" s="1052">
        <v>0</v>
      </c>
      <c r="AX10" s="1052">
        <v>0</v>
      </c>
      <c r="AY10" s="1052">
        <v>0</v>
      </c>
      <c r="AZ10" s="1052">
        <v>6</v>
      </c>
      <c r="BA10" s="1052">
        <v>72</v>
      </c>
      <c r="BB10" s="1052">
        <v>188</v>
      </c>
      <c r="BC10" s="1052">
        <v>0</v>
      </c>
      <c r="BD10" s="1052">
        <v>28</v>
      </c>
      <c r="BE10" s="1052">
        <v>0</v>
      </c>
      <c r="BF10" s="1052">
        <v>0</v>
      </c>
      <c r="BG10" s="1052">
        <v>0</v>
      </c>
      <c r="BH10" s="1052">
        <v>53</v>
      </c>
      <c r="BI10" s="1052">
        <v>2</v>
      </c>
      <c r="BJ10" s="1052">
        <v>0</v>
      </c>
      <c r="BK10" s="1052">
        <v>0</v>
      </c>
      <c r="BL10" s="1052">
        <v>0</v>
      </c>
      <c r="BM10" s="1052">
        <v>0</v>
      </c>
      <c r="BN10" s="1052">
        <v>99001</v>
      </c>
      <c r="BO10" s="1052">
        <v>1074.81556</v>
      </c>
      <c r="BR10" s="1140">
        <f t="shared" si="6"/>
        <v>6013888.888888889</v>
      </c>
      <c r="BS10" s="1140">
        <f t="shared" si="7"/>
        <v>1944444.4444444445</v>
      </c>
      <c r="BT10" s="1140">
        <f t="shared" si="8"/>
        <v>0</v>
      </c>
      <c r="BU10" s="1140">
        <f t="shared" si="9"/>
        <v>7958333.333333334</v>
      </c>
      <c r="BV10" s="1140">
        <f t="shared" si="19"/>
        <v>0</v>
      </c>
      <c r="BW10" s="1140">
        <f t="shared" si="20"/>
        <v>0</v>
      </c>
      <c r="BX10" s="1140">
        <f t="shared" si="21"/>
        <v>0</v>
      </c>
      <c r="BY10" s="1140">
        <f t="shared" si="10"/>
        <v>0</v>
      </c>
      <c r="CA10" s="1140">
        <f t="shared" si="11"/>
        <v>6013888.888888889</v>
      </c>
      <c r="CB10" s="1140">
        <f t="shared" si="12"/>
        <v>1944444.4444444445</v>
      </c>
      <c r="CC10" s="1140">
        <f t="shared" si="13"/>
        <v>0</v>
      </c>
      <c r="CD10" s="1140">
        <f t="shared" si="14"/>
        <v>7958333.333333334</v>
      </c>
      <c r="CE10" s="1140">
        <f t="shared" si="15"/>
        <v>0</v>
      </c>
      <c r="CF10" s="1140">
        <f t="shared" si="16"/>
        <v>0</v>
      </c>
      <c r="CG10" s="1140">
        <f t="shared" si="17"/>
        <v>0</v>
      </c>
      <c r="CH10" s="1140">
        <f t="shared" si="18"/>
        <v>0</v>
      </c>
    </row>
    <row r="11" spans="1:87" ht="15" customHeight="1" x14ac:dyDescent="0.2">
      <c r="A11" s="1052">
        <v>302</v>
      </c>
      <c r="B11" s="1052" t="s">
        <v>1412</v>
      </c>
      <c r="C11" s="1053" t="s">
        <v>1529</v>
      </c>
      <c r="D11" s="1054" t="s">
        <v>1529</v>
      </c>
      <c r="E11" s="1055">
        <f t="shared" si="0"/>
        <v>390424.00799999997</v>
      </c>
      <c r="F11" s="1055">
        <v>0</v>
      </c>
      <c r="G11" s="1056">
        <f t="shared" si="1"/>
        <v>390424.00799999997</v>
      </c>
      <c r="H11" s="1053" t="s">
        <v>10</v>
      </c>
      <c r="I11" s="1054" t="s">
        <v>1416</v>
      </c>
      <c r="J11" s="1054" t="s">
        <v>1412</v>
      </c>
      <c r="K11" s="1054" t="s">
        <v>1532</v>
      </c>
      <c r="L11" s="1054" t="s">
        <v>10</v>
      </c>
      <c r="M11" s="1057">
        <v>154</v>
      </c>
      <c r="N11" s="1057">
        <v>0.95099999999999996</v>
      </c>
      <c r="O11" s="1057">
        <v>0.96</v>
      </c>
      <c r="P11" s="1057">
        <v>0.90800000000000003</v>
      </c>
      <c r="Q11" s="1057">
        <v>0.88600000000000001</v>
      </c>
      <c r="R11" s="1057">
        <v>1310195</v>
      </c>
      <c r="S11" s="1057">
        <v>1120620</v>
      </c>
      <c r="T11" s="1058">
        <f t="shared" si="2"/>
        <v>389783.01249999995</v>
      </c>
      <c r="U11" s="1057">
        <v>738683</v>
      </c>
      <c r="V11" s="1057">
        <v>381937</v>
      </c>
      <c r="W11" s="1057">
        <v>5768</v>
      </c>
      <c r="X11" s="1057">
        <v>0</v>
      </c>
      <c r="Y11" s="1057">
        <v>0</v>
      </c>
      <c r="Z11" s="1057">
        <v>0</v>
      </c>
      <c r="AA11" s="1057">
        <v>1510403.013</v>
      </c>
      <c r="AB11" s="1057">
        <v>389783.01250000001</v>
      </c>
      <c r="AC11" s="1057">
        <v>1120620</v>
      </c>
      <c r="AD11" s="1057">
        <v>0</v>
      </c>
      <c r="AE11" s="1057">
        <v>0</v>
      </c>
      <c r="AF11" s="1057">
        <v>1120620</v>
      </c>
      <c r="AG11" s="1057">
        <v>0</v>
      </c>
      <c r="AH11" s="1057">
        <v>714000</v>
      </c>
      <c r="AI11" s="1057">
        <v>605000</v>
      </c>
      <c r="AJ11" s="1053">
        <v>4</v>
      </c>
      <c r="AK11" s="1053" t="s">
        <v>899</v>
      </c>
      <c r="AL11" s="1054" t="s">
        <v>1416</v>
      </c>
      <c r="AM11" s="1053" t="s">
        <v>10</v>
      </c>
      <c r="AN11" s="1054" t="s">
        <v>1529</v>
      </c>
      <c r="AO11" s="1054">
        <v>389783.01250000001</v>
      </c>
      <c r="AP11" s="1059">
        <f t="shared" si="3"/>
        <v>234.00720000000001</v>
      </c>
      <c r="AQ11" s="1059">
        <f t="shared" si="5"/>
        <v>288.00720000000001</v>
      </c>
      <c r="AR11" s="1052">
        <v>47</v>
      </c>
      <c r="AS11" s="1052">
        <v>605</v>
      </c>
      <c r="AT11" s="1052">
        <v>81</v>
      </c>
      <c r="AU11" s="1052">
        <v>11</v>
      </c>
      <c r="AV11" s="1052">
        <v>0</v>
      </c>
      <c r="AW11" s="1052">
        <v>0</v>
      </c>
      <c r="AX11" s="1052">
        <v>5</v>
      </c>
      <c r="AY11" s="1052">
        <v>0</v>
      </c>
      <c r="AZ11" s="1052">
        <v>0</v>
      </c>
      <c r="BA11" s="1052">
        <v>26</v>
      </c>
      <c r="BB11" s="1052">
        <v>52</v>
      </c>
      <c r="BC11" s="1052">
        <v>2</v>
      </c>
      <c r="BD11" s="1052">
        <v>0</v>
      </c>
      <c r="BE11" s="1052">
        <v>0</v>
      </c>
      <c r="BF11" s="1052">
        <v>0</v>
      </c>
      <c r="BG11" s="1052">
        <v>0</v>
      </c>
      <c r="BH11" s="1052">
        <v>0</v>
      </c>
      <c r="BI11" s="1052">
        <v>0</v>
      </c>
      <c r="BJ11" s="1052">
        <v>0</v>
      </c>
      <c r="BK11" s="1052">
        <v>0</v>
      </c>
      <c r="BL11" s="1052">
        <v>5552</v>
      </c>
      <c r="BM11" s="1052">
        <v>0</v>
      </c>
      <c r="BN11" s="1052">
        <v>51913</v>
      </c>
      <c r="BO11" s="1052">
        <v>325.42200000000003</v>
      </c>
      <c r="BR11" s="1140">
        <f t="shared" si="6"/>
        <v>652777.77777777787</v>
      </c>
      <c r="BS11" s="1140">
        <f t="shared" si="7"/>
        <v>1125000</v>
      </c>
      <c r="BT11" s="1140">
        <f t="shared" si="8"/>
        <v>152777.77777777778</v>
      </c>
      <c r="BU11" s="1140">
        <f t="shared" si="9"/>
        <v>1930555.5555555557</v>
      </c>
      <c r="BV11" s="1140">
        <f t="shared" si="19"/>
        <v>0</v>
      </c>
      <c r="BW11" s="1140">
        <f t="shared" si="20"/>
        <v>1000</v>
      </c>
      <c r="BX11" s="1140">
        <f t="shared" si="21"/>
        <v>0</v>
      </c>
      <c r="BY11" s="1140">
        <f t="shared" si="10"/>
        <v>1000</v>
      </c>
      <c r="CA11" s="1140">
        <f t="shared" si="11"/>
        <v>652777.77777777787</v>
      </c>
      <c r="CB11" s="1140">
        <f t="shared" si="12"/>
        <v>1125000</v>
      </c>
      <c r="CC11" s="1140">
        <f t="shared" si="13"/>
        <v>152777.77777777778</v>
      </c>
      <c r="CD11" s="1140">
        <f t="shared" si="14"/>
        <v>1930555.5555555557</v>
      </c>
      <c r="CE11" s="1140">
        <f t="shared" si="15"/>
        <v>0</v>
      </c>
      <c r="CF11" s="1140">
        <f t="shared" si="16"/>
        <v>1000</v>
      </c>
      <c r="CG11" s="1140">
        <f t="shared" si="17"/>
        <v>0</v>
      </c>
      <c r="CH11" s="1140">
        <f t="shared" si="18"/>
        <v>1000</v>
      </c>
    </row>
    <row r="12" spans="1:87" ht="15" customHeight="1" x14ac:dyDescent="0.2">
      <c r="A12" s="1052">
        <v>8099</v>
      </c>
      <c r="B12" s="1052"/>
      <c r="C12" s="1053" t="s">
        <v>1533</v>
      </c>
      <c r="D12" s="1054" t="s">
        <v>1533</v>
      </c>
      <c r="E12" s="1055">
        <f t="shared" si="0"/>
        <v>223744.91879999998</v>
      </c>
      <c r="F12" s="1055">
        <v>0</v>
      </c>
      <c r="G12" s="1056">
        <f t="shared" si="1"/>
        <v>223744.91879999998</v>
      </c>
      <c r="H12" s="1053" t="s">
        <v>10</v>
      </c>
      <c r="I12" s="1054" t="s">
        <v>1416</v>
      </c>
      <c r="J12" s="1054" t="s">
        <v>1417</v>
      </c>
      <c r="K12" s="1054" t="s">
        <v>1536</v>
      </c>
      <c r="L12" s="1054" t="s">
        <v>10</v>
      </c>
      <c r="M12" s="1057">
        <v>74</v>
      </c>
      <c r="N12" s="1057">
        <v>0.83399999999999996</v>
      </c>
      <c r="O12" s="1057">
        <v>0.88800000000000001</v>
      </c>
      <c r="P12" s="1057">
        <v>0.877</v>
      </c>
      <c r="Q12" s="1057">
        <v>0.85499999999999998</v>
      </c>
      <c r="R12" s="1057">
        <v>664194</v>
      </c>
      <c r="S12" s="1057">
        <v>642207</v>
      </c>
      <c r="T12" s="1058">
        <f t="shared" si="2"/>
        <v>197597.715</v>
      </c>
      <c r="U12" s="1057">
        <v>445150</v>
      </c>
      <c r="V12" s="1057">
        <v>197057</v>
      </c>
      <c r="W12" s="1057">
        <v>3589</v>
      </c>
      <c r="X12" s="1057">
        <v>0</v>
      </c>
      <c r="Y12" s="1057">
        <v>0</v>
      </c>
      <c r="Z12" s="1057">
        <v>0</v>
      </c>
      <c r="AA12" s="1057">
        <v>839804.71499999997</v>
      </c>
      <c r="AB12" s="1057">
        <v>197597.715</v>
      </c>
      <c r="AC12" s="1057">
        <v>642207</v>
      </c>
      <c r="AD12" s="1057">
        <v>0</v>
      </c>
      <c r="AE12" s="1057">
        <v>0</v>
      </c>
      <c r="AF12" s="1057">
        <v>0</v>
      </c>
      <c r="AG12" s="1057">
        <v>642207</v>
      </c>
      <c r="AH12" s="1057">
        <v>0</v>
      </c>
      <c r="AI12" s="1057">
        <v>0</v>
      </c>
      <c r="AJ12" s="1053">
        <v>4</v>
      </c>
      <c r="AK12" s="1053" t="s">
        <v>899</v>
      </c>
      <c r="AL12" s="1054" t="s">
        <v>1416</v>
      </c>
      <c r="AM12" s="1053" t="s">
        <v>10</v>
      </c>
      <c r="AN12" s="1054" t="s">
        <v>1533</v>
      </c>
      <c r="AO12" s="1054">
        <v>197597.715</v>
      </c>
      <c r="AP12" s="1059">
        <f t="shared" si="3"/>
        <v>59</v>
      </c>
      <c r="AQ12" s="1059">
        <f t="shared" si="5"/>
        <v>65</v>
      </c>
      <c r="AR12" s="1052">
        <v>0</v>
      </c>
      <c r="AS12" s="1052">
        <v>0</v>
      </c>
      <c r="AT12" s="1052">
        <v>2</v>
      </c>
      <c r="AU12" s="1052">
        <v>2</v>
      </c>
      <c r="AV12" s="1052">
        <v>0</v>
      </c>
      <c r="AW12" s="1052">
        <v>0</v>
      </c>
      <c r="AX12" s="1052">
        <v>54</v>
      </c>
      <c r="AY12" s="1052">
        <v>1</v>
      </c>
      <c r="AZ12" s="1052">
        <v>0</v>
      </c>
      <c r="BA12" s="1052">
        <v>0</v>
      </c>
      <c r="BB12" s="1052">
        <v>5</v>
      </c>
      <c r="BC12" s="1052">
        <v>1</v>
      </c>
      <c r="BD12" s="1052">
        <v>0</v>
      </c>
      <c r="BE12" s="1052">
        <v>0</v>
      </c>
      <c r="BF12" s="1052">
        <v>0</v>
      </c>
      <c r="BG12" s="1052">
        <v>0</v>
      </c>
      <c r="BH12" s="1052">
        <v>0</v>
      </c>
      <c r="BI12" s="1052">
        <v>0</v>
      </c>
      <c r="BJ12" s="1052">
        <v>0</v>
      </c>
      <c r="BK12" s="1052">
        <v>0</v>
      </c>
      <c r="BL12" s="1052">
        <v>0</v>
      </c>
      <c r="BM12" s="1052">
        <v>0</v>
      </c>
      <c r="BN12" s="1052">
        <v>0</v>
      </c>
      <c r="BO12" s="1052">
        <v>0</v>
      </c>
      <c r="BR12" s="1140">
        <f t="shared" si="6"/>
        <v>0</v>
      </c>
      <c r="BS12" s="1140">
        <f t="shared" si="7"/>
        <v>27777.777777777781</v>
      </c>
      <c r="BT12" s="1140">
        <f t="shared" si="8"/>
        <v>27777.777777777781</v>
      </c>
      <c r="BU12" s="1140">
        <f t="shared" si="9"/>
        <v>55555.555555555562</v>
      </c>
      <c r="BV12" s="1140">
        <f t="shared" si="19"/>
        <v>0</v>
      </c>
      <c r="BW12" s="1140">
        <f t="shared" si="20"/>
        <v>10800</v>
      </c>
      <c r="BX12" s="1140">
        <f t="shared" si="21"/>
        <v>200</v>
      </c>
      <c r="BY12" s="1140">
        <f t="shared" si="10"/>
        <v>11000</v>
      </c>
      <c r="CA12" s="1140">
        <f t="shared" si="11"/>
        <v>0</v>
      </c>
      <c r="CB12" s="1140">
        <f t="shared" si="12"/>
        <v>27777.777777777781</v>
      </c>
      <c r="CC12" s="1140">
        <f t="shared" si="13"/>
        <v>27777.777777777781</v>
      </c>
      <c r="CD12" s="1140">
        <f t="shared" si="14"/>
        <v>55555.555555555562</v>
      </c>
      <c r="CE12" s="1140">
        <f t="shared" si="15"/>
        <v>0</v>
      </c>
      <c r="CF12" s="1140">
        <f t="shared" si="16"/>
        <v>10800</v>
      </c>
      <c r="CG12" s="1140">
        <f t="shared" si="17"/>
        <v>200</v>
      </c>
      <c r="CH12" s="1140">
        <f t="shared" si="18"/>
        <v>11000</v>
      </c>
    </row>
    <row r="13" spans="1:87" ht="15" customHeight="1" x14ac:dyDescent="0.2">
      <c r="A13" s="1052">
        <v>8115</v>
      </c>
      <c r="B13" s="1052" t="s">
        <v>1412</v>
      </c>
      <c r="C13" s="1053" t="s">
        <v>1537</v>
      </c>
      <c r="D13" s="1054" t="s">
        <v>1537</v>
      </c>
      <c r="E13" s="1055">
        <f t="shared" si="0"/>
        <v>363662.01039999997</v>
      </c>
      <c r="F13" s="1055">
        <v>0</v>
      </c>
      <c r="G13" s="1056">
        <f t="shared" si="1"/>
        <v>363662.01039999997</v>
      </c>
      <c r="H13" s="1053" t="s">
        <v>10</v>
      </c>
      <c r="I13" s="1054" t="s">
        <v>1416</v>
      </c>
      <c r="J13" s="1054" t="s">
        <v>1412</v>
      </c>
      <c r="K13" s="1054" t="s">
        <v>1540</v>
      </c>
      <c r="L13" s="1054" t="s">
        <v>10</v>
      </c>
      <c r="M13" s="1057">
        <v>158</v>
      </c>
      <c r="N13" s="1057">
        <v>0.878</v>
      </c>
      <c r="O13" s="1057">
        <v>0.89400000000000002</v>
      </c>
      <c r="P13" s="1057">
        <v>0.88700000000000001</v>
      </c>
      <c r="Q13" s="1057">
        <v>0.873</v>
      </c>
      <c r="R13" s="1057">
        <v>1193429</v>
      </c>
      <c r="S13" s="1057">
        <v>1043806</v>
      </c>
      <c r="T13" s="1058">
        <f t="shared" si="2"/>
        <v>355045.1275</v>
      </c>
      <c r="U13" s="1057">
        <v>541973</v>
      </c>
      <c r="V13" s="1057">
        <v>501833</v>
      </c>
      <c r="W13" s="1057">
        <v>5072</v>
      </c>
      <c r="X13" s="1057">
        <v>0</v>
      </c>
      <c r="Y13" s="1057">
        <v>0</v>
      </c>
      <c r="Z13" s="1057">
        <v>0</v>
      </c>
      <c r="AA13" s="1057">
        <v>1398851.128</v>
      </c>
      <c r="AB13" s="1057">
        <v>355045.1275</v>
      </c>
      <c r="AC13" s="1057">
        <v>1043806</v>
      </c>
      <c r="AD13" s="1057">
        <v>0</v>
      </c>
      <c r="AE13" s="1057">
        <v>0</v>
      </c>
      <c r="AF13" s="1057">
        <v>1043806</v>
      </c>
      <c r="AG13" s="1057">
        <v>0</v>
      </c>
      <c r="AH13" s="1057">
        <v>591000</v>
      </c>
      <c r="AI13" s="1057">
        <v>565000</v>
      </c>
      <c r="AJ13" s="1053" t="s">
        <v>908</v>
      </c>
      <c r="AK13" s="1053" t="s">
        <v>909</v>
      </c>
      <c r="AL13" s="1054" t="s">
        <v>1416</v>
      </c>
      <c r="AM13" s="1053" t="s">
        <v>10</v>
      </c>
      <c r="AN13" s="1054" t="s">
        <v>1537</v>
      </c>
      <c r="AO13" s="1054">
        <v>355045.1275</v>
      </c>
      <c r="AP13" s="1059">
        <f t="shared" si="3"/>
        <v>468.31891400000001</v>
      </c>
      <c r="AQ13" s="1059">
        <f t="shared" si="5"/>
        <v>541.31891399999995</v>
      </c>
      <c r="AR13" s="1052">
        <v>0</v>
      </c>
      <c r="AS13" s="1052">
        <v>565</v>
      </c>
      <c r="AT13" s="1052">
        <v>346</v>
      </c>
      <c r="AU13" s="1052">
        <v>-20</v>
      </c>
      <c r="AV13" s="1052">
        <v>0</v>
      </c>
      <c r="AW13" s="1052">
        <v>0</v>
      </c>
      <c r="AX13" s="1052">
        <v>83</v>
      </c>
      <c r="AY13" s="1052">
        <v>15</v>
      </c>
      <c r="AZ13" s="1052">
        <v>0</v>
      </c>
      <c r="BA13" s="1052">
        <v>0</v>
      </c>
      <c r="BB13" s="1052">
        <v>66</v>
      </c>
      <c r="BC13" s="1052">
        <v>7</v>
      </c>
      <c r="BD13" s="1052">
        <v>5</v>
      </c>
      <c r="BE13" s="1052">
        <v>0</v>
      </c>
      <c r="BF13" s="1052">
        <v>0</v>
      </c>
      <c r="BG13" s="1052">
        <v>0</v>
      </c>
      <c r="BH13" s="1052">
        <v>0</v>
      </c>
      <c r="BI13" s="1052">
        <v>0</v>
      </c>
      <c r="BJ13" s="1052">
        <v>0</v>
      </c>
      <c r="BK13" s="1052">
        <v>0</v>
      </c>
      <c r="BL13" s="1052">
        <v>0</v>
      </c>
      <c r="BM13" s="1052">
        <v>0</v>
      </c>
      <c r="BN13" s="1052">
        <v>0</v>
      </c>
      <c r="BO13" s="1052">
        <v>393.18914000000001</v>
      </c>
      <c r="BR13" s="1140">
        <f t="shared" si="6"/>
        <v>0</v>
      </c>
      <c r="BS13" s="1140">
        <f t="shared" si="7"/>
        <v>4805555.555555556</v>
      </c>
      <c r="BT13" s="1140">
        <f t="shared" si="8"/>
        <v>-277777.77777777781</v>
      </c>
      <c r="BU13" s="1140">
        <f t="shared" si="9"/>
        <v>4527777.777777778</v>
      </c>
      <c r="BV13" s="1140">
        <f t="shared" si="19"/>
        <v>0</v>
      </c>
      <c r="BW13" s="1140">
        <f t="shared" si="20"/>
        <v>16600</v>
      </c>
      <c r="BX13" s="1140">
        <f t="shared" si="21"/>
        <v>3000</v>
      </c>
      <c r="BY13" s="1140">
        <f t="shared" si="10"/>
        <v>19600</v>
      </c>
      <c r="CA13" s="1140">
        <f t="shared" si="11"/>
        <v>0</v>
      </c>
      <c r="CB13" s="1140">
        <f t="shared" si="12"/>
        <v>4805555.555555556</v>
      </c>
      <c r="CC13" s="1140">
        <f t="shared" si="13"/>
        <v>-277777.77777777781</v>
      </c>
      <c r="CD13" s="1140">
        <f t="shared" si="14"/>
        <v>4527777.777777778</v>
      </c>
      <c r="CE13" s="1140">
        <f t="shared" si="15"/>
        <v>0</v>
      </c>
      <c r="CF13" s="1140">
        <f t="shared" si="16"/>
        <v>16600</v>
      </c>
      <c r="CG13" s="1140">
        <f t="shared" si="17"/>
        <v>3000</v>
      </c>
      <c r="CH13" s="1140">
        <f t="shared" si="18"/>
        <v>19600</v>
      </c>
    </row>
    <row r="14" spans="1:87" ht="15" customHeight="1" x14ac:dyDescent="0.2">
      <c r="A14" s="1052">
        <v>8120</v>
      </c>
      <c r="B14" s="1052"/>
      <c r="C14" s="1053" t="s">
        <v>1542</v>
      </c>
      <c r="D14" s="1054" t="s">
        <v>1542</v>
      </c>
      <c r="E14" s="1055">
        <f t="shared" si="0"/>
        <v>172162.2084</v>
      </c>
      <c r="F14" s="1055">
        <v>0</v>
      </c>
      <c r="G14" s="1056">
        <f t="shared" si="1"/>
        <v>172162.2084</v>
      </c>
      <c r="H14" s="1053" t="s">
        <v>1417</v>
      </c>
      <c r="I14" s="1054" t="s">
        <v>1416</v>
      </c>
      <c r="J14" s="1054" t="s">
        <v>1417</v>
      </c>
      <c r="K14" s="1054" t="s">
        <v>1250</v>
      </c>
      <c r="L14" s="1054" t="s">
        <v>10</v>
      </c>
      <c r="M14" s="1057">
        <v>97</v>
      </c>
      <c r="N14" s="1057">
        <v>0.84199999999999997</v>
      </c>
      <c r="O14" s="1057">
        <v>0.84699999999999998</v>
      </c>
      <c r="P14" s="1057">
        <v>0.80400000000000005</v>
      </c>
      <c r="Q14" s="1057">
        <v>0.748</v>
      </c>
      <c r="R14" s="1057">
        <v>620910</v>
      </c>
      <c r="S14" s="1057">
        <v>494151</v>
      </c>
      <c r="T14" s="1058">
        <f t="shared" si="2"/>
        <v>184720.72500000001</v>
      </c>
      <c r="U14" s="1057">
        <v>242576</v>
      </c>
      <c r="V14" s="1057">
        <v>251575</v>
      </c>
      <c r="W14" s="1057">
        <v>3127</v>
      </c>
      <c r="X14" s="1057">
        <v>0</v>
      </c>
      <c r="Y14" s="1057">
        <v>0</v>
      </c>
      <c r="Z14" s="1057">
        <v>0</v>
      </c>
      <c r="AA14" s="1057">
        <v>678871.72499999998</v>
      </c>
      <c r="AB14" s="1057">
        <v>184720.72500000001</v>
      </c>
      <c r="AC14" s="1057">
        <v>494151</v>
      </c>
      <c r="AD14" s="1057">
        <v>0</v>
      </c>
      <c r="AE14" s="1057">
        <v>0</v>
      </c>
      <c r="AF14" s="1057">
        <v>0</v>
      </c>
      <c r="AG14" s="1057">
        <v>494151</v>
      </c>
      <c r="AH14" s="1057">
        <v>0</v>
      </c>
      <c r="AI14" s="1057">
        <v>0</v>
      </c>
      <c r="AJ14" s="1053" t="s">
        <v>900</v>
      </c>
      <c r="AK14" s="1053" t="s">
        <v>905</v>
      </c>
      <c r="AL14" s="1054" t="s">
        <v>1416</v>
      </c>
      <c r="AM14" s="1053" t="s">
        <v>1417</v>
      </c>
      <c r="AN14" s="1054" t="s">
        <v>1542</v>
      </c>
      <c r="AO14" s="1054">
        <v>184720.72500000001</v>
      </c>
      <c r="AP14" s="1059">
        <f t="shared" si="3"/>
        <v>236.38560000000001</v>
      </c>
      <c r="AQ14" s="1059">
        <f t="shared" si="5"/>
        <v>252.38560000000001</v>
      </c>
      <c r="AR14" s="1052">
        <v>0</v>
      </c>
      <c r="AS14" s="1052">
        <v>0</v>
      </c>
      <c r="AT14" s="1052">
        <v>156</v>
      </c>
      <c r="AU14" s="1052">
        <v>0</v>
      </c>
      <c r="AV14" s="1052">
        <v>0</v>
      </c>
      <c r="AW14" s="1052">
        <v>0</v>
      </c>
      <c r="AX14" s="1052">
        <v>23</v>
      </c>
      <c r="AY14" s="1052">
        <v>0</v>
      </c>
      <c r="AZ14" s="1052">
        <v>0</v>
      </c>
      <c r="BA14" s="1052">
        <v>0</v>
      </c>
      <c r="BB14" s="1052">
        <v>16</v>
      </c>
      <c r="BC14" s="1052">
        <v>0</v>
      </c>
      <c r="BD14" s="1052">
        <v>0</v>
      </c>
      <c r="BE14" s="1052">
        <v>0</v>
      </c>
      <c r="BF14" s="1052">
        <v>0</v>
      </c>
      <c r="BG14" s="1052">
        <v>0</v>
      </c>
      <c r="BH14" s="1052">
        <v>0</v>
      </c>
      <c r="BI14" s="1052">
        <v>0</v>
      </c>
      <c r="BJ14" s="1052">
        <v>0</v>
      </c>
      <c r="BK14" s="1052">
        <v>0</v>
      </c>
      <c r="BL14" s="1052">
        <v>0</v>
      </c>
      <c r="BM14" s="1052">
        <v>0</v>
      </c>
      <c r="BN14" s="1052">
        <v>0</v>
      </c>
      <c r="BO14" s="1052">
        <v>573.85599999999999</v>
      </c>
      <c r="BR14" s="1140">
        <f t="shared" si="6"/>
        <v>0</v>
      </c>
      <c r="BS14" s="1140">
        <f t="shared" si="7"/>
        <v>2166666.666666667</v>
      </c>
      <c r="BT14" s="1140">
        <f t="shared" si="8"/>
        <v>0</v>
      </c>
      <c r="BU14" s="1140">
        <f t="shared" si="9"/>
        <v>2166666.666666667</v>
      </c>
      <c r="BV14" s="1140">
        <f t="shared" si="19"/>
        <v>0</v>
      </c>
      <c r="BW14" s="1140">
        <f t="shared" si="20"/>
        <v>4600</v>
      </c>
      <c r="BX14" s="1140">
        <f t="shared" si="21"/>
        <v>0</v>
      </c>
      <c r="BY14" s="1140">
        <f t="shared" si="10"/>
        <v>4600</v>
      </c>
      <c r="CA14" s="1140">
        <f t="shared" si="11"/>
        <v>0</v>
      </c>
      <c r="CB14" s="1140">
        <f t="shared" si="12"/>
        <v>0</v>
      </c>
      <c r="CC14" s="1140">
        <f t="shared" si="13"/>
        <v>0</v>
      </c>
      <c r="CD14" s="1140">
        <f t="shared" si="14"/>
        <v>0</v>
      </c>
      <c r="CE14" s="1140">
        <f t="shared" si="15"/>
        <v>0</v>
      </c>
      <c r="CF14" s="1140">
        <f t="shared" si="16"/>
        <v>4600</v>
      </c>
      <c r="CG14" s="1140">
        <f t="shared" si="17"/>
        <v>0</v>
      </c>
      <c r="CH14" s="1140">
        <f t="shared" si="18"/>
        <v>4600</v>
      </c>
    </row>
    <row r="15" spans="1:87" s="1069" customFormat="1" ht="15" customHeight="1" x14ac:dyDescent="0.2">
      <c r="A15" s="1070">
        <v>572</v>
      </c>
      <c r="B15" s="1070"/>
      <c r="C15" s="1070" t="s">
        <v>910</v>
      </c>
      <c r="D15" s="1071" t="s">
        <v>910</v>
      </c>
      <c r="E15" s="1055">
        <f t="shared" si="0"/>
        <v>0</v>
      </c>
      <c r="F15" s="1072"/>
      <c r="G15" s="1056">
        <f t="shared" si="1"/>
        <v>0</v>
      </c>
      <c r="H15" s="1070"/>
      <c r="I15" s="1071" t="s">
        <v>911</v>
      </c>
      <c r="J15" s="1071"/>
      <c r="K15" s="1071"/>
      <c r="L15" s="1071"/>
      <c r="M15" s="1071"/>
      <c r="N15" s="1071"/>
      <c r="O15" s="1071"/>
      <c r="P15" s="1071"/>
      <c r="Q15" s="1071"/>
      <c r="R15" s="1071"/>
      <c r="S15" s="1071"/>
      <c r="T15" s="1058">
        <f t="shared" si="2"/>
        <v>0</v>
      </c>
      <c r="U15" s="1071"/>
      <c r="V15" s="1071"/>
      <c r="W15" s="1071"/>
      <c r="X15" s="1071"/>
      <c r="Y15" s="1071"/>
      <c r="Z15" s="1071"/>
      <c r="AA15" s="1071"/>
      <c r="AB15" s="1071"/>
      <c r="AC15" s="1071"/>
      <c r="AD15" s="1071"/>
      <c r="AE15" s="1071"/>
      <c r="AF15" s="1071"/>
      <c r="AG15" s="1071"/>
      <c r="AH15" s="1071"/>
      <c r="AI15" s="1071"/>
      <c r="AJ15" s="1070"/>
      <c r="AK15" s="1070"/>
      <c r="AL15" s="1070" t="s">
        <v>911</v>
      </c>
      <c r="AM15" s="1070"/>
      <c r="AN15" s="1070"/>
      <c r="AO15" s="1070"/>
      <c r="AP15" s="1073"/>
      <c r="AQ15" s="1059">
        <f t="shared" si="5"/>
        <v>0</v>
      </c>
      <c r="AR15" s="1074"/>
      <c r="AS15" s="1074"/>
      <c r="AT15" s="1074"/>
      <c r="AU15" s="1074"/>
      <c r="AV15" s="1070"/>
      <c r="AW15" s="1070"/>
      <c r="AX15" s="1070"/>
      <c r="AY15" s="1070"/>
      <c r="AZ15" s="1074"/>
      <c r="BA15" s="1074"/>
      <c r="BB15" s="1074"/>
      <c r="BC15" s="1074"/>
      <c r="BD15" s="1074"/>
      <c r="BE15" s="1074"/>
      <c r="BF15" s="1074"/>
      <c r="BG15" s="1074"/>
      <c r="BH15" s="1074"/>
      <c r="BI15" s="1074"/>
      <c r="BJ15" s="1074"/>
      <c r="BK15" s="1074"/>
      <c r="BL15" s="1070"/>
      <c r="BM15" s="1070"/>
      <c r="BN15" s="1070"/>
      <c r="BO15" s="1070"/>
      <c r="BQ15" s="1136"/>
      <c r="BR15" s="1140">
        <f t="shared" si="6"/>
        <v>0</v>
      </c>
      <c r="BS15" s="1140">
        <f t="shared" si="7"/>
        <v>0</v>
      </c>
      <c r="BT15" s="1140">
        <f t="shared" si="8"/>
        <v>0</v>
      </c>
      <c r="BU15" s="1140">
        <f t="shared" si="9"/>
        <v>0</v>
      </c>
      <c r="BV15" s="1140">
        <f t="shared" si="19"/>
        <v>0</v>
      </c>
      <c r="BW15" s="1140">
        <f t="shared" si="20"/>
        <v>0</v>
      </c>
      <c r="BX15" s="1140">
        <f t="shared" si="21"/>
        <v>0</v>
      </c>
      <c r="BY15" s="1140">
        <f t="shared" si="10"/>
        <v>0</v>
      </c>
      <c r="BZ15" s="1136"/>
      <c r="CA15" s="1140">
        <f t="shared" si="11"/>
        <v>0</v>
      </c>
      <c r="CB15" s="1140">
        <f t="shared" si="12"/>
        <v>0</v>
      </c>
      <c r="CC15" s="1140">
        <f t="shared" si="13"/>
        <v>0</v>
      </c>
      <c r="CD15" s="1140">
        <f t="shared" si="14"/>
        <v>0</v>
      </c>
      <c r="CE15" s="1140">
        <f t="shared" si="15"/>
        <v>0</v>
      </c>
      <c r="CF15" s="1140">
        <f t="shared" si="16"/>
        <v>0</v>
      </c>
      <c r="CG15" s="1140">
        <f t="shared" si="17"/>
        <v>0</v>
      </c>
      <c r="CH15" s="1140">
        <f t="shared" si="18"/>
        <v>0</v>
      </c>
      <c r="CI15" s="1146"/>
    </row>
    <row r="16" spans="1:87" ht="15" customHeight="1" x14ac:dyDescent="0.2">
      <c r="A16" s="1075">
        <v>315</v>
      </c>
      <c r="B16" s="1075"/>
      <c r="C16" s="1076" t="s">
        <v>912</v>
      </c>
      <c r="D16" s="1063" t="s">
        <v>912</v>
      </c>
      <c r="E16" s="1055">
        <f t="shared" si="0"/>
        <v>7486.0911999999998</v>
      </c>
      <c r="F16" s="1064" t="s">
        <v>10</v>
      </c>
      <c r="G16" s="1056" t="e">
        <f t="shared" si="1"/>
        <v>#VALUE!</v>
      </c>
      <c r="H16" s="1062" t="s">
        <v>1417</v>
      </c>
      <c r="I16" s="1063" t="s">
        <v>911</v>
      </c>
      <c r="J16" s="1063" t="s">
        <v>10</v>
      </c>
      <c r="K16" s="1063" t="s">
        <v>10</v>
      </c>
      <c r="L16" s="1063" t="s">
        <v>10</v>
      </c>
      <c r="M16" s="1065" t="s">
        <v>10</v>
      </c>
      <c r="N16" s="1065" t="s">
        <v>10</v>
      </c>
      <c r="O16" s="1065" t="s">
        <v>10</v>
      </c>
      <c r="P16" s="1065" t="s">
        <v>10</v>
      </c>
      <c r="Q16" s="1065" t="s">
        <v>10</v>
      </c>
      <c r="R16" s="1065" t="s">
        <v>10</v>
      </c>
      <c r="S16" s="1065">
        <v>38608</v>
      </c>
      <c r="T16" s="1058">
        <f t="shared" si="2"/>
        <v>7486.0911999999998</v>
      </c>
      <c r="U16" s="1065" t="s">
        <v>10</v>
      </c>
      <c r="V16" s="1065" t="s">
        <v>10</v>
      </c>
      <c r="W16" s="1065" t="s">
        <v>10</v>
      </c>
      <c r="X16" s="1065" t="s">
        <v>10</v>
      </c>
      <c r="Y16" s="1065" t="s">
        <v>10</v>
      </c>
      <c r="Z16" s="1065" t="s">
        <v>10</v>
      </c>
      <c r="AA16" s="1065" t="s">
        <v>10</v>
      </c>
      <c r="AB16" s="1065" t="s">
        <v>10</v>
      </c>
      <c r="AC16" s="1065" t="s">
        <v>10</v>
      </c>
      <c r="AD16" s="1065" t="s">
        <v>10</v>
      </c>
      <c r="AE16" s="1065" t="s">
        <v>10</v>
      </c>
      <c r="AF16" s="1065" t="s">
        <v>10</v>
      </c>
      <c r="AG16" s="1065" t="s">
        <v>10</v>
      </c>
      <c r="AH16" s="1065" t="s">
        <v>10</v>
      </c>
      <c r="AI16" s="1065" t="s">
        <v>10</v>
      </c>
      <c r="AJ16" s="1062">
        <v>4</v>
      </c>
      <c r="AK16" s="1062" t="s">
        <v>913</v>
      </c>
      <c r="AL16" s="1066" t="s">
        <v>911</v>
      </c>
      <c r="AM16" s="1062" t="s">
        <v>1417</v>
      </c>
      <c r="AN16" s="1077" t="s">
        <v>912</v>
      </c>
      <c r="AO16" s="1078">
        <v>0</v>
      </c>
      <c r="AP16" s="1079">
        <f t="shared" ref="AP16:AP38" si="22">AR16+AT16+AU16+AV16+AX16+AY16+AZ16+BD16+BF16+BG16+BH16+BJ16+BK16+(BL16+BM16+BN16)/1000+(0.1*BO16)</f>
        <v>213</v>
      </c>
      <c r="AQ16" s="1059">
        <f t="shared" si="5"/>
        <v>213</v>
      </c>
      <c r="AR16" s="753">
        <v>108</v>
      </c>
      <c r="AS16" s="753">
        <v>0</v>
      </c>
      <c r="AT16" s="753">
        <v>7</v>
      </c>
      <c r="AU16" s="753">
        <v>67</v>
      </c>
      <c r="AV16" s="1061">
        <v>0</v>
      </c>
      <c r="AW16" s="1061">
        <v>0</v>
      </c>
      <c r="AX16" s="1061">
        <v>0</v>
      </c>
      <c r="AY16" s="1061">
        <v>0</v>
      </c>
      <c r="AZ16" s="753">
        <v>1</v>
      </c>
      <c r="BA16" s="753">
        <v>0</v>
      </c>
      <c r="BB16" s="753">
        <v>0</v>
      </c>
      <c r="BC16" s="753">
        <v>0</v>
      </c>
      <c r="BD16" s="753">
        <v>1</v>
      </c>
      <c r="BE16" s="753">
        <v>0</v>
      </c>
      <c r="BF16" s="753">
        <v>0</v>
      </c>
      <c r="BG16" s="753">
        <v>0</v>
      </c>
      <c r="BH16" s="753">
        <v>29</v>
      </c>
      <c r="BI16" s="753">
        <v>0</v>
      </c>
      <c r="BJ16" s="753">
        <v>0</v>
      </c>
      <c r="BK16" s="753">
        <v>0</v>
      </c>
      <c r="BL16" s="1061">
        <v>0</v>
      </c>
      <c r="BM16" s="1061">
        <v>0</v>
      </c>
      <c r="BN16" s="1061">
        <v>0</v>
      </c>
      <c r="BO16" s="1080"/>
      <c r="BR16" s="1140">
        <f t="shared" si="6"/>
        <v>1500000</v>
      </c>
      <c r="BS16" s="1140">
        <f t="shared" si="7"/>
        <v>97222.222222222234</v>
      </c>
      <c r="BT16" s="1140">
        <f t="shared" si="8"/>
        <v>930555.55555555562</v>
      </c>
      <c r="BU16" s="1140">
        <f t="shared" si="9"/>
        <v>2527777.777777778</v>
      </c>
      <c r="BV16" s="1140">
        <f t="shared" si="19"/>
        <v>0</v>
      </c>
      <c r="BW16" s="1140">
        <f t="shared" si="20"/>
        <v>0</v>
      </c>
      <c r="BX16" s="1140">
        <f t="shared" si="21"/>
        <v>0</v>
      </c>
      <c r="BY16" s="1140">
        <f t="shared" si="10"/>
        <v>0</v>
      </c>
      <c r="CA16" s="1140">
        <f t="shared" si="11"/>
        <v>0</v>
      </c>
      <c r="CB16" s="1140">
        <f t="shared" si="12"/>
        <v>0</v>
      </c>
      <c r="CC16" s="1140">
        <f t="shared" si="13"/>
        <v>0</v>
      </c>
      <c r="CD16" s="1140">
        <f t="shared" si="14"/>
        <v>0</v>
      </c>
      <c r="CE16" s="1140">
        <f t="shared" si="15"/>
        <v>0</v>
      </c>
      <c r="CF16" s="1140">
        <f t="shared" si="16"/>
        <v>0</v>
      </c>
      <c r="CG16" s="1140">
        <f t="shared" si="17"/>
        <v>0</v>
      </c>
      <c r="CH16" s="1140">
        <f t="shared" si="18"/>
        <v>0</v>
      </c>
    </row>
    <row r="17" spans="1:86" ht="15" customHeight="1" x14ac:dyDescent="0.2">
      <c r="A17" s="1052">
        <v>313</v>
      </c>
      <c r="B17" s="1052"/>
      <c r="C17" s="1053" t="s">
        <v>1543</v>
      </c>
      <c r="D17" s="1054" t="s">
        <v>1543</v>
      </c>
      <c r="E17" s="1055">
        <f t="shared" si="0"/>
        <v>105402.29489999999</v>
      </c>
      <c r="F17" s="1055">
        <v>0</v>
      </c>
      <c r="G17" s="1056">
        <f t="shared" si="1"/>
        <v>105402.29489999999</v>
      </c>
      <c r="H17" s="1053" t="s">
        <v>10</v>
      </c>
      <c r="I17" s="1054" t="s">
        <v>1512</v>
      </c>
      <c r="J17" s="1054" t="s">
        <v>10</v>
      </c>
      <c r="K17" s="1054" t="s">
        <v>1545</v>
      </c>
      <c r="L17" s="1054" t="s">
        <v>10</v>
      </c>
      <c r="M17" s="1057">
        <v>57</v>
      </c>
      <c r="N17" s="1057">
        <v>0.88700000000000001</v>
      </c>
      <c r="O17" s="1057">
        <v>0.92</v>
      </c>
      <c r="P17" s="1057">
        <v>0.93600000000000005</v>
      </c>
      <c r="Q17" s="1057">
        <v>0.89600000000000002</v>
      </c>
      <c r="R17" s="1057">
        <v>0</v>
      </c>
      <c r="S17" s="1057">
        <v>543591</v>
      </c>
      <c r="T17" s="1058">
        <f t="shared" si="2"/>
        <v>105402.29489999999</v>
      </c>
      <c r="U17" s="1057">
        <v>414515</v>
      </c>
      <c r="V17" s="1057">
        <v>129076</v>
      </c>
      <c r="W17" s="1057">
        <v>2715</v>
      </c>
      <c r="X17" s="1057">
        <v>0</v>
      </c>
      <c r="Y17" s="1057">
        <v>0</v>
      </c>
      <c r="Z17" s="1057">
        <v>0</v>
      </c>
      <c r="AA17" s="1057">
        <v>648993.29489999998</v>
      </c>
      <c r="AB17" s="1057">
        <v>105402.29489999999</v>
      </c>
      <c r="AC17" s="1057">
        <v>543591</v>
      </c>
      <c r="AD17" s="1057">
        <v>0</v>
      </c>
      <c r="AE17" s="1057">
        <v>0</v>
      </c>
      <c r="AF17" s="1057">
        <v>0</v>
      </c>
      <c r="AG17" s="1057">
        <v>543591</v>
      </c>
      <c r="AH17" s="1057">
        <v>0</v>
      </c>
      <c r="AI17" s="1057">
        <v>0</v>
      </c>
      <c r="AJ17" s="1053">
        <v>4</v>
      </c>
      <c r="AK17" s="1053" t="s">
        <v>899</v>
      </c>
      <c r="AL17" s="1054" t="s">
        <v>1512</v>
      </c>
      <c r="AM17" s="1053" t="s">
        <v>10</v>
      </c>
      <c r="AN17" s="1054" t="s">
        <v>1543</v>
      </c>
      <c r="AO17" s="1054">
        <v>105402.29489999999</v>
      </c>
      <c r="AP17" s="1059">
        <f t="shared" si="22"/>
        <v>32</v>
      </c>
      <c r="AQ17" s="1059">
        <f t="shared" si="5"/>
        <v>36</v>
      </c>
      <c r="AR17" s="1052">
        <v>0</v>
      </c>
      <c r="AS17" s="1052">
        <v>0</v>
      </c>
      <c r="AT17" s="1052">
        <v>23</v>
      </c>
      <c r="AU17" s="1052">
        <v>5</v>
      </c>
      <c r="AV17" s="1052">
        <v>0</v>
      </c>
      <c r="AW17" s="1052">
        <v>0</v>
      </c>
      <c r="AX17" s="1052">
        <v>0</v>
      </c>
      <c r="AY17" s="1052">
        <v>4</v>
      </c>
      <c r="AZ17" s="1052">
        <v>0</v>
      </c>
      <c r="BA17" s="1052">
        <v>0</v>
      </c>
      <c r="BB17" s="1052">
        <v>3</v>
      </c>
      <c r="BC17" s="1052">
        <v>1</v>
      </c>
      <c r="BD17" s="1052">
        <v>0</v>
      </c>
      <c r="BE17" s="1052">
        <v>0</v>
      </c>
      <c r="BF17" s="1052">
        <v>0</v>
      </c>
      <c r="BG17" s="1052">
        <v>0</v>
      </c>
      <c r="BH17" s="1052">
        <v>0</v>
      </c>
      <c r="BI17" s="1052">
        <v>0</v>
      </c>
      <c r="BJ17" s="1052">
        <v>0</v>
      </c>
      <c r="BK17" s="1052">
        <v>0</v>
      </c>
      <c r="BL17" s="1052">
        <v>0</v>
      </c>
      <c r="BM17" s="1052">
        <v>0</v>
      </c>
      <c r="BN17" s="1052">
        <v>0</v>
      </c>
      <c r="BO17" s="1052">
        <v>0</v>
      </c>
      <c r="BR17" s="1140">
        <f t="shared" si="6"/>
        <v>0</v>
      </c>
      <c r="BS17" s="1140">
        <f t="shared" si="7"/>
        <v>319444.4444444445</v>
      </c>
      <c r="BT17" s="1140">
        <f t="shared" si="8"/>
        <v>69444.444444444453</v>
      </c>
      <c r="BU17" s="1140">
        <f t="shared" si="9"/>
        <v>388888.88888888893</v>
      </c>
      <c r="BV17" s="1140">
        <f t="shared" si="19"/>
        <v>0</v>
      </c>
      <c r="BW17" s="1140">
        <f t="shared" si="20"/>
        <v>0</v>
      </c>
      <c r="BX17" s="1140">
        <f t="shared" si="21"/>
        <v>800</v>
      </c>
      <c r="BY17" s="1140">
        <f t="shared" si="10"/>
        <v>800</v>
      </c>
      <c r="CA17" s="1140">
        <f t="shared" si="11"/>
        <v>0</v>
      </c>
      <c r="CB17" s="1140">
        <f t="shared" si="12"/>
        <v>319444.4444444445</v>
      </c>
      <c r="CC17" s="1140">
        <f t="shared" si="13"/>
        <v>69444.444444444453</v>
      </c>
      <c r="CD17" s="1140">
        <f t="shared" si="14"/>
        <v>388888.88888888893</v>
      </c>
      <c r="CE17" s="1140">
        <f t="shared" si="15"/>
        <v>0</v>
      </c>
      <c r="CF17" s="1140">
        <f t="shared" si="16"/>
        <v>0</v>
      </c>
      <c r="CG17" s="1140">
        <f t="shared" si="17"/>
        <v>800</v>
      </c>
      <c r="CH17" s="1140">
        <f t="shared" si="18"/>
        <v>800</v>
      </c>
    </row>
    <row r="18" spans="1:86" ht="15" customHeight="1" x14ac:dyDescent="0.2">
      <c r="A18" s="1052">
        <v>8680</v>
      </c>
      <c r="B18" s="1052"/>
      <c r="C18" s="1053" t="s">
        <v>1546</v>
      </c>
      <c r="D18" s="1054" t="s">
        <v>1546</v>
      </c>
      <c r="E18" s="1055">
        <f t="shared" si="0"/>
        <v>125258.62439999999</v>
      </c>
      <c r="F18" s="1055">
        <v>0</v>
      </c>
      <c r="G18" s="1056">
        <f t="shared" si="1"/>
        <v>125258.62439999999</v>
      </c>
      <c r="H18" s="1053" t="s">
        <v>10</v>
      </c>
      <c r="I18" s="1054" t="s">
        <v>1512</v>
      </c>
      <c r="J18" s="1054" t="s">
        <v>1417</v>
      </c>
      <c r="K18" s="1054" t="s">
        <v>1549</v>
      </c>
      <c r="L18" s="1054" t="s">
        <v>10</v>
      </c>
      <c r="M18" s="1057">
        <v>63</v>
      </c>
      <c r="N18" s="1057">
        <v>0.95199999999999996</v>
      </c>
      <c r="O18" s="1057">
        <v>0.92600000000000005</v>
      </c>
      <c r="P18" s="1057">
        <v>0.94099999999999995</v>
      </c>
      <c r="Q18" s="1057">
        <v>0.90100000000000002</v>
      </c>
      <c r="R18" s="1057">
        <v>0</v>
      </c>
      <c r="S18" s="1057">
        <v>645996</v>
      </c>
      <c r="T18" s="1058">
        <f t="shared" si="2"/>
        <v>125258.62439999999</v>
      </c>
      <c r="U18" s="1057">
        <v>396866</v>
      </c>
      <c r="V18" s="1057">
        <v>249130</v>
      </c>
      <c r="W18" s="1057">
        <v>3250</v>
      </c>
      <c r="X18" s="1057">
        <v>0</v>
      </c>
      <c r="Y18" s="1057">
        <v>0</v>
      </c>
      <c r="Z18" s="1057">
        <v>0</v>
      </c>
      <c r="AA18" s="1057">
        <v>771254.62439999997</v>
      </c>
      <c r="AB18" s="1057">
        <v>125258.6244</v>
      </c>
      <c r="AC18" s="1057">
        <v>645996</v>
      </c>
      <c r="AD18" s="1057">
        <v>0</v>
      </c>
      <c r="AE18" s="1057">
        <v>0</v>
      </c>
      <c r="AF18" s="1057">
        <v>0</v>
      </c>
      <c r="AG18" s="1057">
        <v>645996</v>
      </c>
      <c r="AH18" s="1057">
        <v>0</v>
      </c>
      <c r="AI18" s="1057">
        <v>0</v>
      </c>
      <c r="AJ18" s="1053">
        <v>4</v>
      </c>
      <c r="AK18" s="1053" t="s">
        <v>913</v>
      </c>
      <c r="AL18" s="1054" t="s">
        <v>1512</v>
      </c>
      <c r="AM18" s="1053" t="s">
        <v>10</v>
      </c>
      <c r="AN18" s="1054" t="s">
        <v>1546</v>
      </c>
      <c r="AO18" s="1054">
        <v>125258.6244</v>
      </c>
      <c r="AP18" s="1059">
        <f t="shared" si="22"/>
        <v>70</v>
      </c>
      <c r="AQ18" s="1059">
        <f t="shared" si="5"/>
        <v>78</v>
      </c>
      <c r="AR18" s="1052">
        <v>0</v>
      </c>
      <c r="AS18" s="1052">
        <v>0</v>
      </c>
      <c r="AT18" s="1052">
        <v>42</v>
      </c>
      <c r="AU18" s="1052">
        <v>21</v>
      </c>
      <c r="AV18" s="1052">
        <v>0</v>
      </c>
      <c r="AW18" s="1052">
        <v>0</v>
      </c>
      <c r="AX18" s="1052">
        <v>2</v>
      </c>
      <c r="AY18" s="1052">
        <v>5</v>
      </c>
      <c r="AZ18" s="1052">
        <v>0</v>
      </c>
      <c r="BA18" s="1052">
        <v>3</v>
      </c>
      <c r="BB18" s="1052">
        <v>8</v>
      </c>
      <c r="BC18" s="1052">
        <v>0</v>
      </c>
      <c r="BD18" s="1052">
        <v>0</v>
      </c>
      <c r="BE18" s="1052">
        <v>0</v>
      </c>
      <c r="BF18" s="1052">
        <v>0</v>
      </c>
      <c r="BG18" s="1052">
        <v>0</v>
      </c>
      <c r="BH18" s="1052">
        <v>0</v>
      </c>
      <c r="BI18" s="1052">
        <v>0</v>
      </c>
      <c r="BJ18" s="1052">
        <v>0</v>
      </c>
      <c r="BK18" s="1052">
        <v>0</v>
      </c>
      <c r="BL18" s="1052">
        <v>0</v>
      </c>
      <c r="BM18" s="1052">
        <v>0</v>
      </c>
      <c r="BN18" s="1052">
        <v>0</v>
      </c>
      <c r="BO18" s="1052">
        <v>0</v>
      </c>
      <c r="BR18" s="1140">
        <f t="shared" si="6"/>
        <v>0</v>
      </c>
      <c r="BS18" s="1140">
        <f t="shared" si="7"/>
        <v>583333.33333333337</v>
      </c>
      <c r="BT18" s="1140">
        <f t="shared" si="8"/>
        <v>291666.66666666669</v>
      </c>
      <c r="BU18" s="1140">
        <f t="shared" si="9"/>
        <v>875000</v>
      </c>
      <c r="BV18" s="1140">
        <f t="shared" si="19"/>
        <v>0</v>
      </c>
      <c r="BW18" s="1140">
        <f t="shared" si="20"/>
        <v>400</v>
      </c>
      <c r="BX18" s="1140">
        <f t="shared" si="21"/>
        <v>1000</v>
      </c>
      <c r="BY18" s="1140">
        <f t="shared" si="10"/>
        <v>1400</v>
      </c>
      <c r="CA18" s="1140">
        <f t="shared" si="11"/>
        <v>0</v>
      </c>
      <c r="CB18" s="1140">
        <f t="shared" si="12"/>
        <v>583333.33333333337</v>
      </c>
      <c r="CC18" s="1140">
        <f t="shared" si="13"/>
        <v>291666.66666666669</v>
      </c>
      <c r="CD18" s="1140">
        <f t="shared" si="14"/>
        <v>875000</v>
      </c>
      <c r="CE18" s="1140">
        <f t="shared" si="15"/>
        <v>0</v>
      </c>
      <c r="CF18" s="1140">
        <f t="shared" si="16"/>
        <v>400</v>
      </c>
      <c r="CG18" s="1140">
        <f t="shared" si="17"/>
        <v>1000</v>
      </c>
      <c r="CH18" s="1140">
        <f t="shared" si="18"/>
        <v>1400</v>
      </c>
    </row>
    <row r="19" spans="1:86" ht="15" customHeight="1" x14ac:dyDescent="0.2">
      <c r="A19" s="1052">
        <v>8142</v>
      </c>
      <c r="B19" s="1052"/>
      <c r="C19" s="1053" t="s">
        <v>1550</v>
      </c>
      <c r="D19" s="1054" t="s">
        <v>1550</v>
      </c>
      <c r="E19" s="1055">
        <f t="shared" si="0"/>
        <v>371044.95480000001</v>
      </c>
      <c r="F19" s="1055">
        <v>0</v>
      </c>
      <c r="G19" s="1056">
        <f t="shared" si="1"/>
        <v>371044.95480000001</v>
      </c>
      <c r="H19" s="1053" t="s">
        <v>10</v>
      </c>
      <c r="I19" s="1054" t="s">
        <v>1416</v>
      </c>
      <c r="J19" s="1054" t="s">
        <v>1417</v>
      </c>
      <c r="K19" s="1054" t="s">
        <v>1552</v>
      </c>
      <c r="L19" s="1054" t="s">
        <v>10</v>
      </c>
      <c r="M19" s="1057">
        <v>151</v>
      </c>
      <c r="N19" s="1057">
        <v>0.88300000000000001</v>
      </c>
      <c r="O19" s="1057">
        <v>0.89400000000000002</v>
      </c>
      <c r="P19" s="1057">
        <v>0.94399999999999995</v>
      </c>
      <c r="Q19" s="1057">
        <v>0.86899999999999999</v>
      </c>
      <c r="R19" s="1057">
        <v>1199771</v>
      </c>
      <c r="S19" s="1057">
        <v>1064997</v>
      </c>
      <c r="T19" s="1058">
        <f t="shared" si="2"/>
        <v>356931.8725</v>
      </c>
      <c r="U19" s="1057">
        <v>762368</v>
      </c>
      <c r="V19" s="1057">
        <v>302629</v>
      </c>
      <c r="W19" s="1057">
        <v>5510</v>
      </c>
      <c r="X19" s="1057">
        <v>0</v>
      </c>
      <c r="Y19" s="1057">
        <v>0</v>
      </c>
      <c r="Z19" s="1057">
        <v>0</v>
      </c>
      <c r="AA19" s="1057">
        <v>1421928.8729999999</v>
      </c>
      <c r="AB19" s="1057">
        <v>356931.8725</v>
      </c>
      <c r="AC19" s="1057">
        <v>1064997</v>
      </c>
      <c r="AD19" s="1057">
        <v>0</v>
      </c>
      <c r="AE19" s="1057">
        <v>0</v>
      </c>
      <c r="AF19" s="1057">
        <v>0</v>
      </c>
      <c r="AG19" s="1057">
        <v>1064997</v>
      </c>
      <c r="AH19" s="1057">
        <v>0</v>
      </c>
      <c r="AI19" s="1057">
        <v>0</v>
      </c>
      <c r="AJ19" s="1053" t="s">
        <v>900</v>
      </c>
      <c r="AK19" s="1053" t="s">
        <v>907</v>
      </c>
      <c r="AL19" s="1054" t="s">
        <v>1416</v>
      </c>
      <c r="AM19" s="1053" t="s">
        <v>10</v>
      </c>
      <c r="AN19" s="1054" t="s">
        <v>1550</v>
      </c>
      <c r="AO19" s="1054">
        <v>356931.8725</v>
      </c>
      <c r="AP19" s="1059">
        <f t="shared" si="22"/>
        <v>258.00010000000003</v>
      </c>
      <c r="AQ19" s="1059">
        <f t="shared" si="5"/>
        <v>278.00010000000003</v>
      </c>
      <c r="AR19" s="1052">
        <v>0</v>
      </c>
      <c r="AS19" s="1052">
        <v>0</v>
      </c>
      <c r="AT19" s="1052">
        <v>164</v>
      </c>
      <c r="AU19" s="1052">
        <v>-1</v>
      </c>
      <c r="AV19" s="1052">
        <v>0</v>
      </c>
      <c r="AW19" s="1052">
        <v>0</v>
      </c>
      <c r="AX19" s="1052">
        <v>0</v>
      </c>
      <c r="AY19" s="1052">
        <v>0</v>
      </c>
      <c r="AZ19" s="1052">
        <v>0</v>
      </c>
      <c r="BA19" s="1052">
        <v>0</v>
      </c>
      <c r="BB19" s="1052">
        <v>20</v>
      </c>
      <c r="BC19" s="1052">
        <v>0</v>
      </c>
      <c r="BD19" s="1052">
        <v>0</v>
      </c>
      <c r="BE19" s="1052">
        <v>0</v>
      </c>
      <c r="BF19" s="1052">
        <v>0</v>
      </c>
      <c r="BG19" s="1052">
        <v>0</v>
      </c>
      <c r="BH19" s="1052">
        <v>0</v>
      </c>
      <c r="BI19" s="1052">
        <v>0</v>
      </c>
      <c r="BJ19" s="1052">
        <v>0</v>
      </c>
      <c r="BK19" s="1052">
        <v>0</v>
      </c>
      <c r="BL19" s="1052">
        <v>3949</v>
      </c>
      <c r="BM19" s="1052">
        <v>0</v>
      </c>
      <c r="BN19" s="1052">
        <v>0</v>
      </c>
      <c r="BO19" s="1052">
        <v>910.51099999999997</v>
      </c>
      <c r="BR19" s="1140">
        <f t="shared" si="6"/>
        <v>0</v>
      </c>
      <c r="BS19" s="1140">
        <f t="shared" si="7"/>
        <v>2277777.777777778</v>
      </c>
      <c r="BT19" s="1140">
        <f t="shared" si="8"/>
        <v>-13888.888888888891</v>
      </c>
      <c r="BU19" s="1140">
        <f t="shared" si="9"/>
        <v>2263888.888888889</v>
      </c>
      <c r="BV19" s="1140">
        <f t="shared" si="19"/>
        <v>0</v>
      </c>
      <c r="BW19" s="1140">
        <f t="shared" si="20"/>
        <v>0</v>
      </c>
      <c r="BX19" s="1140">
        <f t="shared" si="21"/>
        <v>0</v>
      </c>
      <c r="BY19" s="1140">
        <f t="shared" si="10"/>
        <v>0</v>
      </c>
      <c r="CA19" s="1140">
        <f t="shared" si="11"/>
        <v>0</v>
      </c>
      <c r="CB19" s="1140">
        <f t="shared" si="12"/>
        <v>2277777.777777778</v>
      </c>
      <c r="CC19" s="1140">
        <f t="shared" si="13"/>
        <v>-13888.888888888891</v>
      </c>
      <c r="CD19" s="1140">
        <f t="shared" si="14"/>
        <v>2263888.888888889</v>
      </c>
      <c r="CE19" s="1140">
        <f t="shared" si="15"/>
        <v>0</v>
      </c>
      <c r="CF19" s="1140">
        <f t="shared" si="16"/>
        <v>0</v>
      </c>
      <c r="CG19" s="1140">
        <f t="shared" si="17"/>
        <v>0</v>
      </c>
      <c r="CH19" s="1140">
        <f t="shared" si="18"/>
        <v>0</v>
      </c>
    </row>
    <row r="20" spans="1:86" ht="15" customHeight="1" x14ac:dyDescent="0.2">
      <c r="A20" s="1052">
        <v>4821</v>
      </c>
      <c r="B20" s="1052" t="s">
        <v>1412</v>
      </c>
      <c r="C20" s="1053" t="s">
        <v>1553</v>
      </c>
      <c r="D20" s="1054" t="s">
        <v>1553</v>
      </c>
      <c r="E20" s="1055">
        <f t="shared" si="0"/>
        <v>435500</v>
      </c>
      <c r="F20" s="1055">
        <v>0</v>
      </c>
      <c r="G20" s="1056">
        <f t="shared" si="1"/>
        <v>435500</v>
      </c>
      <c r="H20" s="1053" t="s">
        <v>10</v>
      </c>
      <c r="I20" s="1054" t="s">
        <v>1416</v>
      </c>
      <c r="J20" s="1054" t="s">
        <v>1412</v>
      </c>
      <c r="K20" s="1054" t="s">
        <v>1556</v>
      </c>
      <c r="L20" s="1054" t="s">
        <v>10</v>
      </c>
      <c r="M20" s="1057">
        <v>181</v>
      </c>
      <c r="N20" s="1057">
        <v>0.95099999999999996</v>
      </c>
      <c r="O20" s="1057">
        <v>0.97699999999999998</v>
      </c>
      <c r="P20" s="1057">
        <v>0.92500000000000004</v>
      </c>
      <c r="Q20" s="1057">
        <v>0.95199999999999996</v>
      </c>
      <c r="R20" s="1057">
        <v>813000</v>
      </c>
      <c r="S20" s="1057">
        <v>1250000</v>
      </c>
      <c r="T20" s="1058">
        <f t="shared" si="2"/>
        <v>241867.5</v>
      </c>
      <c r="U20" s="1057">
        <v>813000</v>
      </c>
      <c r="V20" s="1057">
        <v>437000</v>
      </c>
      <c r="W20" s="1057">
        <v>6115</v>
      </c>
      <c r="X20" s="1057">
        <v>0</v>
      </c>
      <c r="Y20" s="1057">
        <v>0</v>
      </c>
      <c r="Z20" s="1057">
        <v>0</v>
      </c>
      <c r="AA20" s="1057">
        <v>1491867.5</v>
      </c>
      <c r="AB20" s="1057">
        <v>241867.5</v>
      </c>
      <c r="AC20" s="1057">
        <v>1250000</v>
      </c>
      <c r="AD20" s="1057">
        <v>0</v>
      </c>
      <c r="AE20" s="1057">
        <v>0</v>
      </c>
      <c r="AF20" s="1057">
        <v>1250000</v>
      </c>
      <c r="AG20" s="1057">
        <v>0</v>
      </c>
      <c r="AH20" s="1057">
        <v>2217000</v>
      </c>
      <c r="AI20" s="1057">
        <v>1531000</v>
      </c>
      <c r="AJ20" s="1053" t="s">
        <v>914</v>
      </c>
      <c r="AK20" s="1053" t="s">
        <v>1555</v>
      </c>
      <c r="AL20" s="1054" t="s">
        <v>1416</v>
      </c>
      <c r="AM20" s="1053" t="s">
        <v>10</v>
      </c>
      <c r="AN20" s="1054" t="s">
        <v>1553</v>
      </c>
      <c r="AO20" s="1054">
        <v>241867.5</v>
      </c>
      <c r="AP20" s="1059">
        <f t="shared" si="22"/>
        <v>333</v>
      </c>
      <c r="AQ20" s="1059">
        <f t="shared" si="5"/>
        <v>370</v>
      </c>
      <c r="AR20" s="1052">
        <v>17</v>
      </c>
      <c r="AS20" s="1052">
        <v>1531</v>
      </c>
      <c r="AT20" s="1052">
        <v>291</v>
      </c>
      <c r="AU20" s="1052">
        <v>0</v>
      </c>
      <c r="AV20" s="1052">
        <v>0</v>
      </c>
      <c r="AW20" s="1052">
        <v>0</v>
      </c>
      <c r="AX20" s="1052">
        <v>0</v>
      </c>
      <c r="AY20" s="1052">
        <v>0</v>
      </c>
      <c r="AZ20" s="1052">
        <v>0</v>
      </c>
      <c r="BA20" s="1052">
        <v>32</v>
      </c>
      <c r="BB20" s="1052">
        <v>37</v>
      </c>
      <c r="BC20" s="1052">
        <v>0</v>
      </c>
      <c r="BD20" s="1052">
        <v>1</v>
      </c>
      <c r="BE20" s="1052">
        <v>1</v>
      </c>
      <c r="BF20" s="1052">
        <v>0</v>
      </c>
      <c r="BG20" s="1052">
        <v>0</v>
      </c>
      <c r="BH20" s="1052">
        <v>24</v>
      </c>
      <c r="BI20" s="1052">
        <v>0</v>
      </c>
      <c r="BJ20" s="1052">
        <v>0</v>
      </c>
      <c r="BK20" s="1052">
        <v>0</v>
      </c>
      <c r="BL20" s="1052">
        <v>0</v>
      </c>
      <c r="BM20" s="1052">
        <v>0</v>
      </c>
      <c r="BN20" s="1052">
        <v>0</v>
      </c>
      <c r="BO20" s="1052">
        <v>0</v>
      </c>
      <c r="BR20" s="1140">
        <f t="shared" si="6"/>
        <v>236111.11111111112</v>
      </c>
      <c r="BS20" s="1140">
        <f t="shared" si="7"/>
        <v>4041666.666666667</v>
      </c>
      <c r="BT20" s="1140">
        <f t="shared" si="8"/>
        <v>0</v>
      </c>
      <c r="BU20" s="1140">
        <f t="shared" si="9"/>
        <v>4277777.777777778</v>
      </c>
      <c r="BV20" s="1140">
        <f t="shared" si="19"/>
        <v>0</v>
      </c>
      <c r="BW20" s="1140">
        <f t="shared" si="20"/>
        <v>0</v>
      </c>
      <c r="BX20" s="1140">
        <f t="shared" si="21"/>
        <v>0</v>
      </c>
      <c r="BY20" s="1140">
        <f t="shared" si="10"/>
        <v>0</v>
      </c>
      <c r="CA20" s="1140">
        <f t="shared" si="11"/>
        <v>236111.11111111112</v>
      </c>
      <c r="CB20" s="1140">
        <f t="shared" si="12"/>
        <v>4041666.666666667</v>
      </c>
      <c r="CC20" s="1140">
        <f t="shared" si="13"/>
        <v>0</v>
      </c>
      <c r="CD20" s="1140">
        <f t="shared" si="14"/>
        <v>4277777.777777778</v>
      </c>
      <c r="CE20" s="1140">
        <f t="shared" si="15"/>
        <v>0</v>
      </c>
      <c r="CF20" s="1140">
        <f t="shared" si="16"/>
        <v>0</v>
      </c>
      <c r="CG20" s="1140">
        <f t="shared" si="17"/>
        <v>0</v>
      </c>
      <c r="CH20" s="1140">
        <f t="shared" si="18"/>
        <v>0</v>
      </c>
    </row>
    <row r="21" spans="1:86" ht="15" customHeight="1" x14ac:dyDescent="0.2">
      <c r="A21" s="1052">
        <v>323</v>
      </c>
      <c r="B21" s="1052"/>
      <c r="C21" s="1053" t="s">
        <v>1557</v>
      </c>
      <c r="D21" s="1054" t="s">
        <v>1557</v>
      </c>
      <c r="E21" s="1055">
        <f t="shared" si="0"/>
        <v>52140.4856</v>
      </c>
      <c r="F21" s="1055">
        <v>0</v>
      </c>
      <c r="G21" s="1056">
        <f t="shared" si="1"/>
        <v>52140.4856</v>
      </c>
      <c r="H21" s="1053" t="s">
        <v>10</v>
      </c>
      <c r="I21" s="1054" t="s">
        <v>1512</v>
      </c>
      <c r="J21" s="1054" t="s">
        <v>1417</v>
      </c>
      <c r="K21" s="1054" t="s">
        <v>1545</v>
      </c>
      <c r="L21" s="1054" t="s">
        <v>10</v>
      </c>
      <c r="M21" s="1057">
        <v>20</v>
      </c>
      <c r="N21" s="1057">
        <v>0.58199999999999996</v>
      </c>
      <c r="O21" s="1057">
        <v>0.55900000000000005</v>
      </c>
      <c r="P21" s="1057">
        <v>0.65800000000000003</v>
      </c>
      <c r="Q21" s="1057">
        <v>0.629</v>
      </c>
      <c r="R21" s="1057">
        <v>0</v>
      </c>
      <c r="S21" s="1057">
        <v>268904</v>
      </c>
      <c r="T21" s="1058">
        <f t="shared" si="2"/>
        <v>52140.4856</v>
      </c>
      <c r="U21" s="1057">
        <v>216491</v>
      </c>
      <c r="V21" s="1057">
        <v>52413</v>
      </c>
      <c r="W21" s="1057">
        <v>1345</v>
      </c>
      <c r="X21" s="1057">
        <v>0</v>
      </c>
      <c r="Y21" s="1057">
        <v>0</v>
      </c>
      <c r="Z21" s="1057">
        <v>0</v>
      </c>
      <c r="AA21" s="1057">
        <v>321044.48560000001</v>
      </c>
      <c r="AB21" s="1057">
        <v>52140.4856</v>
      </c>
      <c r="AC21" s="1057">
        <v>268904</v>
      </c>
      <c r="AD21" s="1057">
        <v>0</v>
      </c>
      <c r="AE21" s="1057">
        <v>0</v>
      </c>
      <c r="AF21" s="1057">
        <v>0</v>
      </c>
      <c r="AG21" s="1057">
        <v>268904</v>
      </c>
      <c r="AH21" s="1057">
        <v>0</v>
      </c>
      <c r="AI21" s="1057">
        <v>0</v>
      </c>
      <c r="AJ21" s="1053">
        <v>4</v>
      </c>
      <c r="AK21" s="1053" t="s">
        <v>899</v>
      </c>
      <c r="AL21" s="1054" t="s">
        <v>1512</v>
      </c>
      <c r="AM21" s="1053" t="s">
        <v>10</v>
      </c>
      <c r="AN21" s="1054" t="s">
        <v>1557</v>
      </c>
      <c r="AO21" s="1054">
        <v>52140.4856</v>
      </c>
      <c r="AP21" s="1059">
        <f t="shared" si="22"/>
        <v>28</v>
      </c>
      <c r="AQ21" s="1059">
        <f t="shared" si="5"/>
        <v>34</v>
      </c>
      <c r="AR21" s="1052">
        <v>0</v>
      </c>
      <c r="AS21" s="1052">
        <v>0</v>
      </c>
      <c r="AT21" s="1052">
        <v>21</v>
      </c>
      <c r="AU21" s="1052">
        <v>7</v>
      </c>
      <c r="AV21" s="1052">
        <v>0</v>
      </c>
      <c r="AW21" s="1052">
        <v>0</v>
      </c>
      <c r="AX21" s="1052">
        <v>0</v>
      </c>
      <c r="AY21" s="1052">
        <v>0</v>
      </c>
      <c r="AZ21" s="1052">
        <v>0</v>
      </c>
      <c r="BA21" s="1052">
        <v>3</v>
      </c>
      <c r="BB21" s="1052">
        <v>6</v>
      </c>
      <c r="BC21" s="1052">
        <v>0</v>
      </c>
      <c r="BD21" s="1052">
        <v>0</v>
      </c>
      <c r="BE21" s="1052">
        <v>0</v>
      </c>
      <c r="BF21" s="1052">
        <v>0</v>
      </c>
      <c r="BG21" s="1052">
        <v>0</v>
      </c>
      <c r="BH21" s="1052">
        <v>0</v>
      </c>
      <c r="BI21" s="1052">
        <v>0</v>
      </c>
      <c r="BJ21" s="1052">
        <v>0</v>
      </c>
      <c r="BK21" s="1052">
        <v>0</v>
      </c>
      <c r="BL21" s="1052">
        <v>0</v>
      </c>
      <c r="BM21" s="1052">
        <v>0</v>
      </c>
      <c r="BN21" s="1052">
        <v>0</v>
      </c>
      <c r="BO21" s="1052">
        <v>0</v>
      </c>
      <c r="BR21" s="1140">
        <f t="shared" si="6"/>
        <v>0</v>
      </c>
      <c r="BS21" s="1140">
        <f t="shared" si="7"/>
        <v>291666.66666666669</v>
      </c>
      <c r="BT21" s="1140">
        <f t="shared" si="8"/>
        <v>97222.222222222234</v>
      </c>
      <c r="BU21" s="1140">
        <f t="shared" si="9"/>
        <v>388888.88888888893</v>
      </c>
      <c r="BV21" s="1140">
        <f t="shared" si="19"/>
        <v>0</v>
      </c>
      <c r="BW21" s="1140">
        <f t="shared" si="20"/>
        <v>0</v>
      </c>
      <c r="BX21" s="1140">
        <f t="shared" si="21"/>
        <v>0</v>
      </c>
      <c r="BY21" s="1140">
        <f t="shared" si="10"/>
        <v>0</v>
      </c>
      <c r="CA21" s="1140">
        <f t="shared" si="11"/>
        <v>0</v>
      </c>
      <c r="CB21" s="1140">
        <f t="shared" si="12"/>
        <v>291666.66666666669</v>
      </c>
      <c r="CC21" s="1140">
        <f t="shared" si="13"/>
        <v>97222.222222222234</v>
      </c>
      <c r="CD21" s="1140">
        <f t="shared" si="14"/>
        <v>388888.88888888893</v>
      </c>
      <c r="CE21" s="1140">
        <f t="shared" si="15"/>
        <v>0</v>
      </c>
      <c r="CF21" s="1140">
        <f t="shared" si="16"/>
        <v>0</v>
      </c>
      <c r="CG21" s="1140">
        <f t="shared" si="17"/>
        <v>0</v>
      </c>
      <c r="CH21" s="1140">
        <f t="shared" si="18"/>
        <v>0</v>
      </c>
    </row>
    <row r="22" spans="1:86" ht="15" customHeight="1" x14ac:dyDescent="0.2">
      <c r="A22" s="1052">
        <v>324</v>
      </c>
      <c r="B22" s="1052"/>
      <c r="C22" s="1053" t="s">
        <v>1562</v>
      </c>
      <c r="D22" s="1054" t="s">
        <v>1562</v>
      </c>
      <c r="E22" s="1055">
        <f t="shared" si="0"/>
        <v>7930.7038999999995</v>
      </c>
      <c r="F22" s="1055">
        <v>0</v>
      </c>
      <c r="G22" s="1056">
        <f t="shared" si="1"/>
        <v>7930.7038999999995</v>
      </c>
      <c r="H22" s="1053" t="s">
        <v>10</v>
      </c>
      <c r="I22" s="1054" t="s">
        <v>1512</v>
      </c>
      <c r="J22" s="1054" t="s">
        <v>10</v>
      </c>
      <c r="K22" s="1054" t="s">
        <v>1565</v>
      </c>
      <c r="L22" s="1054" t="s">
        <v>10</v>
      </c>
      <c r="M22" s="1057">
        <v>8</v>
      </c>
      <c r="N22" s="1057">
        <v>0.94599999999999995</v>
      </c>
      <c r="O22" s="1057">
        <v>0.94599999999999995</v>
      </c>
      <c r="P22" s="1057">
        <v>1</v>
      </c>
      <c r="Q22" s="1057">
        <v>1</v>
      </c>
      <c r="R22" s="1057">
        <v>0</v>
      </c>
      <c r="S22" s="1057">
        <v>40901</v>
      </c>
      <c r="T22" s="1058">
        <f t="shared" si="2"/>
        <v>7930.7038999999995</v>
      </c>
      <c r="U22" s="1057">
        <v>0</v>
      </c>
      <c r="V22" s="1057">
        <v>40901</v>
      </c>
      <c r="W22" s="1057">
        <v>315</v>
      </c>
      <c r="X22" s="1057">
        <v>0</v>
      </c>
      <c r="Y22" s="1057">
        <v>0</v>
      </c>
      <c r="Z22" s="1057">
        <v>0</v>
      </c>
      <c r="AA22" s="1057">
        <v>48831.7039</v>
      </c>
      <c r="AB22" s="1057">
        <v>7930.7039000000004</v>
      </c>
      <c r="AC22" s="1057">
        <v>40901</v>
      </c>
      <c r="AD22" s="1057">
        <v>0</v>
      </c>
      <c r="AE22" s="1057">
        <v>0</v>
      </c>
      <c r="AF22" s="1057">
        <v>0</v>
      </c>
      <c r="AG22" s="1057">
        <v>40901</v>
      </c>
      <c r="AH22" s="1057">
        <v>0</v>
      </c>
      <c r="AI22" s="1057">
        <v>0</v>
      </c>
      <c r="AJ22" s="1053">
        <v>4</v>
      </c>
      <c r="AK22" s="1053" t="s">
        <v>913</v>
      </c>
      <c r="AL22" s="1054" t="s">
        <v>1512</v>
      </c>
      <c r="AM22" s="1053" t="s">
        <v>10</v>
      </c>
      <c r="AN22" s="1054" t="s">
        <v>1562</v>
      </c>
      <c r="AO22" s="1054">
        <v>7930.7039000000004</v>
      </c>
      <c r="AP22" s="1059">
        <f t="shared" si="22"/>
        <v>8</v>
      </c>
      <c r="AQ22" s="1059">
        <f t="shared" si="5"/>
        <v>8</v>
      </c>
      <c r="AR22" s="1052">
        <v>0</v>
      </c>
      <c r="AS22" s="1052">
        <v>0</v>
      </c>
      <c r="AT22" s="1052">
        <v>8</v>
      </c>
      <c r="AU22" s="1052">
        <v>0</v>
      </c>
      <c r="AV22" s="1052">
        <v>0</v>
      </c>
      <c r="AW22" s="1052">
        <v>0</v>
      </c>
      <c r="AX22" s="1052">
        <v>0</v>
      </c>
      <c r="AY22" s="1052">
        <v>0</v>
      </c>
      <c r="AZ22" s="1052">
        <v>0</v>
      </c>
      <c r="BA22" s="1052">
        <v>0</v>
      </c>
      <c r="BB22" s="1052">
        <v>0</v>
      </c>
      <c r="BC22" s="1052">
        <v>0</v>
      </c>
      <c r="BD22" s="1052">
        <v>0</v>
      </c>
      <c r="BE22" s="1052">
        <v>0</v>
      </c>
      <c r="BF22" s="1052">
        <v>0</v>
      </c>
      <c r="BG22" s="1052">
        <v>0</v>
      </c>
      <c r="BH22" s="1052">
        <v>0</v>
      </c>
      <c r="BI22" s="1052">
        <v>0</v>
      </c>
      <c r="BJ22" s="1052">
        <v>0</v>
      </c>
      <c r="BK22" s="1052">
        <v>0</v>
      </c>
      <c r="BL22" s="1052">
        <v>0</v>
      </c>
      <c r="BM22" s="1052">
        <v>0</v>
      </c>
      <c r="BN22" s="1052">
        <v>0</v>
      </c>
      <c r="BO22" s="1052">
        <v>0</v>
      </c>
      <c r="BR22" s="1140">
        <f t="shared" si="6"/>
        <v>0</v>
      </c>
      <c r="BS22" s="1140">
        <f t="shared" si="7"/>
        <v>111111.11111111112</v>
      </c>
      <c r="BT22" s="1140">
        <f t="shared" si="8"/>
        <v>0</v>
      </c>
      <c r="BU22" s="1140">
        <f t="shared" si="9"/>
        <v>111111.11111111112</v>
      </c>
      <c r="BV22" s="1140">
        <f t="shared" si="19"/>
        <v>0</v>
      </c>
      <c r="BW22" s="1140">
        <f t="shared" si="20"/>
        <v>0</v>
      </c>
      <c r="BX22" s="1140">
        <f t="shared" si="21"/>
        <v>0</v>
      </c>
      <c r="BY22" s="1140">
        <f t="shared" si="10"/>
        <v>0</v>
      </c>
      <c r="CA22" s="1140">
        <f t="shared" si="11"/>
        <v>0</v>
      </c>
      <c r="CB22" s="1140">
        <f t="shared" si="12"/>
        <v>111111.11111111112</v>
      </c>
      <c r="CC22" s="1140">
        <f t="shared" si="13"/>
        <v>0</v>
      </c>
      <c r="CD22" s="1140">
        <f t="shared" si="14"/>
        <v>111111.11111111112</v>
      </c>
      <c r="CE22" s="1140">
        <f t="shared" si="15"/>
        <v>0</v>
      </c>
      <c r="CF22" s="1140">
        <f t="shared" si="16"/>
        <v>0</v>
      </c>
      <c r="CG22" s="1140">
        <f t="shared" si="17"/>
        <v>0</v>
      </c>
      <c r="CH22" s="1140">
        <f t="shared" si="18"/>
        <v>0</v>
      </c>
    </row>
    <row r="23" spans="1:86" ht="15" customHeight="1" x14ac:dyDescent="0.2">
      <c r="A23" s="1052">
        <v>344</v>
      </c>
      <c r="B23" s="1052" t="s">
        <v>1412</v>
      </c>
      <c r="C23" s="1053" t="s">
        <v>1566</v>
      </c>
      <c r="D23" s="1054" t="s">
        <v>1566</v>
      </c>
      <c r="E23" s="1055">
        <f t="shared" si="0"/>
        <v>199045.10079999999</v>
      </c>
      <c r="F23" s="1055">
        <v>0</v>
      </c>
      <c r="G23" s="1056">
        <f t="shared" si="1"/>
        <v>199045.10079999999</v>
      </c>
      <c r="H23" s="1053" t="s">
        <v>10</v>
      </c>
      <c r="I23" s="1054" t="s">
        <v>1416</v>
      </c>
      <c r="J23" s="1054" t="s">
        <v>1412</v>
      </c>
      <c r="K23" s="1054" t="s">
        <v>1568</v>
      </c>
      <c r="L23" s="1054" t="s">
        <v>10</v>
      </c>
      <c r="M23" s="1057">
        <v>90</v>
      </c>
      <c r="N23" s="1057">
        <v>0.81799999999999995</v>
      </c>
      <c r="O23" s="1057">
        <v>0.97399999999999998</v>
      </c>
      <c r="P23" s="1057">
        <v>0.96299999999999997</v>
      </c>
      <c r="Q23" s="1057">
        <v>0.95</v>
      </c>
      <c r="R23" s="1057">
        <v>652078</v>
      </c>
      <c r="S23" s="1057">
        <v>571312</v>
      </c>
      <c r="T23" s="1058">
        <f t="shared" si="2"/>
        <v>193993.20499999999</v>
      </c>
      <c r="U23" s="1057">
        <v>378599</v>
      </c>
      <c r="V23" s="1057">
        <v>192713</v>
      </c>
      <c r="W23" s="1057">
        <v>2865</v>
      </c>
      <c r="X23" s="1057">
        <v>0</v>
      </c>
      <c r="Y23" s="1057">
        <v>0</v>
      </c>
      <c r="Z23" s="1057">
        <v>0</v>
      </c>
      <c r="AA23" s="1057">
        <v>765305.20499999996</v>
      </c>
      <c r="AB23" s="1057">
        <v>193993.20499999999</v>
      </c>
      <c r="AC23" s="1057">
        <v>571312</v>
      </c>
      <c r="AD23" s="1057">
        <v>0</v>
      </c>
      <c r="AE23" s="1057">
        <v>0</v>
      </c>
      <c r="AF23" s="1057">
        <v>571312</v>
      </c>
      <c r="AG23" s="1057">
        <v>0</v>
      </c>
      <c r="AH23" s="1057">
        <v>519000</v>
      </c>
      <c r="AI23" s="1057">
        <v>452000</v>
      </c>
      <c r="AJ23" s="1053" t="s">
        <v>900</v>
      </c>
      <c r="AK23" s="1053" t="s">
        <v>901</v>
      </c>
      <c r="AL23" s="1054" t="s">
        <v>1416</v>
      </c>
      <c r="AM23" s="1053" t="s">
        <v>10</v>
      </c>
      <c r="AN23" s="1054" t="s">
        <v>1566</v>
      </c>
      <c r="AO23" s="1054">
        <v>193993.20499999999</v>
      </c>
      <c r="AP23" s="1059">
        <f t="shared" si="22"/>
        <v>176.193175</v>
      </c>
      <c r="AQ23" s="1059">
        <f t="shared" si="5"/>
        <v>194.193175</v>
      </c>
      <c r="AR23" s="1052">
        <v>0</v>
      </c>
      <c r="AS23" s="1052">
        <v>452</v>
      </c>
      <c r="AT23" s="1052">
        <v>120</v>
      </c>
      <c r="AU23" s="1052">
        <v>0</v>
      </c>
      <c r="AV23" s="1052">
        <v>0</v>
      </c>
      <c r="AW23" s="1052">
        <v>0</v>
      </c>
      <c r="AX23" s="1052">
        <v>0</v>
      </c>
      <c r="AY23" s="1052">
        <v>0</v>
      </c>
      <c r="AZ23" s="1052">
        <v>0</v>
      </c>
      <c r="BA23" s="1052">
        <v>7</v>
      </c>
      <c r="BB23" s="1052">
        <v>18</v>
      </c>
      <c r="BC23" s="1052">
        <v>0</v>
      </c>
      <c r="BD23" s="1052">
        <v>0</v>
      </c>
      <c r="BE23" s="1052">
        <v>0</v>
      </c>
      <c r="BF23" s="1052">
        <v>0</v>
      </c>
      <c r="BG23" s="1052">
        <v>0</v>
      </c>
      <c r="BH23" s="1052">
        <v>0</v>
      </c>
      <c r="BI23" s="1052">
        <v>0</v>
      </c>
      <c r="BJ23" s="1052">
        <v>0</v>
      </c>
      <c r="BK23" s="1052">
        <v>0</v>
      </c>
      <c r="BL23" s="1052">
        <v>9478</v>
      </c>
      <c r="BM23" s="1052">
        <v>0</v>
      </c>
      <c r="BN23" s="1052">
        <v>0</v>
      </c>
      <c r="BO23" s="1052">
        <v>467.15174999999999</v>
      </c>
      <c r="BR23" s="1140">
        <f t="shared" si="6"/>
        <v>0</v>
      </c>
      <c r="BS23" s="1140">
        <f t="shared" si="7"/>
        <v>1666666.6666666667</v>
      </c>
      <c r="BT23" s="1140">
        <f t="shared" si="8"/>
        <v>0</v>
      </c>
      <c r="BU23" s="1140">
        <f t="shared" si="9"/>
        <v>1666666.6666666667</v>
      </c>
      <c r="BV23" s="1140">
        <f t="shared" si="19"/>
        <v>0</v>
      </c>
      <c r="BW23" s="1140">
        <f t="shared" si="20"/>
        <v>0</v>
      </c>
      <c r="BX23" s="1140">
        <f t="shared" si="21"/>
        <v>0</v>
      </c>
      <c r="BY23" s="1140">
        <f t="shared" si="10"/>
        <v>0</v>
      </c>
      <c r="CA23" s="1140">
        <f t="shared" si="11"/>
        <v>0</v>
      </c>
      <c r="CB23" s="1140">
        <f t="shared" si="12"/>
        <v>1666666.6666666667</v>
      </c>
      <c r="CC23" s="1140">
        <f t="shared" si="13"/>
        <v>0</v>
      </c>
      <c r="CD23" s="1140">
        <f t="shared" si="14"/>
        <v>1666666.6666666667</v>
      </c>
      <c r="CE23" s="1140">
        <f t="shared" si="15"/>
        <v>0</v>
      </c>
      <c r="CF23" s="1140">
        <f t="shared" si="16"/>
        <v>0</v>
      </c>
      <c r="CG23" s="1140">
        <f t="shared" si="17"/>
        <v>0</v>
      </c>
      <c r="CH23" s="1140">
        <f t="shared" si="18"/>
        <v>0</v>
      </c>
    </row>
    <row r="24" spans="1:86" ht="15" customHeight="1" x14ac:dyDescent="0.2">
      <c r="A24" s="1052">
        <v>8178</v>
      </c>
      <c r="B24" s="1052"/>
      <c r="C24" s="1053" t="s">
        <v>1569</v>
      </c>
      <c r="D24" s="1054" t="s">
        <v>1569</v>
      </c>
      <c r="E24" s="1055">
        <f t="shared" si="0"/>
        <v>267676.76519999997</v>
      </c>
      <c r="F24" s="1055">
        <v>0</v>
      </c>
      <c r="G24" s="1056">
        <f t="shared" si="1"/>
        <v>267676.76519999997</v>
      </c>
      <c r="H24" s="1053" t="s">
        <v>10</v>
      </c>
      <c r="I24" s="1054" t="s">
        <v>1416</v>
      </c>
      <c r="J24" s="1054" t="s">
        <v>1417</v>
      </c>
      <c r="K24" s="1054" t="s">
        <v>1540</v>
      </c>
      <c r="L24" s="1054" t="s">
        <v>10</v>
      </c>
      <c r="M24" s="1057">
        <v>76</v>
      </c>
      <c r="N24" s="1057">
        <v>0.90400000000000003</v>
      </c>
      <c r="O24" s="1057">
        <v>0.93899999999999995</v>
      </c>
      <c r="P24" s="1057">
        <v>0.874</v>
      </c>
      <c r="Q24" s="1057">
        <v>0.76700000000000002</v>
      </c>
      <c r="R24" s="1057">
        <v>857149</v>
      </c>
      <c r="S24" s="1057">
        <v>768303</v>
      </c>
      <c r="T24" s="1058">
        <f t="shared" si="2"/>
        <v>255001.82749999998</v>
      </c>
      <c r="U24" s="1057">
        <v>467626</v>
      </c>
      <c r="V24" s="1057">
        <v>300677</v>
      </c>
      <c r="W24" s="1057">
        <v>4248</v>
      </c>
      <c r="X24" s="1057">
        <v>0</v>
      </c>
      <c r="Y24" s="1057">
        <v>0</v>
      </c>
      <c r="Z24" s="1057">
        <v>0</v>
      </c>
      <c r="AA24" s="1057">
        <v>1023304.828</v>
      </c>
      <c r="AB24" s="1057">
        <v>255001.82750000001</v>
      </c>
      <c r="AC24" s="1057">
        <v>768303</v>
      </c>
      <c r="AD24" s="1057">
        <v>0</v>
      </c>
      <c r="AE24" s="1057">
        <v>0</v>
      </c>
      <c r="AF24" s="1057">
        <v>0</v>
      </c>
      <c r="AG24" s="1057">
        <v>768303</v>
      </c>
      <c r="AH24" s="1057">
        <v>0</v>
      </c>
      <c r="AI24" s="1057">
        <v>0</v>
      </c>
      <c r="AJ24" s="1053" t="s">
        <v>908</v>
      </c>
      <c r="AK24" s="1053" t="s">
        <v>909</v>
      </c>
      <c r="AL24" s="1054" t="s">
        <v>1416</v>
      </c>
      <c r="AM24" s="1053" t="s">
        <v>10</v>
      </c>
      <c r="AN24" s="1054" t="s">
        <v>1569</v>
      </c>
      <c r="AO24" s="1054">
        <v>255001.82750000001</v>
      </c>
      <c r="AP24" s="1059">
        <f t="shared" si="22"/>
        <v>117.023595</v>
      </c>
      <c r="AQ24" s="1059">
        <f t="shared" si="5"/>
        <v>138.023595</v>
      </c>
      <c r="AR24" s="1052">
        <v>0</v>
      </c>
      <c r="AS24" s="1052">
        <v>0</v>
      </c>
      <c r="AT24" s="1052">
        <v>63</v>
      </c>
      <c r="AU24" s="1052">
        <v>10</v>
      </c>
      <c r="AV24" s="1052">
        <v>0</v>
      </c>
      <c r="AW24" s="1052">
        <v>0</v>
      </c>
      <c r="AX24" s="1052">
        <v>11</v>
      </c>
      <c r="AY24" s="1052">
        <v>4</v>
      </c>
      <c r="AZ24" s="1052">
        <v>0</v>
      </c>
      <c r="BA24" s="1052">
        <v>0</v>
      </c>
      <c r="BB24" s="1052">
        <v>18</v>
      </c>
      <c r="BC24" s="1052">
        <v>3</v>
      </c>
      <c r="BD24" s="1052">
        <v>0</v>
      </c>
      <c r="BE24" s="1052">
        <v>0</v>
      </c>
      <c r="BF24" s="1052">
        <v>0</v>
      </c>
      <c r="BG24" s="1052">
        <v>0</v>
      </c>
      <c r="BH24" s="1052">
        <v>0</v>
      </c>
      <c r="BI24" s="1052">
        <v>0</v>
      </c>
      <c r="BJ24" s="1052">
        <v>0</v>
      </c>
      <c r="BK24" s="1052">
        <v>0</v>
      </c>
      <c r="BL24" s="1052">
        <v>0</v>
      </c>
      <c r="BM24" s="1052">
        <v>0</v>
      </c>
      <c r="BN24" s="1052">
        <v>0</v>
      </c>
      <c r="BO24" s="1052">
        <v>290.23595</v>
      </c>
      <c r="BR24" s="1140">
        <f t="shared" si="6"/>
        <v>0</v>
      </c>
      <c r="BS24" s="1140">
        <f t="shared" si="7"/>
        <v>875000.00000000012</v>
      </c>
      <c r="BT24" s="1140">
        <f t="shared" si="8"/>
        <v>138888.88888888891</v>
      </c>
      <c r="BU24" s="1140">
        <f t="shared" si="9"/>
        <v>1013888.888888889</v>
      </c>
      <c r="BV24" s="1140">
        <f t="shared" si="19"/>
        <v>0</v>
      </c>
      <c r="BW24" s="1140">
        <f t="shared" si="20"/>
        <v>2200</v>
      </c>
      <c r="BX24" s="1140">
        <f t="shared" si="21"/>
        <v>800</v>
      </c>
      <c r="BY24" s="1140">
        <f t="shared" si="10"/>
        <v>3000</v>
      </c>
      <c r="CA24" s="1140">
        <f t="shared" si="11"/>
        <v>0</v>
      </c>
      <c r="CB24" s="1140">
        <f t="shared" si="12"/>
        <v>875000.00000000012</v>
      </c>
      <c r="CC24" s="1140">
        <f t="shared" si="13"/>
        <v>138888.88888888891</v>
      </c>
      <c r="CD24" s="1140">
        <f t="shared" si="14"/>
        <v>1013888.888888889</v>
      </c>
      <c r="CE24" s="1140">
        <f t="shared" si="15"/>
        <v>0</v>
      </c>
      <c r="CF24" s="1140">
        <f t="shared" si="16"/>
        <v>2200</v>
      </c>
      <c r="CG24" s="1140">
        <f t="shared" si="17"/>
        <v>800</v>
      </c>
      <c r="CH24" s="1140">
        <f t="shared" si="18"/>
        <v>3000</v>
      </c>
    </row>
    <row r="25" spans="1:86" ht="15" customHeight="1" x14ac:dyDescent="0.2">
      <c r="A25" s="1052">
        <v>339</v>
      </c>
      <c r="B25" s="1052"/>
      <c r="C25" s="1053" t="s">
        <v>1571</v>
      </c>
      <c r="D25" s="1054" t="s">
        <v>1571</v>
      </c>
      <c r="E25" s="1055">
        <f t="shared" si="0"/>
        <v>25998.6937</v>
      </c>
      <c r="F25" s="1055">
        <v>0</v>
      </c>
      <c r="G25" s="1056">
        <f t="shared" si="1"/>
        <v>25998.6937</v>
      </c>
      <c r="H25" s="1053" t="s">
        <v>10</v>
      </c>
      <c r="I25" s="1054" t="s">
        <v>1512</v>
      </c>
      <c r="J25" s="1054" t="s">
        <v>1417</v>
      </c>
      <c r="K25" s="1054" t="s">
        <v>1545</v>
      </c>
      <c r="L25" s="1054" t="s">
        <v>10</v>
      </c>
      <c r="M25" s="1057">
        <v>40</v>
      </c>
      <c r="N25" s="1057">
        <v>0.80200000000000005</v>
      </c>
      <c r="O25" s="1057">
        <v>0.73299999999999998</v>
      </c>
      <c r="P25" s="1057">
        <v>0.79700000000000004</v>
      </c>
      <c r="Q25" s="1057">
        <v>0.80700000000000005</v>
      </c>
      <c r="R25" s="1057">
        <v>0</v>
      </c>
      <c r="S25" s="1057">
        <v>134083</v>
      </c>
      <c r="T25" s="1058">
        <f t="shared" si="2"/>
        <v>25998.6937</v>
      </c>
      <c r="U25" s="1057">
        <v>0</v>
      </c>
      <c r="V25" s="1057">
        <v>134083</v>
      </c>
      <c r="W25" s="1057">
        <v>910</v>
      </c>
      <c r="X25" s="1057">
        <v>0</v>
      </c>
      <c r="Y25" s="1057">
        <v>0</v>
      </c>
      <c r="Z25" s="1057">
        <v>0</v>
      </c>
      <c r="AA25" s="1057">
        <v>160081.6937</v>
      </c>
      <c r="AB25" s="1057">
        <v>25998.6937</v>
      </c>
      <c r="AC25" s="1057">
        <v>134083</v>
      </c>
      <c r="AD25" s="1057">
        <v>0</v>
      </c>
      <c r="AE25" s="1057">
        <v>0</v>
      </c>
      <c r="AF25" s="1057">
        <v>0</v>
      </c>
      <c r="AG25" s="1057">
        <v>134083</v>
      </c>
      <c r="AH25" s="1057">
        <v>0</v>
      </c>
      <c r="AI25" s="1057">
        <v>0</v>
      </c>
      <c r="AJ25" s="1053">
        <v>4</v>
      </c>
      <c r="AK25" s="1053" t="s">
        <v>899</v>
      </c>
      <c r="AL25" s="1054" t="s">
        <v>1512</v>
      </c>
      <c r="AM25" s="1053" t="s">
        <v>10</v>
      </c>
      <c r="AN25" s="1054" t="s">
        <v>1571</v>
      </c>
      <c r="AO25" s="1054">
        <v>25998.6937</v>
      </c>
      <c r="AP25" s="1059">
        <f t="shared" si="22"/>
        <v>58</v>
      </c>
      <c r="AQ25" s="1059">
        <f t="shared" si="5"/>
        <v>69</v>
      </c>
      <c r="AR25" s="1052">
        <v>0</v>
      </c>
      <c r="AS25" s="1052">
        <v>0</v>
      </c>
      <c r="AT25" s="1052">
        <v>30</v>
      </c>
      <c r="AU25" s="1052">
        <v>26</v>
      </c>
      <c r="AV25" s="1052">
        <v>0</v>
      </c>
      <c r="AW25" s="1052">
        <v>0</v>
      </c>
      <c r="AX25" s="1052">
        <v>0</v>
      </c>
      <c r="AY25" s="1052">
        <v>2</v>
      </c>
      <c r="AZ25" s="1052">
        <v>0</v>
      </c>
      <c r="BA25" s="1052">
        <v>18</v>
      </c>
      <c r="BB25" s="1052">
        <v>11</v>
      </c>
      <c r="BC25" s="1052">
        <v>0</v>
      </c>
      <c r="BD25" s="1052">
        <v>0</v>
      </c>
      <c r="BE25" s="1052">
        <v>0</v>
      </c>
      <c r="BF25" s="1052">
        <v>0</v>
      </c>
      <c r="BG25" s="1052">
        <v>0</v>
      </c>
      <c r="BH25" s="1052">
        <v>0</v>
      </c>
      <c r="BI25" s="1052">
        <v>0</v>
      </c>
      <c r="BJ25" s="1052">
        <v>0</v>
      </c>
      <c r="BK25" s="1052">
        <v>0</v>
      </c>
      <c r="BL25" s="1052">
        <v>0</v>
      </c>
      <c r="BM25" s="1052">
        <v>0</v>
      </c>
      <c r="BN25" s="1052">
        <v>0</v>
      </c>
      <c r="BO25" s="1052">
        <v>0</v>
      </c>
      <c r="BR25" s="1140">
        <f t="shared" si="6"/>
        <v>0</v>
      </c>
      <c r="BS25" s="1140">
        <f t="shared" si="7"/>
        <v>416666.66666666669</v>
      </c>
      <c r="BT25" s="1140">
        <f t="shared" si="8"/>
        <v>361111.11111111112</v>
      </c>
      <c r="BU25" s="1140">
        <f t="shared" si="9"/>
        <v>777777.77777777775</v>
      </c>
      <c r="BV25" s="1140">
        <f t="shared" si="19"/>
        <v>0</v>
      </c>
      <c r="BW25" s="1140">
        <f t="shared" si="20"/>
        <v>0</v>
      </c>
      <c r="BX25" s="1140">
        <f t="shared" si="21"/>
        <v>400</v>
      </c>
      <c r="BY25" s="1140">
        <f t="shared" si="10"/>
        <v>400</v>
      </c>
      <c r="CA25" s="1140">
        <f t="shared" si="11"/>
        <v>0</v>
      </c>
      <c r="CB25" s="1140">
        <f t="shared" si="12"/>
        <v>416666.66666666669</v>
      </c>
      <c r="CC25" s="1140">
        <f t="shared" si="13"/>
        <v>361111.11111111112</v>
      </c>
      <c r="CD25" s="1140">
        <f t="shared" si="14"/>
        <v>777777.77777777775</v>
      </c>
      <c r="CE25" s="1140">
        <f t="shared" si="15"/>
        <v>0</v>
      </c>
      <c r="CF25" s="1140">
        <f t="shared" si="16"/>
        <v>0</v>
      </c>
      <c r="CG25" s="1140">
        <f t="shared" si="17"/>
        <v>400</v>
      </c>
      <c r="CH25" s="1140">
        <f t="shared" si="18"/>
        <v>400</v>
      </c>
    </row>
    <row r="26" spans="1:86" ht="15" customHeight="1" x14ac:dyDescent="0.2">
      <c r="A26" s="1052">
        <v>4822</v>
      </c>
      <c r="B26" s="1052"/>
      <c r="C26" s="1053" t="s">
        <v>1575</v>
      </c>
      <c r="D26" s="1054" t="s">
        <v>1575</v>
      </c>
      <c r="E26" s="1055">
        <f t="shared" si="0"/>
        <v>437242</v>
      </c>
      <c r="F26" s="1055">
        <v>0</v>
      </c>
      <c r="G26" s="1056">
        <f t="shared" si="1"/>
        <v>437242</v>
      </c>
      <c r="H26" s="1053" t="s">
        <v>10</v>
      </c>
      <c r="I26" s="1054" t="s">
        <v>1578</v>
      </c>
      <c r="J26" s="1054" t="s">
        <v>10</v>
      </c>
      <c r="K26" s="1054" t="s">
        <v>1579</v>
      </c>
      <c r="L26" s="1054" t="s">
        <v>10</v>
      </c>
      <c r="M26" s="1057">
        <v>175</v>
      </c>
      <c r="N26" s="1057">
        <v>0.96499999999999997</v>
      </c>
      <c r="O26" s="1057">
        <v>0.98099999999999998</v>
      </c>
      <c r="P26" s="1057">
        <v>0.92500000000000004</v>
      </c>
      <c r="Q26" s="1057">
        <v>0.95199999999999996</v>
      </c>
      <c r="R26" s="1057">
        <v>1580588</v>
      </c>
      <c r="S26" s="1057">
        <v>1255000</v>
      </c>
      <c r="T26" s="1058">
        <f t="shared" si="2"/>
        <v>470224.93</v>
      </c>
      <c r="U26" s="1057">
        <v>836500</v>
      </c>
      <c r="V26" s="1057">
        <v>418500</v>
      </c>
      <c r="W26" s="1057">
        <v>6000</v>
      </c>
      <c r="X26" s="1057">
        <v>0</v>
      </c>
      <c r="Y26" s="1057">
        <v>0</v>
      </c>
      <c r="Z26" s="1057">
        <v>0</v>
      </c>
      <c r="AA26" s="1057">
        <v>1725224.93</v>
      </c>
      <c r="AB26" s="1057">
        <v>470224.93</v>
      </c>
      <c r="AC26" s="1057">
        <v>1255000</v>
      </c>
      <c r="AD26" s="1057">
        <v>0</v>
      </c>
      <c r="AE26" s="1057">
        <v>0</v>
      </c>
      <c r="AF26" s="1057">
        <v>0</v>
      </c>
      <c r="AG26" s="1057">
        <v>1255000</v>
      </c>
      <c r="AH26" s="1057">
        <v>0</v>
      </c>
      <c r="AI26" s="1057">
        <v>0</v>
      </c>
      <c r="AJ26" s="1053">
        <v>4</v>
      </c>
      <c r="AK26" s="1053" t="s">
        <v>915</v>
      </c>
      <c r="AL26" s="1054" t="s">
        <v>1578</v>
      </c>
      <c r="AM26" s="1053" t="s">
        <v>10</v>
      </c>
      <c r="AN26" s="1054" t="s">
        <v>1575</v>
      </c>
      <c r="AO26" s="1054">
        <v>470224.93</v>
      </c>
      <c r="AP26" s="1059">
        <f t="shared" si="22"/>
        <v>477.83086500000002</v>
      </c>
      <c r="AQ26" s="1059">
        <f t="shared" si="5"/>
        <v>504.83086500000002</v>
      </c>
      <c r="AR26" s="1052">
        <v>0</v>
      </c>
      <c r="AS26" s="1052">
        <v>0</v>
      </c>
      <c r="AT26" s="1052">
        <v>431</v>
      </c>
      <c r="AU26" s="1052">
        <v>1</v>
      </c>
      <c r="AV26" s="1052">
        <v>0</v>
      </c>
      <c r="AW26" s="1052">
        <v>0</v>
      </c>
      <c r="AX26" s="1052">
        <v>27</v>
      </c>
      <c r="AY26" s="1052">
        <v>0</v>
      </c>
      <c r="AZ26" s="1052">
        <v>0</v>
      </c>
      <c r="BA26" s="1052">
        <v>0</v>
      </c>
      <c r="BB26" s="1052">
        <v>27</v>
      </c>
      <c r="BC26" s="1052">
        <v>0</v>
      </c>
      <c r="BD26" s="1052">
        <v>0</v>
      </c>
      <c r="BE26" s="1052">
        <v>0</v>
      </c>
      <c r="BF26" s="1052">
        <v>0</v>
      </c>
      <c r="BG26" s="1052">
        <v>0</v>
      </c>
      <c r="BH26" s="1052">
        <v>0</v>
      </c>
      <c r="BI26" s="1052">
        <v>0</v>
      </c>
      <c r="BJ26" s="1052">
        <v>0</v>
      </c>
      <c r="BK26" s="1052">
        <v>0</v>
      </c>
      <c r="BL26" s="1052">
        <v>0</v>
      </c>
      <c r="BM26" s="1052">
        <v>0</v>
      </c>
      <c r="BN26" s="1052">
        <v>0</v>
      </c>
      <c r="BO26" s="1052">
        <v>188.30865</v>
      </c>
      <c r="BR26" s="1140">
        <f t="shared" si="6"/>
        <v>0</v>
      </c>
      <c r="BS26" s="1140">
        <f t="shared" si="7"/>
        <v>5986111.1111111119</v>
      </c>
      <c r="BT26" s="1140">
        <f t="shared" si="8"/>
        <v>13888.888888888891</v>
      </c>
      <c r="BU26" s="1140">
        <f t="shared" si="9"/>
        <v>6000000.0000000009</v>
      </c>
      <c r="BV26" s="1140">
        <f t="shared" si="19"/>
        <v>0</v>
      </c>
      <c r="BW26" s="1140">
        <f t="shared" si="20"/>
        <v>5400</v>
      </c>
      <c r="BX26" s="1140">
        <f t="shared" si="21"/>
        <v>0</v>
      </c>
      <c r="BY26" s="1140">
        <f t="shared" si="10"/>
        <v>5400</v>
      </c>
      <c r="CA26" s="1140">
        <f t="shared" si="11"/>
        <v>0</v>
      </c>
      <c r="CB26" s="1140">
        <f t="shared" si="12"/>
        <v>5986111.1111111119</v>
      </c>
      <c r="CC26" s="1140">
        <f t="shared" si="13"/>
        <v>13888.888888888891</v>
      </c>
      <c r="CD26" s="1140">
        <f t="shared" si="14"/>
        <v>6000000.0000000009</v>
      </c>
      <c r="CE26" s="1140">
        <f t="shared" si="15"/>
        <v>0</v>
      </c>
      <c r="CF26" s="1140">
        <f t="shared" si="16"/>
        <v>5400</v>
      </c>
      <c r="CG26" s="1140">
        <f t="shared" si="17"/>
        <v>0</v>
      </c>
      <c r="CH26" s="1140">
        <f t="shared" si="18"/>
        <v>5400</v>
      </c>
    </row>
    <row r="27" spans="1:86" ht="15" customHeight="1" x14ac:dyDescent="0.2">
      <c r="A27" s="1052">
        <v>8700</v>
      </c>
      <c r="B27" s="1052" t="s">
        <v>1412</v>
      </c>
      <c r="C27" s="1053" t="s">
        <v>1581</v>
      </c>
      <c r="D27" s="1054" t="s">
        <v>1581</v>
      </c>
      <c r="E27" s="1055">
        <f t="shared" si="0"/>
        <v>498259.73079999996</v>
      </c>
      <c r="F27" s="1055">
        <v>0</v>
      </c>
      <c r="G27" s="1056">
        <f t="shared" si="1"/>
        <v>498259.73079999996</v>
      </c>
      <c r="H27" s="1053" t="s">
        <v>10</v>
      </c>
      <c r="I27" s="1054" t="s">
        <v>1416</v>
      </c>
      <c r="J27" s="1054" t="s">
        <v>1412</v>
      </c>
      <c r="K27" s="1054" t="s">
        <v>1565</v>
      </c>
      <c r="L27" s="1054" t="s">
        <v>10</v>
      </c>
      <c r="M27" s="1057">
        <v>125</v>
      </c>
      <c r="N27" s="1057">
        <v>0.879</v>
      </c>
      <c r="O27" s="1057">
        <v>0.85199999999999998</v>
      </c>
      <c r="P27" s="1057">
        <v>0.875</v>
      </c>
      <c r="Q27" s="1057">
        <v>0.93799999999999994</v>
      </c>
      <c r="R27" s="1057">
        <v>1445650</v>
      </c>
      <c r="S27" s="1057">
        <v>1430137</v>
      </c>
      <c r="T27" s="1058">
        <f t="shared" si="2"/>
        <v>430080.875</v>
      </c>
      <c r="U27" s="1057">
        <v>1078896</v>
      </c>
      <c r="V27" s="1057">
        <v>351241</v>
      </c>
      <c r="W27" s="1057">
        <v>7558</v>
      </c>
      <c r="X27" s="1057">
        <v>0</v>
      </c>
      <c r="Y27" s="1057">
        <v>0</v>
      </c>
      <c r="Z27" s="1057">
        <v>0</v>
      </c>
      <c r="AA27" s="1057">
        <v>1860217.875</v>
      </c>
      <c r="AB27" s="1057">
        <v>430080.875</v>
      </c>
      <c r="AC27" s="1057">
        <v>1430137</v>
      </c>
      <c r="AD27" s="1057">
        <v>0</v>
      </c>
      <c r="AE27" s="1057">
        <v>0</v>
      </c>
      <c r="AF27" s="1057">
        <v>1430137</v>
      </c>
      <c r="AG27" s="1057">
        <v>0</v>
      </c>
      <c r="AH27" s="1057">
        <v>527000</v>
      </c>
      <c r="AI27" s="1057">
        <v>519000</v>
      </c>
      <c r="AJ27" s="1053">
        <v>4</v>
      </c>
      <c r="AK27" s="1053" t="s">
        <v>913</v>
      </c>
      <c r="AL27" s="1054" t="s">
        <v>1416</v>
      </c>
      <c r="AM27" s="1053" t="s">
        <v>10</v>
      </c>
      <c r="AN27" s="1054" t="s">
        <v>1581</v>
      </c>
      <c r="AO27" s="1054">
        <v>430080.875</v>
      </c>
      <c r="AP27" s="1059">
        <f t="shared" si="22"/>
        <v>158.61509999999998</v>
      </c>
      <c r="AQ27" s="1059">
        <f t="shared" si="5"/>
        <v>163.61509999999998</v>
      </c>
      <c r="AR27" s="1052">
        <v>19</v>
      </c>
      <c r="AS27" s="1052">
        <v>519</v>
      </c>
      <c r="AT27" s="1052">
        <v>49</v>
      </c>
      <c r="AU27" s="1052">
        <v>30</v>
      </c>
      <c r="AV27" s="1052">
        <v>0</v>
      </c>
      <c r="AW27" s="1052">
        <v>0</v>
      </c>
      <c r="AX27" s="1052">
        <v>4</v>
      </c>
      <c r="AY27" s="1052">
        <v>3</v>
      </c>
      <c r="AZ27" s="1052">
        <v>0</v>
      </c>
      <c r="BA27" s="1052">
        <v>0</v>
      </c>
      <c r="BB27" s="1052">
        <v>4</v>
      </c>
      <c r="BC27" s="1052">
        <v>1</v>
      </c>
      <c r="BD27" s="1052">
        <v>0</v>
      </c>
      <c r="BE27" s="1052">
        <v>0</v>
      </c>
      <c r="BF27" s="1052">
        <v>0</v>
      </c>
      <c r="BG27" s="1052">
        <v>0</v>
      </c>
      <c r="BH27" s="1052">
        <v>0</v>
      </c>
      <c r="BI27" s="1052">
        <v>0</v>
      </c>
      <c r="BJ27" s="1052">
        <v>0</v>
      </c>
      <c r="BK27" s="1052">
        <v>0</v>
      </c>
      <c r="BL27" s="1052">
        <v>0</v>
      </c>
      <c r="BM27" s="1052">
        <v>0</v>
      </c>
      <c r="BN27" s="1052">
        <v>0</v>
      </c>
      <c r="BO27" s="1052">
        <v>536.15099999999995</v>
      </c>
      <c r="BR27" s="1140">
        <f t="shared" si="6"/>
        <v>263888.88888888893</v>
      </c>
      <c r="BS27" s="1140">
        <f t="shared" si="7"/>
        <v>680555.55555555562</v>
      </c>
      <c r="BT27" s="1140">
        <f t="shared" si="8"/>
        <v>416666.66666666669</v>
      </c>
      <c r="BU27" s="1140">
        <f t="shared" si="9"/>
        <v>1361111.1111111112</v>
      </c>
      <c r="BV27" s="1140">
        <f t="shared" si="19"/>
        <v>0</v>
      </c>
      <c r="BW27" s="1140">
        <f t="shared" si="20"/>
        <v>800</v>
      </c>
      <c r="BX27" s="1140">
        <f t="shared" si="21"/>
        <v>600</v>
      </c>
      <c r="BY27" s="1140">
        <f t="shared" si="10"/>
        <v>1400</v>
      </c>
      <c r="CA27" s="1140">
        <f t="shared" si="11"/>
        <v>263888.88888888893</v>
      </c>
      <c r="CB27" s="1140">
        <f t="shared" si="12"/>
        <v>680555.55555555562</v>
      </c>
      <c r="CC27" s="1140">
        <f t="shared" si="13"/>
        <v>416666.66666666669</v>
      </c>
      <c r="CD27" s="1140">
        <f t="shared" si="14"/>
        <v>1361111.1111111112</v>
      </c>
      <c r="CE27" s="1140">
        <f t="shared" si="15"/>
        <v>0</v>
      </c>
      <c r="CF27" s="1140">
        <f t="shared" si="16"/>
        <v>800</v>
      </c>
      <c r="CG27" s="1140">
        <f t="shared" si="17"/>
        <v>600</v>
      </c>
      <c r="CH27" s="1140">
        <f t="shared" si="18"/>
        <v>1400</v>
      </c>
    </row>
    <row r="28" spans="1:86" ht="15" customHeight="1" x14ac:dyDescent="0.2">
      <c r="A28" s="1052">
        <v>512</v>
      </c>
      <c r="B28" s="1052"/>
      <c r="C28" s="1053" t="s">
        <v>1582</v>
      </c>
      <c r="D28" s="1054" t="s">
        <v>1582</v>
      </c>
      <c r="E28" s="1055">
        <f t="shared" si="0"/>
        <v>6325.4057999999995</v>
      </c>
      <c r="F28" s="1055">
        <v>0</v>
      </c>
      <c r="G28" s="1056">
        <f t="shared" si="1"/>
        <v>6325.4057999999995</v>
      </c>
      <c r="H28" s="1053" t="s">
        <v>10</v>
      </c>
      <c r="I28" s="1054" t="s">
        <v>1512</v>
      </c>
      <c r="J28" s="1054" t="s">
        <v>10</v>
      </c>
      <c r="K28" s="1054" t="s">
        <v>1591</v>
      </c>
      <c r="L28" s="1054" t="s">
        <v>10</v>
      </c>
      <c r="M28" s="1057">
        <v>0</v>
      </c>
      <c r="N28" s="1057">
        <v>1</v>
      </c>
      <c r="O28" s="1057">
        <v>1</v>
      </c>
      <c r="P28" s="1057">
        <v>1</v>
      </c>
      <c r="Q28" s="1057">
        <v>1</v>
      </c>
      <c r="R28" s="1057">
        <v>0</v>
      </c>
      <c r="S28" s="1057">
        <v>32622</v>
      </c>
      <c r="T28" s="1058">
        <f t="shared" si="2"/>
        <v>6325.4057999999995</v>
      </c>
      <c r="U28" s="1057">
        <v>32622</v>
      </c>
      <c r="V28" s="1057">
        <v>0</v>
      </c>
      <c r="W28" s="1057">
        <v>200</v>
      </c>
      <c r="X28" s="1057">
        <v>0</v>
      </c>
      <c r="Y28" s="1057">
        <v>0</v>
      </c>
      <c r="Z28" s="1057">
        <v>0</v>
      </c>
      <c r="AA28" s="1057">
        <v>38947.4058</v>
      </c>
      <c r="AB28" s="1057">
        <v>6325.4058000000005</v>
      </c>
      <c r="AC28" s="1057">
        <v>32622</v>
      </c>
      <c r="AD28" s="1057">
        <v>0</v>
      </c>
      <c r="AE28" s="1057">
        <v>0</v>
      </c>
      <c r="AF28" s="1057">
        <v>0</v>
      </c>
      <c r="AG28" s="1057">
        <v>32622</v>
      </c>
      <c r="AH28" s="1057">
        <v>0</v>
      </c>
      <c r="AI28" s="1057">
        <v>0</v>
      </c>
      <c r="AJ28" s="1053" t="s">
        <v>900</v>
      </c>
      <c r="AK28" s="1053" t="s">
        <v>901</v>
      </c>
      <c r="AL28" s="1054" t="s">
        <v>1512</v>
      </c>
      <c r="AM28" s="1053" t="s">
        <v>10</v>
      </c>
      <c r="AN28" s="1054" t="s">
        <v>1582</v>
      </c>
      <c r="AO28" s="1054">
        <v>6325.4058000000005</v>
      </c>
      <c r="AP28" s="1059">
        <f t="shared" si="22"/>
        <v>81.179299999999998</v>
      </c>
      <c r="AQ28" s="1059">
        <f t="shared" si="5"/>
        <v>81.179299999999998</v>
      </c>
      <c r="AR28" s="1052">
        <v>0</v>
      </c>
      <c r="AS28" s="1052">
        <v>0</v>
      </c>
      <c r="AT28" s="1052">
        <v>7</v>
      </c>
      <c r="AU28" s="1052">
        <v>0</v>
      </c>
      <c r="AV28" s="1052">
        <v>0</v>
      </c>
      <c r="AW28" s="1052">
        <v>0</v>
      </c>
      <c r="AX28" s="1052">
        <v>0</v>
      </c>
      <c r="AY28" s="1052">
        <v>0</v>
      </c>
      <c r="AZ28" s="1052">
        <v>0</v>
      </c>
      <c r="BA28" s="1052">
        <v>0</v>
      </c>
      <c r="BB28" s="1052">
        <v>0</v>
      </c>
      <c r="BC28" s="1052">
        <v>0</v>
      </c>
      <c r="BD28" s="1052">
        <v>73</v>
      </c>
      <c r="BE28" s="1052">
        <v>0</v>
      </c>
      <c r="BF28" s="1052">
        <v>0</v>
      </c>
      <c r="BG28" s="1052">
        <v>0</v>
      </c>
      <c r="BH28" s="1052">
        <v>0</v>
      </c>
      <c r="BI28" s="1052">
        <v>0</v>
      </c>
      <c r="BJ28" s="1052">
        <v>0</v>
      </c>
      <c r="BK28" s="1052">
        <v>0</v>
      </c>
      <c r="BL28" s="1052">
        <v>0</v>
      </c>
      <c r="BM28" s="1052">
        <v>0</v>
      </c>
      <c r="BN28" s="1052">
        <v>0</v>
      </c>
      <c r="BO28" s="1052">
        <v>11.792999999999999</v>
      </c>
      <c r="BR28" s="1140">
        <f t="shared" si="6"/>
        <v>0</v>
      </c>
      <c r="BS28" s="1140">
        <f t="shared" si="7"/>
        <v>97222.222222222234</v>
      </c>
      <c r="BT28" s="1140">
        <f t="shared" si="8"/>
        <v>0</v>
      </c>
      <c r="BU28" s="1140">
        <f t="shared" si="9"/>
        <v>97222.222222222234</v>
      </c>
      <c r="BV28" s="1140">
        <f t="shared" si="19"/>
        <v>0</v>
      </c>
      <c r="BW28" s="1140">
        <f t="shared" si="20"/>
        <v>0</v>
      </c>
      <c r="BX28" s="1140">
        <f t="shared" si="21"/>
        <v>0</v>
      </c>
      <c r="BY28" s="1140">
        <f t="shared" si="10"/>
        <v>0</v>
      </c>
      <c r="CA28" s="1140">
        <f t="shared" si="11"/>
        <v>0</v>
      </c>
      <c r="CB28" s="1140">
        <f t="shared" si="12"/>
        <v>97222.222222222234</v>
      </c>
      <c r="CC28" s="1140">
        <f t="shared" si="13"/>
        <v>0</v>
      </c>
      <c r="CD28" s="1140">
        <f t="shared" si="14"/>
        <v>97222.222222222234</v>
      </c>
      <c r="CE28" s="1140">
        <f t="shared" si="15"/>
        <v>0</v>
      </c>
      <c r="CF28" s="1140">
        <f t="shared" si="16"/>
        <v>0</v>
      </c>
      <c r="CG28" s="1140">
        <f t="shared" si="17"/>
        <v>0</v>
      </c>
      <c r="CH28" s="1140">
        <f t="shared" si="18"/>
        <v>0</v>
      </c>
    </row>
    <row r="29" spans="1:86" ht="15" customHeight="1" x14ac:dyDescent="0.2">
      <c r="A29" s="1052">
        <v>8245</v>
      </c>
      <c r="B29" s="1052"/>
      <c r="C29" s="1053" t="s">
        <v>1592</v>
      </c>
      <c r="D29" s="1054" t="s">
        <v>1592</v>
      </c>
      <c r="E29" s="1055">
        <f t="shared" si="0"/>
        <v>448547.92839999998</v>
      </c>
      <c r="F29" s="1055">
        <v>0</v>
      </c>
      <c r="G29" s="1056">
        <f t="shared" si="1"/>
        <v>448547.92839999998</v>
      </c>
      <c r="H29" s="1053" t="s">
        <v>1412</v>
      </c>
      <c r="I29" s="1054" t="s">
        <v>1416</v>
      </c>
      <c r="J29" s="1054" t="s">
        <v>1417</v>
      </c>
      <c r="K29" s="1054" t="s">
        <v>1595</v>
      </c>
      <c r="L29" s="1054" t="s">
        <v>10</v>
      </c>
      <c r="M29" s="1057">
        <v>190</v>
      </c>
      <c r="N29" s="1057">
        <v>0.88</v>
      </c>
      <c r="O29" s="1057">
        <v>0.89300000000000002</v>
      </c>
      <c r="P29" s="1057">
        <v>0.84899999999999998</v>
      </c>
      <c r="Q29" s="1057">
        <v>0.85499999999999998</v>
      </c>
      <c r="R29" s="1057">
        <v>1447842</v>
      </c>
      <c r="S29" s="1057">
        <v>1287451</v>
      </c>
      <c r="T29" s="1058">
        <f t="shared" si="2"/>
        <v>430732.995</v>
      </c>
      <c r="U29" s="1057">
        <v>816613</v>
      </c>
      <c r="V29" s="1057">
        <v>470838</v>
      </c>
      <c r="W29" s="1057">
        <v>5760</v>
      </c>
      <c r="X29" s="1057">
        <v>0</v>
      </c>
      <c r="Y29" s="1057">
        <v>0</v>
      </c>
      <c r="Z29" s="1057">
        <v>0</v>
      </c>
      <c r="AA29" s="1057">
        <v>1718183.9950000001</v>
      </c>
      <c r="AB29" s="1057">
        <v>430732.995</v>
      </c>
      <c r="AC29" s="1057">
        <v>1287451</v>
      </c>
      <c r="AD29" s="1057">
        <v>0</v>
      </c>
      <c r="AE29" s="1057">
        <v>0</v>
      </c>
      <c r="AF29" s="1057">
        <v>0</v>
      </c>
      <c r="AG29" s="1057">
        <v>1287451</v>
      </c>
      <c r="AH29" s="1057">
        <v>0</v>
      </c>
      <c r="AI29" s="1057">
        <v>0</v>
      </c>
      <c r="AJ29" s="1053" t="s">
        <v>908</v>
      </c>
      <c r="AK29" s="1053" t="s">
        <v>909</v>
      </c>
      <c r="AL29" s="1054" t="s">
        <v>1416</v>
      </c>
      <c r="AM29" s="1053"/>
      <c r="AN29" s="1054" t="s">
        <v>1592</v>
      </c>
      <c r="AO29" s="1054">
        <v>430732.995</v>
      </c>
      <c r="AP29" s="1059">
        <f t="shared" si="22"/>
        <v>730.57470000000001</v>
      </c>
      <c r="AQ29" s="1059">
        <f t="shared" si="5"/>
        <v>902.57470000000001</v>
      </c>
      <c r="AR29" s="1052">
        <v>0</v>
      </c>
      <c r="AS29" s="1052">
        <v>0</v>
      </c>
      <c r="AT29" s="1052">
        <v>443</v>
      </c>
      <c r="AU29" s="1052">
        <v>116</v>
      </c>
      <c r="AV29" s="1052">
        <v>0</v>
      </c>
      <c r="AW29" s="1052">
        <v>0</v>
      </c>
      <c r="AX29" s="1052">
        <v>31</v>
      </c>
      <c r="AY29" s="1052">
        <v>4</v>
      </c>
      <c r="AZ29" s="1052">
        <v>0</v>
      </c>
      <c r="BA29" s="1052">
        <v>0</v>
      </c>
      <c r="BB29" s="1052">
        <v>158</v>
      </c>
      <c r="BC29" s="1052">
        <v>14</v>
      </c>
      <c r="BD29" s="1052">
        <v>0</v>
      </c>
      <c r="BE29" s="1052">
        <v>0</v>
      </c>
      <c r="BF29" s="1052">
        <v>0</v>
      </c>
      <c r="BG29" s="1052">
        <v>0</v>
      </c>
      <c r="BH29" s="1052">
        <v>19</v>
      </c>
      <c r="BI29" s="1052">
        <v>0</v>
      </c>
      <c r="BJ29" s="1052">
        <v>0</v>
      </c>
      <c r="BK29" s="1052">
        <v>0</v>
      </c>
      <c r="BL29" s="1052">
        <v>0</v>
      </c>
      <c r="BM29" s="1052">
        <v>0</v>
      </c>
      <c r="BN29" s="1052">
        <v>0</v>
      </c>
      <c r="BO29" s="1052">
        <v>1175.7470000000001</v>
      </c>
      <c r="BR29" s="1140">
        <f t="shared" si="6"/>
        <v>0</v>
      </c>
      <c r="BS29" s="1140">
        <f t="shared" si="7"/>
        <v>6152777.777777778</v>
      </c>
      <c r="BT29" s="1140">
        <f t="shared" si="8"/>
        <v>1611111.1111111112</v>
      </c>
      <c r="BU29" s="1140">
        <f t="shared" si="9"/>
        <v>7763888.888888889</v>
      </c>
      <c r="BV29" s="1140">
        <f t="shared" si="19"/>
        <v>0</v>
      </c>
      <c r="BW29" s="1140">
        <f t="shared" si="20"/>
        <v>6200</v>
      </c>
      <c r="BX29" s="1140">
        <f t="shared" si="21"/>
        <v>800</v>
      </c>
      <c r="BY29" s="1140">
        <f t="shared" si="10"/>
        <v>7000</v>
      </c>
      <c r="CA29" s="1140">
        <f t="shared" si="11"/>
        <v>0</v>
      </c>
      <c r="CB29" s="1140">
        <f t="shared" si="12"/>
        <v>6152777.777777778</v>
      </c>
      <c r="CC29" s="1140">
        <f t="shared" si="13"/>
        <v>1611111.1111111112</v>
      </c>
      <c r="CD29" s="1140">
        <f t="shared" si="14"/>
        <v>7763888.888888889</v>
      </c>
      <c r="CE29" s="1140">
        <f t="shared" si="15"/>
        <v>0</v>
      </c>
      <c r="CF29" s="1140">
        <f t="shared" si="16"/>
        <v>6200</v>
      </c>
      <c r="CG29" s="1140">
        <f t="shared" si="17"/>
        <v>800</v>
      </c>
      <c r="CH29" s="1140">
        <f t="shared" si="18"/>
        <v>7000</v>
      </c>
    </row>
    <row r="30" spans="1:86" ht="15" customHeight="1" x14ac:dyDescent="0.2">
      <c r="A30" s="1052">
        <v>513</v>
      </c>
      <c r="B30" s="1052"/>
      <c r="C30" s="1053" t="s">
        <v>1596</v>
      </c>
      <c r="D30" s="1054" t="s">
        <v>1596</v>
      </c>
      <c r="E30" s="1055">
        <f t="shared" si="0"/>
        <v>143297.61679999999</v>
      </c>
      <c r="F30" s="1055">
        <v>0</v>
      </c>
      <c r="G30" s="1056">
        <f t="shared" si="1"/>
        <v>143297.61679999999</v>
      </c>
      <c r="H30" s="1053" t="s">
        <v>10</v>
      </c>
      <c r="I30" s="1054" t="s">
        <v>1416</v>
      </c>
      <c r="J30" s="1054" t="s">
        <v>1417</v>
      </c>
      <c r="K30" s="1054" t="s">
        <v>1598</v>
      </c>
      <c r="L30" s="1054" t="s">
        <v>10</v>
      </c>
      <c r="M30" s="1057">
        <v>54</v>
      </c>
      <c r="N30" s="1057">
        <v>0.78400000000000003</v>
      </c>
      <c r="O30" s="1057">
        <v>0.78700000000000003</v>
      </c>
      <c r="P30" s="1057">
        <v>0.83799999999999997</v>
      </c>
      <c r="Q30" s="1057">
        <v>0.52</v>
      </c>
      <c r="R30" s="1057">
        <v>449345</v>
      </c>
      <c r="S30" s="1057">
        <v>411302</v>
      </c>
      <c r="T30" s="1058">
        <f t="shared" si="2"/>
        <v>133680.13749999998</v>
      </c>
      <c r="U30" s="1057">
        <v>301514</v>
      </c>
      <c r="V30" s="1057">
        <v>109788</v>
      </c>
      <c r="W30" s="1057">
        <v>2575</v>
      </c>
      <c r="X30" s="1057">
        <v>0</v>
      </c>
      <c r="Y30" s="1057">
        <v>0</v>
      </c>
      <c r="Z30" s="1057">
        <v>0</v>
      </c>
      <c r="AA30" s="1057">
        <v>544982.13749999995</v>
      </c>
      <c r="AB30" s="1057">
        <v>133680.13750000001</v>
      </c>
      <c r="AC30" s="1057">
        <v>411302</v>
      </c>
      <c r="AD30" s="1057">
        <v>0</v>
      </c>
      <c r="AE30" s="1057">
        <v>0</v>
      </c>
      <c r="AF30" s="1057">
        <v>0</v>
      </c>
      <c r="AG30" s="1057">
        <v>411302</v>
      </c>
      <c r="AH30" s="1057">
        <v>0</v>
      </c>
      <c r="AI30" s="1057">
        <v>0</v>
      </c>
      <c r="AJ30" s="1053">
        <v>4</v>
      </c>
      <c r="AK30" s="1053" t="s">
        <v>913</v>
      </c>
      <c r="AL30" s="1054" t="s">
        <v>916</v>
      </c>
      <c r="AM30" s="1053" t="s">
        <v>10</v>
      </c>
      <c r="AN30" s="1054" t="s">
        <v>1596</v>
      </c>
      <c r="AO30" s="1054">
        <v>133680.13750000001</v>
      </c>
      <c r="AP30" s="1059">
        <f t="shared" si="22"/>
        <v>163</v>
      </c>
      <c r="AQ30" s="1059">
        <f t="shared" si="5"/>
        <v>169</v>
      </c>
      <c r="AR30" s="1052">
        <v>41</v>
      </c>
      <c r="AS30" s="1052">
        <v>0</v>
      </c>
      <c r="AT30" s="1052">
        <v>109</v>
      </c>
      <c r="AU30" s="1052">
        <v>13</v>
      </c>
      <c r="AV30" s="1052">
        <v>0</v>
      </c>
      <c r="AW30" s="1052">
        <v>5</v>
      </c>
      <c r="AX30" s="1052">
        <v>0</v>
      </c>
      <c r="AY30" s="1052">
        <v>0</v>
      </c>
      <c r="AZ30" s="1052">
        <v>0</v>
      </c>
      <c r="BA30" s="1052">
        <v>10</v>
      </c>
      <c r="BB30" s="1052">
        <v>6</v>
      </c>
      <c r="BC30" s="1052">
        <v>0</v>
      </c>
      <c r="BD30" s="1052">
        <v>0</v>
      </c>
      <c r="BE30" s="1052">
        <v>0</v>
      </c>
      <c r="BF30" s="1052">
        <v>0</v>
      </c>
      <c r="BG30" s="1052">
        <v>0</v>
      </c>
      <c r="BH30" s="1052">
        <v>0</v>
      </c>
      <c r="BI30" s="1052">
        <v>0</v>
      </c>
      <c r="BJ30" s="1052">
        <v>0</v>
      </c>
      <c r="BK30" s="1052">
        <v>0</v>
      </c>
      <c r="BL30" s="1052">
        <v>0</v>
      </c>
      <c r="BM30" s="1052">
        <v>0</v>
      </c>
      <c r="BN30" s="1052">
        <v>0</v>
      </c>
      <c r="BO30" s="1052">
        <v>0</v>
      </c>
      <c r="BR30" s="1140">
        <f t="shared" si="6"/>
        <v>569444.4444444445</v>
      </c>
      <c r="BS30" s="1140">
        <f t="shared" si="7"/>
        <v>1513888.888888889</v>
      </c>
      <c r="BT30" s="1140">
        <f t="shared" si="8"/>
        <v>180555.55555555556</v>
      </c>
      <c r="BU30" s="1140">
        <f t="shared" si="9"/>
        <v>2263888.888888889</v>
      </c>
      <c r="BV30" s="1140">
        <f t="shared" si="19"/>
        <v>0</v>
      </c>
      <c r="BW30" s="1140">
        <f t="shared" si="20"/>
        <v>0</v>
      </c>
      <c r="BX30" s="1140">
        <f t="shared" si="21"/>
        <v>0</v>
      </c>
      <c r="BY30" s="1140">
        <f t="shared" si="10"/>
        <v>0</v>
      </c>
      <c r="CA30" s="1140">
        <f t="shared" si="11"/>
        <v>569444.4444444445</v>
      </c>
      <c r="CB30" s="1140">
        <f t="shared" si="12"/>
        <v>1513888.888888889</v>
      </c>
      <c r="CC30" s="1140">
        <f t="shared" si="13"/>
        <v>180555.55555555556</v>
      </c>
      <c r="CD30" s="1140">
        <f t="shared" si="14"/>
        <v>2263888.888888889</v>
      </c>
      <c r="CE30" s="1140">
        <f t="shared" si="15"/>
        <v>0</v>
      </c>
      <c r="CF30" s="1140">
        <f t="shared" si="16"/>
        <v>0</v>
      </c>
      <c r="CG30" s="1140">
        <f t="shared" si="17"/>
        <v>0</v>
      </c>
      <c r="CH30" s="1140">
        <f t="shared" si="18"/>
        <v>0</v>
      </c>
    </row>
    <row r="31" spans="1:86" ht="15" customHeight="1" x14ac:dyDescent="0.2">
      <c r="A31" s="1052">
        <v>516</v>
      </c>
      <c r="B31" s="1052"/>
      <c r="C31" s="1053" t="s">
        <v>1599</v>
      </c>
      <c r="D31" s="1054" t="s">
        <v>1599</v>
      </c>
      <c r="E31" s="1055">
        <f t="shared" si="0"/>
        <v>89346.987099999998</v>
      </c>
      <c r="F31" s="1055">
        <v>0</v>
      </c>
      <c r="G31" s="1056">
        <f t="shared" si="1"/>
        <v>89346.987099999998</v>
      </c>
      <c r="H31" s="1053" t="s">
        <v>10</v>
      </c>
      <c r="I31" s="1054" t="s">
        <v>1512</v>
      </c>
      <c r="J31" s="1054" t="s">
        <v>1417</v>
      </c>
      <c r="K31" s="1054" t="s">
        <v>1601</v>
      </c>
      <c r="L31" s="1054" t="s">
        <v>10</v>
      </c>
      <c r="M31" s="1057">
        <v>41</v>
      </c>
      <c r="N31" s="1057">
        <v>1</v>
      </c>
      <c r="O31" s="1057">
        <v>1</v>
      </c>
      <c r="P31" s="1057">
        <v>1</v>
      </c>
      <c r="Q31" s="1057">
        <v>0.38100000000000001</v>
      </c>
      <c r="R31" s="1057">
        <v>0</v>
      </c>
      <c r="S31" s="1057">
        <v>460789</v>
      </c>
      <c r="T31" s="1058">
        <f t="shared" si="2"/>
        <v>89346.987099999998</v>
      </c>
      <c r="U31" s="1057">
        <v>127899</v>
      </c>
      <c r="V31" s="1057">
        <v>332890</v>
      </c>
      <c r="W31" s="1057">
        <v>2300</v>
      </c>
      <c r="X31" s="1057">
        <v>0</v>
      </c>
      <c r="Y31" s="1057">
        <v>0</v>
      </c>
      <c r="Z31" s="1057">
        <v>0</v>
      </c>
      <c r="AA31" s="1057">
        <v>550135.98710000003</v>
      </c>
      <c r="AB31" s="1057">
        <v>89346.987099999998</v>
      </c>
      <c r="AC31" s="1057">
        <v>460789</v>
      </c>
      <c r="AD31" s="1057">
        <v>0</v>
      </c>
      <c r="AE31" s="1057">
        <v>0</v>
      </c>
      <c r="AF31" s="1057">
        <v>0</v>
      </c>
      <c r="AG31" s="1057">
        <v>460789</v>
      </c>
      <c r="AH31" s="1057">
        <v>0</v>
      </c>
      <c r="AI31" s="1057">
        <v>0</v>
      </c>
      <c r="AJ31" s="1053" t="s">
        <v>900</v>
      </c>
      <c r="AK31" s="1053" t="s">
        <v>905</v>
      </c>
      <c r="AL31" s="1054" t="s">
        <v>1512</v>
      </c>
      <c r="AM31" s="1053" t="s">
        <v>10</v>
      </c>
      <c r="AN31" s="1054" t="s">
        <v>1599</v>
      </c>
      <c r="AO31" s="1054">
        <v>89346.987099999998</v>
      </c>
      <c r="AP31" s="1059">
        <f t="shared" si="22"/>
        <v>1</v>
      </c>
      <c r="AQ31" s="1059">
        <f t="shared" si="5"/>
        <v>1</v>
      </c>
      <c r="AR31" s="1052">
        <v>0</v>
      </c>
      <c r="AS31" s="1052">
        <v>0</v>
      </c>
      <c r="AT31" s="1052">
        <v>1</v>
      </c>
      <c r="AU31" s="1052">
        <v>0</v>
      </c>
      <c r="AV31" s="1052">
        <v>0</v>
      </c>
      <c r="AW31" s="1052">
        <v>0</v>
      </c>
      <c r="AX31" s="1052">
        <v>0</v>
      </c>
      <c r="AY31" s="1052">
        <v>0</v>
      </c>
      <c r="AZ31" s="1052">
        <v>0</v>
      </c>
      <c r="BA31" s="1052">
        <v>0</v>
      </c>
      <c r="BB31" s="1052">
        <v>0</v>
      </c>
      <c r="BC31" s="1052">
        <v>0</v>
      </c>
      <c r="BD31" s="1052">
        <v>0</v>
      </c>
      <c r="BE31" s="1052">
        <v>0</v>
      </c>
      <c r="BF31" s="1052">
        <v>0</v>
      </c>
      <c r="BG31" s="1052">
        <v>0</v>
      </c>
      <c r="BH31" s="1052">
        <v>0</v>
      </c>
      <c r="BI31" s="1052">
        <v>0</v>
      </c>
      <c r="BJ31" s="1052">
        <v>0</v>
      </c>
      <c r="BK31" s="1052">
        <v>0</v>
      </c>
      <c r="BL31" s="1052">
        <v>0</v>
      </c>
      <c r="BM31" s="1052">
        <v>0</v>
      </c>
      <c r="BN31" s="1052">
        <v>0</v>
      </c>
      <c r="BO31" s="1052">
        <v>0</v>
      </c>
      <c r="BR31" s="1140">
        <f t="shared" si="6"/>
        <v>0</v>
      </c>
      <c r="BS31" s="1140">
        <f t="shared" si="7"/>
        <v>13888.888888888891</v>
      </c>
      <c r="BT31" s="1140">
        <f t="shared" si="8"/>
        <v>0</v>
      </c>
      <c r="BU31" s="1140">
        <f t="shared" si="9"/>
        <v>13888.888888888891</v>
      </c>
      <c r="BV31" s="1140">
        <f t="shared" si="19"/>
        <v>0</v>
      </c>
      <c r="BW31" s="1140">
        <f t="shared" si="20"/>
        <v>0</v>
      </c>
      <c r="BX31" s="1140">
        <f t="shared" si="21"/>
        <v>0</v>
      </c>
      <c r="BY31" s="1140">
        <f t="shared" si="10"/>
        <v>0</v>
      </c>
      <c r="CA31" s="1140">
        <f t="shared" si="11"/>
        <v>0</v>
      </c>
      <c r="CB31" s="1140">
        <f t="shared" si="12"/>
        <v>13888.888888888891</v>
      </c>
      <c r="CC31" s="1140">
        <f t="shared" si="13"/>
        <v>0</v>
      </c>
      <c r="CD31" s="1140">
        <f t="shared" si="14"/>
        <v>13888.888888888891</v>
      </c>
      <c r="CE31" s="1140">
        <f t="shared" si="15"/>
        <v>0</v>
      </c>
      <c r="CF31" s="1140">
        <f t="shared" si="16"/>
        <v>0</v>
      </c>
      <c r="CG31" s="1140">
        <f t="shared" si="17"/>
        <v>0</v>
      </c>
      <c r="CH31" s="1140">
        <f t="shared" si="18"/>
        <v>0</v>
      </c>
    </row>
    <row r="32" spans="1:86" ht="15" customHeight="1" x14ac:dyDescent="0.2">
      <c r="A32" s="1052">
        <v>4661</v>
      </c>
      <c r="B32" s="1052" t="s">
        <v>1412</v>
      </c>
      <c r="C32" s="1053" t="s">
        <v>1602</v>
      </c>
      <c r="D32" s="1054" t="s">
        <v>1602</v>
      </c>
      <c r="E32" s="1055">
        <f t="shared" si="0"/>
        <v>199847.1176</v>
      </c>
      <c r="F32" s="1055">
        <v>0</v>
      </c>
      <c r="G32" s="1056">
        <f t="shared" si="1"/>
        <v>199847.1176</v>
      </c>
      <c r="H32" s="1053" t="s">
        <v>10</v>
      </c>
      <c r="I32" s="1054" t="s">
        <v>1416</v>
      </c>
      <c r="J32" s="1054" t="s">
        <v>1412</v>
      </c>
      <c r="K32" s="1054" t="s">
        <v>1605</v>
      </c>
      <c r="L32" s="1054" t="s">
        <v>10</v>
      </c>
      <c r="M32" s="1057">
        <v>86</v>
      </c>
      <c r="N32" s="1057">
        <v>0.92600000000000005</v>
      </c>
      <c r="O32" s="1057">
        <v>0.94599999999999995</v>
      </c>
      <c r="P32" s="1057">
        <v>0.92800000000000005</v>
      </c>
      <c r="Q32" s="1057">
        <v>0.95199999999999996</v>
      </c>
      <c r="R32" s="1057">
        <v>651334</v>
      </c>
      <c r="S32" s="1057">
        <v>573614</v>
      </c>
      <c r="T32" s="1058">
        <f t="shared" si="2"/>
        <v>193771.86499999999</v>
      </c>
      <c r="U32" s="1057">
        <v>381153</v>
      </c>
      <c r="V32" s="1057">
        <v>192461</v>
      </c>
      <c r="W32" s="1057">
        <v>3375</v>
      </c>
      <c r="X32" s="1057">
        <v>0</v>
      </c>
      <c r="Y32" s="1057">
        <v>0</v>
      </c>
      <c r="Z32" s="1057">
        <v>0</v>
      </c>
      <c r="AA32" s="1057">
        <v>767385.86499999999</v>
      </c>
      <c r="AB32" s="1057">
        <v>193771.86499999999</v>
      </c>
      <c r="AC32" s="1057">
        <v>573614</v>
      </c>
      <c r="AD32" s="1057">
        <v>0</v>
      </c>
      <c r="AE32" s="1057">
        <v>0</v>
      </c>
      <c r="AF32" s="1057">
        <v>573614</v>
      </c>
      <c r="AG32" s="1057">
        <v>0</v>
      </c>
      <c r="AH32" s="1057">
        <v>540000</v>
      </c>
      <c r="AI32" s="1057">
        <v>321000</v>
      </c>
      <c r="AJ32" s="1053" t="s">
        <v>900</v>
      </c>
      <c r="AK32" s="1053" t="s">
        <v>905</v>
      </c>
      <c r="AL32" s="1054" t="s">
        <v>1416</v>
      </c>
      <c r="AM32" s="1053" t="s">
        <v>10</v>
      </c>
      <c r="AN32" s="1054" t="s">
        <v>1602</v>
      </c>
      <c r="AO32" s="1054">
        <v>193771.86499999999</v>
      </c>
      <c r="AP32" s="1059">
        <f t="shared" si="22"/>
        <v>151.32859999999999</v>
      </c>
      <c r="AQ32" s="1059">
        <f t="shared" si="5"/>
        <v>151.32859999999999</v>
      </c>
      <c r="AR32" s="1052">
        <v>0</v>
      </c>
      <c r="AS32" s="1052">
        <v>321</v>
      </c>
      <c r="AT32" s="1052">
        <v>113</v>
      </c>
      <c r="AU32" s="1052">
        <v>0</v>
      </c>
      <c r="AV32" s="1052">
        <v>0</v>
      </c>
      <c r="AW32" s="1052">
        <v>0</v>
      </c>
      <c r="AX32" s="1052">
        <v>0</v>
      </c>
      <c r="AY32" s="1052">
        <v>0</v>
      </c>
      <c r="AZ32" s="1052">
        <v>0</v>
      </c>
      <c r="BA32" s="1052">
        <v>34</v>
      </c>
      <c r="BB32" s="1052">
        <v>0</v>
      </c>
      <c r="BC32" s="1052">
        <v>0</v>
      </c>
      <c r="BD32" s="1052">
        <v>0</v>
      </c>
      <c r="BE32" s="1052">
        <v>0</v>
      </c>
      <c r="BF32" s="1052">
        <v>0</v>
      </c>
      <c r="BG32" s="1052">
        <v>0</v>
      </c>
      <c r="BH32" s="1052">
        <v>15</v>
      </c>
      <c r="BI32" s="1052">
        <v>0</v>
      </c>
      <c r="BJ32" s="1052">
        <v>0</v>
      </c>
      <c r="BK32" s="1052">
        <v>0</v>
      </c>
      <c r="BL32" s="1052">
        <v>0</v>
      </c>
      <c r="BM32" s="1052">
        <v>0</v>
      </c>
      <c r="BN32" s="1052">
        <v>0</v>
      </c>
      <c r="BO32" s="1052">
        <v>233.286</v>
      </c>
      <c r="BR32" s="1140">
        <f t="shared" si="6"/>
        <v>0</v>
      </c>
      <c r="BS32" s="1140">
        <f t="shared" si="7"/>
        <v>1569444.4444444445</v>
      </c>
      <c r="BT32" s="1140">
        <f t="shared" si="8"/>
        <v>0</v>
      </c>
      <c r="BU32" s="1140">
        <f t="shared" si="9"/>
        <v>1569444.4444444445</v>
      </c>
      <c r="BV32" s="1140">
        <f t="shared" si="19"/>
        <v>0</v>
      </c>
      <c r="BW32" s="1140">
        <f t="shared" si="20"/>
        <v>0</v>
      </c>
      <c r="BX32" s="1140">
        <f t="shared" si="21"/>
        <v>0</v>
      </c>
      <c r="BY32" s="1140">
        <f t="shared" si="10"/>
        <v>0</v>
      </c>
      <c r="CA32" s="1140">
        <f t="shared" si="11"/>
        <v>0</v>
      </c>
      <c r="CB32" s="1140">
        <f t="shared" si="12"/>
        <v>1569444.4444444445</v>
      </c>
      <c r="CC32" s="1140">
        <f t="shared" si="13"/>
        <v>0</v>
      </c>
      <c r="CD32" s="1140">
        <f t="shared" si="14"/>
        <v>1569444.4444444445</v>
      </c>
      <c r="CE32" s="1140">
        <f t="shared" si="15"/>
        <v>0</v>
      </c>
      <c r="CF32" s="1140">
        <f t="shared" si="16"/>
        <v>0</v>
      </c>
      <c r="CG32" s="1140">
        <f t="shared" si="17"/>
        <v>0</v>
      </c>
      <c r="CH32" s="1140">
        <f t="shared" si="18"/>
        <v>0</v>
      </c>
    </row>
    <row r="33" spans="1:87" ht="15" customHeight="1" x14ac:dyDescent="0.2">
      <c r="A33" s="1052">
        <v>8250</v>
      </c>
      <c r="B33" s="1052"/>
      <c r="C33" s="1053" t="s">
        <v>1606</v>
      </c>
      <c r="D33" s="1054" t="s">
        <v>1606</v>
      </c>
      <c r="E33" s="1055">
        <f t="shared" si="0"/>
        <v>149007.196</v>
      </c>
      <c r="F33" s="1055">
        <v>0</v>
      </c>
      <c r="G33" s="1056">
        <f t="shared" si="1"/>
        <v>149007.196</v>
      </c>
      <c r="H33" s="1053" t="s">
        <v>10</v>
      </c>
      <c r="I33" s="1054" t="s">
        <v>1416</v>
      </c>
      <c r="J33" s="1054" t="s">
        <v>1417</v>
      </c>
      <c r="K33" s="1054" t="s">
        <v>0</v>
      </c>
      <c r="L33" s="1054" t="s">
        <v>10</v>
      </c>
      <c r="M33" s="1057">
        <v>72</v>
      </c>
      <c r="N33" s="1057">
        <v>0.749</v>
      </c>
      <c r="O33" s="1057">
        <v>0.746</v>
      </c>
      <c r="P33" s="1057">
        <v>0.69199999999999995</v>
      </c>
      <c r="Q33" s="1057">
        <v>0.63200000000000001</v>
      </c>
      <c r="R33" s="1057">
        <v>530152</v>
      </c>
      <c r="S33" s="1057">
        <v>427690</v>
      </c>
      <c r="T33" s="1058">
        <f t="shared" si="2"/>
        <v>157720.22</v>
      </c>
      <c r="U33" s="1057">
        <v>213572</v>
      </c>
      <c r="V33" s="1057">
        <v>214118</v>
      </c>
      <c r="W33" s="1057">
        <v>2692</v>
      </c>
      <c r="X33" s="1057">
        <v>0</v>
      </c>
      <c r="Y33" s="1057">
        <v>0</v>
      </c>
      <c r="Z33" s="1057">
        <v>0</v>
      </c>
      <c r="AA33" s="1057">
        <v>585410.22</v>
      </c>
      <c r="AB33" s="1057">
        <v>157720.22</v>
      </c>
      <c r="AC33" s="1057">
        <v>427690</v>
      </c>
      <c r="AD33" s="1057">
        <v>0</v>
      </c>
      <c r="AE33" s="1057">
        <v>0</v>
      </c>
      <c r="AF33" s="1057">
        <v>0</v>
      </c>
      <c r="AG33" s="1057">
        <v>427690</v>
      </c>
      <c r="AH33" s="1057">
        <v>0</v>
      </c>
      <c r="AI33" s="1057">
        <v>0</v>
      </c>
      <c r="AJ33" s="1053">
        <v>4</v>
      </c>
      <c r="AK33" s="1053" t="s">
        <v>917</v>
      </c>
      <c r="AL33" s="1054" t="s">
        <v>1416</v>
      </c>
      <c r="AM33" s="1053" t="s">
        <v>10</v>
      </c>
      <c r="AN33" s="1054" t="s">
        <v>1606</v>
      </c>
      <c r="AO33" s="1054">
        <v>157720.22</v>
      </c>
      <c r="AP33" s="1059">
        <f t="shared" si="22"/>
        <v>226</v>
      </c>
      <c r="AQ33" s="1059">
        <f t="shared" si="5"/>
        <v>244</v>
      </c>
      <c r="AR33" s="1052">
        <v>0</v>
      </c>
      <c r="AS33" s="1052">
        <v>0</v>
      </c>
      <c r="AT33" s="1052">
        <v>166</v>
      </c>
      <c r="AU33" s="1052">
        <v>28</v>
      </c>
      <c r="AV33" s="1052">
        <v>0</v>
      </c>
      <c r="AW33" s="1052">
        <v>0</v>
      </c>
      <c r="AX33" s="1052">
        <v>23</v>
      </c>
      <c r="AY33" s="1052">
        <v>9</v>
      </c>
      <c r="AZ33" s="1052">
        <v>0</v>
      </c>
      <c r="BA33" s="1052">
        <v>0</v>
      </c>
      <c r="BB33" s="1052">
        <v>15</v>
      </c>
      <c r="BC33" s="1052">
        <v>3</v>
      </c>
      <c r="BD33" s="1052">
        <v>0</v>
      </c>
      <c r="BE33" s="1052">
        <v>0</v>
      </c>
      <c r="BF33" s="1052">
        <v>0</v>
      </c>
      <c r="BG33" s="1052">
        <v>0</v>
      </c>
      <c r="BH33" s="1052">
        <v>0</v>
      </c>
      <c r="BI33" s="1052">
        <v>0</v>
      </c>
      <c r="BJ33" s="1052">
        <v>0</v>
      </c>
      <c r="BK33" s="1052">
        <v>0</v>
      </c>
      <c r="BL33" s="1052">
        <v>0</v>
      </c>
      <c r="BM33" s="1052">
        <v>0</v>
      </c>
      <c r="BN33" s="1052">
        <v>0</v>
      </c>
      <c r="BO33" s="1052">
        <v>0</v>
      </c>
      <c r="BR33" s="1140">
        <f t="shared" si="6"/>
        <v>0</v>
      </c>
      <c r="BS33" s="1140">
        <f t="shared" si="7"/>
        <v>2305555.5555555555</v>
      </c>
      <c r="BT33" s="1140">
        <f t="shared" si="8"/>
        <v>388888.88888888893</v>
      </c>
      <c r="BU33" s="1140">
        <f t="shared" si="9"/>
        <v>2694444.4444444445</v>
      </c>
      <c r="BV33" s="1140">
        <f t="shared" si="19"/>
        <v>0</v>
      </c>
      <c r="BW33" s="1140">
        <f t="shared" si="20"/>
        <v>4600</v>
      </c>
      <c r="BX33" s="1140">
        <f t="shared" si="21"/>
        <v>1800</v>
      </c>
      <c r="BY33" s="1140">
        <f t="shared" si="10"/>
        <v>6400</v>
      </c>
      <c r="CA33" s="1140">
        <f t="shared" si="11"/>
        <v>0</v>
      </c>
      <c r="CB33" s="1140">
        <f t="shared" si="12"/>
        <v>2305555.5555555555</v>
      </c>
      <c r="CC33" s="1140">
        <f t="shared" si="13"/>
        <v>388888.88888888893</v>
      </c>
      <c r="CD33" s="1140">
        <f t="shared" si="14"/>
        <v>2694444.4444444445</v>
      </c>
      <c r="CE33" s="1140">
        <f t="shared" si="15"/>
        <v>0</v>
      </c>
      <c r="CF33" s="1140">
        <f t="shared" si="16"/>
        <v>4600</v>
      </c>
      <c r="CG33" s="1140">
        <f t="shared" si="17"/>
        <v>1800</v>
      </c>
      <c r="CH33" s="1140">
        <f t="shared" si="18"/>
        <v>6400</v>
      </c>
    </row>
    <row r="34" spans="1:87" ht="15" customHeight="1" x14ac:dyDescent="0.2">
      <c r="A34" s="1052">
        <v>8253</v>
      </c>
      <c r="B34" s="1052" t="s">
        <v>1412</v>
      </c>
      <c r="C34" s="1053" t="s">
        <v>1</v>
      </c>
      <c r="D34" s="1054" t="s">
        <v>1</v>
      </c>
      <c r="E34" s="1055">
        <f t="shared" si="0"/>
        <v>218015.1324</v>
      </c>
      <c r="F34" s="1055">
        <v>0</v>
      </c>
      <c r="G34" s="1056">
        <f t="shared" si="1"/>
        <v>218015.1324</v>
      </c>
      <c r="H34" s="1053" t="s">
        <v>10</v>
      </c>
      <c r="I34" s="1054" t="s">
        <v>1416</v>
      </c>
      <c r="J34" s="1054" t="s">
        <v>1412</v>
      </c>
      <c r="K34" s="1054" t="s">
        <v>3</v>
      </c>
      <c r="L34" s="1054" t="s">
        <v>10</v>
      </c>
      <c r="M34" s="1057">
        <v>77</v>
      </c>
      <c r="N34" s="1057">
        <v>0.94399999999999995</v>
      </c>
      <c r="O34" s="1057">
        <v>0.97499999999999998</v>
      </c>
      <c r="P34" s="1057">
        <v>0.97799999999999998</v>
      </c>
      <c r="Q34" s="1057">
        <v>0.90600000000000003</v>
      </c>
      <c r="R34" s="1057">
        <v>540019</v>
      </c>
      <c r="S34" s="1057">
        <v>625761</v>
      </c>
      <c r="T34" s="1058">
        <f t="shared" si="2"/>
        <v>160655.6525</v>
      </c>
      <c r="U34" s="1057">
        <v>361767</v>
      </c>
      <c r="V34" s="1057">
        <v>263994</v>
      </c>
      <c r="W34" s="1057">
        <v>3224</v>
      </c>
      <c r="X34" s="1057">
        <v>0</v>
      </c>
      <c r="Y34" s="1057">
        <v>0</v>
      </c>
      <c r="Z34" s="1057">
        <v>0</v>
      </c>
      <c r="AA34" s="1057">
        <v>786416.65249999997</v>
      </c>
      <c r="AB34" s="1057">
        <v>160655.6525</v>
      </c>
      <c r="AC34" s="1057">
        <v>625761</v>
      </c>
      <c r="AD34" s="1057">
        <v>0</v>
      </c>
      <c r="AE34" s="1057">
        <v>0</v>
      </c>
      <c r="AF34" s="1057">
        <v>625761</v>
      </c>
      <c r="AG34" s="1057">
        <v>0</v>
      </c>
      <c r="AH34" s="1057">
        <v>589000</v>
      </c>
      <c r="AI34" s="1057">
        <v>559000</v>
      </c>
      <c r="AJ34" s="1053" t="s">
        <v>908</v>
      </c>
      <c r="AK34" s="1053" t="s">
        <v>909</v>
      </c>
      <c r="AL34" s="1054" t="s">
        <v>1416</v>
      </c>
      <c r="AM34" s="1053" t="s">
        <v>10</v>
      </c>
      <c r="AN34" s="1054" t="s">
        <v>1</v>
      </c>
      <c r="AO34" s="1054">
        <v>160655.6525</v>
      </c>
      <c r="AP34" s="1059">
        <f t="shared" si="22"/>
        <v>253.751</v>
      </c>
      <c r="AQ34" s="1059">
        <f t="shared" si="5"/>
        <v>273.75099999999998</v>
      </c>
      <c r="AR34" s="1052">
        <v>0</v>
      </c>
      <c r="AS34" s="1052">
        <v>559</v>
      </c>
      <c r="AT34" s="1052">
        <v>213</v>
      </c>
      <c r="AU34" s="1052">
        <v>-30</v>
      </c>
      <c r="AV34" s="1052">
        <v>0</v>
      </c>
      <c r="AW34" s="1052">
        <v>0</v>
      </c>
      <c r="AX34" s="1052">
        <v>24</v>
      </c>
      <c r="AY34" s="1052">
        <v>0</v>
      </c>
      <c r="AZ34" s="1052">
        <v>0</v>
      </c>
      <c r="BA34" s="1052">
        <v>19</v>
      </c>
      <c r="BB34" s="1052">
        <v>20</v>
      </c>
      <c r="BC34" s="1052">
        <v>0</v>
      </c>
      <c r="BD34" s="1052">
        <v>0</v>
      </c>
      <c r="BE34" s="1052">
        <v>0</v>
      </c>
      <c r="BF34" s="1052">
        <v>0</v>
      </c>
      <c r="BG34" s="1052">
        <v>0</v>
      </c>
      <c r="BH34" s="1052">
        <v>0</v>
      </c>
      <c r="BI34" s="1052">
        <v>0</v>
      </c>
      <c r="BJ34" s="1052">
        <v>0</v>
      </c>
      <c r="BK34" s="1052">
        <v>0</v>
      </c>
      <c r="BL34" s="1052">
        <v>0</v>
      </c>
      <c r="BM34" s="1052">
        <v>0</v>
      </c>
      <c r="BN34" s="1052">
        <v>0</v>
      </c>
      <c r="BO34" s="1052">
        <v>467.51</v>
      </c>
      <c r="BR34" s="1140">
        <f t="shared" si="6"/>
        <v>0</v>
      </c>
      <c r="BS34" s="1140">
        <f t="shared" si="7"/>
        <v>2958333.3333333335</v>
      </c>
      <c r="BT34" s="1140">
        <f t="shared" si="8"/>
        <v>-416666.66666666669</v>
      </c>
      <c r="BU34" s="1140">
        <f t="shared" si="9"/>
        <v>2541666.666666667</v>
      </c>
      <c r="BV34" s="1140">
        <f t="shared" si="19"/>
        <v>0</v>
      </c>
      <c r="BW34" s="1140">
        <f t="shared" si="20"/>
        <v>4800</v>
      </c>
      <c r="BX34" s="1140">
        <f t="shared" si="21"/>
        <v>0</v>
      </c>
      <c r="BY34" s="1140">
        <f t="shared" si="10"/>
        <v>4800</v>
      </c>
      <c r="CA34" s="1140">
        <f t="shared" si="11"/>
        <v>0</v>
      </c>
      <c r="CB34" s="1140">
        <f t="shared" si="12"/>
        <v>2958333.3333333335</v>
      </c>
      <c r="CC34" s="1140">
        <f t="shared" si="13"/>
        <v>-416666.66666666669</v>
      </c>
      <c r="CD34" s="1140">
        <f t="shared" si="14"/>
        <v>2541666.666666667</v>
      </c>
      <c r="CE34" s="1140">
        <f t="shared" si="15"/>
        <v>0</v>
      </c>
      <c r="CF34" s="1140">
        <f t="shared" si="16"/>
        <v>4800</v>
      </c>
      <c r="CG34" s="1140">
        <f t="shared" si="17"/>
        <v>0</v>
      </c>
      <c r="CH34" s="1140">
        <f t="shared" si="18"/>
        <v>4800</v>
      </c>
    </row>
    <row r="35" spans="1:87" ht="15" customHeight="1" x14ac:dyDescent="0.2">
      <c r="A35" s="1052">
        <v>8266</v>
      </c>
      <c r="B35" s="1052"/>
      <c r="C35" s="1053" t="s">
        <v>4</v>
      </c>
      <c r="D35" s="1054" t="s">
        <v>4</v>
      </c>
      <c r="E35" s="1055">
        <f t="shared" si="0"/>
        <v>57554.173599999995</v>
      </c>
      <c r="F35" s="1055">
        <v>0</v>
      </c>
      <c r="G35" s="1056">
        <f t="shared" si="1"/>
        <v>57554.173599999995</v>
      </c>
      <c r="H35" s="1053" t="s">
        <v>10</v>
      </c>
      <c r="I35" s="1054" t="s">
        <v>1512</v>
      </c>
      <c r="J35" s="1054" t="s">
        <v>1417</v>
      </c>
      <c r="K35" s="1054" t="s">
        <v>1605</v>
      </c>
      <c r="L35" s="1054" t="s">
        <v>10</v>
      </c>
      <c r="M35" s="1057">
        <v>0</v>
      </c>
      <c r="N35" s="1057">
        <v>1</v>
      </c>
      <c r="O35" s="1057">
        <v>1</v>
      </c>
      <c r="P35" s="1057">
        <v>0.94299999999999995</v>
      </c>
      <c r="Q35" s="1057">
        <v>0.97699999999999998</v>
      </c>
      <c r="R35" s="1057">
        <v>0</v>
      </c>
      <c r="S35" s="1057">
        <v>296824</v>
      </c>
      <c r="T35" s="1058">
        <f t="shared" si="2"/>
        <v>57554.173599999995</v>
      </c>
      <c r="U35" s="1057">
        <v>235962</v>
      </c>
      <c r="V35" s="1057">
        <v>60862</v>
      </c>
      <c r="W35" s="1057">
        <v>1500</v>
      </c>
      <c r="X35" s="1057">
        <v>0</v>
      </c>
      <c r="Y35" s="1057">
        <v>0</v>
      </c>
      <c r="Z35" s="1057">
        <v>0</v>
      </c>
      <c r="AA35" s="1057">
        <v>354378.17359999998</v>
      </c>
      <c r="AB35" s="1057">
        <v>57554.173600000002</v>
      </c>
      <c r="AC35" s="1057">
        <v>296824</v>
      </c>
      <c r="AD35" s="1057">
        <v>0</v>
      </c>
      <c r="AE35" s="1057">
        <v>0</v>
      </c>
      <c r="AF35" s="1057">
        <v>0</v>
      </c>
      <c r="AG35" s="1057">
        <v>296824</v>
      </c>
      <c r="AH35" s="1057">
        <v>0</v>
      </c>
      <c r="AI35" s="1057">
        <v>0</v>
      </c>
      <c r="AJ35" s="1053" t="s">
        <v>900</v>
      </c>
      <c r="AK35" s="1053" t="s">
        <v>905</v>
      </c>
      <c r="AL35" s="1054" t="s">
        <v>1512</v>
      </c>
      <c r="AM35" s="1053" t="s">
        <v>10</v>
      </c>
      <c r="AN35" s="1054" t="s">
        <v>4</v>
      </c>
      <c r="AO35" s="1054">
        <v>57554.173600000002</v>
      </c>
      <c r="AP35" s="1059">
        <f t="shared" si="22"/>
        <v>27.717500000000001</v>
      </c>
      <c r="AQ35" s="1059">
        <f t="shared" si="5"/>
        <v>23.717500000000001</v>
      </c>
      <c r="AR35" s="1052">
        <v>0</v>
      </c>
      <c r="AS35" s="1052">
        <v>0</v>
      </c>
      <c r="AT35" s="1052">
        <v>21</v>
      </c>
      <c r="AU35" s="1052">
        <v>0</v>
      </c>
      <c r="AV35" s="1052">
        <v>0</v>
      </c>
      <c r="AW35" s="1052">
        <v>0</v>
      </c>
      <c r="AX35" s="1052">
        <v>0</v>
      </c>
      <c r="AY35" s="1052">
        <v>0</v>
      </c>
      <c r="AZ35" s="1052">
        <v>0</v>
      </c>
      <c r="BA35" s="1052">
        <v>0</v>
      </c>
      <c r="BB35" s="1052">
        <v>-4</v>
      </c>
      <c r="BC35" s="1052">
        <v>0</v>
      </c>
      <c r="BD35" s="1052">
        <v>0</v>
      </c>
      <c r="BE35" s="1052">
        <v>0</v>
      </c>
      <c r="BF35" s="1052">
        <v>0</v>
      </c>
      <c r="BG35" s="1052">
        <v>0</v>
      </c>
      <c r="BH35" s="1052">
        <v>0</v>
      </c>
      <c r="BI35" s="1052">
        <v>0</v>
      </c>
      <c r="BJ35" s="1052">
        <v>0</v>
      </c>
      <c r="BK35" s="1052">
        <v>0</v>
      </c>
      <c r="BL35" s="1052">
        <v>0</v>
      </c>
      <c r="BM35" s="1052">
        <v>0</v>
      </c>
      <c r="BN35" s="1052">
        <v>0</v>
      </c>
      <c r="BO35" s="1052">
        <v>67.174999999999997</v>
      </c>
      <c r="BR35" s="1140">
        <f t="shared" si="6"/>
        <v>0</v>
      </c>
      <c r="BS35" s="1140">
        <f t="shared" si="7"/>
        <v>291666.66666666669</v>
      </c>
      <c r="BT35" s="1140">
        <f t="shared" si="8"/>
        <v>0</v>
      </c>
      <c r="BU35" s="1140">
        <f t="shared" si="9"/>
        <v>291666.66666666669</v>
      </c>
      <c r="BV35" s="1140">
        <f t="shared" si="19"/>
        <v>0</v>
      </c>
      <c r="BW35" s="1140">
        <f t="shared" si="20"/>
        <v>0</v>
      </c>
      <c r="BX35" s="1140">
        <f t="shared" si="21"/>
        <v>0</v>
      </c>
      <c r="BY35" s="1140">
        <f t="shared" si="10"/>
        <v>0</v>
      </c>
      <c r="CA35" s="1140">
        <f t="shared" si="11"/>
        <v>0</v>
      </c>
      <c r="CB35" s="1140">
        <f t="shared" si="12"/>
        <v>291666.66666666669</v>
      </c>
      <c r="CC35" s="1140">
        <f t="shared" si="13"/>
        <v>0</v>
      </c>
      <c r="CD35" s="1140">
        <f t="shared" si="14"/>
        <v>291666.66666666669</v>
      </c>
      <c r="CE35" s="1140">
        <f t="shared" si="15"/>
        <v>0</v>
      </c>
      <c r="CF35" s="1140">
        <f t="shared" si="16"/>
        <v>0</v>
      </c>
      <c r="CG35" s="1140">
        <f t="shared" si="17"/>
        <v>0</v>
      </c>
      <c r="CH35" s="1140">
        <f t="shared" si="18"/>
        <v>0</v>
      </c>
    </row>
    <row r="36" spans="1:87" ht="15" customHeight="1" x14ac:dyDescent="0.2">
      <c r="A36" s="1052">
        <v>9888</v>
      </c>
      <c r="B36" s="1052" t="s">
        <v>1412</v>
      </c>
      <c r="C36" s="1053" t="s">
        <v>6</v>
      </c>
      <c r="D36" s="1054" t="s">
        <v>6</v>
      </c>
      <c r="E36" s="1055">
        <f t="shared" si="0"/>
        <v>245422.71519999998</v>
      </c>
      <c r="F36" s="1055">
        <v>0</v>
      </c>
      <c r="G36" s="1056">
        <f t="shared" si="1"/>
        <v>245422.71519999998</v>
      </c>
      <c r="H36" s="1053" t="s">
        <v>1417</v>
      </c>
      <c r="I36" s="1054" t="s">
        <v>1416</v>
      </c>
      <c r="J36" s="1054" t="s">
        <v>1412</v>
      </c>
      <c r="K36" s="1054" t="s">
        <v>1605</v>
      </c>
      <c r="L36" s="1054" t="s">
        <v>10</v>
      </c>
      <c r="M36" s="1057">
        <v>132</v>
      </c>
      <c r="N36" s="1057">
        <v>0.85299999999999998</v>
      </c>
      <c r="O36" s="1057">
        <v>0.85299999999999998</v>
      </c>
      <c r="P36" s="1057">
        <v>0.83099999999999996</v>
      </c>
      <c r="Q36" s="1057">
        <v>0.76100000000000001</v>
      </c>
      <c r="R36" s="1057">
        <v>743297</v>
      </c>
      <c r="S36" s="1057">
        <v>704428</v>
      </c>
      <c r="T36" s="1058">
        <f t="shared" si="2"/>
        <v>221130.85749999998</v>
      </c>
      <c r="U36" s="1057">
        <v>429463</v>
      </c>
      <c r="V36" s="1057">
        <v>274965</v>
      </c>
      <c r="W36" s="1057">
        <v>3525</v>
      </c>
      <c r="X36" s="1057">
        <v>0</v>
      </c>
      <c r="Y36" s="1057">
        <v>0</v>
      </c>
      <c r="Z36" s="1057">
        <v>0</v>
      </c>
      <c r="AA36" s="1057">
        <v>925558.85750000004</v>
      </c>
      <c r="AB36" s="1057">
        <v>221130.85750000001</v>
      </c>
      <c r="AC36" s="1057">
        <v>704428</v>
      </c>
      <c r="AD36" s="1057">
        <v>0</v>
      </c>
      <c r="AE36" s="1057">
        <v>0</v>
      </c>
      <c r="AF36" s="1057">
        <v>704428</v>
      </c>
      <c r="AG36" s="1057">
        <v>0</v>
      </c>
      <c r="AH36" s="1057">
        <v>763000</v>
      </c>
      <c r="AI36" s="1057">
        <v>589000</v>
      </c>
      <c r="AJ36" s="1053" t="s">
        <v>900</v>
      </c>
      <c r="AK36" s="1053" t="s">
        <v>905</v>
      </c>
      <c r="AL36" s="1054" t="s">
        <v>1416</v>
      </c>
      <c r="AM36" s="1053" t="s">
        <v>1417</v>
      </c>
      <c r="AN36" s="1054" t="s">
        <v>6</v>
      </c>
      <c r="AO36" s="1054">
        <v>221130.85750000001</v>
      </c>
      <c r="AP36" s="1059">
        <f t="shared" si="22"/>
        <v>241.92830000000001</v>
      </c>
      <c r="AQ36" s="1059">
        <f t="shared" si="5"/>
        <v>269.92830000000004</v>
      </c>
      <c r="AR36" s="1052">
        <v>0</v>
      </c>
      <c r="AS36" s="1052">
        <v>589</v>
      </c>
      <c r="AT36" s="1052">
        <v>155</v>
      </c>
      <c r="AU36" s="1052">
        <v>0</v>
      </c>
      <c r="AV36" s="1052">
        <v>0</v>
      </c>
      <c r="AW36" s="1052">
        <v>0</v>
      </c>
      <c r="AX36" s="1052">
        <v>14</v>
      </c>
      <c r="AY36" s="1052">
        <v>0</v>
      </c>
      <c r="AZ36" s="1052">
        <v>0</v>
      </c>
      <c r="BA36" s="1052">
        <v>0</v>
      </c>
      <c r="BB36" s="1052">
        <v>28</v>
      </c>
      <c r="BC36" s="1052">
        <v>0</v>
      </c>
      <c r="BD36" s="1052">
        <v>0</v>
      </c>
      <c r="BE36" s="1052">
        <v>0</v>
      </c>
      <c r="BF36" s="1052">
        <v>0</v>
      </c>
      <c r="BG36" s="1052">
        <v>0</v>
      </c>
      <c r="BH36" s="1052">
        <v>0</v>
      </c>
      <c r="BI36" s="1052">
        <v>0</v>
      </c>
      <c r="BJ36" s="1052">
        <v>0</v>
      </c>
      <c r="BK36" s="1052">
        <v>0</v>
      </c>
      <c r="BL36" s="1052">
        <v>0</v>
      </c>
      <c r="BM36" s="1052">
        <v>0</v>
      </c>
      <c r="BN36" s="1052">
        <v>0</v>
      </c>
      <c r="BO36" s="1052">
        <v>729.28300000000002</v>
      </c>
      <c r="BR36" s="1140">
        <f t="shared" si="6"/>
        <v>0</v>
      </c>
      <c r="BS36" s="1140">
        <f t="shared" si="7"/>
        <v>2152777.777777778</v>
      </c>
      <c r="BT36" s="1140">
        <f t="shared" si="8"/>
        <v>0</v>
      </c>
      <c r="BU36" s="1140">
        <f t="shared" si="9"/>
        <v>2152777.777777778</v>
      </c>
      <c r="BV36" s="1140">
        <f t="shared" si="19"/>
        <v>0</v>
      </c>
      <c r="BW36" s="1140">
        <f t="shared" si="20"/>
        <v>2800</v>
      </c>
      <c r="BX36" s="1140">
        <f t="shared" si="21"/>
        <v>0</v>
      </c>
      <c r="BY36" s="1140">
        <f t="shared" si="10"/>
        <v>2800</v>
      </c>
      <c r="CA36" s="1140">
        <f t="shared" si="11"/>
        <v>0</v>
      </c>
      <c r="CB36" s="1140">
        <f t="shared" si="12"/>
        <v>0</v>
      </c>
      <c r="CC36" s="1140">
        <f t="shared" si="13"/>
        <v>0</v>
      </c>
      <c r="CD36" s="1140">
        <f t="shared" si="14"/>
        <v>0</v>
      </c>
      <c r="CE36" s="1140">
        <f t="shared" si="15"/>
        <v>0</v>
      </c>
      <c r="CF36" s="1140">
        <f t="shared" si="16"/>
        <v>2800</v>
      </c>
      <c r="CG36" s="1140">
        <f t="shared" si="17"/>
        <v>0</v>
      </c>
      <c r="CH36" s="1140">
        <f t="shared" si="18"/>
        <v>2800</v>
      </c>
    </row>
    <row r="37" spans="1:87" ht="15" customHeight="1" x14ac:dyDescent="0.2">
      <c r="A37" s="1052">
        <v>511</v>
      </c>
      <c r="B37" s="1052" t="s">
        <v>1412</v>
      </c>
      <c r="C37" s="1053" t="s">
        <v>7</v>
      </c>
      <c r="D37" s="1054" t="s">
        <v>7</v>
      </c>
      <c r="E37" s="1055">
        <f t="shared" si="0"/>
        <v>407128.74280000001</v>
      </c>
      <c r="F37" s="1055">
        <v>561163</v>
      </c>
      <c r="G37" s="1056">
        <f t="shared" si="1"/>
        <v>968291.74280000001</v>
      </c>
      <c r="H37" s="1053" t="s">
        <v>10</v>
      </c>
      <c r="I37" s="1054" t="s">
        <v>1416</v>
      </c>
      <c r="J37" s="1054" t="s">
        <v>1412</v>
      </c>
      <c r="K37" s="1054" t="s">
        <v>8</v>
      </c>
      <c r="L37" s="1054" t="s">
        <v>1412</v>
      </c>
      <c r="M37" s="1057">
        <v>146</v>
      </c>
      <c r="N37" s="1057">
        <v>0.92400000000000004</v>
      </c>
      <c r="O37" s="1057">
        <v>0.97199999999999998</v>
      </c>
      <c r="P37" s="1057">
        <v>0.93300000000000005</v>
      </c>
      <c r="Q37" s="1057">
        <v>0.89400000000000002</v>
      </c>
      <c r="R37" s="1057">
        <v>1446933</v>
      </c>
      <c r="S37" s="1057">
        <v>1168567</v>
      </c>
      <c r="T37" s="1058">
        <f t="shared" si="2"/>
        <v>430462.5675</v>
      </c>
      <c r="U37" s="1057">
        <v>793716</v>
      </c>
      <c r="V37" s="1057">
        <v>374851</v>
      </c>
      <c r="W37" s="1057">
        <v>6000</v>
      </c>
      <c r="X37" s="1057">
        <v>991625.5675</v>
      </c>
      <c r="Y37" s="1057">
        <v>430462.5675</v>
      </c>
      <c r="Z37" s="1057">
        <v>561163</v>
      </c>
      <c r="AA37" s="1057">
        <v>607404</v>
      </c>
      <c r="AB37" s="1057">
        <v>0</v>
      </c>
      <c r="AC37" s="1057">
        <v>607404</v>
      </c>
      <c r="AD37" s="1057">
        <v>561163</v>
      </c>
      <c r="AE37" s="1057">
        <v>0</v>
      </c>
      <c r="AF37" s="1057">
        <v>607404</v>
      </c>
      <c r="AG37" s="1057">
        <v>0</v>
      </c>
      <c r="AH37" s="1057">
        <v>1182000</v>
      </c>
      <c r="AI37" s="1057">
        <v>990000</v>
      </c>
      <c r="AJ37" s="1053" t="s">
        <v>900</v>
      </c>
      <c r="AK37" s="1053" t="s">
        <v>901</v>
      </c>
      <c r="AL37" s="1054" t="s">
        <v>1416</v>
      </c>
      <c r="AM37" s="1053" t="s">
        <v>10</v>
      </c>
      <c r="AN37" s="1054" t="s">
        <v>7</v>
      </c>
      <c r="AO37" s="1054">
        <v>991625.5675</v>
      </c>
      <c r="AP37" s="1059">
        <f t="shared" si="22"/>
        <v>952.49189999999999</v>
      </c>
      <c r="AQ37" s="1059">
        <f t="shared" si="5"/>
        <v>979.49189999999999</v>
      </c>
      <c r="AR37" s="1052">
        <v>472</v>
      </c>
      <c r="AS37" s="1052">
        <v>990</v>
      </c>
      <c r="AT37" s="1052">
        <v>176</v>
      </c>
      <c r="AU37" s="1052">
        <v>0</v>
      </c>
      <c r="AV37" s="1052">
        <v>0</v>
      </c>
      <c r="AW37" s="1052">
        <v>0</v>
      </c>
      <c r="AX37" s="1052">
        <v>0</v>
      </c>
      <c r="AY37" s="1052">
        <v>0</v>
      </c>
      <c r="AZ37" s="1052">
        <v>13</v>
      </c>
      <c r="BA37" s="1052">
        <v>37</v>
      </c>
      <c r="BB37" s="1052">
        <v>27</v>
      </c>
      <c r="BC37" s="1052">
        <v>0</v>
      </c>
      <c r="BD37" s="1052">
        <v>73</v>
      </c>
      <c r="BE37" s="1052">
        <v>0</v>
      </c>
      <c r="BF37" s="1052">
        <v>0</v>
      </c>
      <c r="BG37" s="1052">
        <v>0</v>
      </c>
      <c r="BH37" s="1052">
        <v>35</v>
      </c>
      <c r="BI37" s="1052">
        <v>3</v>
      </c>
      <c r="BJ37" s="1052">
        <v>0</v>
      </c>
      <c r="BK37" s="1052">
        <v>0</v>
      </c>
      <c r="BL37" s="1052">
        <v>13964</v>
      </c>
      <c r="BM37" s="1052">
        <v>72134</v>
      </c>
      <c r="BN37" s="1052">
        <v>16000</v>
      </c>
      <c r="BO37" s="1052">
        <v>813.93899999999996</v>
      </c>
      <c r="BR37" s="1140">
        <f t="shared" si="6"/>
        <v>6555555.555555556</v>
      </c>
      <c r="BS37" s="1140">
        <f t="shared" si="7"/>
        <v>2444444.4444444445</v>
      </c>
      <c r="BT37" s="1140">
        <f t="shared" si="8"/>
        <v>0</v>
      </c>
      <c r="BU37" s="1140">
        <f t="shared" si="9"/>
        <v>9000000</v>
      </c>
      <c r="BV37" s="1140">
        <f t="shared" si="19"/>
        <v>0</v>
      </c>
      <c r="BW37" s="1140">
        <f t="shared" si="20"/>
        <v>0</v>
      </c>
      <c r="BX37" s="1140">
        <f t="shared" si="21"/>
        <v>0</v>
      </c>
      <c r="BY37" s="1140">
        <f t="shared" si="10"/>
        <v>0</v>
      </c>
      <c r="CA37" s="1140">
        <f t="shared" si="11"/>
        <v>6555555.555555556</v>
      </c>
      <c r="CB37" s="1140">
        <f t="shared" si="12"/>
        <v>2444444.4444444445</v>
      </c>
      <c r="CC37" s="1140">
        <f t="shared" si="13"/>
        <v>0</v>
      </c>
      <c r="CD37" s="1140">
        <f t="shared" si="14"/>
        <v>9000000</v>
      </c>
      <c r="CE37" s="1140">
        <f t="shared" si="15"/>
        <v>0</v>
      </c>
      <c r="CF37" s="1140">
        <f t="shared" si="16"/>
        <v>0</v>
      </c>
      <c r="CG37" s="1140">
        <f t="shared" si="17"/>
        <v>0</v>
      </c>
      <c r="CH37" s="1140">
        <f t="shared" si="18"/>
        <v>0</v>
      </c>
    </row>
    <row r="38" spans="1:87" s="1082" customFormat="1" ht="15" customHeight="1" x14ac:dyDescent="0.2">
      <c r="A38" s="1052">
        <v>564</v>
      </c>
      <c r="B38" s="1052" t="s">
        <v>1412</v>
      </c>
      <c r="C38" s="1053" t="s">
        <v>9</v>
      </c>
      <c r="D38" s="1054" t="s">
        <v>9</v>
      </c>
      <c r="E38" s="1055">
        <f t="shared" si="0"/>
        <v>275212.65720000002</v>
      </c>
      <c r="F38" s="1055">
        <v>0</v>
      </c>
      <c r="G38" s="1056">
        <f t="shared" si="1"/>
        <v>275212.65720000002</v>
      </c>
      <c r="H38" s="1053" t="s">
        <v>1417</v>
      </c>
      <c r="I38" s="1054" t="s">
        <v>1416</v>
      </c>
      <c r="J38" s="1054" t="s">
        <v>1412</v>
      </c>
      <c r="K38" s="1054" t="s">
        <v>1565</v>
      </c>
      <c r="L38" s="1054" t="s">
        <v>10</v>
      </c>
      <c r="M38" s="1057">
        <v>90</v>
      </c>
      <c r="N38" s="1057">
        <v>0.96099999999999997</v>
      </c>
      <c r="O38" s="1057">
        <v>0.94599999999999995</v>
      </c>
      <c r="P38" s="1057">
        <v>0.96199999999999997</v>
      </c>
      <c r="Q38" s="1057">
        <v>0.94399999999999995</v>
      </c>
      <c r="R38" s="1057">
        <v>1126844</v>
      </c>
      <c r="S38" s="1057">
        <v>789933</v>
      </c>
      <c r="T38" s="1058">
        <f t="shared" si="2"/>
        <v>335236.08999999997</v>
      </c>
      <c r="U38" s="1057">
        <v>350000</v>
      </c>
      <c r="V38" s="1057">
        <v>439933</v>
      </c>
      <c r="W38" s="1057">
        <v>3000</v>
      </c>
      <c r="X38" s="1057">
        <v>0</v>
      </c>
      <c r="Y38" s="1057">
        <v>0</v>
      </c>
      <c r="Z38" s="1057">
        <v>0</v>
      </c>
      <c r="AA38" s="1057">
        <v>1125169.0900000001</v>
      </c>
      <c r="AB38" s="1057">
        <v>335236.09000000003</v>
      </c>
      <c r="AC38" s="1057">
        <v>789933</v>
      </c>
      <c r="AD38" s="1057">
        <v>0</v>
      </c>
      <c r="AE38" s="1057">
        <v>0</v>
      </c>
      <c r="AF38" s="1057">
        <v>789933</v>
      </c>
      <c r="AG38" s="1057">
        <v>0</v>
      </c>
      <c r="AH38" s="1057">
        <v>794000</v>
      </c>
      <c r="AI38" s="1057">
        <v>652000</v>
      </c>
      <c r="AJ38" s="1053">
        <v>4</v>
      </c>
      <c r="AK38" s="1053" t="s">
        <v>913</v>
      </c>
      <c r="AL38" s="1054" t="s">
        <v>1416</v>
      </c>
      <c r="AM38" s="1053" t="s">
        <v>1417</v>
      </c>
      <c r="AN38" s="1054" t="s">
        <v>9</v>
      </c>
      <c r="AO38" s="1054">
        <v>335236.09000000003</v>
      </c>
      <c r="AP38" s="1059">
        <f t="shared" si="22"/>
        <v>1774</v>
      </c>
      <c r="AQ38" s="1059">
        <f t="shared" si="5"/>
        <v>1815</v>
      </c>
      <c r="AR38" s="1081">
        <v>344</v>
      </c>
      <c r="AS38" s="1081">
        <v>652</v>
      </c>
      <c r="AT38" s="1081">
        <v>164</v>
      </c>
      <c r="AU38" s="1081">
        <v>0</v>
      </c>
      <c r="AV38" s="1052">
        <v>0</v>
      </c>
      <c r="AW38" s="1052">
        <v>0</v>
      </c>
      <c r="AX38" s="1052">
        <v>1</v>
      </c>
      <c r="AY38" s="1052">
        <v>0</v>
      </c>
      <c r="AZ38" s="1081">
        <v>1107</v>
      </c>
      <c r="BA38" s="1081">
        <v>52</v>
      </c>
      <c r="BB38" s="1081">
        <v>41</v>
      </c>
      <c r="BC38" s="1081">
        <v>0</v>
      </c>
      <c r="BD38" s="1052">
        <v>46</v>
      </c>
      <c r="BE38" s="1052">
        <v>0</v>
      </c>
      <c r="BF38" s="1052">
        <v>0</v>
      </c>
      <c r="BG38" s="1052">
        <v>0</v>
      </c>
      <c r="BH38" s="1052">
        <v>112</v>
      </c>
      <c r="BI38" s="1052">
        <v>1</v>
      </c>
      <c r="BJ38" s="1052">
        <v>0</v>
      </c>
      <c r="BK38" s="1052">
        <v>0</v>
      </c>
      <c r="BL38" s="1052">
        <v>0</v>
      </c>
      <c r="BM38" s="1052">
        <v>0</v>
      </c>
      <c r="BN38" s="1052">
        <v>0</v>
      </c>
      <c r="BO38" s="1052">
        <v>0</v>
      </c>
      <c r="BP38" s="1069"/>
      <c r="BQ38" s="1136"/>
      <c r="BR38" s="1140">
        <f t="shared" si="6"/>
        <v>4777777.777777778</v>
      </c>
      <c r="BS38" s="1140">
        <f t="shared" si="7"/>
        <v>2277777.777777778</v>
      </c>
      <c r="BT38" s="1140">
        <f t="shared" si="8"/>
        <v>0</v>
      </c>
      <c r="BU38" s="1140">
        <f t="shared" si="9"/>
        <v>7055555.555555556</v>
      </c>
      <c r="BV38" s="1140">
        <f t="shared" si="19"/>
        <v>0</v>
      </c>
      <c r="BW38" s="1140">
        <f t="shared" si="20"/>
        <v>200</v>
      </c>
      <c r="BX38" s="1140">
        <f t="shared" si="21"/>
        <v>0</v>
      </c>
      <c r="BY38" s="1140">
        <f t="shared" si="10"/>
        <v>200</v>
      </c>
      <c r="BZ38" s="1136"/>
      <c r="CA38" s="1140">
        <f t="shared" si="11"/>
        <v>0</v>
      </c>
      <c r="CB38" s="1140">
        <f t="shared" si="12"/>
        <v>0</v>
      </c>
      <c r="CC38" s="1140">
        <f t="shared" si="13"/>
        <v>0</v>
      </c>
      <c r="CD38" s="1140">
        <f t="shared" si="14"/>
        <v>0</v>
      </c>
      <c r="CE38" s="1140">
        <f t="shared" si="15"/>
        <v>0</v>
      </c>
      <c r="CF38" s="1140">
        <f t="shared" si="16"/>
        <v>200</v>
      </c>
      <c r="CG38" s="1140">
        <f t="shared" si="17"/>
        <v>0</v>
      </c>
      <c r="CH38" s="1140">
        <f t="shared" si="18"/>
        <v>200</v>
      </c>
      <c r="CI38" s="1146"/>
    </row>
    <row r="39" spans="1:87" ht="15" customHeight="1" x14ac:dyDescent="0.2">
      <c r="A39" s="1080">
        <v>566</v>
      </c>
      <c r="B39" s="1080"/>
      <c r="C39" s="1083" t="s">
        <v>9</v>
      </c>
      <c r="D39" s="1063" t="s">
        <v>9</v>
      </c>
      <c r="E39" s="1055" t="e">
        <f t="shared" si="0"/>
        <v>#VALUE!</v>
      </c>
      <c r="F39" s="1064" t="s">
        <v>10</v>
      </c>
      <c r="G39" s="1056" t="e">
        <f t="shared" si="1"/>
        <v>#VALUE!</v>
      </c>
      <c r="H39" s="1062" t="s">
        <v>1417</v>
      </c>
      <c r="I39" s="1063" t="s">
        <v>911</v>
      </c>
      <c r="J39" s="1063" t="s">
        <v>10</v>
      </c>
      <c r="K39" s="1063" t="s">
        <v>10</v>
      </c>
      <c r="L39" s="1063" t="s">
        <v>10</v>
      </c>
      <c r="M39" s="1065" t="s">
        <v>10</v>
      </c>
      <c r="N39" s="1065" t="s">
        <v>10</v>
      </c>
      <c r="O39" s="1065" t="s">
        <v>10</v>
      </c>
      <c r="P39" s="1065" t="s">
        <v>10</v>
      </c>
      <c r="Q39" s="1065" t="s">
        <v>10</v>
      </c>
      <c r="R39" s="1065" t="s">
        <v>10</v>
      </c>
      <c r="S39" s="1065" t="s">
        <v>10</v>
      </c>
      <c r="T39" s="1058" t="e">
        <f t="shared" si="2"/>
        <v>#VALUE!</v>
      </c>
      <c r="U39" s="1065" t="s">
        <v>10</v>
      </c>
      <c r="V39" s="1065" t="s">
        <v>10</v>
      </c>
      <c r="W39" s="1065" t="s">
        <v>10</v>
      </c>
      <c r="X39" s="1065" t="s">
        <v>10</v>
      </c>
      <c r="Y39" s="1065" t="s">
        <v>10</v>
      </c>
      <c r="Z39" s="1065" t="s">
        <v>10</v>
      </c>
      <c r="AA39" s="1065" t="s">
        <v>10</v>
      </c>
      <c r="AB39" s="1065" t="s">
        <v>10</v>
      </c>
      <c r="AC39" s="1065" t="s">
        <v>10</v>
      </c>
      <c r="AD39" s="1065" t="s">
        <v>10</v>
      </c>
      <c r="AE39" s="1065" t="s">
        <v>10</v>
      </c>
      <c r="AF39" s="1065" t="s">
        <v>10</v>
      </c>
      <c r="AG39" s="1065" t="s">
        <v>10</v>
      </c>
      <c r="AH39" s="1065" t="s">
        <v>10</v>
      </c>
      <c r="AI39" s="1065" t="s">
        <v>10</v>
      </c>
      <c r="AJ39" s="1062">
        <v>4</v>
      </c>
      <c r="AK39" s="1062" t="s">
        <v>913</v>
      </c>
      <c r="AL39" s="1084" t="s">
        <v>911</v>
      </c>
      <c r="AM39" s="1062" t="s">
        <v>1417</v>
      </c>
      <c r="AN39" s="1078" t="s">
        <v>918</v>
      </c>
      <c r="AO39" s="1078">
        <v>0</v>
      </c>
      <c r="AP39" s="1079">
        <v>0</v>
      </c>
      <c r="AQ39" s="1059">
        <f t="shared" si="5"/>
        <v>77</v>
      </c>
      <c r="AR39" s="753">
        <v>44</v>
      </c>
      <c r="AS39" s="753">
        <v>0</v>
      </c>
      <c r="AT39" s="753">
        <v>24</v>
      </c>
      <c r="AU39" s="753">
        <v>0</v>
      </c>
      <c r="AV39" s="1061">
        <v>0</v>
      </c>
      <c r="AW39" s="1061">
        <v>0</v>
      </c>
      <c r="AX39" s="1061">
        <v>0</v>
      </c>
      <c r="AY39" s="1061">
        <v>0</v>
      </c>
      <c r="AZ39" s="753">
        <v>0</v>
      </c>
      <c r="BA39" s="753">
        <v>0</v>
      </c>
      <c r="BB39" s="753">
        <v>9</v>
      </c>
      <c r="BC39" s="753">
        <v>0</v>
      </c>
      <c r="BD39" s="1061">
        <v>0</v>
      </c>
      <c r="BE39" s="1061">
        <v>0</v>
      </c>
      <c r="BF39" s="1061">
        <v>0</v>
      </c>
      <c r="BG39" s="1061">
        <v>0</v>
      </c>
      <c r="BH39" s="1061">
        <v>0</v>
      </c>
      <c r="BI39" s="1061">
        <v>0</v>
      </c>
      <c r="BJ39" s="1061">
        <v>0</v>
      </c>
      <c r="BK39" s="1061">
        <v>0</v>
      </c>
      <c r="BL39" s="1061">
        <v>0</v>
      </c>
      <c r="BM39" s="1061">
        <v>0</v>
      </c>
      <c r="BN39" s="1061">
        <v>0</v>
      </c>
      <c r="BO39" s="1080">
        <v>0</v>
      </c>
      <c r="BR39" s="1140">
        <f t="shared" si="6"/>
        <v>611111.11111111112</v>
      </c>
      <c r="BS39" s="1140">
        <f t="shared" si="7"/>
        <v>333333.33333333337</v>
      </c>
      <c r="BT39" s="1140">
        <f t="shared" si="8"/>
        <v>0</v>
      </c>
      <c r="BU39" s="1140">
        <f t="shared" si="9"/>
        <v>944444.4444444445</v>
      </c>
      <c r="BV39" s="1140">
        <f t="shared" si="19"/>
        <v>0</v>
      </c>
      <c r="BW39" s="1140">
        <f t="shared" si="20"/>
        <v>0</v>
      </c>
      <c r="BX39" s="1140">
        <f t="shared" si="21"/>
        <v>0</v>
      </c>
      <c r="BY39" s="1140">
        <f t="shared" si="10"/>
        <v>0</v>
      </c>
      <c r="CA39" s="1140">
        <f t="shared" si="11"/>
        <v>0</v>
      </c>
      <c r="CB39" s="1140">
        <f t="shared" si="12"/>
        <v>0</v>
      </c>
      <c r="CC39" s="1140">
        <f t="shared" si="13"/>
        <v>0</v>
      </c>
      <c r="CD39" s="1140">
        <f t="shared" si="14"/>
        <v>0</v>
      </c>
      <c r="CE39" s="1140">
        <f t="shared" si="15"/>
        <v>0</v>
      </c>
      <c r="CF39" s="1140">
        <f t="shared" si="16"/>
        <v>0</v>
      </c>
      <c r="CG39" s="1140">
        <f t="shared" si="17"/>
        <v>0</v>
      </c>
      <c r="CH39" s="1140">
        <f t="shared" si="18"/>
        <v>0</v>
      </c>
    </row>
    <row r="40" spans="1:87" ht="15" customHeight="1" x14ac:dyDescent="0.2">
      <c r="A40" s="1052">
        <v>526</v>
      </c>
      <c r="B40" s="1052" t="s">
        <v>1412</v>
      </c>
      <c r="C40" s="1053" t="s">
        <v>919</v>
      </c>
      <c r="D40" s="1054" t="s">
        <v>11</v>
      </c>
      <c r="E40" s="1055" t="b">
        <f t="shared" si="0"/>
        <v>0</v>
      </c>
      <c r="F40" s="1055">
        <v>137606</v>
      </c>
      <c r="G40" s="1056">
        <f t="shared" si="1"/>
        <v>137606</v>
      </c>
      <c r="H40" s="1053" t="s">
        <v>1417</v>
      </c>
      <c r="I40" s="1054" t="s">
        <v>1416</v>
      </c>
      <c r="J40" s="1054" t="s">
        <v>1412</v>
      </c>
      <c r="K40" s="1054" t="s">
        <v>1565</v>
      </c>
      <c r="L40" s="1054" t="s">
        <v>1412</v>
      </c>
      <c r="M40" s="1057">
        <v>10</v>
      </c>
      <c r="N40" s="1057">
        <v>0.55000000000000004</v>
      </c>
      <c r="O40" s="1057">
        <v>0.55000000000000004</v>
      </c>
      <c r="P40" s="1057">
        <v>0.53600000000000003</v>
      </c>
      <c r="Q40" s="1057">
        <v>0.77700000000000002</v>
      </c>
      <c r="R40" s="1057">
        <v>0</v>
      </c>
      <c r="S40" s="1057">
        <v>69958</v>
      </c>
      <c r="T40" s="1058">
        <f t="shared" si="2"/>
        <v>24373.367200000001</v>
      </c>
      <c r="U40" s="1057">
        <v>0</v>
      </c>
      <c r="V40" s="1057">
        <v>69958</v>
      </c>
      <c r="W40" s="1057">
        <v>0</v>
      </c>
      <c r="X40" s="1057">
        <v>161979.36720000001</v>
      </c>
      <c r="Y40" s="1057">
        <v>24373.367200000001</v>
      </c>
      <c r="Z40" s="1057">
        <v>137606</v>
      </c>
      <c r="AA40" s="1057">
        <v>-67648</v>
      </c>
      <c r="AB40" s="1057">
        <v>0</v>
      </c>
      <c r="AC40" s="1057">
        <v>-67648</v>
      </c>
      <c r="AD40" s="1057">
        <v>137606</v>
      </c>
      <c r="AE40" s="1057">
        <v>0</v>
      </c>
      <c r="AF40" s="1057">
        <v>-67648</v>
      </c>
      <c r="AG40" s="1057">
        <v>0</v>
      </c>
      <c r="AH40" s="1057">
        <v>47000</v>
      </c>
      <c r="AI40" s="1057">
        <v>39000</v>
      </c>
      <c r="AJ40" s="1053">
        <v>4</v>
      </c>
      <c r="AK40" s="1053" t="s">
        <v>913</v>
      </c>
      <c r="AL40" s="1054" t="s">
        <v>1416</v>
      </c>
      <c r="AM40" s="1053" t="s">
        <v>1417</v>
      </c>
      <c r="AN40" s="1054" t="s">
        <v>11</v>
      </c>
      <c r="AO40" s="1054">
        <v>161979.36720000001</v>
      </c>
      <c r="AP40" s="1059">
        <f t="shared" ref="AP40:AP72" si="23">AR40+AT40+AU40+AV40+AX40+AY40+AZ40+BD40+BF40+BG40+BH40+BJ40+BK40+(BL40+BM40+BN40)/1000+(0.1*BO40)</f>
        <v>415.49599999999998</v>
      </c>
      <c r="AQ40" s="1059">
        <f t="shared" si="5"/>
        <v>426.49599999999998</v>
      </c>
      <c r="AR40" s="1052">
        <v>206</v>
      </c>
      <c r="AS40" s="1052">
        <v>39</v>
      </c>
      <c r="AT40" s="1052">
        <v>46</v>
      </c>
      <c r="AU40" s="1052">
        <v>0</v>
      </c>
      <c r="AV40" s="1052">
        <v>0</v>
      </c>
      <c r="AW40" s="1052">
        <v>0</v>
      </c>
      <c r="AX40" s="1052">
        <v>0</v>
      </c>
      <c r="AY40" s="1052">
        <v>0</v>
      </c>
      <c r="AZ40" s="1052">
        <v>0</v>
      </c>
      <c r="BA40" s="1052">
        <v>3</v>
      </c>
      <c r="BB40" s="1052">
        <v>11</v>
      </c>
      <c r="BC40" s="1052">
        <v>0</v>
      </c>
      <c r="BD40" s="1052">
        <v>17</v>
      </c>
      <c r="BE40" s="1052">
        <v>0</v>
      </c>
      <c r="BF40" s="1052">
        <v>0</v>
      </c>
      <c r="BG40" s="1052">
        <v>0</v>
      </c>
      <c r="BH40" s="1052">
        <v>55</v>
      </c>
      <c r="BI40" s="1052">
        <v>1</v>
      </c>
      <c r="BJ40" s="1052">
        <v>0</v>
      </c>
      <c r="BK40" s="1052">
        <v>0</v>
      </c>
      <c r="BL40" s="1052">
        <v>20631</v>
      </c>
      <c r="BM40" s="1052">
        <v>0</v>
      </c>
      <c r="BN40" s="1052">
        <v>70865</v>
      </c>
      <c r="BO40" s="1052">
        <v>0</v>
      </c>
      <c r="BR40" s="1140">
        <f t="shared" si="6"/>
        <v>2861111.1111111115</v>
      </c>
      <c r="BS40" s="1140">
        <f t="shared" si="7"/>
        <v>638888.88888888899</v>
      </c>
      <c r="BT40" s="1140">
        <f t="shared" si="8"/>
        <v>0</v>
      </c>
      <c r="BU40" s="1140">
        <f t="shared" si="9"/>
        <v>3500000.0000000005</v>
      </c>
      <c r="BV40" s="1140">
        <f t="shared" si="19"/>
        <v>0</v>
      </c>
      <c r="BW40" s="1140">
        <f t="shared" si="20"/>
        <v>0</v>
      </c>
      <c r="BX40" s="1140">
        <f t="shared" si="21"/>
        <v>0</v>
      </c>
      <c r="BY40" s="1140">
        <f t="shared" si="10"/>
        <v>0</v>
      </c>
      <c r="CA40" s="1140">
        <f t="shared" si="11"/>
        <v>0</v>
      </c>
      <c r="CB40" s="1140">
        <f t="shared" si="12"/>
        <v>0</v>
      </c>
      <c r="CC40" s="1140">
        <f t="shared" si="13"/>
        <v>0</v>
      </c>
      <c r="CD40" s="1140">
        <f t="shared" si="14"/>
        <v>0</v>
      </c>
      <c r="CE40" s="1140">
        <f t="shared" si="15"/>
        <v>0</v>
      </c>
      <c r="CF40" s="1140">
        <f t="shared" si="16"/>
        <v>0</v>
      </c>
      <c r="CG40" s="1140">
        <f t="shared" si="17"/>
        <v>0</v>
      </c>
      <c r="CH40" s="1140">
        <f t="shared" si="18"/>
        <v>0</v>
      </c>
    </row>
    <row r="41" spans="1:87" ht="15" customHeight="1" x14ac:dyDescent="0.2">
      <c r="A41" s="1052">
        <v>548</v>
      </c>
      <c r="B41" s="1052"/>
      <c r="C41" s="1053" t="s">
        <v>12</v>
      </c>
      <c r="D41" s="1054" t="s">
        <v>12</v>
      </c>
      <c r="E41" s="1055">
        <f t="shared" si="0"/>
        <v>50647.843399999998</v>
      </c>
      <c r="F41" s="1055">
        <v>0</v>
      </c>
      <c r="G41" s="1056">
        <f t="shared" si="1"/>
        <v>50647.843399999998</v>
      </c>
      <c r="H41" s="1053" t="s">
        <v>1417</v>
      </c>
      <c r="I41" s="1054" t="s">
        <v>1512</v>
      </c>
      <c r="J41" s="1054" t="s">
        <v>10</v>
      </c>
      <c r="K41" s="1054" t="s">
        <v>14</v>
      </c>
      <c r="L41" s="1054" t="s">
        <v>10</v>
      </c>
      <c r="M41" s="1057">
        <v>0</v>
      </c>
      <c r="N41" s="1057">
        <v>0.93799999999999994</v>
      </c>
      <c r="O41" s="1057">
        <v>0.95199999999999996</v>
      </c>
      <c r="P41" s="1057">
        <v>0.996</v>
      </c>
      <c r="Q41" s="1057">
        <v>0.97299999999999998</v>
      </c>
      <c r="R41" s="1057">
        <v>0</v>
      </c>
      <c r="S41" s="1057">
        <v>261206</v>
      </c>
      <c r="T41" s="1058">
        <f t="shared" si="2"/>
        <v>50647.843399999998</v>
      </c>
      <c r="U41" s="1057">
        <v>206680</v>
      </c>
      <c r="V41" s="1057">
        <v>54526</v>
      </c>
      <c r="W41" s="1057">
        <v>1262</v>
      </c>
      <c r="X41" s="1057">
        <v>0</v>
      </c>
      <c r="Y41" s="1057">
        <v>0</v>
      </c>
      <c r="Z41" s="1057">
        <v>0</v>
      </c>
      <c r="AA41" s="1057">
        <v>311853.84340000001</v>
      </c>
      <c r="AB41" s="1057">
        <v>50647.843399999998</v>
      </c>
      <c r="AC41" s="1057">
        <v>261206</v>
      </c>
      <c r="AD41" s="1057">
        <v>0</v>
      </c>
      <c r="AE41" s="1057">
        <v>0</v>
      </c>
      <c r="AF41" s="1057">
        <v>0</v>
      </c>
      <c r="AG41" s="1057">
        <v>261206</v>
      </c>
      <c r="AH41" s="1057">
        <v>0</v>
      </c>
      <c r="AI41" s="1057">
        <v>0</v>
      </c>
      <c r="AJ41" s="1053">
        <v>4</v>
      </c>
      <c r="AK41" s="1053" t="s">
        <v>917</v>
      </c>
      <c r="AL41" s="1054" t="s">
        <v>1512</v>
      </c>
      <c r="AM41" s="1053" t="s">
        <v>1417</v>
      </c>
      <c r="AN41" s="1054" t="s">
        <v>12</v>
      </c>
      <c r="AO41" s="1054">
        <v>50647.843399999998</v>
      </c>
      <c r="AP41" s="1059">
        <f t="shared" si="23"/>
        <v>32</v>
      </c>
      <c r="AQ41" s="1059">
        <f t="shared" si="5"/>
        <v>32</v>
      </c>
      <c r="AR41" s="1052">
        <v>0</v>
      </c>
      <c r="AS41" s="1052">
        <v>0</v>
      </c>
      <c r="AT41" s="1052">
        <v>32</v>
      </c>
      <c r="AU41" s="1052">
        <v>0</v>
      </c>
      <c r="AV41" s="1052">
        <v>0</v>
      </c>
      <c r="AW41" s="1052">
        <v>0</v>
      </c>
      <c r="AX41" s="1052">
        <v>0</v>
      </c>
      <c r="AY41" s="1052">
        <v>0</v>
      </c>
      <c r="AZ41" s="1052">
        <v>0</v>
      </c>
      <c r="BA41" s="1052">
        <v>23</v>
      </c>
      <c r="BB41" s="1052">
        <v>0</v>
      </c>
      <c r="BC41" s="1052">
        <v>0</v>
      </c>
      <c r="BD41" s="1052">
        <v>0</v>
      </c>
      <c r="BE41" s="1052">
        <v>0</v>
      </c>
      <c r="BF41" s="1052">
        <v>0</v>
      </c>
      <c r="BG41" s="1052">
        <v>0</v>
      </c>
      <c r="BH41" s="1052">
        <v>0</v>
      </c>
      <c r="BI41" s="1052">
        <v>0</v>
      </c>
      <c r="BJ41" s="1052">
        <v>0</v>
      </c>
      <c r="BK41" s="1052">
        <v>0</v>
      </c>
      <c r="BL41" s="1052">
        <v>0</v>
      </c>
      <c r="BM41" s="1052">
        <v>0</v>
      </c>
      <c r="BN41" s="1052">
        <v>0</v>
      </c>
      <c r="BO41" s="1052">
        <v>0</v>
      </c>
      <c r="BR41" s="1140">
        <f t="shared" si="6"/>
        <v>0</v>
      </c>
      <c r="BS41" s="1140">
        <f t="shared" si="7"/>
        <v>444444.4444444445</v>
      </c>
      <c r="BT41" s="1140">
        <f t="shared" si="8"/>
        <v>0</v>
      </c>
      <c r="BU41" s="1140">
        <f t="shared" si="9"/>
        <v>444444.4444444445</v>
      </c>
      <c r="BV41" s="1140">
        <f t="shared" si="19"/>
        <v>0</v>
      </c>
      <c r="BW41" s="1140">
        <f t="shared" si="20"/>
        <v>0</v>
      </c>
      <c r="BX41" s="1140">
        <f t="shared" si="21"/>
        <v>0</v>
      </c>
      <c r="BY41" s="1140">
        <f t="shared" si="10"/>
        <v>0</v>
      </c>
      <c r="CA41" s="1140">
        <f t="shared" si="11"/>
        <v>0</v>
      </c>
      <c r="CB41" s="1140">
        <f t="shared" si="12"/>
        <v>0</v>
      </c>
      <c r="CC41" s="1140">
        <f t="shared" si="13"/>
        <v>0</v>
      </c>
      <c r="CD41" s="1140">
        <f t="shared" si="14"/>
        <v>0</v>
      </c>
      <c r="CE41" s="1140">
        <f t="shared" si="15"/>
        <v>0</v>
      </c>
      <c r="CF41" s="1140">
        <f t="shared" si="16"/>
        <v>0</v>
      </c>
      <c r="CG41" s="1140">
        <f t="shared" si="17"/>
        <v>0</v>
      </c>
      <c r="CH41" s="1140">
        <f t="shared" si="18"/>
        <v>0</v>
      </c>
    </row>
    <row r="42" spans="1:87" ht="15" customHeight="1" x14ac:dyDescent="0.2">
      <c r="A42" s="1052">
        <v>540</v>
      </c>
      <c r="B42" s="1052" t="s">
        <v>1412</v>
      </c>
      <c r="C42" s="1053" t="s">
        <v>17</v>
      </c>
      <c r="D42" s="1054" t="s">
        <v>17</v>
      </c>
      <c r="E42" s="1055">
        <f t="shared" si="0"/>
        <v>242178.41439999998</v>
      </c>
      <c r="F42" s="1055">
        <v>0</v>
      </c>
      <c r="G42" s="1056">
        <f t="shared" si="1"/>
        <v>242178.41439999998</v>
      </c>
      <c r="H42" s="1053" t="s">
        <v>10</v>
      </c>
      <c r="I42" s="1054" t="s">
        <v>1416</v>
      </c>
      <c r="J42" s="1054" t="s">
        <v>1412</v>
      </c>
      <c r="K42" s="1054" t="s">
        <v>19</v>
      </c>
      <c r="L42" s="1054" t="s">
        <v>10</v>
      </c>
      <c r="M42" s="1057">
        <v>101</v>
      </c>
      <c r="N42" s="1057">
        <v>0.91300000000000003</v>
      </c>
      <c r="O42" s="1057">
        <v>0.91800000000000004</v>
      </c>
      <c r="P42" s="1057">
        <v>0.85799999999999998</v>
      </c>
      <c r="Q42" s="1057">
        <v>0.86099999999999999</v>
      </c>
      <c r="R42" s="1057">
        <v>812507</v>
      </c>
      <c r="S42" s="1057">
        <v>695116</v>
      </c>
      <c r="T42" s="1058">
        <f t="shared" si="2"/>
        <v>241720.83249999999</v>
      </c>
      <c r="U42" s="1057">
        <v>440253</v>
      </c>
      <c r="V42" s="1057">
        <v>254863</v>
      </c>
      <c r="W42" s="1057">
        <v>3568</v>
      </c>
      <c r="X42" s="1057">
        <v>0</v>
      </c>
      <c r="Y42" s="1057">
        <v>0</v>
      </c>
      <c r="Z42" s="1057">
        <v>0</v>
      </c>
      <c r="AA42" s="1057">
        <v>936836.83250000002</v>
      </c>
      <c r="AB42" s="1057">
        <v>241720.83249999999</v>
      </c>
      <c r="AC42" s="1057">
        <v>695116</v>
      </c>
      <c r="AD42" s="1057">
        <v>0</v>
      </c>
      <c r="AE42" s="1057">
        <v>0</v>
      </c>
      <c r="AF42" s="1057">
        <v>695116</v>
      </c>
      <c r="AG42" s="1057">
        <v>0</v>
      </c>
      <c r="AH42" s="1057">
        <v>341000</v>
      </c>
      <c r="AI42" s="1057">
        <v>282000</v>
      </c>
      <c r="AJ42" s="1053">
        <v>4</v>
      </c>
      <c r="AK42" s="1053" t="s">
        <v>913</v>
      </c>
      <c r="AL42" s="1054" t="s">
        <v>1416</v>
      </c>
      <c r="AM42" s="1053" t="s">
        <v>10</v>
      </c>
      <c r="AN42" s="1054" t="s">
        <v>17</v>
      </c>
      <c r="AO42" s="1054">
        <v>241720.83249999999</v>
      </c>
      <c r="AP42" s="1059">
        <f t="shared" si="23"/>
        <v>129.26</v>
      </c>
      <c r="AQ42" s="1059">
        <f t="shared" si="5"/>
        <v>144.26</v>
      </c>
      <c r="AR42" s="1052">
        <v>29</v>
      </c>
      <c r="AS42" s="1052">
        <v>282</v>
      </c>
      <c r="AT42" s="1052">
        <v>63</v>
      </c>
      <c r="AU42" s="1052">
        <v>13</v>
      </c>
      <c r="AV42" s="1052">
        <v>0</v>
      </c>
      <c r="AW42" s="1052">
        <v>0</v>
      </c>
      <c r="AX42" s="1052">
        <v>4</v>
      </c>
      <c r="AY42" s="1052">
        <v>5</v>
      </c>
      <c r="AZ42" s="1052">
        <v>0</v>
      </c>
      <c r="BA42" s="1052">
        <v>13</v>
      </c>
      <c r="BB42" s="1052">
        <v>13</v>
      </c>
      <c r="BC42" s="1052">
        <v>2</v>
      </c>
      <c r="BD42" s="1052">
        <v>-2</v>
      </c>
      <c r="BE42" s="1052">
        <v>0</v>
      </c>
      <c r="BF42" s="1052">
        <v>0</v>
      </c>
      <c r="BG42" s="1052">
        <v>0</v>
      </c>
      <c r="BH42" s="1052">
        <v>0</v>
      </c>
      <c r="BI42" s="1052">
        <v>1</v>
      </c>
      <c r="BJ42" s="1052">
        <v>0</v>
      </c>
      <c r="BK42" s="1052">
        <v>0</v>
      </c>
      <c r="BL42" s="1052">
        <v>0</v>
      </c>
      <c r="BM42" s="1052">
        <v>0</v>
      </c>
      <c r="BN42" s="1052">
        <v>17260</v>
      </c>
      <c r="BO42" s="1052">
        <v>0</v>
      </c>
      <c r="BR42" s="1140">
        <f t="shared" si="6"/>
        <v>402777.77777777781</v>
      </c>
      <c r="BS42" s="1140">
        <f t="shared" si="7"/>
        <v>875000.00000000012</v>
      </c>
      <c r="BT42" s="1140">
        <f t="shared" si="8"/>
        <v>180555.55555555556</v>
      </c>
      <c r="BU42" s="1140">
        <f t="shared" si="9"/>
        <v>1458333.3333333335</v>
      </c>
      <c r="BV42" s="1140">
        <f t="shared" si="19"/>
        <v>0</v>
      </c>
      <c r="BW42" s="1140">
        <f t="shared" si="20"/>
        <v>800</v>
      </c>
      <c r="BX42" s="1140">
        <f t="shared" si="21"/>
        <v>1000</v>
      </c>
      <c r="BY42" s="1140">
        <f t="shared" si="10"/>
        <v>1800</v>
      </c>
      <c r="CA42" s="1140">
        <f t="shared" si="11"/>
        <v>402777.77777777781</v>
      </c>
      <c r="CB42" s="1140">
        <f t="shared" si="12"/>
        <v>875000.00000000012</v>
      </c>
      <c r="CC42" s="1140">
        <f t="shared" si="13"/>
        <v>180555.55555555556</v>
      </c>
      <c r="CD42" s="1140">
        <f t="shared" si="14"/>
        <v>1458333.3333333335</v>
      </c>
      <c r="CE42" s="1140">
        <f t="shared" si="15"/>
        <v>0</v>
      </c>
      <c r="CF42" s="1140">
        <f t="shared" si="16"/>
        <v>800</v>
      </c>
      <c r="CG42" s="1140">
        <f t="shared" si="17"/>
        <v>1000</v>
      </c>
      <c r="CH42" s="1140">
        <f t="shared" si="18"/>
        <v>1800</v>
      </c>
    </row>
    <row r="43" spans="1:87" ht="15" customHeight="1" x14ac:dyDescent="0.2">
      <c r="A43" s="1052">
        <v>8262</v>
      </c>
      <c r="B43" s="1052"/>
      <c r="C43" s="1053" t="s">
        <v>20</v>
      </c>
      <c r="D43" s="1054" t="s">
        <v>20</v>
      </c>
      <c r="E43" s="1055">
        <f t="shared" si="0"/>
        <v>262793.59080000001</v>
      </c>
      <c r="F43" s="1055">
        <v>0</v>
      </c>
      <c r="G43" s="1056">
        <f t="shared" si="1"/>
        <v>262793.59080000001</v>
      </c>
      <c r="H43" s="1053" t="s">
        <v>10</v>
      </c>
      <c r="I43" s="1054" t="s">
        <v>1416</v>
      </c>
      <c r="J43" s="1054" t="s">
        <v>1417</v>
      </c>
      <c r="K43" s="1054" t="s">
        <v>23</v>
      </c>
      <c r="L43" s="1054" t="s">
        <v>10</v>
      </c>
      <c r="M43" s="1057">
        <v>105</v>
      </c>
      <c r="N43" s="1057">
        <v>0.96</v>
      </c>
      <c r="O43" s="1057">
        <v>0.96</v>
      </c>
      <c r="P43" s="1057">
        <v>0.88700000000000001</v>
      </c>
      <c r="Q43" s="1057">
        <v>0.86599999999999999</v>
      </c>
      <c r="R43" s="1057">
        <v>796952</v>
      </c>
      <c r="S43" s="1057">
        <v>754287</v>
      </c>
      <c r="T43" s="1058">
        <f t="shared" si="2"/>
        <v>237093.22</v>
      </c>
      <c r="U43" s="1057">
        <v>431052</v>
      </c>
      <c r="V43" s="1057">
        <v>323235</v>
      </c>
      <c r="W43" s="1057">
        <v>4914</v>
      </c>
      <c r="X43" s="1057">
        <v>0</v>
      </c>
      <c r="Y43" s="1057">
        <v>0</v>
      </c>
      <c r="Z43" s="1057">
        <v>0</v>
      </c>
      <c r="AA43" s="1057">
        <v>991380.22</v>
      </c>
      <c r="AB43" s="1057">
        <v>237093.22</v>
      </c>
      <c r="AC43" s="1057">
        <v>754287</v>
      </c>
      <c r="AD43" s="1057">
        <v>0</v>
      </c>
      <c r="AE43" s="1057">
        <v>0</v>
      </c>
      <c r="AF43" s="1057">
        <v>0</v>
      </c>
      <c r="AG43" s="1057">
        <v>754287</v>
      </c>
      <c r="AH43" s="1057">
        <v>0</v>
      </c>
      <c r="AI43" s="1057">
        <v>0</v>
      </c>
      <c r="AJ43" s="1053">
        <v>4</v>
      </c>
      <c r="AK43" s="1053" t="s">
        <v>904</v>
      </c>
      <c r="AL43" s="1054" t="s">
        <v>1416</v>
      </c>
      <c r="AM43" s="1053" t="s">
        <v>10</v>
      </c>
      <c r="AN43" s="1054" t="s">
        <v>20</v>
      </c>
      <c r="AO43" s="1054">
        <v>237093.22</v>
      </c>
      <c r="AP43" s="1059">
        <f t="shared" si="23"/>
        <v>141.91120000000001</v>
      </c>
      <c r="AQ43" s="1059">
        <f t="shared" si="5"/>
        <v>170.91120000000001</v>
      </c>
      <c r="AR43" s="1052">
        <v>0</v>
      </c>
      <c r="AS43" s="1052">
        <v>0</v>
      </c>
      <c r="AT43" s="1052">
        <v>84</v>
      </c>
      <c r="AU43" s="1052">
        <v>-3</v>
      </c>
      <c r="AV43" s="1052">
        <v>0</v>
      </c>
      <c r="AW43" s="1052">
        <v>0</v>
      </c>
      <c r="AX43" s="1052">
        <v>7</v>
      </c>
      <c r="AY43" s="1052">
        <v>0</v>
      </c>
      <c r="AZ43" s="1052">
        <v>0</v>
      </c>
      <c r="BA43" s="1052">
        <v>0</v>
      </c>
      <c r="BB43" s="1052">
        <v>29</v>
      </c>
      <c r="BC43" s="1052">
        <v>0</v>
      </c>
      <c r="BD43" s="1052">
        <v>0</v>
      </c>
      <c r="BE43" s="1052">
        <v>0</v>
      </c>
      <c r="BF43" s="1052">
        <v>0</v>
      </c>
      <c r="BG43" s="1052">
        <v>0</v>
      </c>
      <c r="BH43" s="1052">
        <v>0</v>
      </c>
      <c r="BI43" s="1052">
        <v>0</v>
      </c>
      <c r="BJ43" s="1052">
        <v>0</v>
      </c>
      <c r="BK43" s="1052">
        <v>0</v>
      </c>
      <c r="BL43" s="1052">
        <v>0</v>
      </c>
      <c r="BM43" s="1052">
        <v>0</v>
      </c>
      <c r="BN43" s="1052">
        <v>0</v>
      </c>
      <c r="BO43" s="1052">
        <v>539.11199999999997</v>
      </c>
      <c r="BR43" s="1140">
        <f t="shared" si="6"/>
        <v>0</v>
      </c>
      <c r="BS43" s="1140">
        <f t="shared" si="7"/>
        <v>1166666.6666666667</v>
      </c>
      <c r="BT43" s="1140">
        <f t="shared" si="8"/>
        <v>-41666.666666666672</v>
      </c>
      <c r="BU43" s="1140">
        <f t="shared" si="9"/>
        <v>1125000</v>
      </c>
      <c r="BV43" s="1140">
        <f t="shared" si="19"/>
        <v>0</v>
      </c>
      <c r="BW43" s="1140">
        <f t="shared" si="20"/>
        <v>1400</v>
      </c>
      <c r="BX43" s="1140">
        <f t="shared" si="21"/>
        <v>0</v>
      </c>
      <c r="BY43" s="1140">
        <f t="shared" si="10"/>
        <v>1400</v>
      </c>
      <c r="CA43" s="1140">
        <f t="shared" si="11"/>
        <v>0</v>
      </c>
      <c r="CB43" s="1140">
        <f t="shared" si="12"/>
        <v>1166666.6666666667</v>
      </c>
      <c r="CC43" s="1140">
        <f t="shared" si="13"/>
        <v>-41666.666666666672</v>
      </c>
      <c r="CD43" s="1140">
        <f t="shared" si="14"/>
        <v>1125000</v>
      </c>
      <c r="CE43" s="1140">
        <f t="shared" si="15"/>
        <v>0</v>
      </c>
      <c r="CF43" s="1140">
        <f t="shared" si="16"/>
        <v>1400</v>
      </c>
      <c r="CG43" s="1140">
        <f t="shared" si="17"/>
        <v>0</v>
      </c>
      <c r="CH43" s="1140">
        <f t="shared" si="18"/>
        <v>1400</v>
      </c>
    </row>
    <row r="44" spans="1:87" ht="15" customHeight="1" x14ac:dyDescent="0.2">
      <c r="A44" s="1052">
        <v>9862</v>
      </c>
      <c r="B44" s="1052"/>
      <c r="C44" s="1053" t="s">
        <v>24</v>
      </c>
      <c r="D44" s="1054" t="s">
        <v>24</v>
      </c>
      <c r="E44" s="1055">
        <f t="shared" si="0"/>
        <v>328388.94919999997</v>
      </c>
      <c r="F44" s="1055">
        <v>0</v>
      </c>
      <c r="G44" s="1056">
        <f t="shared" si="1"/>
        <v>328388.94919999997</v>
      </c>
      <c r="H44" s="1053" t="s">
        <v>1417</v>
      </c>
      <c r="I44" s="1054" t="s">
        <v>1416</v>
      </c>
      <c r="J44" s="1054" t="s">
        <v>1417</v>
      </c>
      <c r="K44" s="1054" t="s">
        <v>1552</v>
      </c>
      <c r="L44" s="1054" t="s">
        <v>10</v>
      </c>
      <c r="M44" s="1057">
        <v>149</v>
      </c>
      <c r="N44" s="1057">
        <v>0.871</v>
      </c>
      <c r="O44" s="1057">
        <v>0.9</v>
      </c>
      <c r="P44" s="1057">
        <v>0.84399999999999997</v>
      </c>
      <c r="Q44" s="1057">
        <v>0.86299999999999999</v>
      </c>
      <c r="R44" s="1057">
        <v>1101419</v>
      </c>
      <c r="S44" s="1057">
        <v>942563</v>
      </c>
      <c r="T44" s="1058">
        <f t="shared" si="2"/>
        <v>327672.15249999997</v>
      </c>
      <c r="U44" s="1057">
        <v>648144</v>
      </c>
      <c r="V44" s="1057">
        <v>294419</v>
      </c>
      <c r="W44" s="1057">
        <v>4683</v>
      </c>
      <c r="X44" s="1057">
        <v>0</v>
      </c>
      <c r="Y44" s="1057">
        <v>0</v>
      </c>
      <c r="Z44" s="1057">
        <v>0</v>
      </c>
      <c r="AA44" s="1057">
        <v>1270235.1529999999</v>
      </c>
      <c r="AB44" s="1057">
        <v>327672.15250000003</v>
      </c>
      <c r="AC44" s="1057">
        <v>942563</v>
      </c>
      <c r="AD44" s="1057">
        <v>0</v>
      </c>
      <c r="AE44" s="1057">
        <v>0</v>
      </c>
      <c r="AF44" s="1057">
        <v>0</v>
      </c>
      <c r="AG44" s="1057">
        <v>942563</v>
      </c>
      <c r="AH44" s="1057">
        <v>0</v>
      </c>
      <c r="AI44" s="1057">
        <v>0</v>
      </c>
      <c r="AJ44" s="1053" t="s">
        <v>900</v>
      </c>
      <c r="AK44" s="1053" t="s">
        <v>907</v>
      </c>
      <c r="AL44" s="1054" t="s">
        <v>1416</v>
      </c>
      <c r="AM44" s="1053" t="s">
        <v>1417</v>
      </c>
      <c r="AN44" s="1054" t="s">
        <v>24</v>
      </c>
      <c r="AO44" s="1054">
        <v>327672.15250000003</v>
      </c>
      <c r="AP44" s="1059">
        <f t="shared" si="23"/>
        <v>335.15469999999999</v>
      </c>
      <c r="AQ44" s="1059">
        <f t="shared" si="5"/>
        <v>352.15469999999999</v>
      </c>
      <c r="AR44" s="1052">
        <v>0</v>
      </c>
      <c r="AS44" s="1052">
        <v>0</v>
      </c>
      <c r="AT44" s="1052">
        <v>234</v>
      </c>
      <c r="AU44" s="1052">
        <v>2</v>
      </c>
      <c r="AV44" s="1052">
        <v>0</v>
      </c>
      <c r="AW44" s="1052">
        <v>0</v>
      </c>
      <c r="AX44" s="1052">
        <v>0</v>
      </c>
      <c r="AY44" s="1052">
        <v>0</v>
      </c>
      <c r="AZ44" s="1052">
        <v>0</v>
      </c>
      <c r="BA44" s="1052">
        <v>0</v>
      </c>
      <c r="BB44" s="1052">
        <v>10</v>
      </c>
      <c r="BC44" s="1052">
        <v>7</v>
      </c>
      <c r="BD44" s="1052">
        <v>0</v>
      </c>
      <c r="BE44" s="1052">
        <v>0</v>
      </c>
      <c r="BF44" s="1052">
        <v>0</v>
      </c>
      <c r="BG44" s="1052">
        <v>0</v>
      </c>
      <c r="BH44" s="1052">
        <v>0</v>
      </c>
      <c r="BI44" s="1052">
        <v>0</v>
      </c>
      <c r="BJ44" s="1052">
        <v>0</v>
      </c>
      <c r="BK44" s="1052">
        <v>0</v>
      </c>
      <c r="BL44" s="1052">
        <v>12000</v>
      </c>
      <c r="BM44" s="1052">
        <v>0</v>
      </c>
      <c r="BN44" s="1052">
        <v>0</v>
      </c>
      <c r="BO44" s="1052">
        <v>871.54700000000003</v>
      </c>
      <c r="BR44" s="1140">
        <f t="shared" si="6"/>
        <v>0</v>
      </c>
      <c r="BS44" s="1140">
        <f t="shared" si="7"/>
        <v>3250000.0000000005</v>
      </c>
      <c r="BT44" s="1140">
        <f t="shared" si="8"/>
        <v>27777.777777777781</v>
      </c>
      <c r="BU44" s="1140">
        <f t="shared" si="9"/>
        <v>3277777.7777777785</v>
      </c>
      <c r="BV44" s="1140">
        <f t="shared" si="19"/>
        <v>0</v>
      </c>
      <c r="BW44" s="1140">
        <f t="shared" si="20"/>
        <v>0</v>
      </c>
      <c r="BX44" s="1140">
        <f t="shared" si="21"/>
        <v>0</v>
      </c>
      <c r="BY44" s="1140">
        <f t="shared" si="10"/>
        <v>0</v>
      </c>
      <c r="CA44" s="1140">
        <f t="shared" si="11"/>
        <v>0</v>
      </c>
      <c r="CB44" s="1140">
        <f t="shared" si="12"/>
        <v>0</v>
      </c>
      <c r="CC44" s="1140">
        <f t="shared" si="13"/>
        <v>0</v>
      </c>
      <c r="CD44" s="1140">
        <f t="shared" si="14"/>
        <v>0</v>
      </c>
      <c r="CE44" s="1140">
        <f t="shared" si="15"/>
        <v>0</v>
      </c>
      <c r="CF44" s="1140">
        <f t="shared" si="16"/>
        <v>0</v>
      </c>
      <c r="CG44" s="1140">
        <f t="shared" si="17"/>
        <v>0</v>
      </c>
      <c r="CH44" s="1140">
        <f t="shared" si="18"/>
        <v>0</v>
      </c>
    </row>
    <row r="45" spans="1:87" ht="15" customHeight="1" x14ac:dyDescent="0.2">
      <c r="A45" s="1052">
        <v>552</v>
      </c>
      <c r="B45" s="1052"/>
      <c r="C45" s="1053" t="s">
        <v>26</v>
      </c>
      <c r="D45" s="1054" t="s">
        <v>26</v>
      </c>
      <c r="E45" s="1055">
        <f t="shared" si="0"/>
        <v>297235.71799999999</v>
      </c>
      <c r="F45" s="1055">
        <v>0</v>
      </c>
      <c r="G45" s="1056">
        <f t="shared" si="1"/>
        <v>297235.71799999999</v>
      </c>
      <c r="H45" s="1053" t="s">
        <v>10</v>
      </c>
      <c r="I45" s="1054" t="s">
        <v>1416</v>
      </c>
      <c r="J45" s="1054" t="s">
        <v>10</v>
      </c>
      <c r="K45" s="1054" t="s">
        <v>28</v>
      </c>
      <c r="L45" s="1054" t="s">
        <v>10</v>
      </c>
      <c r="M45" s="1057">
        <v>0</v>
      </c>
      <c r="N45" s="1057">
        <v>0.88600000000000001</v>
      </c>
      <c r="O45" s="1057">
        <v>0.90900000000000003</v>
      </c>
      <c r="P45" s="1057">
        <v>0.90300000000000002</v>
      </c>
      <c r="Q45" s="1057">
        <v>0.90500000000000003</v>
      </c>
      <c r="R45" s="1057">
        <v>988224</v>
      </c>
      <c r="S45" s="1057">
        <v>853145</v>
      </c>
      <c r="T45" s="1058">
        <f t="shared" si="2"/>
        <v>293996.64</v>
      </c>
      <c r="U45" s="1057">
        <v>497632</v>
      </c>
      <c r="V45" s="1057">
        <v>355513</v>
      </c>
      <c r="W45" s="1057">
        <v>5500</v>
      </c>
      <c r="X45" s="1057">
        <v>0</v>
      </c>
      <c r="Y45" s="1057">
        <v>0</v>
      </c>
      <c r="Z45" s="1057">
        <v>0</v>
      </c>
      <c r="AA45" s="1057">
        <v>1147141.6399999999</v>
      </c>
      <c r="AB45" s="1057">
        <v>293996.64</v>
      </c>
      <c r="AC45" s="1057">
        <v>853145</v>
      </c>
      <c r="AD45" s="1057">
        <v>0</v>
      </c>
      <c r="AE45" s="1057">
        <v>0</v>
      </c>
      <c r="AF45" s="1057">
        <v>0</v>
      </c>
      <c r="AG45" s="1057">
        <v>853145</v>
      </c>
      <c r="AH45" s="1057">
        <v>0</v>
      </c>
      <c r="AI45" s="1057">
        <v>0</v>
      </c>
      <c r="AJ45" s="1053" t="s">
        <v>900</v>
      </c>
      <c r="AK45" s="1053" t="s">
        <v>907</v>
      </c>
      <c r="AL45" s="1054" t="s">
        <v>1416</v>
      </c>
      <c r="AM45" s="1053" t="s">
        <v>10</v>
      </c>
      <c r="AN45" s="1054" t="s">
        <v>26</v>
      </c>
      <c r="AO45" s="1054">
        <v>293996.64</v>
      </c>
      <c r="AP45" s="1059">
        <f t="shared" si="23"/>
        <v>252.50659999999999</v>
      </c>
      <c r="AQ45" s="1059">
        <f t="shared" si="5"/>
        <v>260.50659999999999</v>
      </c>
      <c r="AR45" s="1052">
        <v>0</v>
      </c>
      <c r="AS45" s="1052">
        <v>0</v>
      </c>
      <c r="AT45" s="1052">
        <v>186</v>
      </c>
      <c r="AU45" s="1052">
        <v>2</v>
      </c>
      <c r="AV45" s="1052">
        <v>0</v>
      </c>
      <c r="AW45" s="1052">
        <v>0</v>
      </c>
      <c r="AX45" s="1052">
        <v>0</v>
      </c>
      <c r="AY45" s="1052">
        <v>0</v>
      </c>
      <c r="AZ45" s="1052">
        <v>0</v>
      </c>
      <c r="BA45" s="1052">
        <v>0</v>
      </c>
      <c r="BB45" s="1052">
        <v>8</v>
      </c>
      <c r="BC45" s="1052">
        <v>0</v>
      </c>
      <c r="BD45" s="1052">
        <v>0</v>
      </c>
      <c r="BE45" s="1052">
        <v>0</v>
      </c>
      <c r="BF45" s="1052">
        <v>0</v>
      </c>
      <c r="BG45" s="1052">
        <v>0</v>
      </c>
      <c r="BH45" s="1052">
        <v>0</v>
      </c>
      <c r="BI45" s="1052">
        <v>0</v>
      </c>
      <c r="BJ45" s="1052">
        <v>0</v>
      </c>
      <c r="BK45" s="1052">
        <v>0</v>
      </c>
      <c r="BL45" s="1052">
        <v>0</v>
      </c>
      <c r="BM45" s="1052">
        <v>0</v>
      </c>
      <c r="BN45" s="1052">
        <v>0</v>
      </c>
      <c r="BO45" s="1052">
        <v>645.06600000000003</v>
      </c>
      <c r="BR45" s="1140">
        <f t="shared" si="6"/>
        <v>0</v>
      </c>
      <c r="BS45" s="1140">
        <f t="shared" si="7"/>
        <v>2583333.3333333335</v>
      </c>
      <c r="BT45" s="1140">
        <f t="shared" si="8"/>
        <v>27777.777777777781</v>
      </c>
      <c r="BU45" s="1140">
        <f t="shared" si="9"/>
        <v>2611111.1111111115</v>
      </c>
      <c r="BV45" s="1140">
        <f t="shared" si="19"/>
        <v>0</v>
      </c>
      <c r="BW45" s="1140">
        <f t="shared" si="20"/>
        <v>0</v>
      </c>
      <c r="BX45" s="1140">
        <f t="shared" si="21"/>
        <v>0</v>
      </c>
      <c r="BY45" s="1140">
        <f t="shared" si="10"/>
        <v>0</v>
      </c>
      <c r="CA45" s="1140">
        <f t="shared" si="11"/>
        <v>0</v>
      </c>
      <c r="CB45" s="1140">
        <f t="shared" si="12"/>
        <v>2583333.3333333335</v>
      </c>
      <c r="CC45" s="1140">
        <f t="shared" si="13"/>
        <v>27777.777777777781</v>
      </c>
      <c r="CD45" s="1140">
        <f t="shared" si="14"/>
        <v>2611111.1111111115</v>
      </c>
      <c r="CE45" s="1140">
        <f t="shared" si="15"/>
        <v>0</v>
      </c>
      <c r="CF45" s="1140">
        <f t="shared" si="16"/>
        <v>0</v>
      </c>
      <c r="CG45" s="1140">
        <f t="shared" si="17"/>
        <v>0</v>
      </c>
      <c r="CH45" s="1140">
        <f t="shared" si="18"/>
        <v>0</v>
      </c>
    </row>
    <row r="46" spans="1:87" ht="15" customHeight="1" x14ac:dyDescent="0.2">
      <c r="A46" s="1052">
        <v>549</v>
      </c>
      <c r="B46" s="1052" t="s">
        <v>1412</v>
      </c>
      <c r="C46" s="1053" t="s">
        <v>29</v>
      </c>
      <c r="D46" s="1054" t="s">
        <v>29</v>
      </c>
      <c r="E46" s="1055">
        <f t="shared" si="0"/>
        <v>362238.44799999997</v>
      </c>
      <c r="F46" s="1055">
        <v>392500</v>
      </c>
      <c r="G46" s="1056">
        <f t="shared" si="1"/>
        <v>754738.44799999997</v>
      </c>
      <c r="H46" s="1053" t="s">
        <v>10</v>
      </c>
      <c r="I46" s="1054" t="s">
        <v>1416</v>
      </c>
      <c r="J46" s="1054" t="s">
        <v>1412</v>
      </c>
      <c r="K46" s="1054" t="s">
        <v>32</v>
      </c>
      <c r="L46" s="1054" t="s">
        <v>1412</v>
      </c>
      <c r="M46" s="1057">
        <v>120</v>
      </c>
      <c r="N46" s="1057">
        <v>0.878</v>
      </c>
      <c r="O46" s="1057">
        <v>0.878</v>
      </c>
      <c r="P46" s="1057">
        <v>0.90300000000000002</v>
      </c>
      <c r="Q46" s="1057">
        <v>0.90500000000000003</v>
      </c>
      <c r="R46" s="1057">
        <v>1134980</v>
      </c>
      <c r="S46" s="1057">
        <v>1039720</v>
      </c>
      <c r="T46" s="1058">
        <f t="shared" si="2"/>
        <v>337656.55</v>
      </c>
      <c r="U46" s="1057">
        <v>631556</v>
      </c>
      <c r="V46" s="1057">
        <v>408164</v>
      </c>
      <c r="W46" s="1057">
        <v>4800</v>
      </c>
      <c r="X46" s="1057">
        <v>730156.55</v>
      </c>
      <c r="Y46" s="1057">
        <v>337656.55</v>
      </c>
      <c r="Z46" s="1057">
        <v>392500</v>
      </c>
      <c r="AA46" s="1057">
        <v>647220</v>
      </c>
      <c r="AB46" s="1057">
        <v>0</v>
      </c>
      <c r="AC46" s="1057">
        <v>647220</v>
      </c>
      <c r="AD46" s="1057">
        <v>392500</v>
      </c>
      <c r="AE46" s="1057">
        <v>0</v>
      </c>
      <c r="AF46" s="1057">
        <v>647220</v>
      </c>
      <c r="AG46" s="1057">
        <v>0</v>
      </c>
      <c r="AH46" s="1057">
        <v>1026000</v>
      </c>
      <c r="AI46" s="1057">
        <v>475000</v>
      </c>
      <c r="AJ46" s="1053" t="s">
        <v>914</v>
      </c>
      <c r="AK46" s="1053" t="s">
        <v>920</v>
      </c>
      <c r="AL46" s="1054" t="s">
        <v>1416</v>
      </c>
      <c r="AM46" s="1053" t="s">
        <v>10</v>
      </c>
      <c r="AN46" s="1054" t="s">
        <v>29</v>
      </c>
      <c r="AO46" s="1054">
        <v>730156.55</v>
      </c>
      <c r="AP46" s="1059">
        <f t="shared" si="23"/>
        <v>544.82719999999995</v>
      </c>
      <c r="AQ46" s="1059">
        <f t="shared" si="5"/>
        <v>590.82719999999995</v>
      </c>
      <c r="AR46" s="1052">
        <v>273</v>
      </c>
      <c r="AS46" s="1052">
        <v>475</v>
      </c>
      <c r="AT46" s="1052">
        <v>119</v>
      </c>
      <c r="AU46" s="1052">
        <v>0</v>
      </c>
      <c r="AV46" s="1052">
        <v>0</v>
      </c>
      <c r="AW46" s="1052">
        <v>0</v>
      </c>
      <c r="AX46" s="1052">
        <v>0</v>
      </c>
      <c r="AY46" s="1052">
        <v>0</v>
      </c>
      <c r="AZ46" s="1052">
        <v>8</v>
      </c>
      <c r="BA46" s="1052">
        <v>23</v>
      </c>
      <c r="BB46" s="1052">
        <v>46</v>
      </c>
      <c r="BC46" s="1052">
        <v>0</v>
      </c>
      <c r="BD46" s="1052">
        <v>19</v>
      </c>
      <c r="BE46" s="1052">
        <v>0</v>
      </c>
      <c r="BF46" s="1052">
        <v>0</v>
      </c>
      <c r="BG46" s="1052">
        <v>0</v>
      </c>
      <c r="BH46" s="1052">
        <v>40</v>
      </c>
      <c r="BI46" s="1052">
        <v>1</v>
      </c>
      <c r="BJ46" s="1052">
        <v>0</v>
      </c>
      <c r="BK46" s="1052">
        <v>0</v>
      </c>
      <c r="BL46" s="1052">
        <v>0</v>
      </c>
      <c r="BM46" s="1052">
        <v>0</v>
      </c>
      <c r="BN46" s="1052">
        <v>0</v>
      </c>
      <c r="BO46" s="1052">
        <v>858.27200000000005</v>
      </c>
      <c r="BR46" s="1140">
        <f t="shared" si="6"/>
        <v>3791666.666666667</v>
      </c>
      <c r="BS46" s="1140">
        <f t="shared" si="7"/>
        <v>1652777.777777778</v>
      </c>
      <c r="BT46" s="1140">
        <f t="shared" si="8"/>
        <v>0</v>
      </c>
      <c r="BU46" s="1140">
        <f t="shared" si="9"/>
        <v>5444444.444444445</v>
      </c>
      <c r="BV46" s="1140">
        <f t="shared" si="19"/>
        <v>0</v>
      </c>
      <c r="BW46" s="1140">
        <f t="shared" si="20"/>
        <v>0</v>
      </c>
      <c r="BX46" s="1140">
        <f t="shared" si="21"/>
        <v>0</v>
      </c>
      <c r="BY46" s="1140">
        <f t="shared" si="10"/>
        <v>0</v>
      </c>
      <c r="CA46" s="1140">
        <f t="shared" si="11"/>
        <v>3791666.666666667</v>
      </c>
      <c r="CB46" s="1140">
        <f t="shared" si="12"/>
        <v>1652777.777777778</v>
      </c>
      <c r="CC46" s="1140">
        <f t="shared" si="13"/>
        <v>0</v>
      </c>
      <c r="CD46" s="1140">
        <f t="shared" si="14"/>
        <v>5444444.444444445</v>
      </c>
      <c r="CE46" s="1140">
        <f t="shared" si="15"/>
        <v>0</v>
      </c>
      <c r="CF46" s="1140">
        <f t="shared" si="16"/>
        <v>0</v>
      </c>
      <c r="CG46" s="1140">
        <f t="shared" si="17"/>
        <v>0</v>
      </c>
      <c r="CH46" s="1140">
        <f t="shared" si="18"/>
        <v>0</v>
      </c>
    </row>
    <row r="47" spans="1:87" ht="15" customHeight="1" x14ac:dyDescent="0.2">
      <c r="A47" s="1052">
        <v>2315</v>
      </c>
      <c r="B47" s="1052"/>
      <c r="C47" s="1053" t="s">
        <v>34</v>
      </c>
      <c r="D47" s="1054" t="s">
        <v>34</v>
      </c>
      <c r="E47" s="1055">
        <f t="shared" si="0"/>
        <v>82122.660900000003</v>
      </c>
      <c r="F47" s="1055">
        <v>525332</v>
      </c>
      <c r="G47" s="1056">
        <f t="shared" si="1"/>
        <v>607454.66090000002</v>
      </c>
      <c r="H47" s="1053" t="s">
        <v>10</v>
      </c>
      <c r="I47" s="1054" t="s">
        <v>1512</v>
      </c>
      <c r="J47" s="1054" t="s">
        <v>10</v>
      </c>
      <c r="K47" s="1054" t="s">
        <v>36</v>
      </c>
      <c r="L47" s="1054" t="s">
        <v>1412</v>
      </c>
      <c r="M47" s="1057">
        <v>23</v>
      </c>
      <c r="N47" s="1057">
        <v>0.79600000000000004</v>
      </c>
      <c r="O47" s="1057">
        <v>0.77700000000000002</v>
      </c>
      <c r="P47" s="1057">
        <v>0.80800000000000005</v>
      </c>
      <c r="Q47" s="1057">
        <v>1</v>
      </c>
      <c r="R47" s="1057">
        <v>0</v>
      </c>
      <c r="S47" s="1057">
        <v>423531</v>
      </c>
      <c r="T47" s="1058">
        <f t="shared" si="2"/>
        <v>82122.660900000003</v>
      </c>
      <c r="U47" s="1057">
        <v>320402</v>
      </c>
      <c r="V47" s="1057">
        <v>103129</v>
      </c>
      <c r="W47" s="1057">
        <v>1487</v>
      </c>
      <c r="X47" s="1057">
        <v>607454.66090000002</v>
      </c>
      <c r="Y47" s="1057">
        <v>82122.660900000003</v>
      </c>
      <c r="Z47" s="1057">
        <v>525332</v>
      </c>
      <c r="AA47" s="1057">
        <v>-101801</v>
      </c>
      <c r="AB47" s="1057">
        <v>0</v>
      </c>
      <c r="AC47" s="1057">
        <v>-101801</v>
      </c>
      <c r="AD47" s="1057">
        <v>0</v>
      </c>
      <c r="AE47" s="1057">
        <v>525332</v>
      </c>
      <c r="AF47" s="1057">
        <v>0</v>
      </c>
      <c r="AG47" s="1057">
        <v>-101801</v>
      </c>
      <c r="AH47" s="1057">
        <v>0</v>
      </c>
      <c r="AI47" s="1057">
        <v>0</v>
      </c>
      <c r="AJ47" s="1053">
        <v>4</v>
      </c>
      <c r="AK47" s="1053" t="s">
        <v>899</v>
      </c>
      <c r="AL47" s="1054" t="s">
        <v>1512</v>
      </c>
      <c r="AM47" s="1053" t="s">
        <v>10</v>
      </c>
      <c r="AN47" s="1054" t="s">
        <v>34</v>
      </c>
      <c r="AO47" s="1054">
        <v>607454.66090000002</v>
      </c>
      <c r="AP47" s="1059">
        <f t="shared" si="23"/>
        <v>33</v>
      </c>
      <c r="AQ47" s="1059">
        <f t="shared" si="5"/>
        <v>35</v>
      </c>
      <c r="AR47" s="1052">
        <v>0</v>
      </c>
      <c r="AS47" s="1052">
        <v>0</v>
      </c>
      <c r="AT47" s="1052">
        <v>20</v>
      </c>
      <c r="AU47" s="1052">
        <v>9</v>
      </c>
      <c r="AV47" s="1052">
        <v>0</v>
      </c>
      <c r="AW47" s="1052">
        <v>0</v>
      </c>
      <c r="AX47" s="1052">
        <v>0</v>
      </c>
      <c r="AY47" s="1052">
        <v>4</v>
      </c>
      <c r="AZ47" s="1052">
        <v>0</v>
      </c>
      <c r="BA47" s="1052">
        <v>28</v>
      </c>
      <c r="BB47" s="1052">
        <v>2</v>
      </c>
      <c r="BC47" s="1052">
        <v>0</v>
      </c>
      <c r="BD47" s="1052">
        <v>0</v>
      </c>
      <c r="BE47" s="1052">
        <v>0</v>
      </c>
      <c r="BF47" s="1052">
        <v>0</v>
      </c>
      <c r="BG47" s="1052">
        <v>0</v>
      </c>
      <c r="BH47" s="1052">
        <v>0</v>
      </c>
      <c r="BI47" s="1052">
        <v>0</v>
      </c>
      <c r="BJ47" s="1052">
        <v>0</v>
      </c>
      <c r="BK47" s="1052">
        <v>0</v>
      </c>
      <c r="BL47" s="1052">
        <v>0</v>
      </c>
      <c r="BM47" s="1052">
        <v>0</v>
      </c>
      <c r="BN47" s="1052">
        <v>0</v>
      </c>
      <c r="BO47" s="1052">
        <v>0</v>
      </c>
      <c r="BR47" s="1140">
        <f t="shared" si="6"/>
        <v>0</v>
      </c>
      <c r="BS47" s="1140">
        <f t="shared" si="7"/>
        <v>277777.77777777781</v>
      </c>
      <c r="BT47" s="1140">
        <f t="shared" si="8"/>
        <v>125000.00000000001</v>
      </c>
      <c r="BU47" s="1140">
        <f t="shared" si="9"/>
        <v>402777.77777777781</v>
      </c>
      <c r="BV47" s="1140">
        <f t="shared" si="19"/>
        <v>0</v>
      </c>
      <c r="BW47" s="1140">
        <f t="shared" si="20"/>
        <v>0</v>
      </c>
      <c r="BX47" s="1140">
        <f t="shared" si="21"/>
        <v>800</v>
      </c>
      <c r="BY47" s="1140">
        <f t="shared" si="10"/>
        <v>800</v>
      </c>
      <c r="CA47" s="1140">
        <f t="shared" si="11"/>
        <v>0</v>
      </c>
      <c r="CB47" s="1140">
        <f t="shared" si="12"/>
        <v>277777.77777777781</v>
      </c>
      <c r="CC47" s="1140">
        <f t="shared" si="13"/>
        <v>125000.00000000001</v>
      </c>
      <c r="CD47" s="1140">
        <f t="shared" si="14"/>
        <v>402777.77777777781</v>
      </c>
      <c r="CE47" s="1140">
        <f t="shared" si="15"/>
        <v>0</v>
      </c>
      <c r="CF47" s="1140">
        <f t="shared" si="16"/>
        <v>0</v>
      </c>
      <c r="CG47" s="1140">
        <f t="shared" si="17"/>
        <v>800</v>
      </c>
      <c r="CH47" s="1140">
        <f t="shared" si="18"/>
        <v>800</v>
      </c>
    </row>
    <row r="48" spans="1:87" ht="15" customHeight="1" x14ac:dyDescent="0.2">
      <c r="A48" s="1052">
        <v>582</v>
      </c>
      <c r="B48" s="1052" t="s">
        <v>1412</v>
      </c>
      <c r="C48" s="1053" t="s">
        <v>37</v>
      </c>
      <c r="D48" s="1054" t="s">
        <v>37</v>
      </c>
      <c r="E48" s="1055">
        <f t="shared" si="0"/>
        <v>303619.45120000001</v>
      </c>
      <c r="F48" s="1055">
        <v>570437</v>
      </c>
      <c r="G48" s="1056">
        <f t="shared" si="1"/>
        <v>874056.45120000001</v>
      </c>
      <c r="H48" s="1053" t="s">
        <v>10</v>
      </c>
      <c r="I48" s="1054" t="s">
        <v>1416</v>
      </c>
      <c r="J48" s="1054" t="s">
        <v>1412</v>
      </c>
      <c r="K48" s="1054" t="s">
        <v>40</v>
      </c>
      <c r="L48" s="1054" t="s">
        <v>1412</v>
      </c>
      <c r="M48" s="1057">
        <v>110</v>
      </c>
      <c r="N48" s="1057">
        <v>0.81299999999999994</v>
      </c>
      <c r="O48" s="1057">
        <v>0.90600000000000003</v>
      </c>
      <c r="P48" s="1057">
        <v>0.90600000000000003</v>
      </c>
      <c r="Q48" s="1057">
        <v>0.90500000000000003</v>
      </c>
      <c r="R48" s="1057">
        <v>1132740</v>
      </c>
      <c r="S48" s="1057">
        <v>871468</v>
      </c>
      <c r="T48" s="1058">
        <f t="shared" si="2"/>
        <v>336990.14999999997</v>
      </c>
      <c r="U48" s="1057">
        <v>609669</v>
      </c>
      <c r="V48" s="1057">
        <v>261799</v>
      </c>
      <c r="W48" s="1057">
        <v>3500</v>
      </c>
      <c r="X48" s="1057">
        <v>907427.15</v>
      </c>
      <c r="Y48" s="1057">
        <v>336990.15</v>
      </c>
      <c r="Z48" s="1057">
        <v>570437</v>
      </c>
      <c r="AA48" s="1057">
        <v>301031</v>
      </c>
      <c r="AB48" s="1057">
        <v>0</v>
      </c>
      <c r="AC48" s="1057">
        <v>301031</v>
      </c>
      <c r="AD48" s="1057">
        <v>570437</v>
      </c>
      <c r="AE48" s="1057">
        <v>0</v>
      </c>
      <c r="AF48" s="1057">
        <v>301031</v>
      </c>
      <c r="AG48" s="1057">
        <v>0</v>
      </c>
      <c r="AH48" s="1057">
        <v>435000</v>
      </c>
      <c r="AI48" s="1057">
        <v>367000</v>
      </c>
      <c r="AJ48" s="1053">
        <v>4</v>
      </c>
      <c r="AK48" s="1053" t="s">
        <v>921</v>
      </c>
      <c r="AL48" s="1054" t="s">
        <v>1416</v>
      </c>
      <c r="AM48" s="1053" t="s">
        <v>10</v>
      </c>
      <c r="AN48" s="1054" t="s">
        <v>37</v>
      </c>
      <c r="AO48" s="1054">
        <v>907427.15</v>
      </c>
      <c r="AP48" s="1059">
        <f t="shared" si="23"/>
        <v>490.274</v>
      </c>
      <c r="AQ48" s="1059">
        <f t="shared" si="5"/>
        <v>510.274</v>
      </c>
      <c r="AR48" s="1052">
        <v>168</v>
      </c>
      <c r="AS48" s="1052">
        <v>367</v>
      </c>
      <c r="AT48" s="1052">
        <v>103</v>
      </c>
      <c r="AU48" s="1052">
        <v>0</v>
      </c>
      <c r="AV48" s="1052">
        <v>9</v>
      </c>
      <c r="AW48" s="1052">
        <v>15</v>
      </c>
      <c r="AX48" s="1052">
        <v>0</v>
      </c>
      <c r="AY48" s="1052">
        <v>0</v>
      </c>
      <c r="AZ48" s="1052">
        <v>14</v>
      </c>
      <c r="BA48" s="1052">
        <v>5</v>
      </c>
      <c r="BB48" s="1052">
        <v>20</v>
      </c>
      <c r="BC48" s="1052">
        <v>0</v>
      </c>
      <c r="BD48" s="1052">
        <v>92</v>
      </c>
      <c r="BE48" s="1052">
        <v>0</v>
      </c>
      <c r="BF48" s="1052">
        <v>0</v>
      </c>
      <c r="BG48" s="1052">
        <v>0</v>
      </c>
      <c r="BH48" s="1052">
        <v>94</v>
      </c>
      <c r="BI48" s="1052">
        <v>0</v>
      </c>
      <c r="BJ48" s="1052">
        <v>0</v>
      </c>
      <c r="BK48" s="1052">
        <v>0</v>
      </c>
      <c r="BL48" s="1052">
        <v>10274</v>
      </c>
      <c r="BM48" s="1052">
        <v>0</v>
      </c>
      <c r="BN48" s="1052">
        <v>0</v>
      </c>
      <c r="BO48" s="1052">
        <v>0</v>
      </c>
      <c r="BR48" s="1140">
        <f t="shared" si="6"/>
        <v>2333333.3333333335</v>
      </c>
      <c r="BS48" s="1140">
        <f t="shared" si="7"/>
        <v>1430555.5555555557</v>
      </c>
      <c r="BT48" s="1140">
        <f t="shared" si="8"/>
        <v>0</v>
      </c>
      <c r="BU48" s="1140">
        <f t="shared" si="9"/>
        <v>3763888.888888889</v>
      </c>
      <c r="BV48" s="1140">
        <f t="shared" si="19"/>
        <v>1800</v>
      </c>
      <c r="BW48" s="1140">
        <f t="shared" si="20"/>
        <v>0</v>
      </c>
      <c r="BX48" s="1140">
        <f t="shared" si="21"/>
        <v>0</v>
      </c>
      <c r="BY48" s="1140">
        <f t="shared" si="10"/>
        <v>1800</v>
      </c>
      <c r="CA48" s="1140">
        <f t="shared" si="11"/>
        <v>2333333.3333333335</v>
      </c>
      <c r="CB48" s="1140">
        <f t="shared" si="12"/>
        <v>1430555.5555555557</v>
      </c>
      <c r="CC48" s="1140">
        <f t="shared" si="13"/>
        <v>0</v>
      </c>
      <c r="CD48" s="1140">
        <f t="shared" si="14"/>
        <v>3763888.888888889</v>
      </c>
      <c r="CE48" s="1140">
        <f t="shared" si="15"/>
        <v>1800</v>
      </c>
      <c r="CF48" s="1140">
        <f t="shared" si="16"/>
        <v>0</v>
      </c>
      <c r="CG48" s="1140">
        <f t="shared" si="17"/>
        <v>0</v>
      </c>
      <c r="CH48" s="1140">
        <f t="shared" si="18"/>
        <v>1800</v>
      </c>
    </row>
    <row r="49" spans="1:206" ht="15" customHeight="1" x14ac:dyDescent="0.2">
      <c r="A49" s="1052">
        <v>584</v>
      </c>
      <c r="B49" s="1052"/>
      <c r="C49" s="1053" t="s">
        <v>669</v>
      </c>
      <c r="D49" s="1054" t="s">
        <v>669</v>
      </c>
      <c r="E49" s="1055">
        <f t="shared" si="0"/>
        <v>53042.702299999997</v>
      </c>
      <c r="F49" s="1055">
        <v>0</v>
      </c>
      <c r="G49" s="1056">
        <f t="shared" si="1"/>
        <v>53042.702299999997</v>
      </c>
      <c r="H49" s="1053" t="s">
        <v>1417</v>
      </c>
      <c r="I49" s="1054" t="s">
        <v>1512</v>
      </c>
      <c r="J49" s="1054" t="s">
        <v>10</v>
      </c>
      <c r="K49" s="1054" t="s">
        <v>1545</v>
      </c>
      <c r="L49" s="1054" t="s">
        <v>10</v>
      </c>
      <c r="M49" s="1057">
        <v>15</v>
      </c>
      <c r="N49" s="1057">
        <v>0.59399999999999997</v>
      </c>
      <c r="O49" s="1057">
        <v>0.57599999999999996</v>
      </c>
      <c r="P49" s="1057">
        <v>0.501</v>
      </c>
      <c r="Q49" s="1057">
        <v>0.62</v>
      </c>
      <c r="R49" s="1057">
        <v>0</v>
      </c>
      <c r="S49" s="1057">
        <v>273557</v>
      </c>
      <c r="T49" s="1058">
        <f t="shared" si="2"/>
        <v>53042.702299999997</v>
      </c>
      <c r="U49" s="1057">
        <v>229188</v>
      </c>
      <c r="V49" s="1057">
        <v>44369</v>
      </c>
      <c r="W49" s="1057">
        <v>1400</v>
      </c>
      <c r="X49" s="1057">
        <v>0</v>
      </c>
      <c r="Y49" s="1057">
        <v>0</v>
      </c>
      <c r="Z49" s="1057">
        <v>0</v>
      </c>
      <c r="AA49" s="1057">
        <v>326599.7023</v>
      </c>
      <c r="AB49" s="1057">
        <v>53042.702299999997</v>
      </c>
      <c r="AC49" s="1057">
        <v>273557</v>
      </c>
      <c r="AD49" s="1057">
        <v>0</v>
      </c>
      <c r="AE49" s="1057">
        <v>0</v>
      </c>
      <c r="AF49" s="1057">
        <v>0</v>
      </c>
      <c r="AG49" s="1057">
        <v>273557</v>
      </c>
      <c r="AH49" s="1057">
        <v>0</v>
      </c>
      <c r="AI49" s="1057">
        <v>0</v>
      </c>
      <c r="AJ49" s="1053">
        <v>4</v>
      </c>
      <c r="AK49" s="1053" t="s">
        <v>899</v>
      </c>
      <c r="AL49" s="1054" t="s">
        <v>1512</v>
      </c>
      <c r="AM49" s="1053" t="s">
        <v>1417</v>
      </c>
      <c r="AN49" s="1054" t="s">
        <v>669</v>
      </c>
      <c r="AO49" s="1054">
        <v>53042.702299999997</v>
      </c>
      <c r="AP49" s="1059">
        <f t="shared" si="23"/>
        <v>26</v>
      </c>
      <c r="AQ49" s="1059">
        <f t="shared" si="5"/>
        <v>28</v>
      </c>
      <c r="AR49" s="1052">
        <v>0</v>
      </c>
      <c r="AS49" s="1052">
        <v>0</v>
      </c>
      <c r="AT49" s="1052">
        <v>11</v>
      </c>
      <c r="AU49" s="1052">
        <v>11</v>
      </c>
      <c r="AV49" s="1052">
        <v>0</v>
      </c>
      <c r="AW49" s="1052">
        <v>0</v>
      </c>
      <c r="AX49" s="1052">
        <v>0</v>
      </c>
      <c r="AY49" s="1052">
        <v>4</v>
      </c>
      <c r="AZ49" s="1052">
        <v>0</v>
      </c>
      <c r="BA49" s="1052">
        <v>5</v>
      </c>
      <c r="BB49" s="1052">
        <v>2</v>
      </c>
      <c r="BC49" s="1052">
        <v>0</v>
      </c>
      <c r="BD49" s="1052">
        <v>0</v>
      </c>
      <c r="BE49" s="1052">
        <v>0</v>
      </c>
      <c r="BF49" s="1052">
        <v>0</v>
      </c>
      <c r="BG49" s="1052">
        <v>0</v>
      </c>
      <c r="BH49" s="1052">
        <v>0</v>
      </c>
      <c r="BI49" s="1052">
        <v>0</v>
      </c>
      <c r="BJ49" s="1052">
        <v>0</v>
      </c>
      <c r="BK49" s="1052">
        <v>0</v>
      </c>
      <c r="BL49" s="1052">
        <v>0</v>
      </c>
      <c r="BM49" s="1052">
        <v>0</v>
      </c>
      <c r="BN49" s="1052">
        <v>0</v>
      </c>
      <c r="BO49" s="1052">
        <v>0</v>
      </c>
      <c r="BR49" s="1140">
        <f t="shared" si="6"/>
        <v>0</v>
      </c>
      <c r="BS49" s="1140">
        <f t="shared" si="7"/>
        <v>152777.77777777778</v>
      </c>
      <c r="BT49" s="1140">
        <f t="shared" si="8"/>
        <v>152777.77777777778</v>
      </c>
      <c r="BU49" s="1140">
        <f t="shared" si="9"/>
        <v>305555.55555555556</v>
      </c>
      <c r="BV49" s="1140">
        <f t="shared" si="19"/>
        <v>0</v>
      </c>
      <c r="BW49" s="1140">
        <f t="shared" si="20"/>
        <v>0</v>
      </c>
      <c r="BX49" s="1140">
        <f t="shared" si="21"/>
        <v>800</v>
      </c>
      <c r="BY49" s="1140">
        <f t="shared" si="10"/>
        <v>800</v>
      </c>
      <c r="CA49" s="1140">
        <f t="shared" si="11"/>
        <v>0</v>
      </c>
      <c r="CB49" s="1140">
        <f t="shared" si="12"/>
        <v>0</v>
      </c>
      <c r="CC49" s="1140">
        <f t="shared" si="13"/>
        <v>0</v>
      </c>
      <c r="CD49" s="1140">
        <f t="shared" si="14"/>
        <v>0</v>
      </c>
      <c r="CE49" s="1140">
        <f t="shared" si="15"/>
        <v>0</v>
      </c>
      <c r="CF49" s="1140">
        <f t="shared" si="16"/>
        <v>0</v>
      </c>
      <c r="CG49" s="1140">
        <f t="shared" si="17"/>
        <v>800</v>
      </c>
      <c r="CH49" s="1140">
        <f t="shared" si="18"/>
        <v>800</v>
      </c>
    </row>
    <row r="50" spans="1:206" ht="15" customHeight="1" x14ac:dyDescent="0.2">
      <c r="A50" s="1052">
        <v>8287</v>
      </c>
      <c r="B50" s="1052"/>
      <c r="C50" s="1053" t="s">
        <v>43</v>
      </c>
      <c r="D50" s="1054" t="s">
        <v>43</v>
      </c>
      <c r="E50" s="1055">
        <f t="shared" si="0"/>
        <v>148151.17720000001</v>
      </c>
      <c r="F50" s="1055">
        <v>172758</v>
      </c>
      <c r="G50" s="1056">
        <f t="shared" si="1"/>
        <v>320909.17720000003</v>
      </c>
      <c r="H50" s="1053" t="s">
        <v>10</v>
      </c>
      <c r="I50" s="1054" t="s">
        <v>1416</v>
      </c>
      <c r="J50" s="1054" t="s">
        <v>1417</v>
      </c>
      <c r="K50" s="1054" t="s">
        <v>45</v>
      </c>
      <c r="L50" s="1054" t="s">
        <v>1412</v>
      </c>
      <c r="M50" s="1057">
        <v>66</v>
      </c>
      <c r="N50" s="1057">
        <v>0.77800000000000002</v>
      </c>
      <c r="O50" s="1057">
        <v>0.77100000000000002</v>
      </c>
      <c r="P50" s="1057">
        <v>0.71</v>
      </c>
      <c r="Q50" s="1057">
        <v>0.745</v>
      </c>
      <c r="R50" s="1057">
        <v>537158</v>
      </c>
      <c r="S50" s="1057">
        <v>425233</v>
      </c>
      <c r="T50" s="1058">
        <f t="shared" si="2"/>
        <v>159804.505</v>
      </c>
      <c r="U50" s="1057">
        <v>302495</v>
      </c>
      <c r="V50" s="1057">
        <v>122738</v>
      </c>
      <c r="W50" s="1057">
        <v>2275</v>
      </c>
      <c r="X50" s="1057">
        <v>332562.505</v>
      </c>
      <c r="Y50" s="1057">
        <v>159804.505</v>
      </c>
      <c r="Z50" s="1057">
        <v>172758</v>
      </c>
      <c r="AA50" s="1057">
        <v>252475</v>
      </c>
      <c r="AB50" s="1057">
        <v>0</v>
      </c>
      <c r="AC50" s="1057">
        <v>252475</v>
      </c>
      <c r="AD50" s="1057">
        <v>0</v>
      </c>
      <c r="AE50" s="1057">
        <v>172758</v>
      </c>
      <c r="AF50" s="1057">
        <v>0</v>
      </c>
      <c r="AG50" s="1057">
        <v>252475</v>
      </c>
      <c r="AH50" s="1057">
        <v>0</v>
      </c>
      <c r="AI50" s="1057">
        <v>0</v>
      </c>
      <c r="AJ50" s="1053" t="s">
        <v>900</v>
      </c>
      <c r="AK50" s="1053" t="s">
        <v>907</v>
      </c>
      <c r="AL50" s="1054" t="s">
        <v>1416</v>
      </c>
      <c r="AM50" s="1053" t="s">
        <v>10</v>
      </c>
      <c r="AN50" s="1054" t="s">
        <v>43</v>
      </c>
      <c r="AO50" s="1054">
        <v>332562.505</v>
      </c>
      <c r="AP50" s="1059">
        <f t="shared" si="23"/>
        <v>273.56049999999999</v>
      </c>
      <c r="AQ50" s="1059">
        <f t="shared" si="5"/>
        <v>330.56049999999999</v>
      </c>
      <c r="AR50" s="1052">
        <v>147</v>
      </c>
      <c r="AS50" s="1052">
        <v>0</v>
      </c>
      <c r="AT50" s="1052">
        <v>35</v>
      </c>
      <c r="AU50" s="1052">
        <v>4</v>
      </c>
      <c r="AV50" s="1052">
        <v>0</v>
      </c>
      <c r="AW50" s="1052">
        <v>0</v>
      </c>
      <c r="AX50" s="1052">
        <v>0</v>
      </c>
      <c r="AY50" s="1052">
        <v>0</v>
      </c>
      <c r="AZ50" s="1052">
        <v>0</v>
      </c>
      <c r="BA50" s="1052">
        <v>0</v>
      </c>
      <c r="BB50" s="1052">
        <v>57</v>
      </c>
      <c r="BC50" s="1052">
        <v>0</v>
      </c>
      <c r="BD50" s="1052">
        <v>11</v>
      </c>
      <c r="BE50" s="1052">
        <v>1</v>
      </c>
      <c r="BF50" s="1052">
        <v>0</v>
      </c>
      <c r="BG50" s="1052">
        <v>0</v>
      </c>
      <c r="BH50" s="1052">
        <v>3</v>
      </c>
      <c r="BI50" s="1052">
        <v>0</v>
      </c>
      <c r="BJ50" s="1052">
        <v>0</v>
      </c>
      <c r="BK50" s="1052">
        <v>0</v>
      </c>
      <c r="BL50" s="1052">
        <v>0</v>
      </c>
      <c r="BM50" s="1052">
        <v>37550</v>
      </c>
      <c r="BN50" s="1052">
        <v>0</v>
      </c>
      <c r="BO50" s="1052">
        <v>360.10500000000002</v>
      </c>
      <c r="BR50" s="1140">
        <f t="shared" si="6"/>
        <v>2041666.6666666667</v>
      </c>
      <c r="BS50" s="1140">
        <f t="shared" si="7"/>
        <v>486111.11111111112</v>
      </c>
      <c r="BT50" s="1140">
        <f t="shared" si="8"/>
        <v>55555.555555555562</v>
      </c>
      <c r="BU50" s="1140">
        <f t="shared" si="9"/>
        <v>2583333.3333333335</v>
      </c>
      <c r="BV50" s="1140">
        <f t="shared" si="19"/>
        <v>0</v>
      </c>
      <c r="BW50" s="1140">
        <f t="shared" si="20"/>
        <v>0</v>
      </c>
      <c r="BX50" s="1140">
        <f t="shared" si="21"/>
        <v>0</v>
      </c>
      <c r="BY50" s="1140">
        <f t="shared" si="10"/>
        <v>0</v>
      </c>
      <c r="CA50" s="1140">
        <f t="shared" si="11"/>
        <v>2041666.6666666667</v>
      </c>
      <c r="CB50" s="1140">
        <f t="shared" si="12"/>
        <v>486111.11111111112</v>
      </c>
      <c r="CC50" s="1140">
        <f t="shared" si="13"/>
        <v>55555.555555555562</v>
      </c>
      <c r="CD50" s="1140">
        <f t="shared" si="14"/>
        <v>2583333.3333333335</v>
      </c>
      <c r="CE50" s="1140">
        <f t="shared" si="15"/>
        <v>0</v>
      </c>
      <c r="CF50" s="1140">
        <f t="shared" si="16"/>
        <v>0</v>
      </c>
      <c r="CG50" s="1140">
        <f t="shared" si="17"/>
        <v>0</v>
      </c>
      <c r="CH50" s="1140">
        <f t="shared" si="18"/>
        <v>0</v>
      </c>
    </row>
    <row r="51" spans="1:206" ht="15" customHeight="1" x14ac:dyDescent="0.2">
      <c r="A51" s="1052">
        <v>735</v>
      </c>
      <c r="B51" s="1052" t="s">
        <v>1412</v>
      </c>
      <c r="C51" s="1053" t="s">
        <v>46</v>
      </c>
      <c r="D51" s="1054" t="s">
        <v>46</v>
      </c>
      <c r="E51" s="1055">
        <f t="shared" si="0"/>
        <v>486219.02679999999</v>
      </c>
      <c r="F51" s="1055">
        <v>0</v>
      </c>
      <c r="G51" s="1056">
        <f t="shared" si="1"/>
        <v>486219.02679999999</v>
      </c>
      <c r="H51" s="1053" t="s">
        <v>1417</v>
      </c>
      <c r="I51" s="1054" t="s">
        <v>1416</v>
      </c>
      <c r="J51" s="1054" t="s">
        <v>1417</v>
      </c>
      <c r="K51" s="1054" t="s">
        <v>1552</v>
      </c>
      <c r="L51" s="1054" t="s">
        <v>10</v>
      </c>
      <c r="M51" s="1057">
        <v>0</v>
      </c>
      <c r="N51" s="1057">
        <v>0.91400000000000003</v>
      </c>
      <c r="O51" s="1057">
        <v>0.92400000000000004</v>
      </c>
      <c r="P51" s="1057">
        <v>0.89900000000000002</v>
      </c>
      <c r="Q51" s="1057">
        <v>0.91</v>
      </c>
      <c r="R51" s="1057">
        <v>1461040</v>
      </c>
      <c r="S51" s="1057">
        <v>1395577</v>
      </c>
      <c r="T51" s="1058">
        <f t="shared" si="2"/>
        <v>434659.39999999997</v>
      </c>
      <c r="U51" s="1057">
        <v>1062072</v>
      </c>
      <c r="V51" s="1057">
        <v>333505</v>
      </c>
      <c r="W51" s="1057">
        <v>7800</v>
      </c>
      <c r="X51" s="1057">
        <v>0</v>
      </c>
      <c r="Y51" s="1057">
        <v>0</v>
      </c>
      <c r="Z51" s="1057">
        <v>0</v>
      </c>
      <c r="AA51" s="1057">
        <v>1830236.4</v>
      </c>
      <c r="AB51" s="1057">
        <v>434659.4</v>
      </c>
      <c r="AC51" s="1057">
        <v>1395577</v>
      </c>
      <c r="AD51" s="1057">
        <v>0</v>
      </c>
      <c r="AE51" s="1057">
        <v>0</v>
      </c>
      <c r="AF51" s="1057">
        <v>0</v>
      </c>
      <c r="AG51" s="1057">
        <v>1395577</v>
      </c>
      <c r="AH51" s="1057">
        <v>0</v>
      </c>
      <c r="AI51" s="1057">
        <v>0</v>
      </c>
      <c r="AJ51" s="1053" t="s">
        <v>900</v>
      </c>
      <c r="AK51" s="1053" t="s">
        <v>907</v>
      </c>
      <c r="AL51" s="1054" t="s">
        <v>1416</v>
      </c>
      <c r="AM51" s="1053" t="s">
        <v>1417</v>
      </c>
      <c r="AN51" s="1054" t="s">
        <v>46</v>
      </c>
      <c r="AO51" s="1054">
        <v>434659.4</v>
      </c>
      <c r="AP51" s="1059">
        <f t="shared" si="23"/>
        <v>555.72</v>
      </c>
      <c r="AQ51" s="1059">
        <f t="shared" si="5"/>
        <v>588.72</v>
      </c>
      <c r="AR51" s="1052">
        <v>0</v>
      </c>
      <c r="AS51" s="1052">
        <v>0</v>
      </c>
      <c r="AT51" s="1052">
        <v>469</v>
      </c>
      <c r="AU51" s="1052">
        <v>0</v>
      </c>
      <c r="AV51" s="1052">
        <v>0</v>
      </c>
      <c r="AW51" s="1052">
        <v>0</v>
      </c>
      <c r="AX51" s="1052">
        <v>0</v>
      </c>
      <c r="AY51" s="1052">
        <v>0</v>
      </c>
      <c r="AZ51" s="1052">
        <v>0</v>
      </c>
      <c r="BA51" s="1052">
        <v>0</v>
      </c>
      <c r="BB51" s="1052">
        <v>33</v>
      </c>
      <c r="BC51" s="1052">
        <v>0</v>
      </c>
      <c r="BD51" s="1052">
        <v>0</v>
      </c>
      <c r="BE51" s="1052">
        <v>0</v>
      </c>
      <c r="BF51" s="1052">
        <v>0</v>
      </c>
      <c r="BG51" s="1052">
        <v>0</v>
      </c>
      <c r="BH51" s="1052">
        <v>0</v>
      </c>
      <c r="BI51" s="1052">
        <v>0</v>
      </c>
      <c r="BJ51" s="1052">
        <v>0</v>
      </c>
      <c r="BK51" s="1052">
        <v>0</v>
      </c>
      <c r="BL51" s="1052">
        <v>0</v>
      </c>
      <c r="BM51" s="1052">
        <v>0</v>
      </c>
      <c r="BN51" s="1052">
        <v>0</v>
      </c>
      <c r="BO51" s="1052">
        <v>867.2</v>
      </c>
      <c r="BR51" s="1140">
        <f t="shared" si="6"/>
        <v>0</v>
      </c>
      <c r="BS51" s="1140">
        <f t="shared" si="7"/>
        <v>6513888.888888889</v>
      </c>
      <c r="BT51" s="1140">
        <f t="shared" si="8"/>
        <v>0</v>
      </c>
      <c r="BU51" s="1140">
        <f t="shared" si="9"/>
        <v>6513888.888888889</v>
      </c>
      <c r="BV51" s="1140">
        <f t="shared" si="19"/>
        <v>0</v>
      </c>
      <c r="BW51" s="1140">
        <f t="shared" si="20"/>
        <v>0</v>
      </c>
      <c r="BX51" s="1140">
        <f t="shared" si="21"/>
        <v>0</v>
      </c>
      <c r="BY51" s="1140">
        <f t="shared" si="10"/>
        <v>0</v>
      </c>
      <c r="CA51" s="1140">
        <f t="shared" si="11"/>
        <v>0</v>
      </c>
      <c r="CB51" s="1140">
        <f t="shared" si="12"/>
        <v>0</v>
      </c>
      <c r="CC51" s="1140">
        <f t="shared" si="13"/>
        <v>0</v>
      </c>
      <c r="CD51" s="1140">
        <f t="shared" si="14"/>
        <v>0</v>
      </c>
      <c r="CE51" s="1140">
        <f t="shared" si="15"/>
        <v>0</v>
      </c>
      <c r="CF51" s="1140">
        <f t="shared" si="16"/>
        <v>0</v>
      </c>
      <c r="CG51" s="1140">
        <f t="shared" si="17"/>
        <v>0</v>
      </c>
      <c r="CH51" s="1140">
        <f t="shared" si="18"/>
        <v>0</v>
      </c>
    </row>
    <row r="52" spans="1:206" ht="15" customHeight="1" x14ac:dyDescent="0.2">
      <c r="A52" s="1052">
        <v>8158</v>
      </c>
      <c r="B52" s="1052"/>
      <c r="C52" s="1053" t="s">
        <v>48</v>
      </c>
      <c r="D52" s="1054" t="s">
        <v>48</v>
      </c>
      <c r="E52" s="1055">
        <f t="shared" si="0"/>
        <v>232880.31519999998</v>
      </c>
      <c r="F52" s="1055">
        <v>0</v>
      </c>
      <c r="G52" s="1056">
        <f t="shared" si="1"/>
        <v>232880.31519999998</v>
      </c>
      <c r="H52" s="1053" t="s">
        <v>10</v>
      </c>
      <c r="I52" s="1054" t="s">
        <v>1416</v>
      </c>
      <c r="J52" s="1054" t="s">
        <v>1417</v>
      </c>
      <c r="K52" s="1054" t="s">
        <v>1552</v>
      </c>
      <c r="L52" s="1054" t="s">
        <v>10</v>
      </c>
      <c r="M52" s="1057">
        <v>105</v>
      </c>
      <c r="N52" s="1057">
        <v>0.82599999999999996</v>
      </c>
      <c r="O52" s="1057">
        <v>0.84499999999999997</v>
      </c>
      <c r="P52" s="1057">
        <v>0.85599999999999998</v>
      </c>
      <c r="Q52" s="1057">
        <v>0.82199999999999995</v>
      </c>
      <c r="R52" s="1057">
        <v>711794</v>
      </c>
      <c r="S52" s="1057">
        <v>668428</v>
      </c>
      <c r="T52" s="1058">
        <f t="shared" si="2"/>
        <v>211758.715</v>
      </c>
      <c r="U52" s="1057">
        <v>435467</v>
      </c>
      <c r="V52" s="1057">
        <v>232961</v>
      </c>
      <c r="W52" s="1057">
        <v>3850</v>
      </c>
      <c r="X52" s="1057">
        <v>0</v>
      </c>
      <c r="Y52" s="1057">
        <v>0</v>
      </c>
      <c r="Z52" s="1057">
        <v>0</v>
      </c>
      <c r="AA52" s="1057">
        <v>880186.71499999997</v>
      </c>
      <c r="AB52" s="1057">
        <v>211758.715</v>
      </c>
      <c r="AC52" s="1057">
        <v>668428</v>
      </c>
      <c r="AD52" s="1057">
        <v>0</v>
      </c>
      <c r="AE52" s="1057">
        <v>0</v>
      </c>
      <c r="AF52" s="1057">
        <v>0</v>
      </c>
      <c r="AG52" s="1057">
        <v>668428</v>
      </c>
      <c r="AH52" s="1057">
        <v>0</v>
      </c>
      <c r="AI52" s="1057">
        <v>0</v>
      </c>
      <c r="AJ52" s="1053" t="s">
        <v>900</v>
      </c>
      <c r="AK52" s="1053" t="s">
        <v>907</v>
      </c>
      <c r="AL52" s="1054" t="s">
        <v>1416</v>
      </c>
      <c r="AM52" s="1053" t="s">
        <v>10</v>
      </c>
      <c r="AN52" s="1054" t="s">
        <v>48</v>
      </c>
      <c r="AO52" s="1054">
        <v>211758.715</v>
      </c>
      <c r="AP52" s="1059">
        <f t="shared" si="23"/>
        <v>226.1508</v>
      </c>
      <c r="AQ52" s="1059">
        <f t="shared" si="5"/>
        <v>243.1508</v>
      </c>
      <c r="AR52" s="1052">
        <v>0</v>
      </c>
      <c r="AS52" s="1052">
        <v>0</v>
      </c>
      <c r="AT52" s="1052">
        <v>166</v>
      </c>
      <c r="AU52" s="1052">
        <v>6</v>
      </c>
      <c r="AV52" s="1052">
        <v>0</v>
      </c>
      <c r="AW52" s="1052">
        <v>0</v>
      </c>
      <c r="AX52" s="1052">
        <v>2</v>
      </c>
      <c r="AY52" s="1052">
        <v>0</v>
      </c>
      <c r="AZ52" s="1052">
        <v>0</v>
      </c>
      <c r="BA52" s="1052">
        <v>0</v>
      </c>
      <c r="BB52" s="1052">
        <v>14</v>
      </c>
      <c r="BC52" s="1052">
        <v>3</v>
      </c>
      <c r="BD52" s="1052">
        <v>0</v>
      </c>
      <c r="BE52" s="1052">
        <v>0</v>
      </c>
      <c r="BF52" s="1052">
        <v>0</v>
      </c>
      <c r="BG52" s="1052">
        <v>0</v>
      </c>
      <c r="BH52" s="1052">
        <v>0</v>
      </c>
      <c r="BI52" s="1052">
        <v>0</v>
      </c>
      <c r="BJ52" s="1052">
        <v>0</v>
      </c>
      <c r="BK52" s="1052">
        <v>0</v>
      </c>
      <c r="BL52" s="1052">
        <v>0</v>
      </c>
      <c r="BM52" s="1052">
        <v>0</v>
      </c>
      <c r="BN52" s="1052">
        <v>0</v>
      </c>
      <c r="BO52" s="1052">
        <v>521.50800000000004</v>
      </c>
      <c r="BR52" s="1140">
        <f t="shared" si="6"/>
        <v>0</v>
      </c>
      <c r="BS52" s="1140">
        <f t="shared" si="7"/>
        <v>2305555.5555555555</v>
      </c>
      <c r="BT52" s="1140">
        <f t="shared" si="8"/>
        <v>83333.333333333343</v>
      </c>
      <c r="BU52" s="1140">
        <f t="shared" si="9"/>
        <v>2388888.888888889</v>
      </c>
      <c r="BV52" s="1140">
        <f t="shared" si="19"/>
        <v>0</v>
      </c>
      <c r="BW52" s="1140">
        <f t="shared" si="20"/>
        <v>400</v>
      </c>
      <c r="BX52" s="1140">
        <f t="shared" si="21"/>
        <v>0</v>
      </c>
      <c r="BY52" s="1140">
        <f t="shared" si="10"/>
        <v>400</v>
      </c>
      <c r="CA52" s="1140">
        <f t="shared" si="11"/>
        <v>0</v>
      </c>
      <c r="CB52" s="1140">
        <f t="shared" si="12"/>
        <v>2305555.5555555555</v>
      </c>
      <c r="CC52" s="1140">
        <f t="shared" si="13"/>
        <v>83333.333333333343</v>
      </c>
      <c r="CD52" s="1140">
        <f t="shared" si="14"/>
        <v>2388888.888888889</v>
      </c>
      <c r="CE52" s="1140">
        <f t="shared" si="15"/>
        <v>0</v>
      </c>
      <c r="CF52" s="1140">
        <f t="shared" si="16"/>
        <v>400</v>
      </c>
      <c r="CG52" s="1140">
        <f t="shared" si="17"/>
        <v>0</v>
      </c>
      <c r="CH52" s="1140">
        <f t="shared" si="18"/>
        <v>400</v>
      </c>
    </row>
    <row r="53" spans="1:206" ht="15" customHeight="1" x14ac:dyDescent="0.2">
      <c r="A53" s="1052">
        <v>8185</v>
      </c>
      <c r="B53" s="1052"/>
      <c r="C53" s="1053" t="s">
        <v>50</v>
      </c>
      <c r="D53" s="1054" t="s">
        <v>50</v>
      </c>
      <c r="E53" s="1055">
        <f t="shared" si="0"/>
        <v>350101.23719999997</v>
      </c>
      <c r="F53" s="1055">
        <v>0</v>
      </c>
      <c r="G53" s="1056">
        <f t="shared" si="1"/>
        <v>350101.23719999997</v>
      </c>
      <c r="H53" s="1053" t="s">
        <v>10</v>
      </c>
      <c r="I53" s="1054" t="s">
        <v>1416</v>
      </c>
      <c r="J53" s="1054" t="s">
        <v>1417</v>
      </c>
      <c r="K53" s="1054" t="s">
        <v>52</v>
      </c>
      <c r="L53" s="1054" t="s">
        <v>10</v>
      </c>
      <c r="M53" s="1057">
        <v>114</v>
      </c>
      <c r="N53" s="1057">
        <v>0.65900000000000003</v>
      </c>
      <c r="O53" s="1057">
        <v>0.65400000000000003</v>
      </c>
      <c r="P53" s="1057">
        <v>0.86</v>
      </c>
      <c r="Q53" s="1057">
        <v>0.83799999999999997</v>
      </c>
      <c r="R53" s="1057">
        <v>1106360</v>
      </c>
      <c r="S53" s="1057">
        <v>1004883</v>
      </c>
      <c r="T53" s="1058">
        <f t="shared" si="2"/>
        <v>329142.09999999998</v>
      </c>
      <c r="U53" s="1057">
        <v>715584</v>
      </c>
      <c r="V53" s="1057">
        <v>289299</v>
      </c>
      <c r="W53" s="1057">
        <v>5946</v>
      </c>
      <c r="X53" s="1057">
        <v>0</v>
      </c>
      <c r="Y53" s="1057">
        <v>0</v>
      </c>
      <c r="Z53" s="1057">
        <v>0</v>
      </c>
      <c r="AA53" s="1057">
        <v>1334025.1000000001</v>
      </c>
      <c r="AB53" s="1057">
        <v>329142.09999999998</v>
      </c>
      <c r="AC53" s="1057">
        <v>1004883</v>
      </c>
      <c r="AD53" s="1057">
        <v>0</v>
      </c>
      <c r="AE53" s="1057">
        <v>0</v>
      </c>
      <c r="AF53" s="1057">
        <v>0</v>
      </c>
      <c r="AG53" s="1057">
        <v>1004883</v>
      </c>
      <c r="AH53" s="1057">
        <v>0</v>
      </c>
      <c r="AI53" s="1057">
        <v>0</v>
      </c>
      <c r="AJ53" s="1053">
        <v>4</v>
      </c>
      <c r="AK53" s="1053" t="s">
        <v>917</v>
      </c>
      <c r="AL53" s="1054" t="s">
        <v>1416</v>
      </c>
      <c r="AM53" s="1053" t="s">
        <v>10</v>
      </c>
      <c r="AN53" s="1054" t="s">
        <v>50</v>
      </c>
      <c r="AO53" s="1054">
        <v>329142.09999999998</v>
      </c>
      <c r="AP53" s="1059">
        <f t="shared" si="23"/>
        <v>316</v>
      </c>
      <c r="AQ53" s="1059">
        <f t="shared" si="5"/>
        <v>367</v>
      </c>
      <c r="AR53" s="1052">
        <v>0</v>
      </c>
      <c r="AS53" s="1052">
        <v>0</v>
      </c>
      <c r="AT53" s="1052">
        <v>295</v>
      </c>
      <c r="AU53" s="1052">
        <v>3</v>
      </c>
      <c r="AV53" s="1052">
        <v>0</v>
      </c>
      <c r="AW53" s="1052">
        <v>0</v>
      </c>
      <c r="AX53" s="1052">
        <v>18</v>
      </c>
      <c r="AY53" s="1052">
        <v>0</v>
      </c>
      <c r="AZ53" s="1052">
        <v>0</v>
      </c>
      <c r="BA53" s="1052">
        <v>0</v>
      </c>
      <c r="BB53" s="1052">
        <v>51</v>
      </c>
      <c r="BC53" s="1052">
        <v>0</v>
      </c>
      <c r="BD53" s="1052">
        <v>0</v>
      </c>
      <c r="BE53" s="1052">
        <v>0</v>
      </c>
      <c r="BF53" s="1052">
        <v>0</v>
      </c>
      <c r="BG53" s="1052">
        <v>0</v>
      </c>
      <c r="BH53" s="1052">
        <v>0</v>
      </c>
      <c r="BI53" s="1052">
        <v>0</v>
      </c>
      <c r="BJ53" s="1052">
        <v>0</v>
      </c>
      <c r="BK53" s="1052">
        <v>0</v>
      </c>
      <c r="BL53" s="1052">
        <v>0</v>
      </c>
      <c r="BM53" s="1052">
        <v>0</v>
      </c>
      <c r="BN53" s="1052">
        <v>0</v>
      </c>
      <c r="BO53" s="1052">
        <v>0</v>
      </c>
      <c r="BR53" s="1140">
        <f t="shared" si="6"/>
        <v>0</v>
      </c>
      <c r="BS53" s="1140">
        <f t="shared" si="7"/>
        <v>4097222.2222222225</v>
      </c>
      <c r="BT53" s="1140">
        <f t="shared" si="8"/>
        <v>41666.666666666672</v>
      </c>
      <c r="BU53" s="1140">
        <f t="shared" si="9"/>
        <v>4138888.888888889</v>
      </c>
      <c r="BV53" s="1140">
        <f t="shared" si="19"/>
        <v>0</v>
      </c>
      <c r="BW53" s="1140">
        <f t="shared" si="20"/>
        <v>3600</v>
      </c>
      <c r="BX53" s="1140">
        <f t="shared" si="21"/>
        <v>0</v>
      </c>
      <c r="BY53" s="1140">
        <f t="shared" si="10"/>
        <v>3600</v>
      </c>
      <c r="CA53" s="1140">
        <f t="shared" si="11"/>
        <v>0</v>
      </c>
      <c r="CB53" s="1140">
        <f t="shared" si="12"/>
        <v>4097222.2222222225</v>
      </c>
      <c r="CC53" s="1140">
        <f t="shared" si="13"/>
        <v>41666.666666666672</v>
      </c>
      <c r="CD53" s="1140">
        <f t="shared" si="14"/>
        <v>4138888.888888889</v>
      </c>
      <c r="CE53" s="1140">
        <f t="shared" si="15"/>
        <v>0</v>
      </c>
      <c r="CF53" s="1140">
        <f t="shared" si="16"/>
        <v>3600</v>
      </c>
      <c r="CG53" s="1140">
        <f t="shared" si="17"/>
        <v>0</v>
      </c>
      <c r="CH53" s="1140">
        <f t="shared" si="18"/>
        <v>3600</v>
      </c>
    </row>
    <row r="54" spans="1:206" ht="15" customHeight="1" x14ac:dyDescent="0.2">
      <c r="A54" s="1052">
        <v>914</v>
      </c>
      <c r="B54" s="1052"/>
      <c r="C54" s="1053" t="s">
        <v>53</v>
      </c>
      <c r="D54" s="1054" t="s">
        <v>53</v>
      </c>
      <c r="E54" s="1055" t="b">
        <f t="shared" si="0"/>
        <v>0</v>
      </c>
      <c r="F54" s="1055">
        <v>411697</v>
      </c>
      <c r="G54" s="1056">
        <f t="shared" si="1"/>
        <v>411697</v>
      </c>
      <c r="H54" s="1053" t="s">
        <v>10</v>
      </c>
      <c r="I54" s="1054" t="s">
        <v>1416</v>
      </c>
      <c r="J54" s="1054" t="s">
        <v>1417</v>
      </c>
      <c r="K54" s="1054" t="s">
        <v>54</v>
      </c>
      <c r="L54" s="1054" t="s">
        <v>1412</v>
      </c>
      <c r="M54" s="1057">
        <v>63</v>
      </c>
      <c r="N54" s="1057">
        <v>0.74</v>
      </c>
      <c r="O54" s="1057">
        <v>0.74299999999999999</v>
      </c>
      <c r="P54" s="1057">
        <v>0.78300000000000003</v>
      </c>
      <c r="Q54" s="1057">
        <v>0.83499999999999996</v>
      </c>
      <c r="R54" s="1057">
        <v>0</v>
      </c>
      <c r="S54" s="1057">
        <v>452535</v>
      </c>
      <c r="T54" s="1058">
        <f t="shared" si="2"/>
        <v>157663.19399999999</v>
      </c>
      <c r="U54" s="1057">
        <v>242442</v>
      </c>
      <c r="V54" s="1057">
        <v>210093</v>
      </c>
      <c r="W54" s="1057">
        <v>2500</v>
      </c>
      <c r="X54" s="1057">
        <v>569360.19400000002</v>
      </c>
      <c r="Y54" s="1057">
        <v>157663.19399999999</v>
      </c>
      <c r="Z54" s="1057">
        <v>411697</v>
      </c>
      <c r="AA54" s="1057">
        <v>40838</v>
      </c>
      <c r="AB54" s="1057">
        <v>0</v>
      </c>
      <c r="AC54" s="1057">
        <v>40838</v>
      </c>
      <c r="AD54" s="1057">
        <v>0</v>
      </c>
      <c r="AE54" s="1057">
        <v>411697</v>
      </c>
      <c r="AF54" s="1057">
        <v>0</v>
      </c>
      <c r="AG54" s="1057">
        <v>40838</v>
      </c>
      <c r="AH54" s="1057">
        <v>0</v>
      </c>
      <c r="AI54" s="1057">
        <v>0</v>
      </c>
      <c r="AJ54" s="1053">
        <v>4</v>
      </c>
      <c r="AK54" s="1053" t="s">
        <v>913</v>
      </c>
      <c r="AL54" s="1054" t="s">
        <v>1512</v>
      </c>
      <c r="AM54" s="1053" t="s">
        <v>10</v>
      </c>
      <c r="AN54" s="1054" t="s">
        <v>53</v>
      </c>
      <c r="AO54" s="1054">
        <v>569360.19400000002</v>
      </c>
      <c r="AP54" s="1059">
        <f t="shared" si="23"/>
        <v>371</v>
      </c>
      <c r="AQ54" s="1059">
        <f t="shared" si="5"/>
        <v>383</v>
      </c>
      <c r="AR54" s="1052">
        <v>120</v>
      </c>
      <c r="AS54" s="1052">
        <v>0</v>
      </c>
      <c r="AT54" s="1052">
        <v>47</v>
      </c>
      <c r="AU54" s="1052">
        <v>26</v>
      </c>
      <c r="AV54" s="1052">
        <v>32</v>
      </c>
      <c r="AW54" s="1052">
        <v>4</v>
      </c>
      <c r="AX54" s="1052">
        <v>0</v>
      </c>
      <c r="AY54" s="1052">
        <v>0</v>
      </c>
      <c r="AZ54" s="1052">
        <v>6</v>
      </c>
      <c r="BA54" s="1052">
        <v>0</v>
      </c>
      <c r="BB54" s="1052">
        <v>9</v>
      </c>
      <c r="BC54" s="1052">
        <v>3</v>
      </c>
      <c r="BD54" s="1052">
        <v>35</v>
      </c>
      <c r="BE54" s="1052">
        <v>0</v>
      </c>
      <c r="BF54" s="1052">
        <v>0</v>
      </c>
      <c r="BG54" s="1052">
        <v>0</v>
      </c>
      <c r="BH54" s="1052">
        <v>105</v>
      </c>
      <c r="BI54" s="1052">
        <v>0</v>
      </c>
      <c r="BJ54" s="1052">
        <v>0</v>
      </c>
      <c r="BK54" s="1052">
        <v>0</v>
      </c>
      <c r="BL54" s="1052">
        <v>0</v>
      </c>
      <c r="BM54" s="1052">
        <v>0</v>
      </c>
      <c r="BN54" s="1052">
        <v>0</v>
      </c>
      <c r="BO54" s="1052">
        <v>0</v>
      </c>
      <c r="BR54" s="1140">
        <f t="shared" si="6"/>
        <v>1666666.6666666667</v>
      </c>
      <c r="BS54" s="1140">
        <f t="shared" si="7"/>
        <v>652777.77777777787</v>
      </c>
      <c r="BT54" s="1140">
        <f t="shared" si="8"/>
        <v>361111.11111111112</v>
      </c>
      <c r="BU54" s="1140">
        <f t="shared" si="9"/>
        <v>2680555.5555555555</v>
      </c>
      <c r="BV54" s="1140">
        <f t="shared" si="19"/>
        <v>6400</v>
      </c>
      <c r="BW54" s="1140">
        <f t="shared" si="20"/>
        <v>0</v>
      </c>
      <c r="BX54" s="1140">
        <f t="shared" si="21"/>
        <v>0</v>
      </c>
      <c r="BY54" s="1140">
        <f t="shared" si="10"/>
        <v>6400</v>
      </c>
      <c r="CA54" s="1140">
        <f t="shared" si="11"/>
        <v>1666666.6666666667</v>
      </c>
      <c r="CB54" s="1140">
        <f t="shared" si="12"/>
        <v>652777.77777777787</v>
      </c>
      <c r="CC54" s="1140">
        <f t="shared" si="13"/>
        <v>361111.11111111112</v>
      </c>
      <c r="CD54" s="1140">
        <f t="shared" si="14"/>
        <v>2680555.5555555555</v>
      </c>
      <c r="CE54" s="1140">
        <f t="shared" si="15"/>
        <v>6400</v>
      </c>
      <c r="CF54" s="1140">
        <f t="shared" si="16"/>
        <v>0</v>
      </c>
      <c r="CG54" s="1140">
        <f t="shared" si="17"/>
        <v>0</v>
      </c>
      <c r="CH54" s="1140">
        <f t="shared" si="18"/>
        <v>6400</v>
      </c>
    </row>
    <row r="55" spans="1:206" ht="15" customHeight="1" x14ac:dyDescent="0.2">
      <c r="A55" s="1052">
        <v>3937</v>
      </c>
      <c r="B55" s="1052" t="s">
        <v>1412</v>
      </c>
      <c r="C55" s="1053" t="s">
        <v>55</v>
      </c>
      <c r="D55" s="1054" t="s">
        <v>55</v>
      </c>
      <c r="E55" s="1055">
        <f t="shared" si="0"/>
        <v>241887.84879999998</v>
      </c>
      <c r="F55" s="1055">
        <v>488909</v>
      </c>
      <c r="G55" s="1056">
        <f t="shared" si="1"/>
        <v>730796.84880000004</v>
      </c>
      <c r="H55" s="1053"/>
      <c r="I55" s="1054" t="s">
        <v>1416</v>
      </c>
      <c r="J55" s="1054" t="s">
        <v>1412</v>
      </c>
      <c r="K55" s="1054" t="s">
        <v>58</v>
      </c>
      <c r="L55" s="1054" t="s">
        <v>1412</v>
      </c>
      <c r="M55" s="1057">
        <v>106</v>
      </c>
      <c r="N55" s="1057">
        <v>0.73099999999999998</v>
      </c>
      <c r="O55" s="1057">
        <v>0.748</v>
      </c>
      <c r="P55" s="1057">
        <v>0.73299999999999998</v>
      </c>
      <c r="Q55" s="1057">
        <v>0.84899999999999998</v>
      </c>
      <c r="R55" s="1057">
        <v>929007</v>
      </c>
      <c r="S55" s="1057">
        <v>694282</v>
      </c>
      <c r="T55" s="1058">
        <f t="shared" si="2"/>
        <v>276379.58249999996</v>
      </c>
      <c r="U55" s="1057">
        <v>452877</v>
      </c>
      <c r="V55" s="1057">
        <v>241405</v>
      </c>
      <c r="W55" s="1057">
        <v>5000</v>
      </c>
      <c r="X55" s="1057">
        <v>765288.58250000002</v>
      </c>
      <c r="Y55" s="1057">
        <v>276379.58250000002</v>
      </c>
      <c r="Z55" s="1057">
        <v>488909</v>
      </c>
      <c r="AA55" s="1057">
        <v>205373</v>
      </c>
      <c r="AB55" s="1057">
        <v>0</v>
      </c>
      <c r="AC55" s="1057">
        <v>205373</v>
      </c>
      <c r="AD55" s="1057">
        <v>488909</v>
      </c>
      <c r="AE55" s="1057">
        <v>0</v>
      </c>
      <c r="AF55" s="1057">
        <v>205373</v>
      </c>
      <c r="AG55" s="1057">
        <v>0</v>
      </c>
      <c r="AH55" s="1057">
        <v>193000</v>
      </c>
      <c r="AI55" s="1057">
        <v>181000</v>
      </c>
      <c r="AJ55" s="1053" t="s">
        <v>900</v>
      </c>
      <c r="AK55" s="1053" t="s">
        <v>922</v>
      </c>
      <c r="AL55" s="1054" t="s">
        <v>1416</v>
      </c>
      <c r="AM55" s="1053"/>
      <c r="AN55" s="1054" t="s">
        <v>55</v>
      </c>
      <c r="AO55" s="1054">
        <v>765288.58250000002</v>
      </c>
      <c r="AP55" s="1059">
        <f t="shared" si="23"/>
        <v>605.47799399999997</v>
      </c>
      <c r="AQ55" s="1059">
        <f t="shared" si="5"/>
        <v>723.47799399999997</v>
      </c>
      <c r="AR55" s="1052">
        <v>121</v>
      </c>
      <c r="AS55" s="1052">
        <v>181</v>
      </c>
      <c r="AT55" s="1052">
        <v>81</v>
      </c>
      <c r="AU55" s="1052">
        <v>6</v>
      </c>
      <c r="AV55" s="1052">
        <v>202</v>
      </c>
      <c r="AW55" s="1052">
        <v>7</v>
      </c>
      <c r="AX55" s="1052">
        <v>0</v>
      </c>
      <c r="AY55" s="1052">
        <v>0</v>
      </c>
      <c r="AZ55" s="1052">
        <v>18</v>
      </c>
      <c r="BA55" s="1052">
        <v>27</v>
      </c>
      <c r="BB55" s="1052">
        <v>118</v>
      </c>
      <c r="BC55" s="1052">
        <v>0</v>
      </c>
      <c r="BD55" s="1052">
        <v>54</v>
      </c>
      <c r="BE55" s="1052">
        <v>0</v>
      </c>
      <c r="BF55" s="1052">
        <v>0</v>
      </c>
      <c r="BG55" s="1052">
        <v>0</v>
      </c>
      <c r="BH55" s="1052">
        <v>114</v>
      </c>
      <c r="BI55" s="1052">
        <v>0</v>
      </c>
      <c r="BJ55" s="1052">
        <v>0</v>
      </c>
      <c r="BK55" s="1052">
        <v>0</v>
      </c>
      <c r="BL55" s="1052">
        <v>0</v>
      </c>
      <c r="BM55" s="1052">
        <v>0</v>
      </c>
      <c r="BN55" s="1052">
        <v>0</v>
      </c>
      <c r="BO55" s="1052">
        <v>94.779939999999996</v>
      </c>
      <c r="BR55" s="1140">
        <f t="shared" si="6"/>
        <v>1680555.5555555557</v>
      </c>
      <c r="BS55" s="1140">
        <f t="shared" si="7"/>
        <v>1125000</v>
      </c>
      <c r="BT55" s="1140">
        <f t="shared" si="8"/>
        <v>83333.333333333343</v>
      </c>
      <c r="BU55" s="1140">
        <f t="shared" si="9"/>
        <v>2888888.8888888895</v>
      </c>
      <c r="BV55" s="1140">
        <f t="shared" si="19"/>
        <v>40400</v>
      </c>
      <c r="BW55" s="1140">
        <f t="shared" si="20"/>
        <v>0</v>
      </c>
      <c r="BX55" s="1140">
        <f t="shared" si="21"/>
        <v>0</v>
      </c>
      <c r="BY55" s="1140">
        <f t="shared" si="10"/>
        <v>40400</v>
      </c>
      <c r="CA55" s="1140">
        <f t="shared" si="11"/>
        <v>1680555.5555555557</v>
      </c>
      <c r="CB55" s="1140">
        <f t="shared" si="12"/>
        <v>1125000</v>
      </c>
      <c r="CC55" s="1140">
        <f t="shared" si="13"/>
        <v>83333.333333333343</v>
      </c>
      <c r="CD55" s="1140">
        <f t="shared" si="14"/>
        <v>2888888.8888888895</v>
      </c>
      <c r="CE55" s="1140">
        <f t="shared" si="15"/>
        <v>40400</v>
      </c>
      <c r="CF55" s="1140">
        <f t="shared" si="16"/>
        <v>0</v>
      </c>
      <c r="CG55" s="1140">
        <f t="shared" si="17"/>
        <v>0</v>
      </c>
      <c r="CH55" s="1140">
        <f t="shared" si="18"/>
        <v>40400</v>
      </c>
    </row>
    <row r="56" spans="1:206" ht="15" customHeight="1" x14ac:dyDescent="0.2">
      <c r="A56" s="1052">
        <v>4773</v>
      </c>
      <c r="B56" s="1052" t="s">
        <v>1412</v>
      </c>
      <c r="C56" s="1053" t="s">
        <v>59</v>
      </c>
      <c r="D56" s="1054" t="s">
        <v>59</v>
      </c>
      <c r="E56" s="1055">
        <f t="shared" si="0"/>
        <v>338518.67920000001</v>
      </c>
      <c r="F56" s="1055">
        <v>0</v>
      </c>
      <c r="G56" s="1056">
        <f t="shared" si="1"/>
        <v>338518.67920000001</v>
      </c>
      <c r="H56" s="1053" t="s">
        <v>1417</v>
      </c>
      <c r="I56" s="1054" t="s">
        <v>1416</v>
      </c>
      <c r="J56" s="1054" t="s">
        <v>1412</v>
      </c>
      <c r="K56" s="1054" t="s">
        <v>61</v>
      </c>
      <c r="L56" s="1054" t="s">
        <v>10</v>
      </c>
      <c r="M56" s="1057">
        <v>125</v>
      </c>
      <c r="N56" s="1057">
        <v>0.88100000000000001</v>
      </c>
      <c r="O56" s="1057">
        <v>0.89100000000000001</v>
      </c>
      <c r="P56" s="1057">
        <v>0.92500000000000004</v>
      </c>
      <c r="Q56" s="1057">
        <v>0.95199999999999996</v>
      </c>
      <c r="R56" s="1057">
        <v>1011912</v>
      </c>
      <c r="S56" s="1057">
        <v>971638</v>
      </c>
      <c r="T56" s="1058">
        <f t="shared" si="2"/>
        <v>301043.82</v>
      </c>
      <c r="U56" s="1057">
        <v>541264</v>
      </c>
      <c r="V56" s="1057">
        <v>430374</v>
      </c>
      <c r="W56" s="1057">
        <v>5075</v>
      </c>
      <c r="X56" s="1057">
        <v>0</v>
      </c>
      <c r="Y56" s="1057">
        <v>0</v>
      </c>
      <c r="Z56" s="1057">
        <v>0</v>
      </c>
      <c r="AA56" s="1057">
        <v>1272681.82</v>
      </c>
      <c r="AB56" s="1057">
        <v>301043.82</v>
      </c>
      <c r="AC56" s="1057">
        <v>971638</v>
      </c>
      <c r="AD56" s="1057">
        <v>0</v>
      </c>
      <c r="AE56" s="1057">
        <v>0</v>
      </c>
      <c r="AF56" s="1057">
        <v>971638</v>
      </c>
      <c r="AG56" s="1057">
        <v>0</v>
      </c>
      <c r="AH56" s="1057">
        <v>634000</v>
      </c>
      <c r="AI56" s="1057">
        <v>453000</v>
      </c>
      <c r="AJ56" s="1053">
        <v>4</v>
      </c>
      <c r="AK56" s="1053" t="s">
        <v>913</v>
      </c>
      <c r="AL56" s="1054" t="s">
        <v>1416</v>
      </c>
      <c r="AM56" s="1053" t="s">
        <v>1417</v>
      </c>
      <c r="AN56" s="1054" t="s">
        <v>59</v>
      </c>
      <c r="AO56" s="1054">
        <v>301043.82</v>
      </c>
      <c r="AP56" s="1059">
        <f t="shared" si="23"/>
        <v>298.64800000000002</v>
      </c>
      <c r="AQ56" s="1059">
        <f t="shared" si="5"/>
        <v>311.64800000000002</v>
      </c>
      <c r="AR56" s="1052">
        <v>71</v>
      </c>
      <c r="AS56" s="1052">
        <v>453</v>
      </c>
      <c r="AT56" s="1052">
        <v>133</v>
      </c>
      <c r="AU56" s="1052">
        <v>0</v>
      </c>
      <c r="AV56" s="1052">
        <v>0</v>
      </c>
      <c r="AW56" s="1052">
        <v>23</v>
      </c>
      <c r="AX56" s="1052">
        <v>5</v>
      </c>
      <c r="AY56" s="1052">
        <v>0</v>
      </c>
      <c r="AZ56" s="1052">
        <v>0</v>
      </c>
      <c r="BA56" s="1052">
        <v>26</v>
      </c>
      <c r="BB56" s="1052">
        <v>13</v>
      </c>
      <c r="BC56" s="1052">
        <v>0</v>
      </c>
      <c r="BD56" s="1052">
        <v>0</v>
      </c>
      <c r="BE56" s="1052">
        <v>0</v>
      </c>
      <c r="BF56" s="1052">
        <v>0</v>
      </c>
      <c r="BG56" s="1052">
        <v>0</v>
      </c>
      <c r="BH56" s="1052">
        <v>0</v>
      </c>
      <c r="BI56" s="1052">
        <v>3</v>
      </c>
      <c r="BJ56" s="1052">
        <v>0</v>
      </c>
      <c r="BK56" s="1052">
        <v>0</v>
      </c>
      <c r="BL56" s="1052">
        <v>44824</v>
      </c>
      <c r="BM56" s="1052">
        <v>0</v>
      </c>
      <c r="BN56" s="1052">
        <v>44824</v>
      </c>
      <c r="BO56" s="1052">
        <v>0</v>
      </c>
      <c r="BR56" s="1140">
        <f t="shared" si="6"/>
        <v>986111.11111111124</v>
      </c>
      <c r="BS56" s="1140">
        <f t="shared" si="7"/>
        <v>1847222.2222222222</v>
      </c>
      <c r="BT56" s="1140">
        <f t="shared" si="8"/>
        <v>0</v>
      </c>
      <c r="BU56" s="1140">
        <f t="shared" si="9"/>
        <v>2833333.3333333335</v>
      </c>
      <c r="BV56" s="1140">
        <f t="shared" si="19"/>
        <v>0</v>
      </c>
      <c r="BW56" s="1140">
        <f t="shared" si="20"/>
        <v>1000</v>
      </c>
      <c r="BX56" s="1140">
        <f t="shared" si="21"/>
        <v>0</v>
      </c>
      <c r="BY56" s="1140">
        <f t="shared" si="10"/>
        <v>1000</v>
      </c>
      <c r="CA56" s="1140">
        <f t="shared" si="11"/>
        <v>0</v>
      </c>
      <c r="CB56" s="1140">
        <f t="shared" si="12"/>
        <v>0</v>
      </c>
      <c r="CC56" s="1140">
        <f t="shared" si="13"/>
        <v>0</v>
      </c>
      <c r="CD56" s="1140">
        <f t="shared" si="14"/>
        <v>0</v>
      </c>
      <c r="CE56" s="1140">
        <f t="shared" si="15"/>
        <v>0</v>
      </c>
      <c r="CF56" s="1140">
        <f t="shared" si="16"/>
        <v>1000</v>
      </c>
      <c r="CG56" s="1140">
        <f t="shared" si="17"/>
        <v>0</v>
      </c>
      <c r="CH56" s="1140">
        <f t="shared" si="18"/>
        <v>1000</v>
      </c>
      <c r="CJ56" s="1069"/>
      <c r="CK56" s="1069"/>
      <c r="CL56" s="1069"/>
      <c r="CM56" s="1069"/>
      <c r="CN56" s="1069"/>
      <c r="CO56" s="1069"/>
      <c r="CP56" s="1069"/>
      <c r="CQ56" s="1069"/>
      <c r="CR56" s="1069"/>
      <c r="CS56" s="1069"/>
      <c r="CT56" s="1069"/>
      <c r="CU56" s="1069"/>
      <c r="CV56" s="1069"/>
      <c r="CW56" s="1069"/>
      <c r="CX56" s="1069"/>
      <c r="CY56" s="1069"/>
      <c r="CZ56" s="1069"/>
      <c r="DA56" s="1069"/>
      <c r="DB56" s="1069"/>
      <c r="DC56" s="1069"/>
      <c r="DD56" s="1069"/>
      <c r="DE56" s="1069"/>
      <c r="DF56" s="1069"/>
      <c r="DG56" s="1069"/>
      <c r="DH56" s="1069"/>
      <c r="DI56" s="1069"/>
      <c r="DJ56" s="1069"/>
      <c r="DK56" s="1069"/>
      <c r="DL56" s="1069"/>
      <c r="DM56" s="1069"/>
      <c r="DN56" s="1069"/>
      <c r="DO56" s="1069"/>
      <c r="DP56" s="1069"/>
      <c r="DQ56" s="1069"/>
      <c r="DR56" s="1069"/>
      <c r="DS56" s="1069"/>
      <c r="DT56" s="1069"/>
      <c r="DU56" s="1069"/>
      <c r="DV56" s="1069"/>
      <c r="DW56" s="1069"/>
      <c r="DX56" s="1069"/>
      <c r="DY56" s="1069"/>
      <c r="DZ56" s="1069"/>
      <c r="EA56" s="1069"/>
      <c r="EB56" s="1069"/>
      <c r="EC56" s="1069"/>
      <c r="ED56" s="1069"/>
      <c r="EE56" s="1069"/>
      <c r="EF56" s="1069"/>
      <c r="EG56" s="1069"/>
      <c r="EH56" s="1069"/>
      <c r="EI56" s="1069"/>
      <c r="EJ56" s="1069"/>
      <c r="EK56" s="1069"/>
      <c r="EL56" s="1069"/>
      <c r="EM56" s="1069"/>
      <c r="EN56" s="1069"/>
      <c r="EO56" s="1069"/>
      <c r="EP56" s="1069"/>
      <c r="EQ56" s="1069"/>
      <c r="ER56" s="1069"/>
      <c r="ES56" s="1069"/>
      <c r="ET56" s="1069"/>
      <c r="EU56" s="1069"/>
      <c r="EV56" s="1069"/>
      <c r="EW56" s="1069"/>
      <c r="EX56" s="1069"/>
      <c r="EY56" s="1069"/>
      <c r="EZ56" s="1069"/>
      <c r="FA56" s="1069"/>
      <c r="FB56" s="1069"/>
      <c r="FC56" s="1069"/>
      <c r="FD56" s="1069"/>
      <c r="FE56" s="1069"/>
      <c r="FF56" s="1069"/>
      <c r="FG56" s="1069"/>
      <c r="FH56" s="1069"/>
      <c r="FI56" s="1069"/>
      <c r="FJ56" s="1069"/>
      <c r="FK56" s="1069"/>
      <c r="FL56" s="1069"/>
      <c r="FM56" s="1069"/>
      <c r="FN56" s="1069"/>
      <c r="FO56" s="1069"/>
      <c r="FP56" s="1069"/>
      <c r="FQ56" s="1069"/>
      <c r="FR56" s="1069"/>
      <c r="FS56" s="1069"/>
      <c r="FT56" s="1069"/>
      <c r="FU56" s="1069"/>
      <c r="FV56" s="1069"/>
      <c r="FW56" s="1069"/>
      <c r="FX56" s="1069"/>
      <c r="FY56" s="1069"/>
      <c r="FZ56" s="1069"/>
      <c r="GA56" s="1069"/>
      <c r="GB56" s="1069"/>
      <c r="GC56" s="1069"/>
      <c r="GD56" s="1069"/>
      <c r="GE56" s="1069"/>
      <c r="GF56" s="1069"/>
      <c r="GG56" s="1069"/>
      <c r="GH56" s="1069"/>
      <c r="GI56" s="1069"/>
      <c r="GJ56" s="1069"/>
      <c r="GK56" s="1069"/>
      <c r="GL56" s="1069"/>
      <c r="GM56" s="1069"/>
      <c r="GN56" s="1069"/>
      <c r="GO56" s="1069"/>
      <c r="GP56" s="1069"/>
      <c r="GQ56" s="1069"/>
      <c r="GR56" s="1069"/>
      <c r="GS56" s="1069"/>
      <c r="GT56" s="1069"/>
      <c r="GU56" s="1069"/>
      <c r="GV56" s="1069"/>
      <c r="GW56" s="1069"/>
      <c r="GX56" s="1069"/>
    </row>
    <row r="57" spans="1:206" ht="15" customHeight="1" x14ac:dyDescent="0.2">
      <c r="A57" s="1052">
        <v>918</v>
      </c>
      <c r="B57" s="1052"/>
      <c r="C57" s="1053" t="s">
        <v>62</v>
      </c>
      <c r="D57" s="1054" t="s">
        <v>62</v>
      </c>
      <c r="E57" s="1055">
        <f t="shared" si="0"/>
        <v>36891.607899999995</v>
      </c>
      <c r="F57" s="1055">
        <v>0</v>
      </c>
      <c r="G57" s="1056">
        <f t="shared" si="1"/>
        <v>36891.607899999995</v>
      </c>
      <c r="H57" s="1053" t="s">
        <v>10</v>
      </c>
      <c r="I57" s="1054" t="s">
        <v>1512</v>
      </c>
      <c r="J57" s="1054" t="s">
        <v>10</v>
      </c>
      <c r="K57" s="1054" t="s">
        <v>63</v>
      </c>
      <c r="L57" s="1054" t="s">
        <v>10</v>
      </c>
      <c r="M57" s="1057">
        <v>8</v>
      </c>
      <c r="N57" s="1057">
        <v>0.93500000000000005</v>
      </c>
      <c r="O57" s="1057">
        <v>0.93500000000000005</v>
      </c>
      <c r="P57" s="1057">
        <v>0.93500000000000005</v>
      </c>
      <c r="Q57" s="1057">
        <v>0.85599999999999998</v>
      </c>
      <c r="R57" s="1057">
        <v>0</v>
      </c>
      <c r="S57" s="1057">
        <v>190261</v>
      </c>
      <c r="T57" s="1058">
        <f t="shared" si="2"/>
        <v>36891.607899999995</v>
      </c>
      <c r="U57" s="1057">
        <v>152451</v>
      </c>
      <c r="V57" s="1057">
        <v>37810</v>
      </c>
      <c r="W57" s="1057">
        <v>950</v>
      </c>
      <c r="X57" s="1057">
        <v>0</v>
      </c>
      <c r="Y57" s="1057">
        <v>0</v>
      </c>
      <c r="Z57" s="1057">
        <v>0</v>
      </c>
      <c r="AA57" s="1057">
        <v>227152.6079</v>
      </c>
      <c r="AB57" s="1057">
        <v>36891.607900000003</v>
      </c>
      <c r="AC57" s="1057">
        <v>190261</v>
      </c>
      <c r="AD57" s="1057">
        <v>0</v>
      </c>
      <c r="AE57" s="1057">
        <v>0</v>
      </c>
      <c r="AF57" s="1057">
        <v>0</v>
      </c>
      <c r="AG57" s="1057">
        <v>190261</v>
      </c>
      <c r="AH57" s="1057">
        <v>0</v>
      </c>
      <c r="AI57" s="1057">
        <v>0</v>
      </c>
      <c r="AJ57" s="1053" t="s">
        <v>900</v>
      </c>
      <c r="AK57" s="1053" t="s">
        <v>922</v>
      </c>
      <c r="AL57" s="1054" t="s">
        <v>1512</v>
      </c>
      <c r="AM57" s="1053" t="s">
        <v>10</v>
      </c>
      <c r="AN57" s="1054" t="s">
        <v>62</v>
      </c>
      <c r="AO57" s="1054">
        <v>36891.607900000003</v>
      </c>
      <c r="AP57" s="1059">
        <f t="shared" si="23"/>
        <v>6</v>
      </c>
      <c r="AQ57" s="1059">
        <f t="shared" si="5"/>
        <v>8</v>
      </c>
      <c r="AR57" s="1052">
        <v>0</v>
      </c>
      <c r="AS57" s="1052">
        <v>0</v>
      </c>
      <c r="AT57" s="1052">
        <v>6</v>
      </c>
      <c r="AU57" s="1052">
        <v>0</v>
      </c>
      <c r="AV57" s="1052">
        <v>0</v>
      </c>
      <c r="AW57" s="1052">
        <v>0</v>
      </c>
      <c r="AX57" s="1052">
        <v>0</v>
      </c>
      <c r="AY57" s="1052">
        <v>0</v>
      </c>
      <c r="AZ57" s="1052">
        <v>0</v>
      </c>
      <c r="BA57" s="1052">
        <v>11</v>
      </c>
      <c r="BB57" s="1052">
        <v>2</v>
      </c>
      <c r="BC57" s="1052">
        <v>0</v>
      </c>
      <c r="BD57" s="1052">
        <v>0</v>
      </c>
      <c r="BE57" s="1052">
        <v>0</v>
      </c>
      <c r="BF57" s="1052">
        <v>0</v>
      </c>
      <c r="BG57" s="1052">
        <v>0</v>
      </c>
      <c r="BH57" s="1052">
        <v>0</v>
      </c>
      <c r="BI57" s="1052">
        <v>0</v>
      </c>
      <c r="BJ57" s="1052">
        <v>0</v>
      </c>
      <c r="BK57" s="1052">
        <v>0</v>
      </c>
      <c r="BL57" s="1052">
        <v>0</v>
      </c>
      <c r="BM57" s="1052">
        <v>0</v>
      </c>
      <c r="BN57" s="1052">
        <v>0</v>
      </c>
      <c r="BO57" s="1052">
        <v>0</v>
      </c>
      <c r="BR57" s="1140">
        <f t="shared" si="6"/>
        <v>0</v>
      </c>
      <c r="BS57" s="1140">
        <f t="shared" si="7"/>
        <v>83333.333333333343</v>
      </c>
      <c r="BT57" s="1140">
        <f t="shared" si="8"/>
        <v>0</v>
      </c>
      <c r="BU57" s="1140">
        <f t="shared" si="9"/>
        <v>83333.333333333343</v>
      </c>
      <c r="BV57" s="1140">
        <f t="shared" si="19"/>
        <v>0</v>
      </c>
      <c r="BW57" s="1140">
        <f t="shared" si="20"/>
        <v>0</v>
      </c>
      <c r="BX57" s="1140">
        <f t="shared" si="21"/>
        <v>0</v>
      </c>
      <c r="BY57" s="1140">
        <f t="shared" si="10"/>
        <v>0</v>
      </c>
      <c r="CA57" s="1140">
        <f t="shared" si="11"/>
        <v>0</v>
      </c>
      <c r="CB57" s="1140">
        <f t="shared" si="12"/>
        <v>83333.333333333343</v>
      </c>
      <c r="CC57" s="1140">
        <f t="shared" si="13"/>
        <v>0</v>
      </c>
      <c r="CD57" s="1140">
        <f t="shared" si="14"/>
        <v>83333.333333333343</v>
      </c>
      <c r="CE57" s="1140">
        <f t="shared" si="15"/>
        <v>0</v>
      </c>
      <c r="CF57" s="1140">
        <f t="shared" si="16"/>
        <v>0</v>
      </c>
      <c r="CG57" s="1140">
        <f t="shared" si="17"/>
        <v>0</v>
      </c>
      <c r="CH57" s="1140">
        <f t="shared" si="18"/>
        <v>0</v>
      </c>
      <c r="CJ57" s="1069"/>
      <c r="CK57" s="1069"/>
      <c r="CL57" s="1069"/>
      <c r="CM57" s="1069"/>
      <c r="CN57" s="1069"/>
      <c r="CO57" s="1069"/>
      <c r="CP57" s="1069"/>
      <c r="CQ57" s="1069"/>
      <c r="CR57" s="1069"/>
      <c r="CS57" s="1069"/>
      <c r="CT57" s="1069"/>
      <c r="CU57" s="1069"/>
      <c r="CV57" s="1069"/>
      <c r="CW57" s="1069"/>
      <c r="CX57" s="1069"/>
      <c r="CY57" s="1069"/>
      <c r="CZ57" s="1069"/>
      <c r="DA57" s="1069"/>
      <c r="DB57" s="1069"/>
      <c r="DC57" s="1069"/>
      <c r="DD57" s="1069"/>
      <c r="DE57" s="1069"/>
      <c r="DF57" s="1069"/>
      <c r="DG57" s="1069"/>
      <c r="DH57" s="1069"/>
      <c r="DI57" s="1069"/>
      <c r="DJ57" s="1069"/>
      <c r="DK57" s="1069"/>
      <c r="DL57" s="1069"/>
      <c r="DM57" s="1069"/>
      <c r="DN57" s="1069"/>
      <c r="DO57" s="1069"/>
      <c r="DP57" s="1069"/>
      <c r="DQ57" s="1069"/>
      <c r="DR57" s="1069"/>
      <c r="DS57" s="1069"/>
      <c r="DT57" s="1069"/>
      <c r="DU57" s="1069"/>
      <c r="DV57" s="1069"/>
      <c r="DW57" s="1069"/>
      <c r="DX57" s="1069"/>
      <c r="DY57" s="1069"/>
      <c r="DZ57" s="1069"/>
      <c r="EA57" s="1069"/>
      <c r="EB57" s="1069"/>
      <c r="EC57" s="1069"/>
      <c r="ED57" s="1069"/>
      <c r="EE57" s="1069"/>
      <c r="EF57" s="1069"/>
      <c r="EG57" s="1069"/>
      <c r="EH57" s="1069"/>
      <c r="EI57" s="1069"/>
      <c r="EJ57" s="1069"/>
      <c r="EK57" s="1069"/>
      <c r="EL57" s="1069"/>
      <c r="EM57" s="1069"/>
      <c r="EN57" s="1069"/>
      <c r="EO57" s="1069"/>
      <c r="EP57" s="1069"/>
      <c r="EQ57" s="1069"/>
      <c r="ER57" s="1069"/>
      <c r="ES57" s="1069"/>
      <c r="ET57" s="1069"/>
      <c r="EU57" s="1069"/>
      <c r="EV57" s="1069"/>
      <c r="EW57" s="1069"/>
      <c r="EX57" s="1069"/>
      <c r="EY57" s="1069"/>
      <c r="EZ57" s="1069"/>
      <c r="FA57" s="1069"/>
      <c r="FB57" s="1069"/>
      <c r="FC57" s="1069"/>
      <c r="FD57" s="1069"/>
      <c r="FE57" s="1069"/>
      <c r="FF57" s="1069"/>
      <c r="FG57" s="1069"/>
      <c r="FH57" s="1069"/>
      <c r="FI57" s="1069"/>
      <c r="FJ57" s="1069"/>
      <c r="FK57" s="1069"/>
      <c r="FL57" s="1069"/>
      <c r="FM57" s="1069"/>
      <c r="FN57" s="1069"/>
      <c r="FO57" s="1069"/>
      <c r="FP57" s="1069"/>
      <c r="FQ57" s="1069"/>
      <c r="FR57" s="1069"/>
      <c r="FS57" s="1069"/>
      <c r="FT57" s="1069"/>
      <c r="FU57" s="1069"/>
      <c r="FV57" s="1069"/>
      <c r="FW57" s="1069"/>
      <c r="FX57" s="1069"/>
      <c r="FY57" s="1069"/>
      <c r="FZ57" s="1069"/>
      <c r="GA57" s="1069"/>
      <c r="GB57" s="1069"/>
      <c r="GC57" s="1069"/>
      <c r="GD57" s="1069"/>
      <c r="GE57" s="1069"/>
      <c r="GF57" s="1069"/>
      <c r="GG57" s="1069"/>
      <c r="GH57" s="1069"/>
      <c r="GI57" s="1069"/>
      <c r="GJ57" s="1069"/>
      <c r="GK57" s="1069"/>
      <c r="GL57" s="1069"/>
      <c r="GM57" s="1069"/>
      <c r="GN57" s="1069"/>
      <c r="GO57" s="1069"/>
      <c r="GP57" s="1069"/>
      <c r="GQ57" s="1069"/>
      <c r="GR57" s="1069"/>
      <c r="GS57" s="1069"/>
      <c r="GT57" s="1069"/>
      <c r="GU57" s="1069"/>
      <c r="GV57" s="1069"/>
      <c r="GW57" s="1069"/>
      <c r="GX57" s="1069"/>
    </row>
    <row r="58" spans="1:206" ht="15" customHeight="1" x14ac:dyDescent="0.2">
      <c r="A58" s="1052">
        <v>4662</v>
      </c>
      <c r="B58" s="1052"/>
      <c r="C58" s="1053" t="s">
        <v>64</v>
      </c>
      <c r="D58" s="1054" t="s">
        <v>64</v>
      </c>
      <c r="E58" s="1055">
        <f t="shared" si="0"/>
        <v>340902.43199999997</v>
      </c>
      <c r="F58" s="1055">
        <v>0</v>
      </c>
      <c r="G58" s="1056">
        <f t="shared" si="1"/>
        <v>340902.43199999997</v>
      </c>
      <c r="H58" s="1053" t="s">
        <v>10</v>
      </c>
      <c r="I58" s="1054" t="s">
        <v>1416</v>
      </c>
      <c r="J58" s="1054" t="s">
        <v>1417</v>
      </c>
      <c r="K58" s="1054" t="s">
        <v>1552</v>
      </c>
      <c r="L58" s="1054" t="s">
        <v>10</v>
      </c>
      <c r="M58" s="1057">
        <v>134</v>
      </c>
      <c r="N58" s="1057">
        <v>0.93300000000000005</v>
      </c>
      <c r="O58" s="1057">
        <v>0.93300000000000005</v>
      </c>
      <c r="P58" s="1057">
        <v>0.86799999999999999</v>
      </c>
      <c r="Q58" s="1057">
        <v>0.95199999999999996</v>
      </c>
      <c r="R58" s="1057">
        <v>1024679</v>
      </c>
      <c r="S58" s="1057">
        <v>978480</v>
      </c>
      <c r="T58" s="1058">
        <f t="shared" si="2"/>
        <v>304842.0025</v>
      </c>
      <c r="U58" s="1057">
        <v>685167</v>
      </c>
      <c r="V58" s="1057">
        <v>293313</v>
      </c>
      <c r="W58" s="1057">
        <v>6030</v>
      </c>
      <c r="X58" s="1057">
        <v>0</v>
      </c>
      <c r="Y58" s="1057">
        <v>0</v>
      </c>
      <c r="Z58" s="1057">
        <v>0</v>
      </c>
      <c r="AA58" s="1057">
        <v>1283322.003</v>
      </c>
      <c r="AB58" s="1057">
        <v>304842.0025</v>
      </c>
      <c r="AC58" s="1057">
        <v>978480</v>
      </c>
      <c r="AD58" s="1057">
        <v>0</v>
      </c>
      <c r="AE58" s="1057">
        <v>0</v>
      </c>
      <c r="AF58" s="1057">
        <v>0</v>
      </c>
      <c r="AG58" s="1057">
        <v>978480</v>
      </c>
      <c r="AH58" s="1057">
        <v>0</v>
      </c>
      <c r="AI58" s="1057">
        <v>0</v>
      </c>
      <c r="AJ58" s="1053" t="s">
        <v>900</v>
      </c>
      <c r="AK58" s="1053" t="s">
        <v>907</v>
      </c>
      <c r="AL58" s="1054" t="s">
        <v>1416</v>
      </c>
      <c r="AM58" s="1053" t="s">
        <v>10</v>
      </c>
      <c r="AN58" s="1054" t="s">
        <v>64</v>
      </c>
      <c r="AO58" s="1054">
        <v>304842.0025</v>
      </c>
      <c r="AP58" s="1059">
        <f t="shared" si="23"/>
        <v>231.2799</v>
      </c>
      <c r="AQ58" s="1059">
        <f t="shared" si="5"/>
        <v>257.2799</v>
      </c>
      <c r="AR58" s="1052">
        <v>0</v>
      </c>
      <c r="AS58" s="1052">
        <v>0</v>
      </c>
      <c r="AT58" s="1052">
        <v>155</v>
      </c>
      <c r="AU58" s="1052">
        <v>1</v>
      </c>
      <c r="AV58" s="1052">
        <v>0</v>
      </c>
      <c r="AW58" s="1052">
        <v>0</v>
      </c>
      <c r="AX58" s="1052">
        <v>0</v>
      </c>
      <c r="AY58" s="1052">
        <v>0</v>
      </c>
      <c r="AZ58" s="1052">
        <v>0</v>
      </c>
      <c r="BA58" s="1052">
        <v>0</v>
      </c>
      <c r="BB58" s="1052">
        <v>26</v>
      </c>
      <c r="BC58" s="1052">
        <v>0</v>
      </c>
      <c r="BD58" s="1052">
        <v>0</v>
      </c>
      <c r="BE58" s="1052">
        <v>0</v>
      </c>
      <c r="BF58" s="1052">
        <v>0</v>
      </c>
      <c r="BG58" s="1052">
        <v>0</v>
      </c>
      <c r="BH58" s="1052">
        <v>0</v>
      </c>
      <c r="BI58" s="1052">
        <v>0</v>
      </c>
      <c r="BJ58" s="1052">
        <v>0</v>
      </c>
      <c r="BK58" s="1052">
        <v>0</v>
      </c>
      <c r="BL58" s="1052">
        <v>36252</v>
      </c>
      <c r="BM58" s="1052">
        <v>0</v>
      </c>
      <c r="BN58" s="1052">
        <v>0</v>
      </c>
      <c r="BO58" s="1052">
        <v>390.279</v>
      </c>
      <c r="BR58" s="1140">
        <f t="shared" si="6"/>
        <v>0</v>
      </c>
      <c r="BS58" s="1140">
        <f t="shared" si="7"/>
        <v>2152777.777777778</v>
      </c>
      <c r="BT58" s="1140">
        <f t="shared" si="8"/>
        <v>13888.888888888891</v>
      </c>
      <c r="BU58" s="1140">
        <f t="shared" si="9"/>
        <v>2166666.666666667</v>
      </c>
      <c r="BV58" s="1140">
        <f t="shared" si="19"/>
        <v>0</v>
      </c>
      <c r="BW58" s="1140">
        <f t="shared" si="20"/>
        <v>0</v>
      </c>
      <c r="BX58" s="1140">
        <f t="shared" si="21"/>
        <v>0</v>
      </c>
      <c r="BY58" s="1140">
        <f t="shared" si="10"/>
        <v>0</v>
      </c>
      <c r="CA58" s="1140">
        <f t="shared" si="11"/>
        <v>0</v>
      </c>
      <c r="CB58" s="1140">
        <f t="shared" si="12"/>
        <v>2152777.777777778</v>
      </c>
      <c r="CC58" s="1140">
        <f t="shared" si="13"/>
        <v>13888.888888888891</v>
      </c>
      <c r="CD58" s="1140">
        <f t="shared" si="14"/>
        <v>2166666.666666667</v>
      </c>
      <c r="CE58" s="1140">
        <f t="shared" si="15"/>
        <v>0</v>
      </c>
      <c r="CF58" s="1140">
        <f t="shared" si="16"/>
        <v>0</v>
      </c>
      <c r="CG58" s="1140">
        <f t="shared" si="17"/>
        <v>0</v>
      </c>
      <c r="CH58" s="1140">
        <f t="shared" si="18"/>
        <v>0</v>
      </c>
      <c r="CJ58" s="1069"/>
      <c r="CK58" s="1069"/>
      <c r="CL58" s="1069"/>
      <c r="CM58" s="1069"/>
      <c r="CN58" s="1069"/>
      <c r="CO58" s="1069"/>
      <c r="CP58" s="1069"/>
      <c r="CQ58" s="1069"/>
      <c r="CR58" s="1069"/>
      <c r="CS58" s="1069"/>
      <c r="CT58" s="1069"/>
      <c r="CU58" s="1069"/>
      <c r="CV58" s="1069"/>
      <c r="CW58" s="1069"/>
      <c r="CX58" s="1069"/>
      <c r="CY58" s="1069"/>
      <c r="CZ58" s="1069"/>
      <c r="DA58" s="1069"/>
      <c r="DB58" s="1069"/>
      <c r="DC58" s="1069"/>
      <c r="DD58" s="1069"/>
      <c r="DE58" s="1069"/>
      <c r="DF58" s="1069"/>
      <c r="DG58" s="1069"/>
      <c r="DH58" s="1069"/>
      <c r="DI58" s="1069"/>
      <c r="DJ58" s="1069"/>
      <c r="DK58" s="1069"/>
      <c r="DL58" s="1069"/>
      <c r="DM58" s="1069"/>
      <c r="DN58" s="1069"/>
      <c r="DO58" s="1069"/>
      <c r="DP58" s="1069"/>
      <c r="DQ58" s="1069"/>
      <c r="DR58" s="1069"/>
      <c r="DS58" s="1069"/>
      <c r="DT58" s="1069"/>
      <c r="DU58" s="1069"/>
      <c r="DV58" s="1069"/>
      <c r="DW58" s="1069"/>
      <c r="DX58" s="1069"/>
      <c r="DY58" s="1069"/>
      <c r="DZ58" s="1069"/>
      <c r="EA58" s="1069"/>
      <c r="EB58" s="1069"/>
      <c r="EC58" s="1069"/>
      <c r="ED58" s="1069"/>
      <c r="EE58" s="1069"/>
      <c r="EF58" s="1069"/>
      <c r="EG58" s="1069"/>
      <c r="EH58" s="1069"/>
      <c r="EI58" s="1069"/>
      <c r="EJ58" s="1069"/>
      <c r="EK58" s="1069"/>
      <c r="EL58" s="1069"/>
      <c r="EM58" s="1069"/>
      <c r="EN58" s="1069"/>
      <c r="EO58" s="1069"/>
      <c r="EP58" s="1069"/>
      <c r="EQ58" s="1069"/>
      <c r="ER58" s="1069"/>
      <c r="ES58" s="1069"/>
      <c r="ET58" s="1069"/>
      <c r="EU58" s="1069"/>
      <c r="EV58" s="1069"/>
      <c r="EW58" s="1069"/>
      <c r="EX58" s="1069"/>
      <c r="EY58" s="1069"/>
      <c r="EZ58" s="1069"/>
      <c r="FA58" s="1069"/>
      <c r="FB58" s="1069"/>
      <c r="FC58" s="1069"/>
      <c r="FD58" s="1069"/>
      <c r="FE58" s="1069"/>
      <c r="FF58" s="1069"/>
      <c r="FG58" s="1069"/>
      <c r="FH58" s="1069"/>
      <c r="FI58" s="1069"/>
      <c r="FJ58" s="1069"/>
      <c r="FK58" s="1069"/>
      <c r="FL58" s="1069"/>
      <c r="FM58" s="1069"/>
      <c r="FN58" s="1069"/>
      <c r="FO58" s="1069"/>
      <c r="FP58" s="1069"/>
      <c r="FQ58" s="1069"/>
      <c r="FR58" s="1069"/>
      <c r="FS58" s="1069"/>
      <c r="FT58" s="1069"/>
      <c r="FU58" s="1069"/>
      <c r="FV58" s="1069"/>
      <c r="FW58" s="1069"/>
      <c r="FX58" s="1069"/>
      <c r="FY58" s="1069"/>
      <c r="FZ58" s="1069"/>
      <c r="GA58" s="1069"/>
      <c r="GB58" s="1069"/>
      <c r="GC58" s="1069"/>
      <c r="GD58" s="1069"/>
      <c r="GE58" s="1069"/>
      <c r="GF58" s="1069"/>
      <c r="GG58" s="1069"/>
      <c r="GH58" s="1069"/>
      <c r="GI58" s="1069"/>
      <c r="GJ58" s="1069"/>
      <c r="GK58" s="1069"/>
      <c r="GL58" s="1069"/>
      <c r="GM58" s="1069"/>
      <c r="GN58" s="1069"/>
      <c r="GO58" s="1069"/>
      <c r="GP58" s="1069"/>
      <c r="GQ58" s="1069"/>
      <c r="GR58" s="1069"/>
      <c r="GS58" s="1069"/>
      <c r="GT58" s="1069"/>
      <c r="GU58" s="1069"/>
      <c r="GV58" s="1069"/>
      <c r="GW58" s="1069"/>
      <c r="GX58" s="1069"/>
    </row>
    <row r="59" spans="1:206" ht="15" customHeight="1" x14ac:dyDescent="0.2">
      <c r="A59" s="1052">
        <v>1101</v>
      </c>
      <c r="B59" s="1052"/>
      <c r="C59" s="1053" t="s">
        <v>670</v>
      </c>
      <c r="D59" s="1054" t="s">
        <v>670</v>
      </c>
      <c r="E59" s="1055">
        <f t="shared" si="0"/>
        <v>46396.392</v>
      </c>
      <c r="F59" s="1055">
        <v>0</v>
      </c>
      <c r="G59" s="1056">
        <f t="shared" si="1"/>
        <v>46396.392</v>
      </c>
      <c r="H59" s="1053" t="s">
        <v>1417</v>
      </c>
      <c r="I59" s="1054" t="s">
        <v>1512</v>
      </c>
      <c r="J59" s="1054" t="s">
        <v>10</v>
      </c>
      <c r="K59" s="1054" t="s">
        <v>1605</v>
      </c>
      <c r="L59" s="1054" t="s">
        <v>10</v>
      </c>
      <c r="M59" s="1057">
        <v>20</v>
      </c>
      <c r="N59" s="1057">
        <v>0.95499999999999996</v>
      </c>
      <c r="O59" s="1057">
        <v>0.95499999999999996</v>
      </c>
      <c r="P59" s="1057">
        <v>0.94099999999999995</v>
      </c>
      <c r="Q59" s="1057">
        <v>0.92400000000000004</v>
      </c>
      <c r="R59" s="1057">
        <v>0</v>
      </c>
      <c r="S59" s="1057">
        <v>239280</v>
      </c>
      <c r="T59" s="1058">
        <f t="shared" si="2"/>
        <v>46396.392</v>
      </c>
      <c r="U59" s="1057">
        <v>178124</v>
      </c>
      <c r="V59" s="1057">
        <v>61156</v>
      </c>
      <c r="W59" s="1057">
        <v>1210</v>
      </c>
      <c r="X59" s="1057">
        <v>0</v>
      </c>
      <c r="Y59" s="1057">
        <v>0</v>
      </c>
      <c r="Z59" s="1057">
        <v>0</v>
      </c>
      <c r="AA59" s="1057">
        <v>285676.39199999999</v>
      </c>
      <c r="AB59" s="1057">
        <v>46396.392</v>
      </c>
      <c r="AC59" s="1057">
        <v>239280</v>
      </c>
      <c r="AD59" s="1057">
        <v>0</v>
      </c>
      <c r="AE59" s="1057">
        <v>0</v>
      </c>
      <c r="AF59" s="1057">
        <v>0</v>
      </c>
      <c r="AG59" s="1057">
        <v>239280</v>
      </c>
      <c r="AH59" s="1057">
        <v>0</v>
      </c>
      <c r="AI59" s="1057">
        <v>0</v>
      </c>
      <c r="AJ59" s="1053" t="s">
        <v>900</v>
      </c>
      <c r="AK59" s="1053" t="s">
        <v>905</v>
      </c>
      <c r="AL59" s="1054" t="s">
        <v>1512</v>
      </c>
      <c r="AM59" s="1053" t="s">
        <v>1417</v>
      </c>
      <c r="AN59" s="1054" t="s">
        <v>670</v>
      </c>
      <c r="AO59" s="1054">
        <v>46396.392</v>
      </c>
      <c r="AP59" s="1059">
        <f t="shared" si="23"/>
        <v>13</v>
      </c>
      <c r="AQ59" s="1059">
        <f t="shared" si="5"/>
        <v>29</v>
      </c>
      <c r="AR59" s="1052">
        <v>0</v>
      </c>
      <c r="AS59" s="1052">
        <v>0</v>
      </c>
      <c r="AT59" s="1052">
        <v>12</v>
      </c>
      <c r="AU59" s="1052">
        <v>0</v>
      </c>
      <c r="AV59" s="1052">
        <v>0</v>
      </c>
      <c r="AW59" s="1052">
        <v>0</v>
      </c>
      <c r="AX59" s="1052">
        <v>0</v>
      </c>
      <c r="AY59" s="1052">
        <v>1</v>
      </c>
      <c r="AZ59" s="1052">
        <v>0</v>
      </c>
      <c r="BA59" s="1052">
        <v>6</v>
      </c>
      <c r="BB59" s="1052">
        <v>16</v>
      </c>
      <c r="BC59" s="1052">
        <v>0</v>
      </c>
      <c r="BD59" s="1052">
        <v>0</v>
      </c>
      <c r="BE59" s="1052">
        <v>0</v>
      </c>
      <c r="BF59" s="1052">
        <v>0</v>
      </c>
      <c r="BG59" s="1052">
        <v>0</v>
      </c>
      <c r="BH59" s="1052">
        <v>0</v>
      </c>
      <c r="BI59" s="1052">
        <v>0</v>
      </c>
      <c r="BJ59" s="1052">
        <v>0</v>
      </c>
      <c r="BK59" s="1052">
        <v>0</v>
      </c>
      <c r="BL59" s="1052">
        <v>0</v>
      </c>
      <c r="BM59" s="1052">
        <v>0</v>
      </c>
      <c r="BN59" s="1052">
        <v>0</v>
      </c>
      <c r="BO59" s="1052">
        <v>0</v>
      </c>
      <c r="BR59" s="1140">
        <f t="shared" si="6"/>
        <v>0</v>
      </c>
      <c r="BS59" s="1140">
        <f t="shared" si="7"/>
        <v>166666.66666666669</v>
      </c>
      <c r="BT59" s="1140">
        <f t="shared" si="8"/>
        <v>0</v>
      </c>
      <c r="BU59" s="1140">
        <f t="shared" si="9"/>
        <v>166666.66666666669</v>
      </c>
      <c r="BV59" s="1140">
        <f t="shared" si="19"/>
        <v>0</v>
      </c>
      <c r="BW59" s="1140">
        <f t="shared" si="20"/>
        <v>0</v>
      </c>
      <c r="BX59" s="1140">
        <f t="shared" si="21"/>
        <v>200</v>
      </c>
      <c r="BY59" s="1140">
        <f t="shared" si="10"/>
        <v>200</v>
      </c>
      <c r="CA59" s="1140">
        <f t="shared" si="11"/>
        <v>0</v>
      </c>
      <c r="CB59" s="1140">
        <f t="shared" si="12"/>
        <v>0</v>
      </c>
      <c r="CC59" s="1140">
        <f t="shared" si="13"/>
        <v>0</v>
      </c>
      <c r="CD59" s="1140">
        <f t="shared" si="14"/>
        <v>0</v>
      </c>
      <c r="CE59" s="1140">
        <f t="shared" si="15"/>
        <v>0</v>
      </c>
      <c r="CF59" s="1140">
        <f t="shared" si="16"/>
        <v>0</v>
      </c>
      <c r="CG59" s="1140">
        <f t="shared" si="17"/>
        <v>200</v>
      </c>
      <c r="CH59" s="1140">
        <f t="shared" si="18"/>
        <v>200</v>
      </c>
      <c r="CJ59" s="1069"/>
      <c r="CK59" s="1069"/>
      <c r="CL59" s="1069"/>
      <c r="CM59" s="1069"/>
      <c r="CN59" s="1069"/>
      <c r="CO59" s="1069"/>
      <c r="CP59" s="1069"/>
      <c r="CQ59" s="1069"/>
      <c r="CR59" s="1069"/>
      <c r="CS59" s="1069"/>
      <c r="CT59" s="1069"/>
      <c r="CU59" s="1069"/>
      <c r="CV59" s="1069"/>
      <c r="CW59" s="1069"/>
      <c r="CX59" s="1069"/>
      <c r="CY59" s="1069"/>
      <c r="CZ59" s="1069"/>
      <c r="DA59" s="1069"/>
      <c r="DB59" s="1069"/>
      <c r="DC59" s="1069"/>
      <c r="DD59" s="1069"/>
      <c r="DE59" s="1069"/>
      <c r="DF59" s="1069"/>
      <c r="DG59" s="1069"/>
      <c r="DH59" s="1069"/>
      <c r="DI59" s="1069"/>
      <c r="DJ59" s="1069"/>
      <c r="DK59" s="1069"/>
      <c r="DL59" s="1069"/>
      <c r="DM59" s="1069"/>
      <c r="DN59" s="1069"/>
      <c r="DO59" s="1069"/>
      <c r="DP59" s="1069"/>
      <c r="DQ59" s="1069"/>
      <c r="DR59" s="1069"/>
      <c r="DS59" s="1069"/>
      <c r="DT59" s="1069"/>
      <c r="DU59" s="1069"/>
      <c r="DV59" s="1069"/>
      <c r="DW59" s="1069"/>
      <c r="DX59" s="1069"/>
      <c r="DY59" s="1069"/>
      <c r="DZ59" s="1069"/>
      <c r="EA59" s="1069"/>
      <c r="EB59" s="1069"/>
      <c r="EC59" s="1069"/>
      <c r="ED59" s="1069"/>
      <c r="EE59" s="1069"/>
      <c r="EF59" s="1069"/>
      <c r="EG59" s="1069"/>
      <c r="EH59" s="1069"/>
      <c r="EI59" s="1069"/>
      <c r="EJ59" s="1069"/>
      <c r="EK59" s="1069"/>
      <c r="EL59" s="1069"/>
      <c r="EM59" s="1069"/>
      <c r="EN59" s="1069"/>
      <c r="EO59" s="1069"/>
      <c r="EP59" s="1069"/>
      <c r="EQ59" s="1069"/>
      <c r="ER59" s="1069"/>
      <c r="ES59" s="1069"/>
      <c r="ET59" s="1069"/>
      <c r="EU59" s="1069"/>
      <c r="EV59" s="1069"/>
      <c r="EW59" s="1069"/>
      <c r="EX59" s="1069"/>
      <c r="EY59" s="1069"/>
      <c r="EZ59" s="1069"/>
      <c r="FA59" s="1069"/>
      <c r="FB59" s="1069"/>
      <c r="FC59" s="1069"/>
      <c r="FD59" s="1069"/>
      <c r="FE59" s="1069"/>
      <c r="FF59" s="1069"/>
      <c r="FG59" s="1069"/>
      <c r="FH59" s="1069"/>
      <c r="FI59" s="1069"/>
      <c r="FJ59" s="1069"/>
      <c r="FK59" s="1069"/>
      <c r="FL59" s="1069"/>
      <c r="FM59" s="1069"/>
      <c r="FN59" s="1069"/>
      <c r="FO59" s="1069"/>
      <c r="FP59" s="1069"/>
      <c r="FQ59" s="1069"/>
      <c r="FR59" s="1069"/>
      <c r="FS59" s="1069"/>
      <c r="FT59" s="1069"/>
      <c r="FU59" s="1069"/>
      <c r="FV59" s="1069"/>
      <c r="FW59" s="1069"/>
      <c r="FX59" s="1069"/>
      <c r="FY59" s="1069"/>
      <c r="FZ59" s="1069"/>
      <c r="GA59" s="1069"/>
      <c r="GB59" s="1069"/>
      <c r="GC59" s="1069"/>
      <c r="GD59" s="1069"/>
      <c r="GE59" s="1069"/>
      <c r="GF59" s="1069"/>
      <c r="GG59" s="1069"/>
      <c r="GH59" s="1069"/>
      <c r="GI59" s="1069"/>
      <c r="GJ59" s="1069"/>
      <c r="GK59" s="1069"/>
      <c r="GL59" s="1069"/>
      <c r="GM59" s="1069"/>
      <c r="GN59" s="1069"/>
      <c r="GO59" s="1069"/>
      <c r="GP59" s="1069"/>
      <c r="GQ59" s="1069"/>
      <c r="GR59" s="1069"/>
      <c r="GS59" s="1069"/>
      <c r="GT59" s="1069"/>
      <c r="GU59" s="1069"/>
      <c r="GV59" s="1069"/>
      <c r="GW59" s="1069"/>
      <c r="GX59" s="1069"/>
    </row>
    <row r="60" spans="1:206" ht="15" customHeight="1" x14ac:dyDescent="0.2">
      <c r="A60" s="1052">
        <v>1116</v>
      </c>
      <c r="B60" s="1052" t="s">
        <v>1412</v>
      </c>
      <c r="C60" s="1053" t="s">
        <v>70</v>
      </c>
      <c r="D60" s="1054" t="s">
        <v>70</v>
      </c>
      <c r="E60" s="1055">
        <f t="shared" si="0"/>
        <v>286174.71480000002</v>
      </c>
      <c r="F60" s="1055">
        <v>647222</v>
      </c>
      <c r="G60" s="1056">
        <f t="shared" si="1"/>
        <v>933396.71479999996</v>
      </c>
      <c r="H60" s="1053" t="s">
        <v>1417</v>
      </c>
      <c r="I60" s="1054" t="s">
        <v>1416</v>
      </c>
      <c r="J60" s="1054" t="s">
        <v>1412</v>
      </c>
      <c r="K60" s="1054" t="s">
        <v>72</v>
      </c>
      <c r="L60" s="1054" t="s">
        <v>1412</v>
      </c>
      <c r="M60" s="1057">
        <v>162</v>
      </c>
      <c r="N60" s="1057">
        <v>0.99199999999999999</v>
      </c>
      <c r="O60" s="1057">
        <v>0.996</v>
      </c>
      <c r="P60" s="1057">
        <v>0.995</v>
      </c>
      <c r="Q60" s="1057">
        <v>0.98499999999999999</v>
      </c>
      <c r="R60" s="1057">
        <v>1272159</v>
      </c>
      <c r="S60" s="1057">
        <v>821397</v>
      </c>
      <c r="T60" s="1058">
        <f t="shared" si="2"/>
        <v>378467.30249999999</v>
      </c>
      <c r="U60" s="1057">
        <v>472729</v>
      </c>
      <c r="V60" s="1057">
        <v>348668</v>
      </c>
      <c r="W60" s="1057">
        <v>4110</v>
      </c>
      <c r="X60" s="1057">
        <v>1025689.303</v>
      </c>
      <c r="Y60" s="1057">
        <v>378467.30249999999</v>
      </c>
      <c r="Z60" s="1057">
        <v>647222</v>
      </c>
      <c r="AA60" s="1057">
        <v>174175</v>
      </c>
      <c r="AB60" s="1057">
        <v>0</v>
      </c>
      <c r="AC60" s="1057">
        <v>174175</v>
      </c>
      <c r="AD60" s="1057">
        <v>647222</v>
      </c>
      <c r="AE60" s="1057">
        <v>0</v>
      </c>
      <c r="AF60" s="1057">
        <v>174175</v>
      </c>
      <c r="AG60" s="1057">
        <v>0</v>
      </c>
      <c r="AH60" s="1057">
        <v>857000</v>
      </c>
      <c r="AI60" s="1057">
        <v>518000</v>
      </c>
      <c r="AJ60" s="1053" t="s">
        <v>900</v>
      </c>
      <c r="AK60" s="1053" t="s">
        <v>905</v>
      </c>
      <c r="AL60" s="1054" t="s">
        <v>1416</v>
      </c>
      <c r="AM60" s="1053" t="s">
        <v>1417</v>
      </c>
      <c r="AN60" s="1054" t="s">
        <v>70</v>
      </c>
      <c r="AO60" s="1054">
        <v>1025689.3025</v>
      </c>
      <c r="AP60" s="1059">
        <f t="shared" si="23"/>
        <v>1051.5844999999999</v>
      </c>
      <c r="AQ60" s="1059">
        <f t="shared" si="5"/>
        <v>1196.5844999999999</v>
      </c>
      <c r="AR60" s="1052">
        <v>364</v>
      </c>
      <c r="AS60" s="1052">
        <v>518</v>
      </c>
      <c r="AT60" s="1052">
        <v>235</v>
      </c>
      <c r="AU60" s="1052">
        <v>0</v>
      </c>
      <c r="AV60" s="1052">
        <v>5</v>
      </c>
      <c r="AW60" s="1052">
        <v>86</v>
      </c>
      <c r="AX60" s="1052">
        <v>0</v>
      </c>
      <c r="AY60" s="1052">
        <v>0</v>
      </c>
      <c r="AZ60" s="1052">
        <v>9</v>
      </c>
      <c r="BA60" s="1052">
        <v>66</v>
      </c>
      <c r="BB60" s="1052">
        <v>145</v>
      </c>
      <c r="BC60" s="1052">
        <v>0</v>
      </c>
      <c r="BD60" s="1052">
        <v>102</v>
      </c>
      <c r="BE60" s="1052">
        <v>0</v>
      </c>
      <c r="BF60" s="1052">
        <v>0</v>
      </c>
      <c r="BG60" s="1052">
        <v>0</v>
      </c>
      <c r="BH60" s="1052">
        <v>140</v>
      </c>
      <c r="BI60" s="1052">
        <v>0</v>
      </c>
      <c r="BJ60" s="1052">
        <v>0</v>
      </c>
      <c r="BK60" s="1052">
        <v>0</v>
      </c>
      <c r="BL60" s="1052">
        <v>2010</v>
      </c>
      <c r="BM60" s="1052">
        <v>25000</v>
      </c>
      <c r="BN60" s="1052">
        <v>0</v>
      </c>
      <c r="BO60" s="1052">
        <v>1695.7449999999999</v>
      </c>
      <c r="BR60" s="1140">
        <f t="shared" si="6"/>
        <v>5055555.555555556</v>
      </c>
      <c r="BS60" s="1140">
        <f t="shared" si="7"/>
        <v>3263888.888888889</v>
      </c>
      <c r="BT60" s="1140">
        <f t="shared" si="8"/>
        <v>0</v>
      </c>
      <c r="BU60" s="1140">
        <f t="shared" si="9"/>
        <v>8319444.444444445</v>
      </c>
      <c r="BV60" s="1140">
        <f t="shared" si="19"/>
        <v>1000</v>
      </c>
      <c r="BW60" s="1140">
        <f t="shared" si="20"/>
        <v>0</v>
      </c>
      <c r="BX60" s="1140">
        <f t="shared" si="21"/>
        <v>0</v>
      </c>
      <c r="BY60" s="1140">
        <f t="shared" si="10"/>
        <v>1000</v>
      </c>
      <c r="CA60" s="1140">
        <f t="shared" si="11"/>
        <v>0</v>
      </c>
      <c r="CB60" s="1140">
        <f t="shared" si="12"/>
        <v>0</v>
      </c>
      <c r="CC60" s="1140">
        <f t="shared" si="13"/>
        <v>0</v>
      </c>
      <c r="CD60" s="1140">
        <f t="shared" si="14"/>
        <v>0</v>
      </c>
      <c r="CE60" s="1140">
        <f t="shared" si="15"/>
        <v>1000</v>
      </c>
      <c r="CF60" s="1140">
        <f t="shared" si="16"/>
        <v>0</v>
      </c>
      <c r="CG60" s="1140">
        <f t="shared" si="17"/>
        <v>0</v>
      </c>
      <c r="CH60" s="1140">
        <f t="shared" si="18"/>
        <v>1000</v>
      </c>
      <c r="CJ60" s="1069"/>
      <c r="CK60" s="1069"/>
      <c r="CL60" s="1069"/>
      <c r="CM60" s="1069"/>
      <c r="CN60" s="1069"/>
      <c r="CO60" s="1069"/>
      <c r="CP60" s="1069"/>
      <c r="CQ60" s="1069"/>
      <c r="CR60" s="1069"/>
      <c r="CS60" s="1069"/>
      <c r="CT60" s="1069"/>
      <c r="CU60" s="1069"/>
      <c r="CV60" s="1069"/>
      <c r="CW60" s="1069"/>
      <c r="CX60" s="1069"/>
      <c r="CY60" s="1069"/>
      <c r="CZ60" s="1069"/>
      <c r="DA60" s="1069"/>
      <c r="DB60" s="1069"/>
      <c r="DC60" s="1069"/>
      <c r="DD60" s="1069"/>
      <c r="DE60" s="1069"/>
      <c r="DF60" s="1069"/>
      <c r="DG60" s="1069"/>
      <c r="DH60" s="1069"/>
      <c r="DI60" s="1069"/>
      <c r="DJ60" s="1069"/>
      <c r="DK60" s="1069"/>
      <c r="DL60" s="1069"/>
      <c r="DM60" s="1069"/>
      <c r="DN60" s="1069"/>
      <c r="DO60" s="1069"/>
      <c r="DP60" s="1069"/>
      <c r="DQ60" s="1069"/>
      <c r="DR60" s="1069"/>
      <c r="DS60" s="1069"/>
      <c r="DT60" s="1069"/>
      <c r="DU60" s="1069"/>
      <c r="DV60" s="1069"/>
      <c r="DW60" s="1069"/>
      <c r="DX60" s="1069"/>
      <c r="DY60" s="1069"/>
      <c r="DZ60" s="1069"/>
      <c r="EA60" s="1069"/>
      <c r="EB60" s="1069"/>
      <c r="EC60" s="1069"/>
      <c r="ED60" s="1069"/>
      <c r="EE60" s="1069"/>
      <c r="EF60" s="1069"/>
      <c r="EG60" s="1069"/>
      <c r="EH60" s="1069"/>
      <c r="EI60" s="1069"/>
      <c r="EJ60" s="1069"/>
      <c r="EK60" s="1069"/>
      <c r="EL60" s="1069"/>
      <c r="EM60" s="1069"/>
      <c r="EN60" s="1069"/>
      <c r="EO60" s="1069"/>
      <c r="EP60" s="1069"/>
      <c r="EQ60" s="1069"/>
      <c r="ER60" s="1069"/>
      <c r="ES60" s="1069"/>
      <c r="ET60" s="1069"/>
      <c r="EU60" s="1069"/>
      <c r="EV60" s="1069"/>
      <c r="EW60" s="1069"/>
      <c r="EX60" s="1069"/>
      <c r="EY60" s="1069"/>
      <c r="EZ60" s="1069"/>
      <c r="FA60" s="1069"/>
      <c r="FB60" s="1069"/>
      <c r="FC60" s="1069"/>
      <c r="FD60" s="1069"/>
      <c r="FE60" s="1069"/>
      <c r="FF60" s="1069"/>
      <c r="FG60" s="1069"/>
      <c r="FH60" s="1069"/>
      <c r="FI60" s="1069"/>
      <c r="FJ60" s="1069"/>
      <c r="FK60" s="1069"/>
      <c r="FL60" s="1069"/>
      <c r="FM60" s="1069"/>
      <c r="FN60" s="1069"/>
      <c r="FO60" s="1069"/>
      <c r="FP60" s="1069"/>
      <c r="FQ60" s="1069"/>
      <c r="FR60" s="1069"/>
      <c r="FS60" s="1069"/>
      <c r="FT60" s="1069"/>
      <c r="FU60" s="1069"/>
      <c r="FV60" s="1069"/>
      <c r="FW60" s="1069"/>
      <c r="FX60" s="1069"/>
      <c r="FY60" s="1069"/>
      <c r="FZ60" s="1069"/>
      <c r="GA60" s="1069"/>
      <c r="GB60" s="1069"/>
      <c r="GC60" s="1069"/>
      <c r="GD60" s="1069"/>
      <c r="GE60" s="1069"/>
      <c r="GF60" s="1069"/>
      <c r="GG60" s="1069"/>
      <c r="GH60" s="1069"/>
      <c r="GI60" s="1069"/>
      <c r="GJ60" s="1069"/>
      <c r="GK60" s="1069"/>
      <c r="GL60" s="1069"/>
      <c r="GM60" s="1069"/>
      <c r="GN60" s="1069"/>
      <c r="GO60" s="1069"/>
      <c r="GP60" s="1069"/>
      <c r="GQ60" s="1069"/>
      <c r="GR60" s="1069"/>
      <c r="GS60" s="1069"/>
      <c r="GT60" s="1069"/>
      <c r="GU60" s="1069"/>
      <c r="GV60" s="1069"/>
      <c r="GW60" s="1069"/>
      <c r="GX60" s="1069"/>
    </row>
    <row r="61" spans="1:206" ht="15" customHeight="1" x14ac:dyDescent="0.2">
      <c r="A61" s="1052">
        <v>2110</v>
      </c>
      <c r="B61" s="1052"/>
      <c r="C61" s="1053" t="s">
        <v>75</v>
      </c>
      <c r="D61" s="1054" t="s">
        <v>75</v>
      </c>
      <c r="E61" s="1055">
        <f t="shared" si="0"/>
        <v>208009.08439999999</v>
      </c>
      <c r="F61" s="1055">
        <v>0</v>
      </c>
      <c r="G61" s="1056">
        <f t="shared" si="1"/>
        <v>208009.08439999999</v>
      </c>
      <c r="H61" s="1053" t="s">
        <v>10</v>
      </c>
      <c r="I61" s="1054" t="s">
        <v>1416</v>
      </c>
      <c r="J61" s="1054" t="s">
        <v>10</v>
      </c>
      <c r="K61" s="1054" t="s">
        <v>10</v>
      </c>
      <c r="L61" s="1054" t="s">
        <v>10</v>
      </c>
      <c r="M61" s="1057">
        <v>100</v>
      </c>
      <c r="N61" s="1057">
        <v>0.70499999999999996</v>
      </c>
      <c r="O61" s="1057">
        <v>0.71699999999999997</v>
      </c>
      <c r="P61" s="1057">
        <v>0.746</v>
      </c>
      <c r="Q61" s="1057">
        <v>0.73599999999999999</v>
      </c>
      <c r="R61" s="1057">
        <v>774371</v>
      </c>
      <c r="S61" s="1057">
        <v>597041</v>
      </c>
      <c r="T61" s="1058">
        <f t="shared" si="2"/>
        <v>230375.3725</v>
      </c>
      <c r="U61" s="1057">
        <v>249721</v>
      </c>
      <c r="V61" s="1057">
        <v>347320</v>
      </c>
      <c r="W61" s="1057">
        <v>3559</v>
      </c>
      <c r="X61" s="1057">
        <v>0</v>
      </c>
      <c r="Y61" s="1057">
        <v>0</v>
      </c>
      <c r="Z61" s="1057">
        <v>0</v>
      </c>
      <c r="AA61" s="1057">
        <v>827416.37250000006</v>
      </c>
      <c r="AB61" s="1057">
        <v>230375.3725</v>
      </c>
      <c r="AC61" s="1057">
        <v>597041</v>
      </c>
      <c r="AD61" s="1057">
        <v>0</v>
      </c>
      <c r="AE61" s="1057">
        <v>0</v>
      </c>
      <c r="AF61" s="1057">
        <v>0</v>
      </c>
      <c r="AG61" s="1057">
        <v>597041</v>
      </c>
      <c r="AH61" s="1057">
        <v>0</v>
      </c>
      <c r="AI61" s="1057">
        <v>0</v>
      </c>
      <c r="AJ61" s="1053">
        <v>4</v>
      </c>
      <c r="AK61" s="1053" t="s">
        <v>913</v>
      </c>
      <c r="AL61" s="1054" t="s">
        <v>1416</v>
      </c>
      <c r="AM61" s="1053" t="s">
        <v>10</v>
      </c>
      <c r="AN61" s="1054" t="s">
        <v>75</v>
      </c>
      <c r="AO61" s="1054">
        <v>230375.3725</v>
      </c>
      <c r="AP61" s="1059">
        <f t="shared" si="23"/>
        <v>114</v>
      </c>
      <c r="AQ61" s="1059">
        <f t="shared" si="5"/>
        <v>124</v>
      </c>
      <c r="AR61" s="1085">
        <v>0</v>
      </c>
      <c r="AS61" s="1085">
        <v>0</v>
      </c>
      <c r="AT61" s="1085">
        <v>107</v>
      </c>
      <c r="AU61" s="1085">
        <v>7</v>
      </c>
      <c r="AV61" s="1052">
        <v>0</v>
      </c>
      <c r="AW61" s="1052">
        <v>0</v>
      </c>
      <c r="AX61" s="1052">
        <v>0</v>
      </c>
      <c r="AY61" s="1052">
        <v>0</v>
      </c>
      <c r="AZ61" s="783">
        <v>0</v>
      </c>
      <c r="BA61" s="783">
        <v>0</v>
      </c>
      <c r="BB61" s="783">
        <v>8</v>
      </c>
      <c r="BC61" s="783">
        <v>2</v>
      </c>
      <c r="BD61" s="1052">
        <v>0</v>
      </c>
      <c r="BE61" s="1052">
        <v>0</v>
      </c>
      <c r="BF61" s="1052">
        <v>0</v>
      </c>
      <c r="BG61" s="1052">
        <v>0</v>
      </c>
      <c r="BH61" s="1052">
        <v>0</v>
      </c>
      <c r="BI61" s="1052">
        <v>0</v>
      </c>
      <c r="BJ61" s="1052">
        <v>0</v>
      </c>
      <c r="BK61" s="1052">
        <v>0</v>
      </c>
      <c r="BL61" s="1052">
        <v>0</v>
      </c>
      <c r="BM61" s="1052">
        <v>0</v>
      </c>
      <c r="BN61" s="1052">
        <v>0</v>
      </c>
      <c r="BO61" s="1052">
        <v>0</v>
      </c>
      <c r="BR61" s="1140">
        <f t="shared" si="6"/>
        <v>0</v>
      </c>
      <c r="BS61" s="1140">
        <f t="shared" si="7"/>
        <v>1486111.1111111112</v>
      </c>
      <c r="BT61" s="1140">
        <f t="shared" si="8"/>
        <v>97222.222222222234</v>
      </c>
      <c r="BU61" s="1140">
        <f t="shared" si="9"/>
        <v>1583333.3333333335</v>
      </c>
      <c r="BV61" s="1140">
        <f t="shared" si="19"/>
        <v>0</v>
      </c>
      <c r="BW61" s="1140">
        <f t="shared" si="20"/>
        <v>0</v>
      </c>
      <c r="BX61" s="1140">
        <f t="shared" si="21"/>
        <v>0</v>
      </c>
      <c r="BY61" s="1140">
        <f t="shared" si="10"/>
        <v>0</v>
      </c>
      <c r="CA61" s="1140">
        <f t="shared" si="11"/>
        <v>0</v>
      </c>
      <c r="CB61" s="1140">
        <f t="shared" si="12"/>
        <v>1486111.1111111112</v>
      </c>
      <c r="CC61" s="1140">
        <f t="shared" si="13"/>
        <v>97222.222222222234</v>
      </c>
      <c r="CD61" s="1140">
        <f t="shared" si="14"/>
        <v>1583333.3333333335</v>
      </c>
      <c r="CE61" s="1140">
        <f t="shared" si="15"/>
        <v>0</v>
      </c>
      <c r="CF61" s="1140">
        <f t="shared" si="16"/>
        <v>0</v>
      </c>
      <c r="CG61" s="1140">
        <f t="shared" si="17"/>
        <v>0</v>
      </c>
      <c r="CH61" s="1140">
        <f t="shared" si="18"/>
        <v>0</v>
      </c>
      <c r="CJ61" s="1069"/>
      <c r="CK61" s="1069"/>
      <c r="CL61" s="1069"/>
      <c r="CM61" s="1069"/>
      <c r="CN61" s="1069"/>
      <c r="CO61" s="1069"/>
      <c r="CP61" s="1069"/>
      <c r="CQ61" s="1069"/>
      <c r="CR61" s="1069"/>
      <c r="CS61" s="1069"/>
      <c r="CT61" s="1069"/>
      <c r="CU61" s="1069"/>
      <c r="CV61" s="1069"/>
      <c r="CW61" s="1069"/>
      <c r="CX61" s="1069"/>
      <c r="CY61" s="1069"/>
      <c r="CZ61" s="1069"/>
      <c r="DA61" s="1069"/>
      <c r="DB61" s="1069"/>
      <c r="DC61" s="1069"/>
      <c r="DD61" s="1069"/>
      <c r="DE61" s="1069"/>
      <c r="DF61" s="1069"/>
      <c r="DG61" s="1069"/>
      <c r="DH61" s="1069"/>
      <c r="DI61" s="1069"/>
      <c r="DJ61" s="1069"/>
      <c r="DK61" s="1069"/>
      <c r="DL61" s="1069"/>
      <c r="DM61" s="1069"/>
      <c r="DN61" s="1069"/>
      <c r="DO61" s="1069"/>
      <c r="DP61" s="1069"/>
      <c r="DQ61" s="1069"/>
      <c r="DR61" s="1069"/>
      <c r="DS61" s="1069"/>
      <c r="DT61" s="1069"/>
      <c r="DU61" s="1069"/>
      <c r="DV61" s="1069"/>
      <c r="DW61" s="1069"/>
      <c r="DX61" s="1069"/>
      <c r="DY61" s="1069"/>
      <c r="DZ61" s="1069"/>
      <c r="EA61" s="1069"/>
      <c r="EB61" s="1069"/>
      <c r="EC61" s="1069"/>
      <c r="ED61" s="1069"/>
      <c r="EE61" s="1069"/>
      <c r="EF61" s="1069"/>
      <c r="EG61" s="1069"/>
      <c r="EH61" s="1069"/>
      <c r="EI61" s="1069"/>
      <c r="EJ61" s="1069"/>
      <c r="EK61" s="1069"/>
      <c r="EL61" s="1069"/>
      <c r="EM61" s="1069"/>
      <c r="EN61" s="1069"/>
      <c r="EO61" s="1069"/>
      <c r="EP61" s="1069"/>
      <c r="EQ61" s="1069"/>
      <c r="ER61" s="1069"/>
      <c r="ES61" s="1069"/>
      <c r="ET61" s="1069"/>
      <c r="EU61" s="1069"/>
      <c r="EV61" s="1069"/>
      <c r="EW61" s="1069"/>
      <c r="EX61" s="1069"/>
      <c r="EY61" s="1069"/>
      <c r="EZ61" s="1069"/>
      <c r="FA61" s="1069"/>
      <c r="FB61" s="1069"/>
      <c r="FC61" s="1069"/>
      <c r="FD61" s="1069"/>
      <c r="FE61" s="1069"/>
      <c r="FF61" s="1069"/>
      <c r="FG61" s="1069"/>
      <c r="FH61" s="1069"/>
      <c r="FI61" s="1069"/>
      <c r="FJ61" s="1069"/>
      <c r="FK61" s="1069"/>
      <c r="FL61" s="1069"/>
      <c r="FM61" s="1069"/>
      <c r="FN61" s="1069"/>
      <c r="FO61" s="1069"/>
      <c r="FP61" s="1069"/>
      <c r="FQ61" s="1069"/>
      <c r="FR61" s="1069"/>
      <c r="FS61" s="1069"/>
      <c r="FT61" s="1069"/>
      <c r="FU61" s="1069"/>
      <c r="FV61" s="1069"/>
      <c r="FW61" s="1069"/>
      <c r="FX61" s="1069"/>
      <c r="FY61" s="1069"/>
      <c r="FZ61" s="1069"/>
      <c r="GA61" s="1069"/>
      <c r="GB61" s="1069"/>
      <c r="GC61" s="1069"/>
      <c r="GD61" s="1069"/>
      <c r="GE61" s="1069"/>
      <c r="GF61" s="1069"/>
      <c r="GG61" s="1069"/>
      <c r="GH61" s="1069"/>
      <c r="GI61" s="1069"/>
      <c r="GJ61" s="1069"/>
      <c r="GK61" s="1069"/>
      <c r="GL61" s="1069"/>
      <c r="GM61" s="1069"/>
      <c r="GN61" s="1069"/>
      <c r="GO61" s="1069"/>
      <c r="GP61" s="1069"/>
      <c r="GQ61" s="1069"/>
      <c r="GR61" s="1069"/>
      <c r="GS61" s="1069"/>
      <c r="GT61" s="1069"/>
      <c r="GU61" s="1069"/>
      <c r="GV61" s="1069"/>
      <c r="GW61" s="1069"/>
      <c r="GX61" s="1069"/>
    </row>
    <row r="62" spans="1:206" ht="15" customHeight="1" x14ac:dyDescent="0.2">
      <c r="A62" s="1052">
        <v>8544</v>
      </c>
      <c r="B62" s="1052"/>
      <c r="C62" s="1053" t="s">
        <v>76</v>
      </c>
      <c r="D62" s="1054" t="s">
        <v>76</v>
      </c>
      <c r="E62" s="1055">
        <f t="shared" si="0"/>
        <v>390092.33120000002</v>
      </c>
      <c r="F62" s="1055">
        <v>0</v>
      </c>
      <c r="G62" s="1056">
        <f t="shared" si="1"/>
        <v>390092.33120000002</v>
      </c>
      <c r="H62" s="1053" t="s">
        <v>1417</v>
      </c>
      <c r="I62" s="1054" t="s">
        <v>1416</v>
      </c>
      <c r="J62" s="1054" t="s">
        <v>10</v>
      </c>
      <c r="K62" s="1054" t="s">
        <v>78</v>
      </c>
      <c r="L62" s="1054" t="s">
        <v>10</v>
      </c>
      <c r="M62" s="1057">
        <v>177</v>
      </c>
      <c r="N62" s="1057">
        <v>0.94099999999999995</v>
      </c>
      <c r="O62" s="1057">
        <v>0.95499999999999996</v>
      </c>
      <c r="P62" s="1057">
        <v>0.97299999999999998</v>
      </c>
      <c r="Q62" s="1057">
        <v>0.96199999999999997</v>
      </c>
      <c r="R62" s="1057">
        <v>1160738</v>
      </c>
      <c r="S62" s="1057">
        <v>1119668</v>
      </c>
      <c r="T62" s="1058">
        <f t="shared" si="2"/>
        <v>345319.55499999999</v>
      </c>
      <c r="U62" s="1057">
        <v>741368</v>
      </c>
      <c r="V62" s="1057">
        <v>378300</v>
      </c>
      <c r="W62" s="1057">
        <v>5600</v>
      </c>
      <c r="X62" s="1057">
        <v>0</v>
      </c>
      <c r="Y62" s="1057">
        <v>0</v>
      </c>
      <c r="Z62" s="1057">
        <v>0</v>
      </c>
      <c r="AA62" s="1057">
        <v>1464987.5549999999</v>
      </c>
      <c r="AB62" s="1057">
        <v>345319.55499999999</v>
      </c>
      <c r="AC62" s="1057">
        <v>1119668</v>
      </c>
      <c r="AD62" s="1057">
        <v>0</v>
      </c>
      <c r="AE62" s="1057">
        <v>0</v>
      </c>
      <c r="AF62" s="1057">
        <v>0</v>
      </c>
      <c r="AG62" s="1057">
        <v>1119668</v>
      </c>
      <c r="AH62" s="1057">
        <v>0</v>
      </c>
      <c r="AI62" s="1057">
        <v>0</v>
      </c>
      <c r="AJ62" s="1053" t="s">
        <v>900</v>
      </c>
      <c r="AK62" s="1053" t="s">
        <v>907</v>
      </c>
      <c r="AL62" s="1054" t="s">
        <v>1416</v>
      </c>
      <c r="AM62" s="1053" t="s">
        <v>1417</v>
      </c>
      <c r="AN62" s="1054" t="s">
        <v>76</v>
      </c>
      <c r="AO62" s="1054">
        <v>345319.55499999999</v>
      </c>
      <c r="AP62" s="1059">
        <f t="shared" si="23"/>
        <v>472.1234</v>
      </c>
      <c r="AQ62" s="1059">
        <f t="shared" si="5"/>
        <v>514.12339999999995</v>
      </c>
      <c r="AR62" s="1052">
        <v>0</v>
      </c>
      <c r="AS62" s="1052">
        <v>0</v>
      </c>
      <c r="AT62" s="1052">
        <v>344</v>
      </c>
      <c r="AU62" s="1052">
        <v>0</v>
      </c>
      <c r="AV62" s="1052">
        <v>0</v>
      </c>
      <c r="AW62" s="1052">
        <v>0</v>
      </c>
      <c r="AX62" s="1052">
        <v>0</v>
      </c>
      <c r="AY62" s="1052">
        <v>0</v>
      </c>
      <c r="AZ62" s="1052">
        <v>0</v>
      </c>
      <c r="BA62" s="1052">
        <v>0</v>
      </c>
      <c r="BB62" s="1052">
        <v>42</v>
      </c>
      <c r="BC62" s="1052">
        <v>0</v>
      </c>
      <c r="BD62" s="1052">
        <v>0</v>
      </c>
      <c r="BE62" s="1052">
        <v>0</v>
      </c>
      <c r="BF62" s="1052">
        <v>0</v>
      </c>
      <c r="BG62" s="1052">
        <v>0</v>
      </c>
      <c r="BH62" s="1052">
        <v>0</v>
      </c>
      <c r="BI62" s="1052">
        <v>0</v>
      </c>
      <c r="BJ62" s="1052">
        <v>0</v>
      </c>
      <c r="BK62" s="1052">
        <v>0</v>
      </c>
      <c r="BL62" s="1052">
        <v>0</v>
      </c>
      <c r="BM62" s="1052">
        <v>0</v>
      </c>
      <c r="BN62" s="1052">
        <v>0</v>
      </c>
      <c r="BO62" s="1052">
        <v>1281.2339999999999</v>
      </c>
      <c r="BR62" s="1140">
        <f t="shared" si="6"/>
        <v>0</v>
      </c>
      <c r="BS62" s="1140">
        <f t="shared" si="7"/>
        <v>4777777.777777778</v>
      </c>
      <c r="BT62" s="1140">
        <f t="shared" si="8"/>
        <v>0</v>
      </c>
      <c r="BU62" s="1140">
        <f t="shared" si="9"/>
        <v>4777777.777777778</v>
      </c>
      <c r="BV62" s="1140">
        <f t="shared" si="19"/>
        <v>0</v>
      </c>
      <c r="BW62" s="1140">
        <f t="shared" si="20"/>
        <v>0</v>
      </c>
      <c r="BX62" s="1140">
        <f t="shared" si="21"/>
        <v>0</v>
      </c>
      <c r="BY62" s="1140">
        <f t="shared" si="10"/>
        <v>0</v>
      </c>
      <c r="CA62" s="1140">
        <f t="shared" si="11"/>
        <v>0</v>
      </c>
      <c r="CB62" s="1140">
        <f t="shared" si="12"/>
        <v>0</v>
      </c>
      <c r="CC62" s="1140">
        <f t="shared" si="13"/>
        <v>0</v>
      </c>
      <c r="CD62" s="1140">
        <f t="shared" si="14"/>
        <v>0</v>
      </c>
      <c r="CE62" s="1140">
        <f t="shared" si="15"/>
        <v>0</v>
      </c>
      <c r="CF62" s="1140">
        <f t="shared" si="16"/>
        <v>0</v>
      </c>
      <c r="CG62" s="1140">
        <f t="shared" si="17"/>
        <v>0</v>
      </c>
      <c r="CH62" s="1140">
        <f t="shared" si="18"/>
        <v>0</v>
      </c>
      <c r="CJ62" s="1069"/>
      <c r="CK62" s="1069"/>
      <c r="CL62" s="1069"/>
      <c r="CM62" s="1069"/>
      <c r="CN62" s="1069"/>
      <c r="CO62" s="1069"/>
      <c r="CP62" s="1069"/>
      <c r="CQ62" s="1069"/>
      <c r="CR62" s="1069"/>
      <c r="CS62" s="1069"/>
      <c r="CT62" s="1069"/>
      <c r="CU62" s="1069"/>
      <c r="CV62" s="1069"/>
      <c r="CW62" s="1069"/>
      <c r="CX62" s="1069"/>
      <c r="CY62" s="1069"/>
      <c r="CZ62" s="1069"/>
      <c r="DA62" s="1069"/>
      <c r="DB62" s="1069"/>
      <c r="DC62" s="1069"/>
      <c r="DD62" s="1069"/>
      <c r="DE62" s="1069"/>
      <c r="DF62" s="1069"/>
      <c r="DG62" s="1069"/>
      <c r="DH62" s="1069"/>
      <c r="DI62" s="1069"/>
      <c r="DJ62" s="1069"/>
      <c r="DK62" s="1069"/>
      <c r="DL62" s="1069"/>
      <c r="DM62" s="1069"/>
      <c r="DN62" s="1069"/>
      <c r="DO62" s="1069"/>
      <c r="DP62" s="1069"/>
      <c r="DQ62" s="1069"/>
      <c r="DR62" s="1069"/>
      <c r="DS62" s="1069"/>
      <c r="DT62" s="1069"/>
      <c r="DU62" s="1069"/>
      <c r="DV62" s="1069"/>
      <c r="DW62" s="1069"/>
      <c r="DX62" s="1069"/>
      <c r="DY62" s="1069"/>
      <c r="DZ62" s="1069"/>
      <c r="EA62" s="1069"/>
      <c r="EB62" s="1069"/>
      <c r="EC62" s="1069"/>
      <c r="ED62" s="1069"/>
      <c r="EE62" s="1069"/>
      <c r="EF62" s="1069"/>
      <c r="EG62" s="1069"/>
      <c r="EH62" s="1069"/>
      <c r="EI62" s="1069"/>
      <c r="EJ62" s="1069"/>
      <c r="EK62" s="1069"/>
      <c r="EL62" s="1069"/>
      <c r="EM62" s="1069"/>
      <c r="EN62" s="1069"/>
      <c r="EO62" s="1069"/>
      <c r="EP62" s="1069"/>
      <c r="EQ62" s="1069"/>
      <c r="ER62" s="1069"/>
      <c r="ES62" s="1069"/>
      <c r="ET62" s="1069"/>
      <c r="EU62" s="1069"/>
      <c r="EV62" s="1069"/>
      <c r="EW62" s="1069"/>
      <c r="EX62" s="1069"/>
      <c r="EY62" s="1069"/>
      <c r="EZ62" s="1069"/>
      <c r="FA62" s="1069"/>
      <c r="FB62" s="1069"/>
      <c r="FC62" s="1069"/>
      <c r="FD62" s="1069"/>
      <c r="FE62" s="1069"/>
      <c r="FF62" s="1069"/>
      <c r="FG62" s="1069"/>
      <c r="FH62" s="1069"/>
      <c r="FI62" s="1069"/>
      <c r="FJ62" s="1069"/>
      <c r="FK62" s="1069"/>
      <c r="FL62" s="1069"/>
      <c r="FM62" s="1069"/>
      <c r="FN62" s="1069"/>
      <c r="FO62" s="1069"/>
      <c r="FP62" s="1069"/>
      <c r="FQ62" s="1069"/>
      <c r="FR62" s="1069"/>
      <c r="FS62" s="1069"/>
      <c r="FT62" s="1069"/>
      <c r="FU62" s="1069"/>
      <c r="FV62" s="1069"/>
      <c r="FW62" s="1069"/>
      <c r="FX62" s="1069"/>
      <c r="FY62" s="1069"/>
      <c r="FZ62" s="1069"/>
      <c r="GA62" s="1069"/>
      <c r="GB62" s="1069"/>
      <c r="GC62" s="1069"/>
      <c r="GD62" s="1069"/>
      <c r="GE62" s="1069"/>
      <c r="GF62" s="1069"/>
      <c r="GG62" s="1069"/>
      <c r="GH62" s="1069"/>
      <c r="GI62" s="1069"/>
      <c r="GJ62" s="1069"/>
      <c r="GK62" s="1069"/>
      <c r="GL62" s="1069"/>
      <c r="GM62" s="1069"/>
      <c r="GN62" s="1069"/>
      <c r="GO62" s="1069"/>
      <c r="GP62" s="1069"/>
      <c r="GQ62" s="1069"/>
      <c r="GR62" s="1069"/>
      <c r="GS62" s="1069"/>
      <c r="GT62" s="1069"/>
      <c r="GU62" s="1069"/>
      <c r="GV62" s="1069"/>
      <c r="GW62" s="1069"/>
      <c r="GX62" s="1069"/>
    </row>
    <row r="63" spans="1:206" ht="15" customHeight="1" x14ac:dyDescent="0.2">
      <c r="A63" s="1052">
        <v>1118</v>
      </c>
      <c r="B63" s="1052"/>
      <c r="C63" s="1053" t="s">
        <v>79</v>
      </c>
      <c r="D63" s="1054" t="s">
        <v>79</v>
      </c>
      <c r="E63" s="1055">
        <f t="shared" si="0"/>
        <v>167289.83439999999</v>
      </c>
      <c r="F63" s="1055">
        <v>0</v>
      </c>
      <c r="G63" s="1056">
        <f t="shared" si="1"/>
        <v>167289.83439999999</v>
      </c>
      <c r="H63" s="1053" t="s">
        <v>10</v>
      </c>
      <c r="I63" s="1054" t="s">
        <v>1416</v>
      </c>
      <c r="J63" s="1054" t="s">
        <v>1417</v>
      </c>
      <c r="K63" s="1054" t="s">
        <v>81</v>
      </c>
      <c r="L63" s="1054" t="s">
        <v>10</v>
      </c>
      <c r="M63" s="1057">
        <v>58</v>
      </c>
      <c r="N63" s="1057">
        <v>0.88600000000000001</v>
      </c>
      <c r="O63" s="1057">
        <v>0.93</v>
      </c>
      <c r="P63" s="1057">
        <v>0.92</v>
      </c>
      <c r="Q63" s="1057">
        <v>0.83299999999999996</v>
      </c>
      <c r="R63" s="1057">
        <v>553329</v>
      </c>
      <c r="S63" s="1057">
        <v>480166</v>
      </c>
      <c r="T63" s="1058">
        <f t="shared" si="2"/>
        <v>164615.3775</v>
      </c>
      <c r="U63" s="1057">
        <v>299960</v>
      </c>
      <c r="V63" s="1057">
        <v>180206</v>
      </c>
      <c r="W63" s="1057">
        <v>2794</v>
      </c>
      <c r="X63" s="1057">
        <v>0</v>
      </c>
      <c r="Y63" s="1057">
        <v>0</v>
      </c>
      <c r="Z63" s="1057">
        <v>0</v>
      </c>
      <c r="AA63" s="1057">
        <v>644781.37749999994</v>
      </c>
      <c r="AB63" s="1057">
        <v>164615.3775</v>
      </c>
      <c r="AC63" s="1057">
        <v>480166</v>
      </c>
      <c r="AD63" s="1057">
        <v>0</v>
      </c>
      <c r="AE63" s="1057">
        <v>0</v>
      </c>
      <c r="AF63" s="1057">
        <v>0</v>
      </c>
      <c r="AG63" s="1057">
        <v>480166</v>
      </c>
      <c r="AH63" s="1057">
        <v>0</v>
      </c>
      <c r="AI63" s="1057">
        <v>0</v>
      </c>
      <c r="AJ63" s="1053">
        <v>4</v>
      </c>
      <c r="AK63" s="1053" t="s">
        <v>899</v>
      </c>
      <c r="AL63" s="1054" t="s">
        <v>1416</v>
      </c>
      <c r="AM63" s="1053" t="s">
        <v>10</v>
      </c>
      <c r="AN63" s="1054" t="s">
        <v>79</v>
      </c>
      <c r="AO63" s="1054">
        <v>164615.3775</v>
      </c>
      <c r="AP63" s="1059">
        <f t="shared" si="23"/>
        <v>73.215575999999999</v>
      </c>
      <c r="AQ63" s="1059">
        <f t="shared" si="5"/>
        <v>74.215575999999999</v>
      </c>
      <c r="AR63" s="1052">
        <v>26</v>
      </c>
      <c r="AS63" s="1052">
        <v>0</v>
      </c>
      <c r="AT63" s="1052">
        <v>23</v>
      </c>
      <c r="AU63" s="1052">
        <v>5</v>
      </c>
      <c r="AV63" s="1052">
        <v>0</v>
      </c>
      <c r="AW63" s="1052">
        <v>0</v>
      </c>
      <c r="AX63" s="1052">
        <v>11</v>
      </c>
      <c r="AY63" s="1052">
        <v>1</v>
      </c>
      <c r="AZ63" s="1052">
        <v>0</v>
      </c>
      <c r="BA63" s="1052">
        <v>7</v>
      </c>
      <c r="BB63" s="1052">
        <v>0</v>
      </c>
      <c r="BC63" s="1052">
        <v>1</v>
      </c>
      <c r="BD63" s="1052">
        <v>0</v>
      </c>
      <c r="BE63" s="1052">
        <v>0</v>
      </c>
      <c r="BF63" s="1052">
        <v>0</v>
      </c>
      <c r="BG63" s="1052">
        <v>0</v>
      </c>
      <c r="BH63" s="1052">
        <v>0</v>
      </c>
      <c r="BI63" s="1052">
        <v>0</v>
      </c>
      <c r="BJ63" s="1052">
        <v>0</v>
      </c>
      <c r="BK63" s="1052">
        <v>0</v>
      </c>
      <c r="BL63" s="1052">
        <v>0</v>
      </c>
      <c r="BM63" s="1052">
        <v>0</v>
      </c>
      <c r="BN63" s="1052">
        <v>0</v>
      </c>
      <c r="BO63" s="1086">
        <v>72.155760000000001</v>
      </c>
      <c r="BR63" s="1140">
        <f t="shared" si="6"/>
        <v>361111.11111111112</v>
      </c>
      <c r="BS63" s="1140">
        <f t="shared" si="7"/>
        <v>319444.4444444445</v>
      </c>
      <c r="BT63" s="1140">
        <f t="shared" si="8"/>
        <v>69444.444444444453</v>
      </c>
      <c r="BU63" s="1140">
        <f t="shared" si="9"/>
        <v>750000.00000000012</v>
      </c>
      <c r="BV63" s="1140">
        <f t="shared" si="19"/>
        <v>0</v>
      </c>
      <c r="BW63" s="1140">
        <f t="shared" si="20"/>
        <v>2200</v>
      </c>
      <c r="BX63" s="1140">
        <f t="shared" si="21"/>
        <v>200</v>
      </c>
      <c r="BY63" s="1140">
        <f t="shared" si="10"/>
        <v>2400</v>
      </c>
      <c r="CA63" s="1140">
        <f t="shared" si="11"/>
        <v>361111.11111111112</v>
      </c>
      <c r="CB63" s="1140">
        <f t="shared" si="12"/>
        <v>319444.4444444445</v>
      </c>
      <c r="CC63" s="1140">
        <f t="shared" si="13"/>
        <v>69444.444444444453</v>
      </c>
      <c r="CD63" s="1140">
        <f t="shared" si="14"/>
        <v>750000.00000000012</v>
      </c>
      <c r="CE63" s="1140">
        <f t="shared" si="15"/>
        <v>0</v>
      </c>
      <c r="CF63" s="1140">
        <f t="shared" si="16"/>
        <v>2200</v>
      </c>
      <c r="CG63" s="1140">
        <f t="shared" si="17"/>
        <v>200</v>
      </c>
      <c r="CH63" s="1140">
        <f t="shared" si="18"/>
        <v>2400</v>
      </c>
      <c r="CJ63" s="1069"/>
      <c r="CK63" s="1069"/>
      <c r="CL63" s="1069"/>
      <c r="CM63" s="1069"/>
      <c r="CN63" s="1069"/>
      <c r="CO63" s="1069"/>
      <c r="CP63" s="1069"/>
      <c r="CQ63" s="1069"/>
      <c r="CR63" s="1069"/>
      <c r="CS63" s="1069"/>
      <c r="CT63" s="1069"/>
      <c r="CU63" s="1069"/>
      <c r="CV63" s="1069"/>
      <c r="CW63" s="1069"/>
      <c r="CX63" s="1069"/>
      <c r="CY63" s="1069"/>
      <c r="CZ63" s="1069"/>
      <c r="DA63" s="1069"/>
      <c r="DB63" s="1069"/>
      <c r="DC63" s="1069"/>
      <c r="DD63" s="1069"/>
      <c r="DE63" s="1069"/>
      <c r="DF63" s="1069"/>
      <c r="DG63" s="1069"/>
      <c r="DH63" s="1069"/>
      <c r="DI63" s="1069"/>
      <c r="DJ63" s="1069"/>
      <c r="DK63" s="1069"/>
      <c r="DL63" s="1069"/>
      <c r="DM63" s="1069"/>
      <c r="DN63" s="1069"/>
      <c r="DO63" s="1069"/>
      <c r="DP63" s="1069"/>
      <c r="DQ63" s="1069"/>
      <c r="DR63" s="1069"/>
      <c r="DS63" s="1069"/>
      <c r="DT63" s="1069"/>
      <c r="DU63" s="1069"/>
      <c r="DV63" s="1069"/>
      <c r="DW63" s="1069"/>
      <c r="DX63" s="1069"/>
      <c r="DY63" s="1069"/>
      <c r="DZ63" s="1069"/>
      <c r="EA63" s="1069"/>
      <c r="EB63" s="1069"/>
      <c r="EC63" s="1069"/>
      <c r="ED63" s="1069"/>
      <c r="EE63" s="1069"/>
      <c r="EF63" s="1069"/>
      <c r="EG63" s="1069"/>
      <c r="EH63" s="1069"/>
      <c r="EI63" s="1069"/>
      <c r="EJ63" s="1069"/>
      <c r="EK63" s="1069"/>
      <c r="EL63" s="1069"/>
      <c r="EM63" s="1069"/>
      <c r="EN63" s="1069"/>
      <c r="EO63" s="1069"/>
      <c r="EP63" s="1069"/>
      <c r="EQ63" s="1069"/>
      <c r="ER63" s="1069"/>
      <c r="ES63" s="1069"/>
      <c r="ET63" s="1069"/>
      <c r="EU63" s="1069"/>
      <c r="EV63" s="1069"/>
      <c r="EW63" s="1069"/>
      <c r="EX63" s="1069"/>
      <c r="EY63" s="1069"/>
      <c r="EZ63" s="1069"/>
      <c r="FA63" s="1069"/>
      <c r="FB63" s="1069"/>
      <c r="FC63" s="1069"/>
      <c r="FD63" s="1069"/>
      <c r="FE63" s="1069"/>
      <c r="FF63" s="1069"/>
      <c r="FG63" s="1069"/>
      <c r="FH63" s="1069"/>
      <c r="FI63" s="1069"/>
      <c r="FJ63" s="1069"/>
      <c r="FK63" s="1069"/>
      <c r="FL63" s="1069"/>
      <c r="FM63" s="1069"/>
      <c r="FN63" s="1069"/>
      <c r="FO63" s="1069"/>
      <c r="FP63" s="1069"/>
      <c r="FQ63" s="1069"/>
      <c r="FR63" s="1069"/>
      <c r="FS63" s="1069"/>
      <c r="FT63" s="1069"/>
      <c r="FU63" s="1069"/>
      <c r="FV63" s="1069"/>
      <c r="FW63" s="1069"/>
      <c r="FX63" s="1069"/>
      <c r="FY63" s="1069"/>
      <c r="FZ63" s="1069"/>
      <c r="GA63" s="1069"/>
      <c r="GB63" s="1069"/>
      <c r="GC63" s="1069"/>
      <c r="GD63" s="1069"/>
      <c r="GE63" s="1069"/>
      <c r="GF63" s="1069"/>
      <c r="GG63" s="1069"/>
      <c r="GH63" s="1069"/>
      <c r="GI63" s="1069"/>
      <c r="GJ63" s="1069"/>
      <c r="GK63" s="1069"/>
      <c r="GL63" s="1069"/>
      <c r="GM63" s="1069"/>
      <c r="GN63" s="1069"/>
      <c r="GO63" s="1069"/>
      <c r="GP63" s="1069"/>
      <c r="GQ63" s="1069"/>
      <c r="GR63" s="1069"/>
      <c r="GS63" s="1069"/>
      <c r="GT63" s="1069"/>
      <c r="GU63" s="1069"/>
      <c r="GV63" s="1069"/>
      <c r="GW63" s="1069"/>
      <c r="GX63" s="1069"/>
    </row>
    <row r="64" spans="1:206" ht="15" customHeight="1" x14ac:dyDescent="0.2">
      <c r="A64" s="1052">
        <v>3555</v>
      </c>
      <c r="B64" s="1052"/>
      <c r="C64" s="1053" t="s">
        <v>82</v>
      </c>
      <c r="D64" s="1054" t="s">
        <v>82</v>
      </c>
      <c r="E64" s="1055">
        <f t="shared" si="0"/>
        <v>79394.100099999996</v>
      </c>
      <c r="F64" s="1055">
        <v>0</v>
      </c>
      <c r="G64" s="1056">
        <f t="shared" si="1"/>
        <v>79394.100099999996</v>
      </c>
      <c r="H64" s="1053" t="s">
        <v>10</v>
      </c>
      <c r="I64" s="1054" t="s">
        <v>1512</v>
      </c>
      <c r="J64" s="1054" t="s">
        <v>10</v>
      </c>
      <c r="K64" s="1054" t="s">
        <v>1545</v>
      </c>
      <c r="L64" s="1054" t="s">
        <v>10</v>
      </c>
      <c r="M64" s="1057">
        <v>18</v>
      </c>
      <c r="N64" s="1057">
        <v>0.995</v>
      </c>
      <c r="O64" s="1057">
        <v>0.995</v>
      </c>
      <c r="P64" s="1057">
        <v>0.97799999999999998</v>
      </c>
      <c r="Q64" s="1057">
        <v>0.99099999999999999</v>
      </c>
      <c r="R64" s="1057">
        <v>0</v>
      </c>
      <c r="S64" s="1057">
        <v>409459</v>
      </c>
      <c r="T64" s="1058">
        <f t="shared" si="2"/>
        <v>79394.100099999996</v>
      </c>
      <c r="U64" s="1057">
        <v>309802</v>
      </c>
      <c r="V64" s="1057">
        <v>99657</v>
      </c>
      <c r="W64" s="1057">
        <v>1111</v>
      </c>
      <c r="X64" s="1057">
        <v>0</v>
      </c>
      <c r="Y64" s="1057">
        <v>0</v>
      </c>
      <c r="Z64" s="1057">
        <v>0</v>
      </c>
      <c r="AA64" s="1057">
        <v>488853.10009999998</v>
      </c>
      <c r="AB64" s="1057">
        <v>79394.100099999996</v>
      </c>
      <c r="AC64" s="1057">
        <v>409459</v>
      </c>
      <c r="AD64" s="1057">
        <v>0</v>
      </c>
      <c r="AE64" s="1057">
        <v>0</v>
      </c>
      <c r="AF64" s="1057">
        <v>0</v>
      </c>
      <c r="AG64" s="1057">
        <v>409459</v>
      </c>
      <c r="AH64" s="1057">
        <v>0</v>
      </c>
      <c r="AI64" s="1057">
        <v>0</v>
      </c>
      <c r="AJ64" s="1053">
        <v>4</v>
      </c>
      <c r="AK64" s="1053" t="s">
        <v>899</v>
      </c>
      <c r="AL64" s="1054" t="s">
        <v>1512</v>
      </c>
      <c r="AM64" s="1053" t="s">
        <v>10</v>
      </c>
      <c r="AN64" s="1054" t="s">
        <v>82</v>
      </c>
      <c r="AO64" s="1054">
        <v>79394.100099999996</v>
      </c>
      <c r="AP64" s="1059">
        <f t="shared" si="23"/>
        <v>21</v>
      </c>
      <c r="AQ64" s="1059">
        <f t="shared" si="5"/>
        <v>25</v>
      </c>
      <c r="AR64" s="1052">
        <v>0</v>
      </c>
      <c r="AS64" s="1052">
        <v>0</v>
      </c>
      <c r="AT64" s="1052">
        <v>20</v>
      </c>
      <c r="AU64" s="1052">
        <v>0</v>
      </c>
      <c r="AV64" s="1052">
        <v>0</v>
      </c>
      <c r="AW64" s="1052">
        <v>0</v>
      </c>
      <c r="AX64" s="1052">
        <v>0</v>
      </c>
      <c r="AY64" s="1052">
        <v>1</v>
      </c>
      <c r="AZ64" s="1052">
        <v>0</v>
      </c>
      <c r="BA64" s="1052">
        <v>0</v>
      </c>
      <c r="BB64" s="1052">
        <v>0</v>
      </c>
      <c r="BC64" s="1052">
        <v>4</v>
      </c>
      <c r="BD64" s="1052">
        <v>0</v>
      </c>
      <c r="BE64" s="1052">
        <v>0</v>
      </c>
      <c r="BF64" s="1052">
        <v>0</v>
      </c>
      <c r="BG64" s="1052">
        <v>0</v>
      </c>
      <c r="BH64" s="1052">
        <v>0</v>
      </c>
      <c r="BI64" s="1052">
        <v>0</v>
      </c>
      <c r="BJ64" s="1052">
        <v>0</v>
      </c>
      <c r="BK64" s="1052">
        <v>0</v>
      </c>
      <c r="BL64" s="1052">
        <v>0</v>
      </c>
      <c r="BM64" s="1052">
        <v>0</v>
      </c>
      <c r="BN64" s="1052">
        <v>0</v>
      </c>
      <c r="BO64" s="1052">
        <v>0</v>
      </c>
      <c r="BR64" s="1140">
        <f t="shared" si="6"/>
        <v>0</v>
      </c>
      <c r="BS64" s="1140">
        <f t="shared" si="7"/>
        <v>277777.77777777781</v>
      </c>
      <c r="BT64" s="1140">
        <f t="shared" si="8"/>
        <v>0</v>
      </c>
      <c r="BU64" s="1140">
        <f t="shared" si="9"/>
        <v>277777.77777777781</v>
      </c>
      <c r="BV64" s="1140">
        <f t="shared" si="19"/>
        <v>0</v>
      </c>
      <c r="BW64" s="1140">
        <f t="shared" si="20"/>
        <v>0</v>
      </c>
      <c r="BX64" s="1140">
        <f t="shared" si="21"/>
        <v>200</v>
      </c>
      <c r="BY64" s="1140">
        <f t="shared" si="10"/>
        <v>200</v>
      </c>
      <c r="CA64" s="1140">
        <f t="shared" si="11"/>
        <v>0</v>
      </c>
      <c r="CB64" s="1140">
        <f t="shared" si="12"/>
        <v>277777.77777777781</v>
      </c>
      <c r="CC64" s="1140">
        <f t="shared" si="13"/>
        <v>0</v>
      </c>
      <c r="CD64" s="1140">
        <f t="shared" si="14"/>
        <v>277777.77777777781</v>
      </c>
      <c r="CE64" s="1140">
        <f t="shared" si="15"/>
        <v>0</v>
      </c>
      <c r="CF64" s="1140">
        <f t="shared" si="16"/>
        <v>0</v>
      </c>
      <c r="CG64" s="1140">
        <f t="shared" si="17"/>
        <v>200</v>
      </c>
      <c r="CH64" s="1140">
        <f t="shared" si="18"/>
        <v>200</v>
      </c>
      <c r="CJ64" s="1069"/>
      <c r="CK64" s="1069"/>
      <c r="CL64" s="1069"/>
      <c r="CM64" s="1069"/>
      <c r="CN64" s="1069"/>
      <c r="CO64" s="1069"/>
      <c r="CP64" s="1069"/>
      <c r="CQ64" s="1069"/>
      <c r="CR64" s="1069"/>
      <c r="CS64" s="1069"/>
      <c r="CT64" s="1069"/>
      <c r="CU64" s="1069"/>
      <c r="CV64" s="1069"/>
      <c r="CW64" s="1069"/>
      <c r="CX64" s="1069"/>
      <c r="CY64" s="1069"/>
      <c r="CZ64" s="1069"/>
      <c r="DA64" s="1069"/>
      <c r="DB64" s="1069"/>
      <c r="DC64" s="1069"/>
      <c r="DD64" s="1069"/>
      <c r="DE64" s="1069"/>
      <c r="DF64" s="1069"/>
      <c r="DG64" s="1069"/>
      <c r="DH64" s="1069"/>
      <c r="DI64" s="1069"/>
      <c r="DJ64" s="1069"/>
      <c r="DK64" s="1069"/>
      <c r="DL64" s="1069"/>
      <c r="DM64" s="1069"/>
      <c r="DN64" s="1069"/>
      <c r="DO64" s="1069"/>
      <c r="DP64" s="1069"/>
      <c r="DQ64" s="1069"/>
      <c r="DR64" s="1069"/>
      <c r="DS64" s="1069"/>
      <c r="DT64" s="1069"/>
      <c r="DU64" s="1069"/>
      <c r="DV64" s="1069"/>
      <c r="DW64" s="1069"/>
      <c r="DX64" s="1069"/>
      <c r="DY64" s="1069"/>
      <c r="DZ64" s="1069"/>
      <c r="EA64" s="1069"/>
      <c r="EB64" s="1069"/>
      <c r="EC64" s="1069"/>
      <c r="ED64" s="1069"/>
      <c r="EE64" s="1069"/>
      <c r="EF64" s="1069"/>
      <c r="EG64" s="1069"/>
      <c r="EH64" s="1069"/>
      <c r="EI64" s="1069"/>
      <c r="EJ64" s="1069"/>
      <c r="EK64" s="1069"/>
      <c r="EL64" s="1069"/>
      <c r="EM64" s="1069"/>
      <c r="EN64" s="1069"/>
      <c r="EO64" s="1069"/>
      <c r="EP64" s="1069"/>
      <c r="EQ64" s="1069"/>
      <c r="ER64" s="1069"/>
      <c r="ES64" s="1069"/>
      <c r="ET64" s="1069"/>
      <c r="EU64" s="1069"/>
      <c r="EV64" s="1069"/>
      <c r="EW64" s="1069"/>
      <c r="EX64" s="1069"/>
      <c r="EY64" s="1069"/>
      <c r="EZ64" s="1069"/>
      <c r="FA64" s="1069"/>
      <c r="FB64" s="1069"/>
      <c r="FC64" s="1069"/>
      <c r="FD64" s="1069"/>
      <c r="FE64" s="1069"/>
      <c r="FF64" s="1069"/>
      <c r="FG64" s="1069"/>
      <c r="FH64" s="1069"/>
      <c r="FI64" s="1069"/>
      <c r="FJ64" s="1069"/>
      <c r="FK64" s="1069"/>
      <c r="FL64" s="1069"/>
      <c r="FM64" s="1069"/>
      <c r="FN64" s="1069"/>
      <c r="FO64" s="1069"/>
      <c r="FP64" s="1069"/>
      <c r="FQ64" s="1069"/>
      <c r="FR64" s="1069"/>
      <c r="FS64" s="1069"/>
      <c r="FT64" s="1069"/>
      <c r="FU64" s="1069"/>
      <c r="FV64" s="1069"/>
      <c r="FW64" s="1069"/>
      <c r="FX64" s="1069"/>
      <c r="FY64" s="1069"/>
      <c r="FZ64" s="1069"/>
      <c r="GA64" s="1069"/>
      <c r="GB64" s="1069"/>
      <c r="GC64" s="1069"/>
      <c r="GD64" s="1069"/>
      <c r="GE64" s="1069"/>
      <c r="GF64" s="1069"/>
      <c r="GG64" s="1069"/>
      <c r="GH64" s="1069"/>
      <c r="GI64" s="1069"/>
      <c r="GJ64" s="1069"/>
      <c r="GK64" s="1069"/>
      <c r="GL64" s="1069"/>
      <c r="GM64" s="1069"/>
      <c r="GN64" s="1069"/>
      <c r="GO64" s="1069"/>
      <c r="GP64" s="1069"/>
      <c r="GQ64" s="1069"/>
      <c r="GR64" s="1069"/>
      <c r="GS64" s="1069"/>
      <c r="GT64" s="1069"/>
      <c r="GU64" s="1069"/>
      <c r="GV64" s="1069"/>
      <c r="GW64" s="1069"/>
      <c r="GX64" s="1069"/>
    </row>
    <row r="65" spans="1:206" ht="15" customHeight="1" x14ac:dyDescent="0.2">
      <c r="A65" s="1052">
        <v>1125</v>
      </c>
      <c r="B65" s="1052" t="s">
        <v>1412</v>
      </c>
      <c r="C65" s="1053" t="s">
        <v>84</v>
      </c>
      <c r="D65" s="1054" t="s">
        <v>84</v>
      </c>
      <c r="E65" s="1055">
        <f t="shared" si="0"/>
        <v>156408.25719999999</v>
      </c>
      <c r="F65" s="1055">
        <v>0</v>
      </c>
      <c r="G65" s="1056">
        <f t="shared" si="1"/>
        <v>156408.25719999999</v>
      </c>
      <c r="H65" s="1053" t="s">
        <v>10</v>
      </c>
      <c r="I65" s="1054" t="s">
        <v>1416</v>
      </c>
      <c r="J65" s="1054" t="s">
        <v>1412</v>
      </c>
      <c r="K65" s="1054" t="s">
        <v>87</v>
      </c>
      <c r="L65" s="1054" t="s">
        <v>10</v>
      </c>
      <c r="M65" s="1057">
        <v>75</v>
      </c>
      <c r="N65" s="1057">
        <v>0.74399999999999999</v>
      </c>
      <c r="O65" s="1057">
        <v>0.78700000000000003</v>
      </c>
      <c r="P65" s="1057">
        <v>0.76700000000000002</v>
      </c>
      <c r="Q65" s="1057">
        <v>0.82</v>
      </c>
      <c r="R65" s="1057">
        <v>520231</v>
      </c>
      <c r="S65" s="1057">
        <v>448933</v>
      </c>
      <c r="T65" s="1058">
        <f t="shared" si="2"/>
        <v>154768.7225</v>
      </c>
      <c r="U65" s="1057">
        <v>242666</v>
      </c>
      <c r="V65" s="1057">
        <v>206267</v>
      </c>
      <c r="W65" s="1057">
        <v>2090</v>
      </c>
      <c r="X65" s="1057">
        <v>0</v>
      </c>
      <c r="Y65" s="1057">
        <v>0</v>
      </c>
      <c r="Z65" s="1057">
        <v>0</v>
      </c>
      <c r="AA65" s="1057">
        <v>603701.72250000003</v>
      </c>
      <c r="AB65" s="1057">
        <v>154768.7225</v>
      </c>
      <c r="AC65" s="1057">
        <v>448933</v>
      </c>
      <c r="AD65" s="1057">
        <v>0</v>
      </c>
      <c r="AE65" s="1057">
        <v>0</v>
      </c>
      <c r="AF65" s="1057">
        <v>448933</v>
      </c>
      <c r="AG65" s="1057">
        <v>0</v>
      </c>
      <c r="AH65" s="1057">
        <v>338000</v>
      </c>
      <c r="AI65" s="1057">
        <v>392000</v>
      </c>
      <c r="AJ65" s="1053" t="s">
        <v>908</v>
      </c>
      <c r="AK65" s="1053" t="s">
        <v>909</v>
      </c>
      <c r="AL65" s="1054" t="s">
        <v>1416</v>
      </c>
      <c r="AM65" s="1053" t="s">
        <v>10</v>
      </c>
      <c r="AN65" s="1054" t="s">
        <v>84</v>
      </c>
      <c r="AO65" s="1054">
        <v>154768.7225</v>
      </c>
      <c r="AP65" s="1059">
        <f t="shared" si="23"/>
        <v>91.834300000000013</v>
      </c>
      <c r="AQ65" s="1059">
        <f t="shared" si="5"/>
        <v>98.834300000000013</v>
      </c>
      <c r="AR65" s="1052">
        <v>17</v>
      </c>
      <c r="AS65" s="1052">
        <v>392</v>
      </c>
      <c r="AT65" s="1052">
        <v>37</v>
      </c>
      <c r="AU65" s="1052">
        <v>0</v>
      </c>
      <c r="AV65" s="1052">
        <v>0</v>
      </c>
      <c r="AW65" s="1052">
        <v>0</v>
      </c>
      <c r="AX65" s="1052">
        <v>0</v>
      </c>
      <c r="AY65" s="1052">
        <v>0</v>
      </c>
      <c r="AZ65" s="1052">
        <v>0</v>
      </c>
      <c r="BA65" s="1052">
        <v>0</v>
      </c>
      <c r="BB65" s="1052">
        <v>5</v>
      </c>
      <c r="BC65" s="1052">
        <v>2</v>
      </c>
      <c r="BD65" s="1052">
        <v>0</v>
      </c>
      <c r="BE65" s="1052">
        <v>0</v>
      </c>
      <c r="BF65" s="1052">
        <v>0</v>
      </c>
      <c r="BG65" s="1052">
        <v>0</v>
      </c>
      <c r="BH65" s="1052">
        <v>0</v>
      </c>
      <c r="BI65" s="1052">
        <v>0</v>
      </c>
      <c r="BJ65" s="1052">
        <v>0</v>
      </c>
      <c r="BK65" s="1052">
        <v>0</v>
      </c>
      <c r="BL65" s="1052">
        <v>0</v>
      </c>
      <c r="BM65" s="1052">
        <v>0</v>
      </c>
      <c r="BN65" s="1052">
        <v>0</v>
      </c>
      <c r="BO65" s="1052">
        <v>378.34300000000002</v>
      </c>
      <c r="BR65" s="1140">
        <f t="shared" si="6"/>
        <v>236111.11111111112</v>
      </c>
      <c r="BS65" s="1140">
        <f t="shared" si="7"/>
        <v>513888.88888888893</v>
      </c>
      <c r="BT65" s="1140">
        <f t="shared" si="8"/>
        <v>0</v>
      </c>
      <c r="BU65" s="1140">
        <f t="shared" si="9"/>
        <v>750000</v>
      </c>
      <c r="BV65" s="1140">
        <f t="shared" si="19"/>
        <v>0</v>
      </c>
      <c r="BW65" s="1140">
        <f t="shared" si="20"/>
        <v>0</v>
      </c>
      <c r="BX65" s="1140">
        <f t="shared" si="21"/>
        <v>0</v>
      </c>
      <c r="BY65" s="1140">
        <f t="shared" si="10"/>
        <v>0</v>
      </c>
      <c r="CA65" s="1140">
        <f t="shared" si="11"/>
        <v>236111.11111111112</v>
      </c>
      <c r="CB65" s="1140">
        <f t="shared" si="12"/>
        <v>513888.88888888893</v>
      </c>
      <c r="CC65" s="1140">
        <f t="shared" si="13"/>
        <v>0</v>
      </c>
      <c r="CD65" s="1140">
        <f t="shared" si="14"/>
        <v>750000</v>
      </c>
      <c r="CE65" s="1140">
        <f t="shared" si="15"/>
        <v>0</v>
      </c>
      <c r="CF65" s="1140">
        <f t="shared" si="16"/>
        <v>0</v>
      </c>
      <c r="CG65" s="1140">
        <f t="shared" si="17"/>
        <v>0</v>
      </c>
      <c r="CH65" s="1140">
        <f t="shared" si="18"/>
        <v>0</v>
      </c>
      <c r="CJ65" s="1069"/>
      <c r="CK65" s="1069"/>
      <c r="CL65" s="1069"/>
      <c r="CM65" s="1069"/>
      <c r="CN65" s="1069"/>
      <c r="CO65" s="1069"/>
      <c r="CP65" s="1069"/>
      <c r="CQ65" s="1069"/>
      <c r="CR65" s="1069"/>
      <c r="CS65" s="1069"/>
      <c r="CT65" s="1069"/>
      <c r="CU65" s="1069"/>
      <c r="CV65" s="1069"/>
      <c r="CW65" s="1069"/>
      <c r="CX65" s="1069"/>
      <c r="CY65" s="1069"/>
      <c r="CZ65" s="1069"/>
      <c r="DA65" s="1069"/>
      <c r="DB65" s="1069"/>
      <c r="DC65" s="1069"/>
      <c r="DD65" s="1069"/>
      <c r="DE65" s="1069"/>
      <c r="DF65" s="1069"/>
      <c r="DG65" s="1069"/>
      <c r="DH65" s="1069"/>
      <c r="DI65" s="1069"/>
      <c r="DJ65" s="1069"/>
      <c r="DK65" s="1069"/>
      <c r="DL65" s="1069"/>
      <c r="DM65" s="1069"/>
      <c r="DN65" s="1069"/>
      <c r="DO65" s="1069"/>
      <c r="DP65" s="1069"/>
      <c r="DQ65" s="1069"/>
      <c r="DR65" s="1069"/>
      <c r="DS65" s="1069"/>
      <c r="DT65" s="1069"/>
      <c r="DU65" s="1069"/>
      <c r="DV65" s="1069"/>
      <c r="DW65" s="1069"/>
      <c r="DX65" s="1069"/>
      <c r="DY65" s="1069"/>
      <c r="DZ65" s="1069"/>
      <c r="EA65" s="1069"/>
      <c r="EB65" s="1069"/>
      <c r="EC65" s="1069"/>
      <c r="ED65" s="1069"/>
      <c r="EE65" s="1069"/>
      <c r="EF65" s="1069"/>
      <c r="EG65" s="1069"/>
      <c r="EH65" s="1069"/>
      <c r="EI65" s="1069"/>
      <c r="EJ65" s="1069"/>
      <c r="EK65" s="1069"/>
      <c r="EL65" s="1069"/>
      <c r="EM65" s="1069"/>
      <c r="EN65" s="1069"/>
      <c r="EO65" s="1069"/>
      <c r="EP65" s="1069"/>
      <c r="EQ65" s="1069"/>
      <c r="ER65" s="1069"/>
      <c r="ES65" s="1069"/>
      <c r="ET65" s="1069"/>
      <c r="EU65" s="1069"/>
      <c r="EV65" s="1069"/>
      <c r="EW65" s="1069"/>
      <c r="EX65" s="1069"/>
      <c r="EY65" s="1069"/>
      <c r="EZ65" s="1069"/>
      <c r="FA65" s="1069"/>
      <c r="FB65" s="1069"/>
      <c r="FC65" s="1069"/>
      <c r="FD65" s="1069"/>
      <c r="FE65" s="1069"/>
      <c r="FF65" s="1069"/>
      <c r="FG65" s="1069"/>
      <c r="FH65" s="1069"/>
      <c r="FI65" s="1069"/>
      <c r="FJ65" s="1069"/>
      <c r="FK65" s="1069"/>
      <c r="FL65" s="1069"/>
      <c r="FM65" s="1069"/>
      <c r="FN65" s="1069"/>
      <c r="FO65" s="1069"/>
      <c r="FP65" s="1069"/>
      <c r="FQ65" s="1069"/>
      <c r="FR65" s="1069"/>
      <c r="FS65" s="1069"/>
      <c r="FT65" s="1069"/>
      <c r="FU65" s="1069"/>
      <c r="FV65" s="1069"/>
      <c r="FW65" s="1069"/>
      <c r="FX65" s="1069"/>
      <c r="FY65" s="1069"/>
      <c r="FZ65" s="1069"/>
      <c r="GA65" s="1069"/>
      <c r="GB65" s="1069"/>
      <c r="GC65" s="1069"/>
      <c r="GD65" s="1069"/>
      <c r="GE65" s="1069"/>
      <c r="GF65" s="1069"/>
      <c r="GG65" s="1069"/>
      <c r="GH65" s="1069"/>
      <c r="GI65" s="1069"/>
      <c r="GJ65" s="1069"/>
      <c r="GK65" s="1069"/>
      <c r="GL65" s="1069"/>
      <c r="GM65" s="1069"/>
      <c r="GN65" s="1069"/>
      <c r="GO65" s="1069"/>
      <c r="GP65" s="1069"/>
      <c r="GQ65" s="1069"/>
      <c r="GR65" s="1069"/>
      <c r="GS65" s="1069"/>
      <c r="GT65" s="1069"/>
      <c r="GU65" s="1069"/>
      <c r="GV65" s="1069"/>
      <c r="GW65" s="1069"/>
      <c r="GX65" s="1069"/>
    </row>
    <row r="66" spans="1:206" s="1087" customFormat="1" ht="15" customHeight="1" x14ac:dyDescent="0.2">
      <c r="A66" s="1052">
        <v>1145</v>
      </c>
      <c r="B66" s="1052" t="s">
        <v>1412</v>
      </c>
      <c r="C66" s="1053" t="s">
        <v>88</v>
      </c>
      <c r="D66" s="1054" t="s">
        <v>88</v>
      </c>
      <c r="E66" s="1055">
        <f t="shared" ref="E66:E129" si="24">IF(I66="regional",IF(R66*0.2975,S66*0.3484),S66*0.1939)</f>
        <v>161965.93400000001</v>
      </c>
      <c r="F66" s="1055">
        <v>0</v>
      </c>
      <c r="G66" s="1056">
        <f t="shared" ref="G66:G120" si="25">E66+F66</f>
        <v>161965.93400000001</v>
      </c>
      <c r="H66" s="1053" t="s">
        <v>1417</v>
      </c>
      <c r="I66" s="1054" t="s">
        <v>1416</v>
      </c>
      <c r="J66" s="1054" t="s">
        <v>1412</v>
      </c>
      <c r="K66" s="1054" t="s">
        <v>91</v>
      </c>
      <c r="L66" s="1054" t="s">
        <v>10</v>
      </c>
      <c r="M66" s="1057">
        <v>72</v>
      </c>
      <c r="N66" s="1057">
        <v>0.96199999999999997</v>
      </c>
      <c r="O66" s="1057">
        <v>0.96199999999999997</v>
      </c>
      <c r="P66" s="1057">
        <v>0.98899999999999999</v>
      </c>
      <c r="Q66" s="1057">
        <v>1</v>
      </c>
      <c r="R66" s="1057">
        <v>1043979</v>
      </c>
      <c r="S66" s="1057">
        <v>464885</v>
      </c>
      <c r="T66" s="1058">
        <f>IF(I66="regional",IF(R66&gt;0,R66*0.2975,S66*0.3484),S66*0.1939)</f>
        <v>310583.7525</v>
      </c>
      <c r="U66" s="1057">
        <v>0</v>
      </c>
      <c r="V66" s="1057">
        <v>464885</v>
      </c>
      <c r="W66" s="1057">
        <v>5500</v>
      </c>
      <c r="X66" s="1057">
        <v>0</v>
      </c>
      <c r="Y66" s="1057">
        <v>0</v>
      </c>
      <c r="Z66" s="1057">
        <v>0</v>
      </c>
      <c r="AA66" s="1057">
        <v>775468.75249999994</v>
      </c>
      <c r="AB66" s="1057">
        <v>310583.7525</v>
      </c>
      <c r="AC66" s="1057">
        <v>464885</v>
      </c>
      <c r="AD66" s="1057">
        <v>0</v>
      </c>
      <c r="AE66" s="1057">
        <v>0</v>
      </c>
      <c r="AF66" s="1057">
        <v>464885</v>
      </c>
      <c r="AG66" s="1057">
        <v>0</v>
      </c>
      <c r="AH66" s="1057">
        <v>1044000</v>
      </c>
      <c r="AI66" s="1057">
        <v>1045000</v>
      </c>
      <c r="AJ66" s="1053" t="s">
        <v>914</v>
      </c>
      <c r="AK66" s="1053" t="s">
        <v>920</v>
      </c>
      <c r="AL66" s="1054" t="s">
        <v>1416</v>
      </c>
      <c r="AM66" s="1053" t="s">
        <v>1417</v>
      </c>
      <c r="AN66" s="1054" t="s">
        <v>88</v>
      </c>
      <c r="AO66" s="1054">
        <v>310583.7525</v>
      </c>
      <c r="AP66" s="1059">
        <f t="shared" si="23"/>
        <v>349.06700000000001</v>
      </c>
      <c r="AQ66" s="1059">
        <f t="shared" si="5"/>
        <v>399.06700000000001</v>
      </c>
      <c r="AR66" s="1081">
        <v>133</v>
      </c>
      <c r="AS66" s="1081">
        <v>1045</v>
      </c>
      <c r="AT66" s="1081">
        <v>80</v>
      </c>
      <c r="AU66" s="1081">
        <v>0</v>
      </c>
      <c r="AV66" s="1081">
        <v>0</v>
      </c>
      <c r="AW66" s="1081">
        <v>122</v>
      </c>
      <c r="AX66" s="1081">
        <v>0</v>
      </c>
      <c r="AY66" s="1081">
        <v>0</v>
      </c>
      <c r="AZ66" s="1081">
        <v>22</v>
      </c>
      <c r="BA66" s="1081">
        <v>133</v>
      </c>
      <c r="BB66" s="1081">
        <v>50</v>
      </c>
      <c r="BC66" s="1081">
        <v>0</v>
      </c>
      <c r="BD66" s="1081">
        <v>31</v>
      </c>
      <c r="BE66" s="1081">
        <v>0</v>
      </c>
      <c r="BF66" s="1081">
        <v>0</v>
      </c>
      <c r="BG66" s="1081">
        <v>0</v>
      </c>
      <c r="BH66" s="1081">
        <v>78</v>
      </c>
      <c r="BI66" s="1081">
        <v>6</v>
      </c>
      <c r="BJ66" s="1081">
        <v>0</v>
      </c>
      <c r="BK66" s="1081">
        <v>0</v>
      </c>
      <c r="BL66" s="1081">
        <v>5067</v>
      </c>
      <c r="BM66" s="1081">
        <v>0</v>
      </c>
      <c r="BN66" s="1081">
        <v>0</v>
      </c>
      <c r="BO66" s="1081">
        <v>0</v>
      </c>
      <c r="BP66" s="1069"/>
      <c r="BQ66" s="1136"/>
      <c r="BR66" s="1140">
        <f t="shared" si="6"/>
        <v>1847222.2222222222</v>
      </c>
      <c r="BS66" s="1140">
        <f t="shared" si="7"/>
        <v>1111111.1111111112</v>
      </c>
      <c r="BT66" s="1140">
        <f t="shared" si="8"/>
        <v>0</v>
      </c>
      <c r="BU66" s="1140">
        <f t="shared" si="9"/>
        <v>2958333.3333333335</v>
      </c>
      <c r="BV66" s="1140">
        <f t="shared" si="19"/>
        <v>0</v>
      </c>
      <c r="BW66" s="1140">
        <f t="shared" si="20"/>
        <v>0</v>
      </c>
      <c r="BX66" s="1140">
        <f t="shared" si="21"/>
        <v>0</v>
      </c>
      <c r="BY66" s="1140">
        <f t="shared" si="10"/>
        <v>0</v>
      </c>
      <c r="BZ66" s="1136"/>
      <c r="CA66" s="1140">
        <f t="shared" si="11"/>
        <v>0</v>
      </c>
      <c r="CB66" s="1140">
        <f t="shared" si="12"/>
        <v>0</v>
      </c>
      <c r="CC66" s="1140">
        <f t="shared" si="13"/>
        <v>0</v>
      </c>
      <c r="CD66" s="1140">
        <f t="shared" si="14"/>
        <v>0</v>
      </c>
      <c r="CE66" s="1140">
        <f t="shared" si="15"/>
        <v>0</v>
      </c>
      <c r="CF66" s="1140">
        <f t="shared" si="16"/>
        <v>0</v>
      </c>
      <c r="CG66" s="1140">
        <f t="shared" si="17"/>
        <v>0</v>
      </c>
      <c r="CH66" s="1140">
        <f t="shared" si="18"/>
        <v>0</v>
      </c>
      <c r="CI66" s="1146"/>
      <c r="CJ66" s="1069"/>
      <c r="CK66" s="1069"/>
      <c r="CL66" s="1069"/>
      <c r="CM66" s="1069"/>
      <c r="CN66" s="1069"/>
      <c r="CO66" s="1069"/>
      <c r="CP66" s="1069"/>
      <c r="CQ66" s="1069"/>
      <c r="CR66" s="1069"/>
      <c r="CS66" s="1069"/>
      <c r="CT66" s="1069"/>
      <c r="CU66" s="1069"/>
      <c r="CV66" s="1069"/>
      <c r="CW66" s="1069"/>
      <c r="CX66" s="1069"/>
      <c r="CY66" s="1069"/>
      <c r="CZ66" s="1069"/>
      <c r="DA66" s="1069"/>
      <c r="DB66" s="1069"/>
      <c r="DC66" s="1069"/>
      <c r="DD66" s="1069"/>
      <c r="DE66" s="1069"/>
      <c r="DF66" s="1069"/>
      <c r="DG66" s="1069"/>
      <c r="DH66" s="1069"/>
      <c r="DI66" s="1069"/>
      <c r="DJ66" s="1069"/>
      <c r="DK66" s="1069"/>
      <c r="DL66" s="1069"/>
      <c r="DM66" s="1069"/>
      <c r="DN66" s="1069"/>
      <c r="DO66" s="1069"/>
      <c r="DP66" s="1069"/>
      <c r="DQ66" s="1069"/>
      <c r="DR66" s="1069"/>
      <c r="DS66" s="1069"/>
      <c r="DT66" s="1069"/>
      <c r="DU66" s="1069"/>
      <c r="DV66" s="1069"/>
      <c r="DW66" s="1069"/>
      <c r="DX66" s="1069"/>
      <c r="DY66" s="1069"/>
      <c r="DZ66" s="1069"/>
      <c r="EA66" s="1069"/>
      <c r="EB66" s="1069"/>
      <c r="EC66" s="1069"/>
      <c r="ED66" s="1069"/>
      <c r="EE66" s="1069"/>
      <c r="EF66" s="1069"/>
      <c r="EG66" s="1069"/>
      <c r="EH66" s="1069"/>
      <c r="EI66" s="1069"/>
      <c r="EJ66" s="1069"/>
      <c r="EK66" s="1069"/>
      <c r="EL66" s="1069"/>
      <c r="EM66" s="1069"/>
      <c r="EN66" s="1069"/>
      <c r="EO66" s="1069"/>
      <c r="EP66" s="1069"/>
      <c r="EQ66" s="1069"/>
      <c r="ER66" s="1069"/>
      <c r="ES66" s="1069"/>
      <c r="ET66" s="1069"/>
      <c r="EU66" s="1069"/>
      <c r="EV66" s="1069"/>
      <c r="EW66" s="1069"/>
      <c r="EX66" s="1069"/>
      <c r="EY66" s="1069"/>
      <c r="EZ66" s="1069"/>
      <c r="FA66" s="1069"/>
      <c r="FB66" s="1069"/>
      <c r="FC66" s="1069"/>
      <c r="FD66" s="1069"/>
      <c r="FE66" s="1069"/>
      <c r="FF66" s="1069"/>
      <c r="FG66" s="1069"/>
      <c r="FH66" s="1069"/>
      <c r="FI66" s="1069"/>
      <c r="FJ66" s="1069"/>
      <c r="FK66" s="1069"/>
      <c r="FL66" s="1069"/>
      <c r="FM66" s="1069"/>
      <c r="FN66" s="1069"/>
      <c r="FO66" s="1069"/>
      <c r="FP66" s="1069"/>
      <c r="FQ66" s="1069"/>
      <c r="FR66" s="1069"/>
      <c r="FS66" s="1069"/>
      <c r="FT66" s="1069"/>
      <c r="FU66" s="1069"/>
      <c r="FV66" s="1069"/>
      <c r="FW66" s="1069"/>
      <c r="FX66" s="1069"/>
      <c r="FY66" s="1069"/>
      <c r="FZ66" s="1069"/>
      <c r="GA66" s="1069"/>
      <c r="GB66" s="1069"/>
      <c r="GC66" s="1069"/>
      <c r="GD66" s="1069"/>
      <c r="GE66" s="1069"/>
      <c r="GF66" s="1069"/>
      <c r="GG66" s="1069"/>
      <c r="GH66" s="1069"/>
      <c r="GI66" s="1069"/>
      <c r="GJ66" s="1069"/>
      <c r="GK66" s="1069"/>
      <c r="GL66" s="1069"/>
      <c r="GM66" s="1069"/>
      <c r="GN66" s="1069"/>
      <c r="GO66" s="1069"/>
      <c r="GP66" s="1069"/>
      <c r="GQ66" s="1069"/>
      <c r="GR66" s="1069"/>
      <c r="GS66" s="1069"/>
      <c r="GT66" s="1069"/>
      <c r="GU66" s="1069"/>
      <c r="GV66" s="1069"/>
      <c r="GW66" s="1069"/>
      <c r="GX66" s="1069"/>
    </row>
    <row r="67" spans="1:206" ht="15" customHeight="1" x14ac:dyDescent="0.2">
      <c r="A67" s="1080">
        <v>1148</v>
      </c>
      <c r="B67" s="1080" t="s">
        <v>1412</v>
      </c>
      <c r="C67" s="1083" t="s">
        <v>923</v>
      </c>
      <c r="D67" s="1063" t="s">
        <v>923</v>
      </c>
      <c r="E67" s="1055" t="e">
        <f t="shared" si="24"/>
        <v>#VALUE!</v>
      </c>
      <c r="F67" s="1064" t="s">
        <v>10</v>
      </c>
      <c r="G67" s="1056" t="e">
        <f t="shared" si="25"/>
        <v>#VALUE!</v>
      </c>
      <c r="H67" s="1062" t="s">
        <v>1417</v>
      </c>
      <c r="I67" s="1063" t="s">
        <v>1416</v>
      </c>
      <c r="J67" s="1063" t="s">
        <v>10</v>
      </c>
      <c r="K67" s="1063" t="s">
        <v>10</v>
      </c>
      <c r="L67" s="1063" t="s">
        <v>10</v>
      </c>
      <c r="M67" s="1065" t="s">
        <v>10</v>
      </c>
      <c r="N67" s="1065" t="s">
        <v>10</v>
      </c>
      <c r="O67" s="1065" t="s">
        <v>10</v>
      </c>
      <c r="P67" s="1065" t="s">
        <v>10</v>
      </c>
      <c r="Q67" s="1065" t="s">
        <v>10</v>
      </c>
      <c r="R67" s="1065" t="s">
        <v>10</v>
      </c>
      <c r="S67" s="1065" t="s">
        <v>10</v>
      </c>
      <c r="T67" s="1058" t="e">
        <f t="shared" ref="T67:T130" si="26">IF(I67="regional",IF(R67&gt;0,R67*0.2975,S67*0.3484),S67*0.1939)</f>
        <v>#VALUE!</v>
      </c>
      <c r="U67" s="1065" t="s">
        <v>10</v>
      </c>
      <c r="V67" s="1065" t="s">
        <v>10</v>
      </c>
      <c r="W67" s="1065" t="s">
        <v>10</v>
      </c>
      <c r="X67" s="1065" t="s">
        <v>10</v>
      </c>
      <c r="Y67" s="1065" t="s">
        <v>10</v>
      </c>
      <c r="Z67" s="1065" t="s">
        <v>10</v>
      </c>
      <c r="AA67" s="1065" t="s">
        <v>10</v>
      </c>
      <c r="AB67" s="1065" t="s">
        <v>10</v>
      </c>
      <c r="AC67" s="1065" t="s">
        <v>10</v>
      </c>
      <c r="AD67" s="1065" t="s">
        <v>10</v>
      </c>
      <c r="AE67" s="1065" t="s">
        <v>10</v>
      </c>
      <c r="AF67" s="1065" t="s">
        <v>10</v>
      </c>
      <c r="AG67" s="1065" t="s">
        <v>10</v>
      </c>
      <c r="AH67" s="1065" t="s">
        <v>10</v>
      </c>
      <c r="AI67" s="1065" t="s">
        <v>10</v>
      </c>
      <c r="AJ67" s="1062" t="s">
        <v>914</v>
      </c>
      <c r="AK67" s="1062" t="s">
        <v>920</v>
      </c>
      <c r="AL67" s="1078" t="s">
        <v>1578</v>
      </c>
      <c r="AM67" s="1062" t="s">
        <v>1417</v>
      </c>
      <c r="AN67" s="1078" t="s">
        <v>923</v>
      </c>
      <c r="AO67" s="1078">
        <v>0</v>
      </c>
      <c r="AP67" s="1079">
        <f t="shared" si="23"/>
        <v>437</v>
      </c>
      <c r="AQ67" s="1059">
        <f t="shared" ref="AQ67:AQ130" si="27">AR67+AT67+AU67+AV67+AX67+AY67+AZ67+BB67+BC67+BD67+BF67+BG67+BH67+BJ67+BK67+(BL67+BM67+BN67)/1000+(0.1*BO67)</f>
        <v>503</v>
      </c>
      <c r="AR67" s="1088">
        <v>32</v>
      </c>
      <c r="AS67" s="1088">
        <v>567</v>
      </c>
      <c r="AT67" s="1088">
        <v>270</v>
      </c>
      <c r="AU67" s="1088">
        <v>0</v>
      </c>
      <c r="AV67" s="1088">
        <v>0</v>
      </c>
      <c r="AW67" s="1088">
        <v>0</v>
      </c>
      <c r="AX67" s="1088">
        <v>26</v>
      </c>
      <c r="AY67" s="1088">
        <v>0</v>
      </c>
      <c r="AZ67" s="1088">
        <v>13</v>
      </c>
      <c r="BA67" s="1088">
        <v>27</v>
      </c>
      <c r="BB67" s="1088">
        <v>66</v>
      </c>
      <c r="BC67" s="1088">
        <v>0</v>
      </c>
      <c r="BD67" s="1088">
        <v>27</v>
      </c>
      <c r="BE67" s="1088">
        <v>0</v>
      </c>
      <c r="BF67" s="1088">
        <v>0</v>
      </c>
      <c r="BG67" s="1088">
        <v>0</v>
      </c>
      <c r="BH67" s="1088">
        <v>67</v>
      </c>
      <c r="BI67" s="1088">
        <v>6</v>
      </c>
      <c r="BJ67" s="1088">
        <v>0</v>
      </c>
      <c r="BK67" s="1088">
        <v>0</v>
      </c>
      <c r="BL67" s="1088">
        <v>0</v>
      </c>
      <c r="BM67" s="1088">
        <v>2000</v>
      </c>
      <c r="BN67" s="1088">
        <v>0</v>
      </c>
      <c r="BO67" s="730"/>
      <c r="BR67" s="1140">
        <f t="shared" ref="BR67:BR130" si="28">AR67*1000/0.072</f>
        <v>444444.4444444445</v>
      </c>
      <c r="BS67" s="1140">
        <f t="shared" ref="BS67:BS130" si="29">AT67*1000/0.072</f>
        <v>3750000.0000000005</v>
      </c>
      <c r="BT67" s="1140">
        <f t="shared" ref="BT67:BT130" si="30">AU67*1000/0.072</f>
        <v>0</v>
      </c>
      <c r="BU67" s="1140">
        <f t="shared" ref="BU67:BU130" si="31">SUM(BR67:BT67)</f>
        <v>4194444.444444445</v>
      </c>
      <c r="BV67" s="1140">
        <f t="shared" si="19"/>
        <v>0</v>
      </c>
      <c r="BW67" s="1140">
        <f t="shared" si="20"/>
        <v>5200</v>
      </c>
      <c r="BX67" s="1140">
        <f t="shared" si="21"/>
        <v>0</v>
      </c>
      <c r="BY67" s="1140">
        <f t="shared" ref="BY67:BY130" si="32">SUM(BV67:BX67)</f>
        <v>5200</v>
      </c>
      <c r="CA67" s="1140">
        <f t="shared" ref="CA67:CA130" si="33">IF($AM67="n",0,BR67)</f>
        <v>0</v>
      </c>
      <c r="CB67" s="1140">
        <f t="shared" ref="CB67:CB130" si="34">IF($AM67="n",0,BS67)</f>
        <v>0</v>
      </c>
      <c r="CC67" s="1140">
        <f t="shared" ref="CC67:CC130" si="35">IF($AM67="n",0,BT67)</f>
        <v>0</v>
      </c>
      <c r="CD67" s="1140">
        <f t="shared" ref="CD67:CD130" si="36">SUM(CA67:CC67)</f>
        <v>0</v>
      </c>
      <c r="CE67" s="1140">
        <f t="shared" ref="CE67:CE130" si="37">IF($AM$2="n",0,BV67)</f>
        <v>0</v>
      </c>
      <c r="CF67" s="1140">
        <f t="shared" ref="CF67:CF130" si="38">IF($AM$2="n",0,BW67)</f>
        <v>5200</v>
      </c>
      <c r="CG67" s="1140">
        <f t="shared" ref="CG67:CG130" si="39">IF($AM$2="n",0,BX67)</f>
        <v>0</v>
      </c>
      <c r="CH67" s="1140">
        <f t="shared" ref="CH67:CH130" si="40">SUM(CE67:CG67)</f>
        <v>5200</v>
      </c>
      <c r="CJ67" s="1069"/>
      <c r="CK67" s="1069"/>
      <c r="CL67" s="1069"/>
      <c r="CM67" s="1069"/>
      <c r="CN67" s="1069"/>
      <c r="CO67" s="1069"/>
      <c r="CP67" s="1069"/>
      <c r="CQ67" s="1069"/>
      <c r="CR67" s="1069"/>
      <c r="CS67" s="1069"/>
      <c r="CT67" s="1069"/>
      <c r="CU67" s="1069"/>
      <c r="CV67" s="1069"/>
      <c r="CW67" s="1069"/>
      <c r="CX67" s="1069"/>
      <c r="CY67" s="1069"/>
      <c r="CZ67" s="1069"/>
      <c r="DA67" s="1069"/>
      <c r="DB67" s="1069"/>
      <c r="DC67" s="1069"/>
      <c r="DD67" s="1069"/>
      <c r="DE67" s="1069"/>
      <c r="DF67" s="1069"/>
      <c r="DG67" s="1069"/>
      <c r="DH67" s="1069"/>
      <c r="DI67" s="1069"/>
      <c r="DJ67" s="1069"/>
      <c r="DK67" s="1069"/>
      <c r="DL67" s="1069"/>
      <c r="DM67" s="1069"/>
      <c r="DN67" s="1069"/>
      <c r="DO67" s="1069"/>
      <c r="DP67" s="1069"/>
      <c r="DQ67" s="1069"/>
      <c r="DR67" s="1069"/>
      <c r="DS67" s="1069"/>
      <c r="DT67" s="1069"/>
      <c r="DU67" s="1069"/>
      <c r="DV67" s="1069"/>
      <c r="DW67" s="1069"/>
      <c r="DX67" s="1069"/>
      <c r="DY67" s="1069"/>
      <c r="DZ67" s="1069"/>
      <c r="EA67" s="1069"/>
      <c r="EB67" s="1069"/>
      <c r="EC67" s="1069"/>
      <c r="ED67" s="1069"/>
      <c r="EE67" s="1069"/>
      <c r="EF67" s="1069"/>
      <c r="EG67" s="1069"/>
      <c r="EH67" s="1069"/>
      <c r="EI67" s="1069"/>
      <c r="EJ67" s="1069"/>
      <c r="EK67" s="1069"/>
      <c r="EL67" s="1069"/>
      <c r="EM67" s="1069"/>
      <c r="EN67" s="1069"/>
      <c r="EO67" s="1069"/>
      <c r="EP67" s="1069"/>
      <c r="EQ67" s="1069"/>
      <c r="ER67" s="1069"/>
      <c r="ES67" s="1069"/>
      <c r="ET67" s="1069"/>
      <c r="EU67" s="1069"/>
      <c r="EV67" s="1069"/>
      <c r="EW67" s="1069"/>
      <c r="EX67" s="1069"/>
      <c r="EY67" s="1069"/>
      <c r="EZ67" s="1069"/>
      <c r="FA67" s="1069"/>
      <c r="FB67" s="1069"/>
      <c r="FC67" s="1069"/>
      <c r="FD67" s="1069"/>
      <c r="FE67" s="1069"/>
      <c r="FF67" s="1069"/>
      <c r="FG67" s="1069"/>
      <c r="FH67" s="1069"/>
      <c r="FI67" s="1069"/>
      <c r="FJ67" s="1069"/>
      <c r="FK67" s="1069"/>
      <c r="FL67" s="1069"/>
      <c r="FM67" s="1069"/>
      <c r="FN67" s="1069"/>
      <c r="FO67" s="1069"/>
      <c r="FP67" s="1069"/>
      <c r="FQ67" s="1069"/>
      <c r="FR67" s="1069"/>
      <c r="FS67" s="1069"/>
      <c r="FT67" s="1069"/>
      <c r="FU67" s="1069"/>
      <c r="FV67" s="1069"/>
      <c r="FW67" s="1069"/>
      <c r="FX67" s="1069"/>
      <c r="FY67" s="1069"/>
      <c r="FZ67" s="1069"/>
      <c r="GA67" s="1069"/>
      <c r="GB67" s="1069"/>
      <c r="GC67" s="1069"/>
      <c r="GD67" s="1069"/>
      <c r="GE67" s="1069"/>
      <c r="GF67" s="1069"/>
      <c r="GG67" s="1069"/>
      <c r="GH67" s="1069"/>
      <c r="GI67" s="1069"/>
      <c r="GJ67" s="1069"/>
      <c r="GK67" s="1069"/>
      <c r="GL67" s="1069"/>
      <c r="GM67" s="1069"/>
      <c r="GN67" s="1069"/>
      <c r="GO67" s="1069"/>
      <c r="GP67" s="1069"/>
      <c r="GQ67" s="1069"/>
      <c r="GR67" s="1069"/>
      <c r="GS67" s="1069"/>
      <c r="GT67" s="1069"/>
      <c r="GU67" s="1069"/>
      <c r="GV67" s="1069"/>
      <c r="GW67" s="1069"/>
      <c r="GX67" s="1069"/>
    </row>
    <row r="68" spans="1:206" ht="15" customHeight="1" x14ac:dyDescent="0.2">
      <c r="A68" s="1052">
        <v>941</v>
      </c>
      <c r="B68" s="1052"/>
      <c r="C68" s="1053" t="s">
        <v>92</v>
      </c>
      <c r="D68" s="1054" t="s">
        <v>92</v>
      </c>
      <c r="E68" s="1055">
        <f t="shared" si="24"/>
        <v>62413.889299999995</v>
      </c>
      <c r="F68" s="1055">
        <v>0</v>
      </c>
      <c r="G68" s="1056">
        <f t="shared" si="25"/>
        <v>62413.889299999995</v>
      </c>
      <c r="H68" s="1053" t="s">
        <v>10</v>
      </c>
      <c r="I68" s="1054" t="s">
        <v>1512</v>
      </c>
      <c r="J68" s="1054" t="s">
        <v>10</v>
      </c>
      <c r="K68" s="1054" t="s">
        <v>1545</v>
      </c>
      <c r="L68" s="1054" t="s">
        <v>10</v>
      </c>
      <c r="M68" s="1057">
        <v>17</v>
      </c>
      <c r="N68" s="1057">
        <v>0.84</v>
      </c>
      <c r="O68" s="1057">
        <v>0.86599999999999999</v>
      </c>
      <c r="P68" s="1057">
        <v>0.751</v>
      </c>
      <c r="Q68" s="1057">
        <v>0.80100000000000005</v>
      </c>
      <c r="R68" s="1057">
        <v>0</v>
      </c>
      <c r="S68" s="1057">
        <v>321887</v>
      </c>
      <c r="T68" s="1058">
        <f t="shared" si="26"/>
        <v>62413.889299999995</v>
      </c>
      <c r="U68" s="1057">
        <v>278489</v>
      </c>
      <c r="V68" s="1057">
        <v>43398</v>
      </c>
      <c r="W68" s="1057">
        <v>1618</v>
      </c>
      <c r="X68" s="1057">
        <v>0</v>
      </c>
      <c r="Y68" s="1057">
        <v>0</v>
      </c>
      <c r="Z68" s="1057">
        <v>0</v>
      </c>
      <c r="AA68" s="1057">
        <v>384300.88929999998</v>
      </c>
      <c r="AB68" s="1057">
        <v>62413.889300000003</v>
      </c>
      <c r="AC68" s="1057">
        <v>321887</v>
      </c>
      <c r="AD68" s="1057">
        <v>0</v>
      </c>
      <c r="AE68" s="1057">
        <v>0</v>
      </c>
      <c r="AF68" s="1057">
        <v>0</v>
      </c>
      <c r="AG68" s="1057">
        <v>321887</v>
      </c>
      <c r="AH68" s="1057">
        <v>0</v>
      </c>
      <c r="AI68" s="1057">
        <v>0</v>
      </c>
      <c r="AJ68" s="1053">
        <v>4</v>
      </c>
      <c r="AK68" s="1053" t="s">
        <v>899</v>
      </c>
      <c r="AL68" s="1054" t="s">
        <v>1512</v>
      </c>
      <c r="AM68" s="1053" t="s">
        <v>10</v>
      </c>
      <c r="AN68" s="1054" t="s">
        <v>92</v>
      </c>
      <c r="AO68" s="1054">
        <v>62413.889300000003</v>
      </c>
      <c r="AP68" s="1059">
        <f t="shared" si="23"/>
        <v>50</v>
      </c>
      <c r="AQ68" s="1059">
        <f t="shared" si="27"/>
        <v>53</v>
      </c>
      <c r="AR68" s="1052">
        <v>0</v>
      </c>
      <c r="AS68" s="1052">
        <v>0</v>
      </c>
      <c r="AT68" s="1052">
        <v>16</v>
      </c>
      <c r="AU68" s="1052">
        <v>34</v>
      </c>
      <c r="AV68" s="1052">
        <v>0</v>
      </c>
      <c r="AW68" s="1052">
        <v>0</v>
      </c>
      <c r="AX68" s="1052">
        <v>0</v>
      </c>
      <c r="AY68" s="1052">
        <v>0</v>
      </c>
      <c r="AZ68" s="1052">
        <v>0</v>
      </c>
      <c r="BA68" s="1052">
        <v>0</v>
      </c>
      <c r="BB68" s="1052">
        <v>2</v>
      </c>
      <c r="BC68" s="1052">
        <v>1</v>
      </c>
      <c r="BD68" s="1052">
        <v>0</v>
      </c>
      <c r="BE68" s="1052">
        <v>0</v>
      </c>
      <c r="BF68" s="1052">
        <v>0</v>
      </c>
      <c r="BG68" s="1052">
        <v>0</v>
      </c>
      <c r="BH68" s="1052">
        <v>0</v>
      </c>
      <c r="BI68" s="1052">
        <v>0</v>
      </c>
      <c r="BJ68" s="1052">
        <v>0</v>
      </c>
      <c r="BK68" s="1052">
        <v>0</v>
      </c>
      <c r="BL68" s="1052">
        <v>0</v>
      </c>
      <c r="BM68" s="1052">
        <v>0</v>
      </c>
      <c r="BN68" s="1052">
        <v>0</v>
      </c>
      <c r="BO68" s="1052">
        <v>0</v>
      </c>
      <c r="BR68" s="1140">
        <f t="shared" si="28"/>
        <v>0</v>
      </c>
      <c r="BS68" s="1140">
        <f t="shared" si="29"/>
        <v>222222.22222222225</v>
      </c>
      <c r="BT68" s="1140">
        <f t="shared" si="30"/>
        <v>472222.22222222225</v>
      </c>
      <c r="BU68" s="1140">
        <f t="shared" si="31"/>
        <v>694444.4444444445</v>
      </c>
      <c r="BV68" s="1140">
        <f t="shared" si="19"/>
        <v>0</v>
      </c>
      <c r="BW68" s="1140">
        <f t="shared" si="20"/>
        <v>0</v>
      </c>
      <c r="BX68" s="1140">
        <f t="shared" si="21"/>
        <v>0</v>
      </c>
      <c r="BY68" s="1140">
        <f t="shared" si="32"/>
        <v>0</v>
      </c>
      <c r="CA68" s="1140">
        <f t="shared" si="33"/>
        <v>0</v>
      </c>
      <c r="CB68" s="1140">
        <f t="shared" si="34"/>
        <v>222222.22222222225</v>
      </c>
      <c r="CC68" s="1140">
        <f t="shared" si="35"/>
        <v>472222.22222222225</v>
      </c>
      <c r="CD68" s="1140">
        <f t="shared" si="36"/>
        <v>694444.4444444445</v>
      </c>
      <c r="CE68" s="1140">
        <f t="shared" si="37"/>
        <v>0</v>
      </c>
      <c r="CF68" s="1140">
        <f t="shared" si="38"/>
        <v>0</v>
      </c>
      <c r="CG68" s="1140">
        <f t="shared" si="39"/>
        <v>0</v>
      </c>
      <c r="CH68" s="1140">
        <f t="shared" si="40"/>
        <v>0</v>
      </c>
      <c r="CJ68" s="1069"/>
      <c r="CK68" s="1069"/>
      <c r="CL68" s="1069"/>
      <c r="CM68" s="1069"/>
      <c r="CN68" s="1069"/>
      <c r="CO68" s="1069"/>
      <c r="CP68" s="1069"/>
      <c r="CQ68" s="1069"/>
      <c r="CR68" s="1069"/>
      <c r="CS68" s="1069"/>
      <c r="CT68" s="1069"/>
      <c r="CU68" s="1069"/>
      <c r="CV68" s="1069"/>
      <c r="CW68" s="1069"/>
      <c r="CX68" s="1069"/>
      <c r="CY68" s="1069"/>
      <c r="CZ68" s="1069"/>
      <c r="DA68" s="1069"/>
      <c r="DB68" s="1069"/>
      <c r="DC68" s="1069"/>
      <c r="DD68" s="1069"/>
      <c r="DE68" s="1069"/>
      <c r="DF68" s="1069"/>
      <c r="DG68" s="1069"/>
      <c r="DH68" s="1069"/>
      <c r="DI68" s="1069"/>
      <c r="DJ68" s="1069"/>
      <c r="DK68" s="1069"/>
      <c r="DL68" s="1069"/>
      <c r="DM68" s="1069"/>
      <c r="DN68" s="1069"/>
      <c r="DO68" s="1069"/>
      <c r="DP68" s="1069"/>
      <c r="DQ68" s="1069"/>
      <c r="DR68" s="1069"/>
      <c r="DS68" s="1069"/>
      <c r="DT68" s="1069"/>
      <c r="DU68" s="1069"/>
      <c r="DV68" s="1069"/>
      <c r="DW68" s="1069"/>
      <c r="DX68" s="1069"/>
      <c r="DY68" s="1069"/>
      <c r="DZ68" s="1069"/>
      <c r="EA68" s="1069"/>
      <c r="EB68" s="1069"/>
      <c r="EC68" s="1069"/>
      <c r="ED68" s="1069"/>
      <c r="EE68" s="1069"/>
      <c r="EF68" s="1069"/>
      <c r="EG68" s="1069"/>
      <c r="EH68" s="1069"/>
      <c r="EI68" s="1069"/>
      <c r="EJ68" s="1069"/>
      <c r="EK68" s="1069"/>
      <c r="EL68" s="1069"/>
      <c r="EM68" s="1069"/>
      <c r="EN68" s="1069"/>
      <c r="EO68" s="1069"/>
      <c r="EP68" s="1069"/>
      <c r="EQ68" s="1069"/>
      <c r="ER68" s="1069"/>
      <c r="ES68" s="1069"/>
      <c r="ET68" s="1069"/>
      <c r="EU68" s="1069"/>
      <c r="EV68" s="1069"/>
      <c r="EW68" s="1069"/>
      <c r="EX68" s="1069"/>
      <c r="EY68" s="1069"/>
      <c r="EZ68" s="1069"/>
      <c r="FA68" s="1069"/>
      <c r="FB68" s="1069"/>
      <c r="FC68" s="1069"/>
      <c r="FD68" s="1069"/>
      <c r="FE68" s="1069"/>
      <c r="FF68" s="1069"/>
      <c r="FG68" s="1069"/>
      <c r="FH68" s="1069"/>
      <c r="FI68" s="1069"/>
      <c r="FJ68" s="1069"/>
      <c r="FK68" s="1069"/>
      <c r="FL68" s="1069"/>
      <c r="FM68" s="1069"/>
      <c r="FN68" s="1069"/>
      <c r="FO68" s="1069"/>
      <c r="FP68" s="1069"/>
      <c r="FQ68" s="1069"/>
      <c r="FR68" s="1069"/>
      <c r="FS68" s="1069"/>
      <c r="FT68" s="1069"/>
      <c r="FU68" s="1069"/>
      <c r="FV68" s="1069"/>
      <c r="FW68" s="1069"/>
      <c r="FX68" s="1069"/>
      <c r="FY68" s="1069"/>
      <c r="FZ68" s="1069"/>
      <c r="GA68" s="1069"/>
      <c r="GB68" s="1069"/>
      <c r="GC68" s="1069"/>
      <c r="GD68" s="1069"/>
      <c r="GE68" s="1069"/>
      <c r="GF68" s="1069"/>
      <c r="GG68" s="1069"/>
      <c r="GH68" s="1069"/>
      <c r="GI68" s="1069"/>
      <c r="GJ68" s="1069"/>
      <c r="GK68" s="1069"/>
      <c r="GL68" s="1069"/>
      <c r="GM68" s="1069"/>
      <c r="GN68" s="1069"/>
      <c r="GO68" s="1069"/>
      <c r="GP68" s="1069"/>
      <c r="GQ68" s="1069"/>
      <c r="GR68" s="1069"/>
      <c r="GS68" s="1069"/>
      <c r="GT68" s="1069"/>
      <c r="GU68" s="1069"/>
      <c r="GV68" s="1069"/>
      <c r="GW68" s="1069"/>
      <c r="GX68" s="1069"/>
    </row>
    <row r="69" spans="1:206" ht="15" customHeight="1" x14ac:dyDescent="0.2">
      <c r="A69" s="1052">
        <v>1504</v>
      </c>
      <c r="B69" s="1052"/>
      <c r="C69" s="1053" t="s">
        <v>94</v>
      </c>
      <c r="D69" s="1054" t="s">
        <v>94</v>
      </c>
      <c r="E69" s="1055">
        <f t="shared" si="24"/>
        <v>64294.432799999995</v>
      </c>
      <c r="F69" s="1055">
        <v>0</v>
      </c>
      <c r="G69" s="1056">
        <f t="shared" si="25"/>
        <v>64294.432799999995</v>
      </c>
      <c r="H69" s="1053" t="s">
        <v>10</v>
      </c>
      <c r="I69" s="1054" t="s">
        <v>1416</v>
      </c>
      <c r="J69" s="1054" t="s">
        <v>1417</v>
      </c>
      <c r="K69" s="1054" t="s">
        <v>96</v>
      </c>
      <c r="L69" s="1054" t="s">
        <v>10</v>
      </c>
      <c r="M69" s="1057">
        <v>23</v>
      </c>
      <c r="N69" s="1057">
        <v>0.91900000000000004</v>
      </c>
      <c r="O69" s="1057">
        <v>0.91900000000000004</v>
      </c>
      <c r="P69" s="1057">
        <v>0.83699999999999997</v>
      </c>
      <c r="Q69" s="1057">
        <v>0.93500000000000005</v>
      </c>
      <c r="R69" s="1057">
        <v>197674</v>
      </c>
      <c r="S69" s="1057">
        <v>184542</v>
      </c>
      <c r="T69" s="1058">
        <f t="shared" si="26"/>
        <v>58808.014999999999</v>
      </c>
      <c r="U69" s="1057">
        <v>92191</v>
      </c>
      <c r="V69" s="1057">
        <v>92351</v>
      </c>
      <c r="W69" s="1057">
        <v>970</v>
      </c>
      <c r="X69" s="1057">
        <v>0</v>
      </c>
      <c r="Y69" s="1057">
        <v>0</v>
      </c>
      <c r="Z69" s="1057">
        <v>0</v>
      </c>
      <c r="AA69" s="1057">
        <v>243350.01500000001</v>
      </c>
      <c r="AB69" s="1057">
        <v>58808.014999999999</v>
      </c>
      <c r="AC69" s="1057">
        <v>184542</v>
      </c>
      <c r="AD69" s="1057">
        <v>0</v>
      </c>
      <c r="AE69" s="1057">
        <v>0</v>
      </c>
      <c r="AF69" s="1057">
        <v>0</v>
      </c>
      <c r="AG69" s="1057">
        <v>184542</v>
      </c>
      <c r="AH69" s="1057">
        <v>0</v>
      </c>
      <c r="AI69" s="1057">
        <v>0</v>
      </c>
      <c r="AJ69" s="1053">
        <v>4</v>
      </c>
      <c r="AK69" s="1053" t="s">
        <v>921</v>
      </c>
      <c r="AL69" s="1054" t="s">
        <v>1416</v>
      </c>
      <c r="AM69" s="1053" t="s">
        <v>10</v>
      </c>
      <c r="AN69" s="1054" t="s">
        <v>94</v>
      </c>
      <c r="AO69" s="1054">
        <v>58808.014999999999</v>
      </c>
      <c r="AP69" s="1059">
        <f t="shared" si="23"/>
        <v>29</v>
      </c>
      <c r="AQ69" s="1059">
        <f t="shared" si="27"/>
        <v>31</v>
      </c>
      <c r="AR69" s="1052">
        <v>0</v>
      </c>
      <c r="AS69" s="1052">
        <v>0</v>
      </c>
      <c r="AT69" s="1052">
        <v>16</v>
      </c>
      <c r="AU69" s="1052">
        <v>6</v>
      </c>
      <c r="AV69" s="1052">
        <v>0</v>
      </c>
      <c r="AW69" s="1052">
        <v>0</v>
      </c>
      <c r="AX69" s="1052">
        <v>6</v>
      </c>
      <c r="AY69" s="1052">
        <v>1</v>
      </c>
      <c r="AZ69" s="1052">
        <v>0</v>
      </c>
      <c r="BA69" s="1052">
        <v>0</v>
      </c>
      <c r="BB69" s="1052">
        <v>1</v>
      </c>
      <c r="BC69" s="1052">
        <v>1</v>
      </c>
      <c r="BD69" s="1052">
        <v>0</v>
      </c>
      <c r="BE69" s="1052">
        <v>0</v>
      </c>
      <c r="BF69" s="1052">
        <v>0</v>
      </c>
      <c r="BG69" s="1052">
        <v>0</v>
      </c>
      <c r="BH69" s="1052">
        <v>0</v>
      </c>
      <c r="BI69" s="1052">
        <v>0</v>
      </c>
      <c r="BJ69" s="1052">
        <v>0</v>
      </c>
      <c r="BK69" s="1052">
        <v>0</v>
      </c>
      <c r="BL69" s="1052">
        <v>0</v>
      </c>
      <c r="BM69" s="1052">
        <v>0</v>
      </c>
      <c r="BN69" s="1052">
        <v>0</v>
      </c>
      <c r="BO69" s="1052">
        <v>0</v>
      </c>
      <c r="BR69" s="1140">
        <f t="shared" si="28"/>
        <v>0</v>
      </c>
      <c r="BS69" s="1140">
        <f t="shared" si="29"/>
        <v>222222.22222222225</v>
      </c>
      <c r="BT69" s="1140">
        <f t="shared" si="30"/>
        <v>83333.333333333343</v>
      </c>
      <c r="BU69" s="1140">
        <f t="shared" si="31"/>
        <v>305555.55555555562</v>
      </c>
      <c r="BV69" s="1140">
        <f t="shared" ref="BV69:BV132" si="41">AV69*1000/5</f>
        <v>0</v>
      </c>
      <c r="BW69" s="1140">
        <f t="shared" ref="BW69:BW132" si="42">AX69*1000/5</f>
        <v>1200</v>
      </c>
      <c r="BX69" s="1140">
        <f t="shared" ref="BX69:BX132" si="43">AY69*1000/5</f>
        <v>200</v>
      </c>
      <c r="BY69" s="1140">
        <f t="shared" si="32"/>
        <v>1400</v>
      </c>
      <c r="CA69" s="1140">
        <f t="shared" si="33"/>
        <v>0</v>
      </c>
      <c r="CB69" s="1140">
        <f t="shared" si="34"/>
        <v>222222.22222222225</v>
      </c>
      <c r="CC69" s="1140">
        <f t="shared" si="35"/>
        <v>83333.333333333343</v>
      </c>
      <c r="CD69" s="1140">
        <f t="shared" si="36"/>
        <v>305555.55555555562</v>
      </c>
      <c r="CE69" s="1140">
        <f t="shared" si="37"/>
        <v>0</v>
      </c>
      <c r="CF69" s="1140">
        <f t="shared" si="38"/>
        <v>1200</v>
      </c>
      <c r="CG69" s="1140">
        <f t="shared" si="39"/>
        <v>200</v>
      </c>
      <c r="CH69" s="1140">
        <f t="shared" si="40"/>
        <v>1400</v>
      </c>
      <c r="CJ69" s="1069"/>
      <c r="CK69" s="1069"/>
      <c r="CL69" s="1069"/>
      <c r="CM69" s="1069"/>
      <c r="CN69" s="1069"/>
      <c r="CO69" s="1069"/>
      <c r="CP69" s="1069"/>
      <c r="CQ69" s="1069"/>
      <c r="CR69" s="1069"/>
      <c r="CS69" s="1069"/>
      <c r="CT69" s="1069"/>
      <c r="CU69" s="1069"/>
      <c r="CV69" s="1069"/>
      <c r="CW69" s="1069"/>
      <c r="CX69" s="1069"/>
      <c r="CY69" s="1069"/>
      <c r="CZ69" s="1069"/>
      <c r="DA69" s="1069"/>
      <c r="DB69" s="1069"/>
      <c r="DC69" s="1069"/>
      <c r="DD69" s="1069"/>
      <c r="DE69" s="1069"/>
      <c r="DF69" s="1069"/>
      <c r="DG69" s="1069"/>
      <c r="DH69" s="1069"/>
      <c r="DI69" s="1069"/>
      <c r="DJ69" s="1069"/>
      <c r="DK69" s="1069"/>
      <c r="DL69" s="1069"/>
      <c r="DM69" s="1069"/>
      <c r="DN69" s="1069"/>
      <c r="DO69" s="1069"/>
      <c r="DP69" s="1069"/>
      <c r="DQ69" s="1069"/>
      <c r="DR69" s="1069"/>
      <c r="DS69" s="1069"/>
      <c r="DT69" s="1069"/>
      <c r="DU69" s="1069"/>
      <c r="DV69" s="1069"/>
      <c r="DW69" s="1069"/>
      <c r="DX69" s="1069"/>
      <c r="DY69" s="1069"/>
      <c r="DZ69" s="1069"/>
      <c r="EA69" s="1069"/>
      <c r="EB69" s="1069"/>
      <c r="EC69" s="1069"/>
      <c r="ED69" s="1069"/>
      <c r="EE69" s="1069"/>
      <c r="EF69" s="1069"/>
      <c r="EG69" s="1069"/>
      <c r="EH69" s="1069"/>
      <c r="EI69" s="1069"/>
      <c r="EJ69" s="1069"/>
      <c r="EK69" s="1069"/>
      <c r="EL69" s="1069"/>
      <c r="EM69" s="1069"/>
      <c r="EN69" s="1069"/>
      <c r="EO69" s="1069"/>
      <c r="EP69" s="1069"/>
      <c r="EQ69" s="1069"/>
      <c r="ER69" s="1069"/>
      <c r="ES69" s="1069"/>
      <c r="ET69" s="1069"/>
      <c r="EU69" s="1069"/>
      <c r="EV69" s="1069"/>
      <c r="EW69" s="1069"/>
      <c r="EX69" s="1069"/>
      <c r="EY69" s="1069"/>
      <c r="EZ69" s="1069"/>
      <c r="FA69" s="1069"/>
      <c r="FB69" s="1069"/>
      <c r="FC69" s="1069"/>
      <c r="FD69" s="1069"/>
      <c r="FE69" s="1069"/>
      <c r="FF69" s="1069"/>
      <c r="FG69" s="1069"/>
      <c r="FH69" s="1069"/>
      <c r="FI69" s="1069"/>
      <c r="FJ69" s="1069"/>
      <c r="FK69" s="1069"/>
      <c r="FL69" s="1069"/>
      <c r="FM69" s="1069"/>
      <c r="FN69" s="1069"/>
      <c r="FO69" s="1069"/>
      <c r="FP69" s="1069"/>
      <c r="FQ69" s="1069"/>
      <c r="FR69" s="1069"/>
      <c r="FS69" s="1069"/>
      <c r="FT69" s="1069"/>
      <c r="FU69" s="1069"/>
      <c r="FV69" s="1069"/>
      <c r="FW69" s="1069"/>
      <c r="FX69" s="1069"/>
      <c r="FY69" s="1069"/>
      <c r="FZ69" s="1069"/>
      <c r="GA69" s="1069"/>
      <c r="GB69" s="1069"/>
      <c r="GC69" s="1069"/>
      <c r="GD69" s="1069"/>
      <c r="GE69" s="1069"/>
      <c r="GF69" s="1069"/>
      <c r="GG69" s="1069"/>
      <c r="GH69" s="1069"/>
      <c r="GI69" s="1069"/>
      <c r="GJ69" s="1069"/>
      <c r="GK69" s="1069"/>
      <c r="GL69" s="1069"/>
      <c r="GM69" s="1069"/>
      <c r="GN69" s="1069"/>
      <c r="GO69" s="1069"/>
      <c r="GP69" s="1069"/>
      <c r="GQ69" s="1069"/>
      <c r="GR69" s="1069"/>
      <c r="GS69" s="1069"/>
      <c r="GT69" s="1069"/>
      <c r="GU69" s="1069"/>
      <c r="GV69" s="1069"/>
      <c r="GW69" s="1069"/>
      <c r="GX69" s="1069"/>
    </row>
    <row r="70" spans="1:206" ht="15" customHeight="1" x14ac:dyDescent="0.2">
      <c r="A70" s="1052">
        <v>509</v>
      </c>
      <c r="B70" s="1052"/>
      <c r="C70" s="1053" t="s">
        <v>97</v>
      </c>
      <c r="D70" s="1054" t="s">
        <v>97</v>
      </c>
      <c r="E70" s="1055">
        <f t="shared" si="24"/>
        <v>43498.3626</v>
      </c>
      <c r="F70" s="1055">
        <v>0</v>
      </c>
      <c r="G70" s="1056">
        <f t="shared" si="25"/>
        <v>43498.3626</v>
      </c>
      <c r="H70" s="1053" t="s">
        <v>1417</v>
      </c>
      <c r="I70" s="1054" t="s">
        <v>1512</v>
      </c>
      <c r="J70" s="1054" t="s">
        <v>10</v>
      </c>
      <c r="K70" s="1054" t="s">
        <v>99</v>
      </c>
      <c r="L70" s="1054" t="s">
        <v>10</v>
      </c>
      <c r="M70" s="1057">
        <v>30</v>
      </c>
      <c r="N70" s="1057">
        <v>0.98699999999999999</v>
      </c>
      <c r="O70" s="1057">
        <v>0.98699999999999999</v>
      </c>
      <c r="P70" s="1057">
        <v>0.98</v>
      </c>
      <c r="Q70" s="1057">
        <v>0.98</v>
      </c>
      <c r="R70" s="1057">
        <v>0</v>
      </c>
      <c r="S70" s="1057">
        <v>224334</v>
      </c>
      <c r="T70" s="1058">
        <f t="shared" si="26"/>
        <v>43498.3626</v>
      </c>
      <c r="U70" s="1057">
        <v>163611</v>
      </c>
      <c r="V70" s="1057">
        <v>60723</v>
      </c>
      <c r="W70" s="1057">
        <v>1113</v>
      </c>
      <c r="X70" s="1057">
        <v>0</v>
      </c>
      <c r="Y70" s="1057">
        <v>0</v>
      </c>
      <c r="Z70" s="1057">
        <v>0</v>
      </c>
      <c r="AA70" s="1057">
        <v>267832.36259999999</v>
      </c>
      <c r="AB70" s="1057">
        <v>43498.3626</v>
      </c>
      <c r="AC70" s="1057">
        <v>224334</v>
      </c>
      <c r="AD70" s="1057">
        <v>0</v>
      </c>
      <c r="AE70" s="1057">
        <v>0</v>
      </c>
      <c r="AF70" s="1057">
        <v>0</v>
      </c>
      <c r="AG70" s="1057">
        <v>224334</v>
      </c>
      <c r="AH70" s="1057">
        <v>0</v>
      </c>
      <c r="AI70" s="1057">
        <v>0</v>
      </c>
      <c r="AJ70" s="1053" t="s">
        <v>900</v>
      </c>
      <c r="AK70" s="1053" t="s">
        <v>907</v>
      </c>
      <c r="AL70" s="1054" t="s">
        <v>1512</v>
      </c>
      <c r="AM70" s="1053" t="s">
        <v>1417</v>
      </c>
      <c r="AN70" s="1054" t="s">
        <v>97</v>
      </c>
      <c r="AO70" s="1054">
        <v>43498.3626</v>
      </c>
      <c r="AP70" s="1059">
        <f t="shared" si="23"/>
        <v>30.946882000000002</v>
      </c>
      <c r="AQ70" s="1059">
        <f t="shared" si="27"/>
        <v>30.946882000000002</v>
      </c>
      <c r="AR70" s="1052">
        <v>0</v>
      </c>
      <c r="AS70" s="1052">
        <v>0</v>
      </c>
      <c r="AT70" s="1052">
        <v>25</v>
      </c>
      <c r="AU70" s="1052">
        <v>0</v>
      </c>
      <c r="AV70" s="1052">
        <v>0</v>
      </c>
      <c r="AW70" s="1052">
        <v>0</v>
      </c>
      <c r="AX70" s="1052">
        <v>0</v>
      </c>
      <c r="AY70" s="1052">
        <v>0</v>
      </c>
      <c r="AZ70" s="1052">
        <v>0</v>
      </c>
      <c r="BA70" s="1052">
        <v>14</v>
      </c>
      <c r="BB70" s="1052">
        <v>0</v>
      </c>
      <c r="BC70" s="1052">
        <v>0</v>
      </c>
      <c r="BD70" s="1052">
        <v>0</v>
      </c>
      <c r="BE70" s="1052">
        <v>0</v>
      </c>
      <c r="BF70" s="1052">
        <v>0</v>
      </c>
      <c r="BG70" s="1052">
        <v>0</v>
      </c>
      <c r="BH70" s="1052">
        <v>0</v>
      </c>
      <c r="BI70" s="1052">
        <v>0</v>
      </c>
      <c r="BJ70" s="1052">
        <v>0</v>
      </c>
      <c r="BK70" s="1052">
        <v>0</v>
      </c>
      <c r="BL70" s="1052">
        <v>0</v>
      </c>
      <c r="BM70" s="1052">
        <v>0</v>
      </c>
      <c r="BN70" s="1052">
        <v>0</v>
      </c>
      <c r="BO70" s="1052">
        <v>59.468820000000001</v>
      </c>
      <c r="BR70" s="1140">
        <f t="shared" si="28"/>
        <v>0</v>
      </c>
      <c r="BS70" s="1140">
        <f t="shared" si="29"/>
        <v>347222.22222222225</v>
      </c>
      <c r="BT70" s="1140">
        <f t="shared" si="30"/>
        <v>0</v>
      </c>
      <c r="BU70" s="1140">
        <f t="shared" si="31"/>
        <v>347222.22222222225</v>
      </c>
      <c r="BV70" s="1140">
        <f t="shared" si="41"/>
        <v>0</v>
      </c>
      <c r="BW70" s="1140">
        <f t="shared" si="42"/>
        <v>0</v>
      </c>
      <c r="BX70" s="1140">
        <f t="shared" si="43"/>
        <v>0</v>
      </c>
      <c r="BY70" s="1140">
        <f t="shared" si="32"/>
        <v>0</v>
      </c>
      <c r="CA70" s="1140">
        <f t="shared" si="33"/>
        <v>0</v>
      </c>
      <c r="CB70" s="1140">
        <f t="shared" si="34"/>
        <v>0</v>
      </c>
      <c r="CC70" s="1140">
        <f t="shared" si="35"/>
        <v>0</v>
      </c>
      <c r="CD70" s="1140">
        <f t="shared" si="36"/>
        <v>0</v>
      </c>
      <c r="CE70" s="1140">
        <f t="shared" si="37"/>
        <v>0</v>
      </c>
      <c r="CF70" s="1140">
        <f t="shared" si="38"/>
        <v>0</v>
      </c>
      <c r="CG70" s="1140">
        <f t="shared" si="39"/>
        <v>0</v>
      </c>
      <c r="CH70" s="1140">
        <f t="shared" si="40"/>
        <v>0</v>
      </c>
      <c r="CJ70" s="1069"/>
      <c r="CK70" s="1069"/>
      <c r="CL70" s="1069"/>
      <c r="CM70" s="1069"/>
      <c r="CN70" s="1069"/>
      <c r="CO70" s="1069"/>
      <c r="CP70" s="1069"/>
      <c r="CQ70" s="1069"/>
      <c r="CR70" s="1069"/>
      <c r="CS70" s="1069"/>
      <c r="CT70" s="1069"/>
      <c r="CU70" s="1069"/>
      <c r="CV70" s="1069"/>
      <c r="CW70" s="1069"/>
      <c r="CX70" s="1069"/>
      <c r="CY70" s="1069"/>
      <c r="CZ70" s="1069"/>
      <c r="DA70" s="1069"/>
      <c r="DB70" s="1069"/>
      <c r="DC70" s="1069"/>
      <c r="DD70" s="1069"/>
      <c r="DE70" s="1069"/>
      <c r="DF70" s="1069"/>
      <c r="DG70" s="1069"/>
      <c r="DH70" s="1069"/>
      <c r="DI70" s="1069"/>
      <c r="DJ70" s="1069"/>
      <c r="DK70" s="1069"/>
      <c r="DL70" s="1069"/>
      <c r="DM70" s="1069"/>
      <c r="DN70" s="1069"/>
      <c r="DO70" s="1069"/>
      <c r="DP70" s="1069"/>
      <c r="DQ70" s="1069"/>
      <c r="DR70" s="1069"/>
      <c r="DS70" s="1069"/>
      <c r="DT70" s="1069"/>
      <c r="DU70" s="1069"/>
      <c r="DV70" s="1069"/>
      <c r="DW70" s="1069"/>
      <c r="DX70" s="1069"/>
      <c r="DY70" s="1069"/>
      <c r="DZ70" s="1069"/>
      <c r="EA70" s="1069"/>
      <c r="EB70" s="1069"/>
      <c r="EC70" s="1069"/>
      <c r="ED70" s="1069"/>
      <c r="EE70" s="1069"/>
      <c r="EF70" s="1069"/>
      <c r="EG70" s="1069"/>
      <c r="EH70" s="1069"/>
      <c r="EI70" s="1069"/>
      <c r="EJ70" s="1069"/>
      <c r="EK70" s="1069"/>
      <c r="EL70" s="1069"/>
      <c r="EM70" s="1069"/>
      <c r="EN70" s="1069"/>
      <c r="EO70" s="1069"/>
      <c r="EP70" s="1069"/>
      <c r="EQ70" s="1069"/>
      <c r="ER70" s="1069"/>
      <c r="ES70" s="1069"/>
      <c r="ET70" s="1069"/>
      <c r="EU70" s="1069"/>
      <c r="EV70" s="1069"/>
      <c r="EW70" s="1069"/>
      <c r="EX70" s="1069"/>
      <c r="EY70" s="1069"/>
      <c r="EZ70" s="1069"/>
      <c r="FA70" s="1069"/>
      <c r="FB70" s="1069"/>
      <c r="FC70" s="1069"/>
      <c r="FD70" s="1069"/>
      <c r="FE70" s="1069"/>
      <c r="FF70" s="1069"/>
      <c r="FG70" s="1069"/>
      <c r="FH70" s="1069"/>
      <c r="FI70" s="1069"/>
      <c r="FJ70" s="1069"/>
      <c r="FK70" s="1069"/>
      <c r="FL70" s="1069"/>
      <c r="FM70" s="1069"/>
      <c r="FN70" s="1069"/>
      <c r="FO70" s="1069"/>
      <c r="FP70" s="1069"/>
      <c r="FQ70" s="1069"/>
      <c r="FR70" s="1069"/>
      <c r="FS70" s="1069"/>
      <c r="FT70" s="1069"/>
      <c r="FU70" s="1069"/>
      <c r="FV70" s="1069"/>
      <c r="FW70" s="1069"/>
      <c r="FX70" s="1069"/>
      <c r="FY70" s="1069"/>
      <c r="FZ70" s="1069"/>
      <c r="GA70" s="1069"/>
      <c r="GB70" s="1069"/>
      <c r="GC70" s="1069"/>
      <c r="GD70" s="1069"/>
      <c r="GE70" s="1069"/>
      <c r="GF70" s="1069"/>
      <c r="GG70" s="1069"/>
      <c r="GH70" s="1069"/>
      <c r="GI70" s="1069"/>
      <c r="GJ70" s="1069"/>
      <c r="GK70" s="1069"/>
      <c r="GL70" s="1069"/>
      <c r="GM70" s="1069"/>
      <c r="GN70" s="1069"/>
      <c r="GO70" s="1069"/>
      <c r="GP70" s="1069"/>
      <c r="GQ70" s="1069"/>
      <c r="GR70" s="1069"/>
      <c r="GS70" s="1069"/>
      <c r="GT70" s="1069"/>
      <c r="GU70" s="1069"/>
      <c r="GV70" s="1069"/>
      <c r="GW70" s="1069"/>
      <c r="GX70" s="1069"/>
    </row>
    <row r="71" spans="1:206" ht="15" customHeight="1" x14ac:dyDescent="0.2">
      <c r="A71" s="1052">
        <v>8638</v>
      </c>
      <c r="B71" s="1052"/>
      <c r="C71" s="1053" t="s">
        <v>100</v>
      </c>
      <c r="D71" s="1054" t="s">
        <v>100</v>
      </c>
      <c r="E71" s="1055">
        <f t="shared" si="24"/>
        <v>216351.8708</v>
      </c>
      <c r="F71" s="1055">
        <v>0</v>
      </c>
      <c r="G71" s="1056">
        <f t="shared" si="25"/>
        <v>216351.8708</v>
      </c>
      <c r="H71" s="1053" t="s">
        <v>10</v>
      </c>
      <c r="I71" s="1054" t="s">
        <v>1416</v>
      </c>
      <c r="J71" s="1054" t="s">
        <v>1417</v>
      </c>
      <c r="K71" s="1054" t="s">
        <v>102</v>
      </c>
      <c r="L71" s="1054" t="s">
        <v>10</v>
      </c>
      <c r="M71" s="1057">
        <v>36</v>
      </c>
      <c r="N71" s="1057">
        <v>0.95399999999999996</v>
      </c>
      <c r="O71" s="1057">
        <v>0.97099999999999997</v>
      </c>
      <c r="P71" s="1057">
        <v>0.96699999999999997</v>
      </c>
      <c r="Q71" s="1057">
        <v>0.92300000000000004</v>
      </c>
      <c r="R71" s="1057">
        <v>517657</v>
      </c>
      <c r="S71" s="1057">
        <v>620987</v>
      </c>
      <c r="T71" s="1058">
        <f t="shared" si="26"/>
        <v>154002.95749999999</v>
      </c>
      <c r="U71" s="1057">
        <v>347591</v>
      </c>
      <c r="V71" s="1057">
        <v>273396</v>
      </c>
      <c r="W71" s="1057">
        <v>2258</v>
      </c>
      <c r="X71" s="1057">
        <v>0</v>
      </c>
      <c r="Y71" s="1057">
        <v>0</v>
      </c>
      <c r="Z71" s="1057">
        <v>0</v>
      </c>
      <c r="AA71" s="1057">
        <v>774989.95750000002</v>
      </c>
      <c r="AB71" s="1057">
        <v>154002.95749999999</v>
      </c>
      <c r="AC71" s="1057">
        <v>620987</v>
      </c>
      <c r="AD71" s="1057">
        <v>0</v>
      </c>
      <c r="AE71" s="1057">
        <v>0</v>
      </c>
      <c r="AF71" s="1057">
        <v>0</v>
      </c>
      <c r="AG71" s="1057">
        <v>620987</v>
      </c>
      <c r="AH71" s="1057">
        <v>0</v>
      </c>
      <c r="AI71" s="1057">
        <v>0</v>
      </c>
      <c r="AJ71" s="1053" t="s">
        <v>908</v>
      </c>
      <c r="AK71" s="1053" t="s">
        <v>909</v>
      </c>
      <c r="AL71" s="1054" t="s">
        <v>1512</v>
      </c>
      <c r="AM71" s="1053" t="s">
        <v>10</v>
      </c>
      <c r="AN71" s="1054" t="s">
        <v>100</v>
      </c>
      <c r="AO71" s="1054">
        <v>154002.95749999999</v>
      </c>
      <c r="AP71" s="1059">
        <f t="shared" si="23"/>
        <v>183.70409999999998</v>
      </c>
      <c r="AQ71" s="1059">
        <f t="shared" si="27"/>
        <v>198.70409999999998</v>
      </c>
      <c r="AR71" s="1052">
        <v>0</v>
      </c>
      <c r="AS71" s="1052">
        <v>0</v>
      </c>
      <c r="AT71" s="1052">
        <v>97</v>
      </c>
      <c r="AU71" s="1052">
        <v>18</v>
      </c>
      <c r="AV71" s="1052">
        <v>0</v>
      </c>
      <c r="AW71" s="1052">
        <v>0</v>
      </c>
      <c r="AX71" s="1052">
        <v>8</v>
      </c>
      <c r="AY71" s="1052">
        <v>2</v>
      </c>
      <c r="AZ71" s="1052">
        <v>0</v>
      </c>
      <c r="BA71" s="1052">
        <v>0</v>
      </c>
      <c r="BB71" s="1052">
        <v>13</v>
      </c>
      <c r="BC71" s="1052">
        <v>2</v>
      </c>
      <c r="BD71" s="1052">
        <v>0</v>
      </c>
      <c r="BE71" s="1052">
        <v>0</v>
      </c>
      <c r="BF71" s="1052">
        <v>0</v>
      </c>
      <c r="BG71" s="1052">
        <v>0</v>
      </c>
      <c r="BH71" s="1052">
        <v>0</v>
      </c>
      <c r="BI71" s="1052">
        <v>0</v>
      </c>
      <c r="BJ71" s="1052">
        <v>0</v>
      </c>
      <c r="BK71" s="1052">
        <v>0</v>
      </c>
      <c r="BL71" s="1052">
        <v>0</v>
      </c>
      <c r="BM71" s="1052">
        <v>0</v>
      </c>
      <c r="BN71" s="1052">
        <v>9130</v>
      </c>
      <c r="BO71" s="1052">
        <v>495.74099999999999</v>
      </c>
      <c r="BR71" s="1140">
        <f t="shared" si="28"/>
        <v>0</v>
      </c>
      <c r="BS71" s="1140">
        <f t="shared" si="29"/>
        <v>1347222.2222222222</v>
      </c>
      <c r="BT71" s="1140">
        <f t="shared" si="30"/>
        <v>250000.00000000003</v>
      </c>
      <c r="BU71" s="1140">
        <f t="shared" si="31"/>
        <v>1597222.2222222222</v>
      </c>
      <c r="BV71" s="1140">
        <f t="shared" si="41"/>
        <v>0</v>
      </c>
      <c r="BW71" s="1140">
        <f t="shared" si="42"/>
        <v>1600</v>
      </c>
      <c r="BX71" s="1140">
        <f t="shared" si="43"/>
        <v>400</v>
      </c>
      <c r="BY71" s="1140">
        <f t="shared" si="32"/>
        <v>2000</v>
      </c>
      <c r="CA71" s="1140">
        <f t="shared" si="33"/>
        <v>0</v>
      </c>
      <c r="CB71" s="1140">
        <f t="shared" si="34"/>
        <v>1347222.2222222222</v>
      </c>
      <c r="CC71" s="1140">
        <f t="shared" si="35"/>
        <v>250000.00000000003</v>
      </c>
      <c r="CD71" s="1140">
        <f t="shared" si="36"/>
        <v>1597222.2222222222</v>
      </c>
      <c r="CE71" s="1140">
        <f t="shared" si="37"/>
        <v>0</v>
      </c>
      <c r="CF71" s="1140">
        <f t="shared" si="38"/>
        <v>1600</v>
      </c>
      <c r="CG71" s="1140">
        <f t="shared" si="39"/>
        <v>400</v>
      </c>
      <c r="CH71" s="1140">
        <f t="shared" si="40"/>
        <v>2000</v>
      </c>
      <c r="CJ71" s="1069"/>
      <c r="CK71" s="1069"/>
      <c r="CL71" s="1069"/>
      <c r="CM71" s="1069"/>
      <c r="CN71" s="1069"/>
      <c r="CO71" s="1069"/>
      <c r="CP71" s="1069"/>
      <c r="CQ71" s="1069"/>
      <c r="CR71" s="1069"/>
      <c r="CS71" s="1069"/>
      <c r="CT71" s="1069"/>
      <c r="CU71" s="1069"/>
      <c r="CV71" s="1069"/>
      <c r="CW71" s="1069"/>
      <c r="CX71" s="1069"/>
      <c r="CY71" s="1069"/>
      <c r="CZ71" s="1069"/>
      <c r="DA71" s="1069"/>
      <c r="DB71" s="1069"/>
      <c r="DC71" s="1069"/>
      <c r="DD71" s="1069"/>
      <c r="DE71" s="1069"/>
      <c r="DF71" s="1069"/>
      <c r="DG71" s="1069"/>
      <c r="DH71" s="1069"/>
      <c r="DI71" s="1069"/>
      <c r="DJ71" s="1069"/>
      <c r="DK71" s="1069"/>
      <c r="DL71" s="1069"/>
      <c r="DM71" s="1069"/>
      <c r="DN71" s="1069"/>
      <c r="DO71" s="1069"/>
      <c r="DP71" s="1069"/>
      <c r="DQ71" s="1069"/>
      <c r="DR71" s="1069"/>
      <c r="DS71" s="1069"/>
      <c r="DT71" s="1069"/>
      <c r="DU71" s="1069"/>
      <c r="DV71" s="1069"/>
      <c r="DW71" s="1069"/>
      <c r="DX71" s="1069"/>
      <c r="DY71" s="1069"/>
      <c r="DZ71" s="1069"/>
      <c r="EA71" s="1069"/>
      <c r="EB71" s="1069"/>
      <c r="EC71" s="1069"/>
      <c r="ED71" s="1069"/>
      <c r="EE71" s="1069"/>
      <c r="EF71" s="1069"/>
      <c r="EG71" s="1069"/>
      <c r="EH71" s="1069"/>
      <c r="EI71" s="1069"/>
      <c r="EJ71" s="1069"/>
      <c r="EK71" s="1069"/>
      <c r="EL71" s="1069"/>
      <c r="EM71" s="1069"/>
      <c r="EN71" s="1069"/>
      <c r="EO71" s="1069"/>
      <c r="EP71" s="1069"/>
      <c r="EQ71" s="1069"/>
      <c r="ER71" s="1069"/>
      <c r="ES71" s="1069"/>
      <c r="ET71" s="1069"/>
      <c r="EU71" s="1069"/>
      <c r="EV71" s="1069"/>
      <c r="EW71" s="1069"/>
      <c r="EX71" s="1069"/>
      <c r="EY71" s="1069"/>
      <c r="EZ71" s="1069"/>
      <c r="FA71" s="1069"/>
      <c r="FB71" s="1069"/>
      <c r="FC71" s="1069"/>
      <c r="FD71" s="1069"/>
      <c r="FE71" s="1069"/>
      <c r="FF71" s="1069"/>
      <c r="FG71" s="1069"/>
      <c r="FH71" s="1069"/>
      <c r="FI71" s="1069"/>
      <c r="FJ71" s="1069"/>
      <c r="FK71" s="1069"/>
      <c r="FL71" s="1069"/>
      <c r="FM71" s="1069"/>
      <c r="FN71" s="1069"/>
      <c r="FO71" s="1069"/>
      <c r="FP71" s="1069"/>
      <c r="FQ71" s="1069"/>
      <c r="FR71" s="1069"/>
      <c r="FS71" s="1069"/>
      <c r="FT71" s="1069"/>
      <c r="FU71" s="1069"/>
      <c r="FV71" s="1069"/>
      <c r="FW71" s="1069"/>
      <c r="FX71" s="1069"/>
      <c r="FY71" s="1069"/>
      <c r="FZ71" s="1069"/>
      <c r="GA71" s="1069"/>
      <c r="GB71" s="1069"/>
      <c r="GC71" s="1069"/>
      <c r="GD71" s="1069"/>
      <c r="GE71" s="1069"/>
      <c r="GF71" s="1069"/>
      <c r="GG71" s="1069"/>
      <c r="GH71" s="1069"/>
      <c r="GI71" s="1069"/>
      <c r="GJ71" s="1069"/>
      <c r="GK71" s="1069"/>
      <c r="GL71" s="1069"/>
      <c r="GM71" s="1069"/>
      <c r="GN71" s="1069"/>
      <c r="GO71" s="1069"/>
      <c r="GP71" s="1069"/>
      <c r="GQ71" s="1069"/>
      <c r="GR71" s="1069"/>
      <c r="GS71" s="1069"/>
      <c r="GT71" s="1069"/>
      <c r="GU71" s="1069"/>
      <c r="GV71" s="1069"/>
      <c r="GW71" s="1069"/>
      <c r="GX71" s="1069"/>
    </row>
    <row r="72" spans="1:206" s="1087" customFormat="1" ht="15" customHeight="1" x14ac:dyDescent="0.2">
      <c r="A72" s="1052">
        <v>1313</v>
      </c>
      <c r="B72" s="1052" t="s">
        <v>1412</v>
      </c>
      <c r="C72" s="1053" t="s">
        <v>103</v>
      </c>
      <c r="D72" s="1054" t="s">
        <v>103</v>
      </c>
      <c r="E72" s="1055">
        <f t="shared" si="24"/>
        <v>248978.834</v>
      </c>
      <c r="F72" s="1055">
        <v>357362</v>
      </c>
      <c r="G72" s="1056">
        <f t="shared" si="25"/>
        <v>606340.83400000003</v>
      </c>
      <c r="H72" s="1053" t="s">
        <v>10</v>
      </c>
      <c r="I72" s="1054" t="s">
        <v>1416</v>
      </c>
      <c r="J72" s="1054" t="s">
        <v>1412</v>
      </c>
      <c r="K72" s="1054" t="s">
        <v>102</v>
      </c>
      <c r="L72" s="1054" t="s">
        <v>1412</v>
      </c>
      <c r="M72" s="1057">
        <v>89</v>
      </c>
      <c r="N72" s="1057">
        <v>0.80800000000000005</v>
      </c>
      <c r="O72" s="1057">
        <v>0.81</v>
      </c>
      <c r="P72" s="1057">
        <v>0.86499999999999999</v>
      </c>
      <c r="Q72" s="1057">
        <v>0.91400000000000003</v>
      </c>
      <c r="R72" s="1057">
        <v>888884</v>
      </c>
      <c r="S72" s="1057">
        <v>714635</v>
      </c>
      <c r="T72" s="1058">
        <f t="shared" si="26"/>
        <v>264442.99</v>
      </c>
      <c r="U72" s="1057">
        <v>462838</v>
      </c>
      <c r="V72" s="1057">
        <v>251797</v>
      </c>
      <c r="W72" s="1057">
        <v>4500</v>
      </c>
      <c r="X72" s="1057">
        <v>621804.99</v>
      </c>
      <c r="Y72" s="1057">
        <v>264442.99</v>
      </c>
      <c r="Z72" s="1057">
        <v>357362</v>
      </c>
      <c r="AA72" s="1057">
        <v>357273</v>
      </c>
      <c r="AB72" s="1057">
        <v>0</v>
      </c>
      <c r="AC72" s="1057">
        <v>357273</v>
      </c>
      <c r="AD72" s="1057">
        <v>357362</v>
      </c>
      <c r="AE72" s="1057">
        <v>0</v>
      </c>
      <c r="AF72" s="1057">
        <v>357273</v>
      </c>
      <c r="AG72" s="1057">
        <v>0</v>
      </c>
      <c r="AH72" s="1057">
        <v>694000</v>
      </c>
      <c r="AI72" s="1057">
        <v>454000</v>
      </c>
      <c r="AJ72" s="1053" t="s">
        <v>908</v>
      </c>
      <c r="AK72" s="1053" t="s">
        <v>909</v>
      </c>
      <c r="AL72" s="1054" t="s">
        <v>1416</v>
      </c>
      <c r="AM72" s="1053" t="s">
        <v>10</v>
      </c>
      <c r="AN72" s="1054" t="s">
        <v>103</v>
      </c>
      <c r="AO72" s="1054">
        <v>621804.99</v>
      </c>
      <c r="AP72" s="1059">
        <f t="shared" si="23"/>
        <v>500.24850000000004</v>
      </c>
      <c r="AQ72" s="1059">
        <f t="shared" si="27"/>
        <v>506.24850000000004</v>
      </c>
      <c r="AR72" s="1081">
        <v>200</v>
      </c>
      <c r="AS72" s="1081">
        <v>454</v>
      </c>
      <c r="AT72" s="1081">
        <v>116</v>
      </c>
      <c r="AU72" s="1081">
        <v>1</v>
      </c>
      <c r="AV72" s="1052">
        <v>0</v>
      </c>
      <c r="AW72" s="1052">
        <v>0</v>
      </c>
      <c r="AX72" s="1052">
        <v>0</v>
      </c>
      <c r="AY72" s="1052">
        <v>0</v>
      </c>
      <c r="AZ72" s="1081">
        <v>3</v>
      </c>
      <c r="BA72" s="1081">
        <v>6</v>
      </c>
      <c r="BB72" s="1081">
        <v>6</v>
      </c>
      <c r="BC72" s="1081">
        <v>0</v>
      </c>
      <c r="BD72" s="1052">
        <v>13</v>
      </c>
      <c r="BE72" s="1052">
        <v>0</v>
      </c>
      <c r="BF72" s="1052">
        <v>0</v>
      </c>
      <c r="BG72" s="1052">
        <v>0</v>
      </c>
      <c r="BH72" s="1081">
        <v>41</v>
      </c>
      <c r="BI72" s="1081">
        <v>0</v>
      </c>
      <c r="BJ72" s="1081">
        <v>0</v>
      </c>
      <c r="BK72" s="1081">
        <v>0</v>
      </c>
      <c r="BL72" s="1052">
        <v>0</v>
      </c>
      <c r="BM72" s="1052">
        <v>0</v>
      </c>
      <c r="BN72" s="1052">
        <v>57720</v>
      </c>
      <c r="BO72" s="1052">
        <v>685.28499999999997</v>
      </c>
      <c r="BP72" s="1069"/>
      <c r="BQ72" s="1136"/>
      <c r="BR72" s="1140">
        <f t="shared" si="28"/>
        <v>2777777.777777778</v>
      </c>
      <c r="BS72" s="1140">
        <f t="shared" si="29"/>
        <v>1611111.1111111112</v>
      </c>
      <c r="BT72" s="1140">
        <f t="shared" si="30"/>
        <v>13888.888888888891</v>
      </c>
      <c r="BU72" s="1140">
        <f t="shared" si="31"/>
        <v>4402777.777777778</v>
      </c>
      <c r="BV72" s="1140">
        <f t="shared" si="41"/>
        <v>0</v>
      </c>
      <c r="BW72" s="1140">
        <f t="shared" si="42"/>
        <v>0</v>
      </c>
      <c r="BX72" s="1140">
        <f t="shared" si="43"/>
        <v>0</v>
      </c>
      <c r="BY72" s="1140">
        <f t="shared" si="32"/>
        <v>0</v>
      </c>
      <c r="BZ72" s="1136"/>
      <c r="CA72" s="1140">
        <f t="shared" si="33"/>
        <v>2777777.777777778</v>
      </c>
      <c r="CB72" s="1140">
        <f t="shared" si="34"/>
        <v>1611111.1111111112</v>
      </c>
      <c r="CC72" s="1140">
        <f t="shared" si="35"/>
        <v>13888.888888888891</v>
      </c>
      <c r="CD72" s="1140">
        <f t="shared" si="36"/>
        <v>4402777.777777778</v>
      </c>
      <c r="CE72" s="1140">
        <f t="shared" si="37"/>
        <v>0</v>
      </c>
      <c r="CF72" s="1140">
        <f t="shared" si="38"/>
        <v>0</v>
      </c>
      <c r="CG72" s="1140">
        <f t="shared" si="39"/>
        <v>0</v>
      </c>
      <c r="CH72" s="1140">
        <f t="shared" si="40"/>
        <v>0</v>
      </c>
      <c r="CI72" s="1146"/>
      <c r="CJ72" s="1069"/>
      <c r="CK72" s="1069"/>
      <c r="CL72" s="1069"/>
      <c r="CM72" s="1069"/>
      <c r="CN72" s="1069"/>
      <c r="CO72" s="1069"/>
      <c r="CP72" s="1069"/>
      <c r="CQ72" s="1069"/>
      <c r="CR72" s="1069"/>
      <c r="CS72" s="1069"/>
      <c r="CT72" s="1069"/>
      <c r="CU72" s="1069"/>
      <c r="CV72" s="1069"/>
      <c r="CW72" s="1069"/>
      <c r="CX72" s="1069"/>
      <c r="CY72" s="1069"/>
      <c r="CZ72" s="1069"/>
      <c r="DA72" s="1069"/>
      <c r="DB72" s="1069"/>
      <c r="DC72" s="1069"/>
      <c r="DD72" s="1069"/>
      <c r="DE72" s="1069"/>
      <c r="DF72" s="1069"/>
      <c r="DG72" s="1069"/>
      <c r="DH72" s="1069"/>
      <c r="DI72" s="1069"/>
      <c r="DJ72" s="1069"/>
      <c r="DK72" s="1069"/>
      <c r="DL72" s="1069"/>
      <c r="DM72" s="1069"/>
      <c r="DN72" s="1069"/>
      <c r="DO72" s="1069"/>
      <c r="DP72" s="1069"/>
      <c r="DQ72" s="1069"/>
      <c r="DR72" s="1069"/>
      <c r="DS72" s="1069"/>
      <c r="DT72" s="1069"/>
      <c r="DU72" s="1069"/>
      <c r="DV72" s="1069"/>
      <c r="DW72" s="1069"/>
      <c r="DX72" s="1069"/>
      <c r="DY72" s="1069"/>
      <c r="DZ72" s="1069"/>
      <c r="EA72" s="1069"/>
      <c r="EB72" s="1069"/>
      <c r="EC72" s="1069"/>
      <c r="ED72" s="1069"/>
      <c r="EE72" s="1069"/>
      <c r="EF72" s="1069"/>
      <c r="EG72" s="1069"/>
      <c r="EH72" s="1069"/>
      <c r="EI72" s="1069"/>
      <c r="EJ72" s="1069"/>
      <c r="EK72" s="1069"/>
      <c r="EL72" s="1069"/>
      <c r="EM72" s="1069"/>
      <c r="EN72" s="1069"/>
      <c r="EO72" s="1069"/>
      <c r="EP72" s="1069"/>
      <c r="EQ72" s="1069"/>
      <c r="ER72" s="1069"/>
      <c r="ES72" s="1069"/>
      <c r="ET72" s="1069"/>
      <c r="EU72" s="1069"/>
      <c r="EV72" s="1069"/>
      <c r="EW72" s="1069"/>
      <c r="EX72" s="1069"/>
      <c r="EY72" s="1069"/>
      <c r="EZ72" s="1069"/>
      <c r="FA72" s="1069"/>
      <c r="FB72" s="1069"/>
      <c r="FC72" s="1069"/>
      <c r="FD72" s="1069"/>
      <c r="FE72" s="1069"/>
      <c r="FF72" s="1069"/>
      <c r="FG72" s="1069"/>
      <c r="FH72" s="1069"/>
      <c r="FI72" s="1069"/>
      <c r="FJ72" s="1069"/>
      <c r="FK72" s="1069"/>
      <c r="FL72" s="1069"/>
      <c r="FM72" s="1069"/>
      <c r="FN72" s="1069"/>
      <c r="FO72" s="1069"/>
      <c r="FP72" s="1069"/>
      <c r="FQ72" s="1069"/>
      <c r="FR72" s="1069"/>
      <c r="FS72" s="1069"/>
      <c r="FT72" s="1069"/>
      <c r="FU72" s="1069"/>
      <c r="FV72" s="1069"/>
      <c r="FW72" s="1069"/>
      <c r="FX72" s="1069"/>
      <c r="FY72" s="1069"/>
      <c r="FZ72" s="1069"/>
      <c r="GA72" s="1069"/>
      <c r="GB72" s="1069"/>
      <c r="GC72" s="1069"/>
      <c r="GD72" s="1069"/>
      <c r="GE72" s="1069"/>
      <c r="GF72" s="1069"/>
      <c r="GG72" s="1069"/>
      <c r="GH72" s="1069"/>
      <c r="GI72" s="1069"/>
      <c r="GJ72" s="1069"/>
      <c r="GK72" s="1069"/>
      <c r="GL72" s="1069"/>
      <c r="GM72" s="1069"/>
      <c r="GN72" s="1069"/>
      <c r="GO72" s="1069"/>
      <c r="GP72" s="1069"/>
      <c r="GQ72" s="1069"/>
      <c r="GR72" s="1069"/>
      <c r="GS72" s="1069"/>
      <c r="GT72" s="1069"/>
      <c r="GU72" s="1069"/>
      <c r="GV72" s="1069"/>
      <c r="GW72" s="1069"/>
      <c r="GX72" s="1069"/>
    </row>
    <row r="73" spans="1:206" s="1089" customFormat="1" ht="15" customHeight="1" x14ac:dyDescent="0.2">
      <c r="A73" s="1080">
        <v>705</v>
      </c>
      <c r="B73" s="1080" t="s">
        <v>1412</v>
      </c>
      <c r="C73" s="1083" t="s">
        <v>924</v>
      </c>
      <c r="D73" s="1054" t="s">
        <v>925</v>
      </c>
      <c r="E73" s="1055">
        <f t="shared" si="24"/>
        <v>0</v>
      </c>
      <c r="F73" s="1055">
        <v>0</v>
      </c>
      <c r="G73" s="1056">
        <f t="shared" si="25"/>
        <v>0</v>
      </c>
      <c r="H73" s="1062" t="s">
        <v>1417</v>
      </c>
      <c r="I73" s="1054" t="s">
        <v>1416</v>
      </c>
      <c r="J73" s="1054" t="s">
        <v>10</v>
      </c>
      <c r="K73" s="1054" t="s">
        <v>10</v>
      </c>
      <c r="L73" s="1054" t="s">
        <v>1412</v>
      </c>
      <c r="M73" s="1057">
        <v>0</v>
      </c>
      <c r="N73" s="1057">
        <v>0</v>
      </c>
      <c r="O73" s="1057">
        <v>0</v>
      </c>
      <c r="P73" s="1057">
        <v>0</v>
      </c>
      <c r="Q73" s="1057">
        <v>0</v>
      </c>
      <c r="R73" s="1065">
        <v>825041</v>
      </c>
      <c r="S73" s="1057">
        <v>0</v>
      </c>
      <c r="T73" s="1058">
        <f t="shared" si="26"/>
        <v>245449.69749999998</v>
      </c>
      <c r="U73" s="1057">
        <v>0</v>
      </c>
      <c r="V73" s="1057">
        <v>0</v>
      </c>
      <c r="W73" s="1057">
        <v>0</v>
      </c>
      <c r="X73" s="1057">
        <v>0</v>
      </c>
      <c r="Y73" s="1057">
        <v>0</v>
      </c>
      <c r="Z73" s="1057">
        <v>0</v>
      </c>
      <c r="AA73" s="1057">
        <v>0</v>
      </c>
      <c r="AB73" s="1057">
        <v>0</v>
      </c>
      <c r="AC73" s="1057">
        <v>0</v>
      </c>
      <c r="AD73" s="1057">
        <v>0</v>
      </c>
      <c r="AE73" s="1057">
        <v>0</v>
      </c>
      <c r="AF73" s="1057">
        <v>0</v>
      </c>
      <c r="AG73" s="1057">
        <v>0</v>
      </c>
      <c r="AH73" s="1057">
        <v>664000</v>
      </c>
      <c r="AI73" s="1057">
        <v>463000</v>
      </c>
      <c r="AJ73" s="1062" t="s">
        <v>900</v>
      </c>
      <c r="AK73" s="1062" t="s">
        <v>901</v>
      </c>
      <c r="AL73" s="1066" t="s">
        <v>1416</v>
      </c>
      <c r="AM73" s="1062" t="s">
        <v>1417</v>
      </c>
      <c r="AN73" s="1078" t="s">
        <v>925</v>
      </c>
      <c r="AO73" s="1078">
        <v>0</v>
      </c>
      <c r="AP73" s="1079">
        <v>0</v>
      </c>
      <c r="AQ73" s="1059">
        <f t="shared" si="27"/>
        <v>332.79579999999999</v>
      </c>
      <c r="AR73" s="1068">
        <v>66</v>
      </c>
      <c r="AS73" s="1068">
        <v>463</v>
      </c>
      <c r="AT73" s="1068">
        <v>85</v>
      </c>
      <c r="AU73" s="1068">
        <v>51</v>
      </c>
      <c r="AV73" s="1061">
        <v>0</v>
      </c>
      <c r="AW73" s="1061">
        <v>0</v>
      </c>
      <c r="AX73" s="1061">
        <v>0</v>
      </c>
      <c r="AY73" s="1061">
        <v>0</v>
      </c>
      <c r="AZ73" s="753">
        <v>0</v>
      </c>
      <c r="BA73" s="753">
        <v>53</v>
      </c>
      <c r="BB73" s="753">
        <v>72</v>
      </c>
      <c r="BC73" s="753">
        <v>0</v>
      </c>
      <c r="BD73" s="1061">
        <v>0</v>
      </c>
      <c r="BE73" s="1061">
        <v>0</v>
      </c>
      <c r="BF73" s="1061">
        <v>0</v>
      </c>
      <c r="BG73" s="1061">
        <v>0</v>
      </c>
      <c r="BH73" s="753">
        <v>0</v>
      </c>
      <c r="BI73" s="753">
        <v>3</v>
      </c>
      <c r="BJ73" s="753">
        <v>0</v>
      </c>
      <c r="BK73" s="753">
        <v>0</v>
      </c>
      <c r="BL73" s="1061">
        <v>6000</v>
      </c>
      <c r="BM73" s="1061">
        <v>0</v>
      </c>
      <c r="BN73" s="1061">
        <v>9000</v>
      </c>
      <c r="BO73" s="1061">
        <v>437.95800000000003</v>
      </c>
      <c r="BP73" s="1069"/>
      <c r="BQ73" s="1136"/>
      <c r="BR73" s="1140">
        <f t="shared" si="28"/>
        <v>916666.66666666674</v>
      </c>
      <c r="BS73" s="1140">
        <f t="shared" si="29"/>
        <v>1180555.5555555557</v>
      </c>
      <c r="BT73" s="1140">
        <f t="shared" si="30"/>
        <v>708333.33333333337</v>
      </c>
      <c r="BU73" s="1140">
        <f t="shared" si="31"/>
        <v>2805555.555555556</v>
      </c>
      <c r="BV73" s="1140">
        <f t="shared" si="41"/>
        <v>0</v>
      </c>
      <c r="BW73" s="1140">
        <f t="shared" si="42"/>
        <v>0</v>
      </c>
      <c r="BX73" s="1140">
        <f t="shared" si="43"/>
        <v>0</v>
      </c>
      <c r="BY73" s="1140">
        <f t="shared" si="32"/>
        <v>0</v>
      </c>
      <c r="BZ73" s="1136"/>
      <c r="CA73" s="1140">
        <f t="shared" si="33"/>
        <v>0</v>
      </c>
      <c r="CB73" s="1140">
        <f t="shared" si="34"/>
        <v>0</v>
      </c>
      <c r="CC73" s="1140">
        <f t="shared" si="35"/>
        <v>0</v>
      </c>
      <c r="CD73" s="1140">
        <f t="shared" si="36"/>
        <v>0</v>
      </c>
      <c r="CE73" s="1140">
        <f t="shared" si="37"/>
        <v>0</v>
      </c>
      <c r="CF73" s="1140">
        <f t="shared" si="38"/>
        <v>0</v>
      </c>
      <c r="CG73" s="1140">
        <f t="shared" si="39"/>
        <v>0</v>
      </c>
      <c r="CH73" s="1140">
        <f t="shared" si="40"/>
        <v>0</v>
      </c>
      <c r="CI73" s="1146"/>
      <c r="CJ73" s="1069"/>
      <c r="CK73" s="1069"/>
      <c r="CL73" s="1069"/>
      <c r="CM73" s="1069"/>
      <c r="CN73" s="1069"/>
      <c r="CO73" s="1069"/>
      <c r="CP73" s="1069"/>
      <c r="CQ73" s="1069"/>
      <c r="CR73" s="1069"/>
      <c r="CS73" s="1069"/>
      <c r="CT73" s="1069"/>
      <c r="CU73" s="1069"/>
      <c r="CV73" s="1069"/>
      <c r="CW73" s="1069"/>
      <c r="CX73" s="1069"/>
      <c r="CY73" s="1069"/>
      <c r="CZ73" s="1069"/>
      <c r="DA73" s="1069"/>
      <c r="DB73" s="1069"/>
      <c r="DC73" s="1069"/>
      <c r="DD73" s="1069"/>
      <c r="DE73" s="1069"/>
      <c r="DF73" s="1069"/>
      <c r="DG73" s="1069"/>
      <c r="DH73" s="1069"/>
      <c r="DI73" s="1069"/>
      <c r="DJ73" s="1069"/>
      <c r="DK73" s="1069"/>
      <c r="DL73" s="1069"/>
      <c r="DM73" s="1069"/>
      <c r="DN73" s="1069"/>
      <c r="DO73" s="1069"/>
      <c r="DP73" s="1069"/>
      <c r="DQ73" s="1069"/>
      <c r="DR73" s="1069"/>
      <c r="DS73" s="1069"/>
      <c r="DT73" s="1069"/>
      <c r="DU73" s="1069"/>
      <c r="DV73" s="1069"/>
      <c r="DW73" s="1069"/>
      <c r="DX73" s="1069"/>
      <c r="DY73" s="1069"/>
      <c r="DZ73" s="1069"/>
      <c r="EA73" s="1069"/>
      <c r="EB73" s="1069"/>
      <c r="EC73" s="1069"/>
      <c r="ED73" s="1069"/>
      <c r="EE73" s="1069"/>
      <c r="EF73" s="1069"/>
      <c r="EG73" s="1069"/>
      <c r="EH73" s="1069"/>
      <c r="EI73" s="1069"/>
      <c r="EJ73" s="1069"/>
      <c r="EK73" s="1069"/>
      <c r="EL73" s="1069"/>
      <c r="EM73" s="1069"/>
      <c r="EN73" s="1069"/>
      <c r="EO73" s="1069"/>
      <c r="EP73" s="1069"/>
      <c r="EQ73" s="1069"/>
      <c r="ER73" s="1069"/>
      <c r="ES73" s="1069"/>
      <c r="ET73" s="1069"/>
      <c r="EU73" s="1069"/>
      <c r="EV73" s="1069"/>
      <c r="EW73" s="1069"/>
      <c r="EX73" s="1069"/>
      <c r="EY73" s="1069"/>
      <c r="EZ73" s="1069"/>
      <c r="FA73" s="1069"/>
      <c r="FB73" s="1069"/>
      <c r="FC73" s="1069"/>
      <c r="FD73" s="1069"/>
      <c r="FE73" s="1069"/>
      <c r="FF73" s="1069"/>
      <c r="FG73" s="1069"/>
      <c r="FH73" s="1069"/>
      <c r="FI73" s="1069"/>
      <c r="FJ73" s="1069"/>
      <c r="FK73" s="1069"/>
      <c r="FL73" s="1069"/>
      <c r="FM73" s="1069"/>
      <c r="FN73" s="1069"/>
      <c r="FO73" s="1069"/>
      <c r="FP73" s="1069"/>
      <c r="FQ73" s="1069"/>
      <c r="FR73" s="1069"/>
      <c r="FS73" s="1069"/>
      <c r="FT73" s="1069"/>
      <c r="FU73" s="1069"/>
      <c r="FV73" s="1069"/>
      <c r="FW73" s="1069"/>
      <c r="FX73" s="1069"/>
      <c r="FY73" s="1069"/>
      <c r="FZ73" s="1069"/>
      <c r="GA73" s="1069"/>
      <c r="GB73" s="1069"/>
      <c r="GC73" s="1069"/>
      <c r="GD73" s="1069"/>
      <c r="GE73" s="1069"/>
      <c r="GF73" s="1069"/>
      <c r="GG73" s="1069"/>
      <c r="GH73" s="1069"/>
      <c r="GI73" s="1069"/>
      <c r="GJ73" s="1069"/>
      <c r="GK73" s="1069"/>
      <c r="GL73" s="1069"/>
      <c r="GM73" s="1069"/>
      <c r="GN73" s="1069"/>
      <c r="GO73" s="1069"/>
      <c r="GP73" s="1069"/>
      <c r="GQ73" s="1069"/>
      <c r="GR73" s="1069"/>
      <c r="GS73" s="1069"/>
      <c r="GT73" s="1069"/>
      <c r="GU73" s="1069"/>
      <c r="GV73" s="1069"/>
      <c r="GW73" s="1069"/>
      <c r="GX73" s="1069"/>
    </row>
    <row r="74" spans="1:206" ht="15" customHeight="1" x14ac:dyDescent="0.2">
      <c r="A74" s="1075">
        <v>4776</v>
      </c>
      <c r="B74" s="1075" t="s">
        <v>1412</v>
      </c>
      <c r="C74" s="1076" t="s">
        <v>106</v>
      </c>
      <c r="D74" s="1054" t="s">
        <v>106</v>
      </c>
      <c r="E74" s="1055" t="b">
        <f t="shared" si="24"/>
        <v>0</v>
      </c>
      <c r="F74" s="1055">
        <v>0</v>
      </c>
      <c r="G74" s="1056">
        <f t="shared" si="25"/>
        <v>0</v>
      </c>
      <c r="H74" s="1062" t="s">
        <v>1417</v>
      </c>
      <c r="I74" s="1054" t="s">
        <v>1416</v>
      </c>
      <c r="J74" s="1054" t="s">
        <v>10</v>
      </c>
      <c r="K74" s="1054" t="s">
        <v>10</v>
      </c>
      <c r="L74" s="1054" t="s">
        <v>1412</v>
      </c>
      <c r="M74" s="1057">
        <v>0</v>
      </c>
      <c r="N74" s="1057">
        <v>0</v>
      </c>
      <c r="O74" s="1057">
        <v>0</v>
      </c>
      <c r="P74" s="1057">
        <v>0</v>
      </c>
      <c r="Q74" s="1057">
        <v>0</v>
      </c>
      <c r="R74" s="1057">
        <v>0</v>
      </c>
      <c r="S74" s="1057">
        <v>0</v>
      </c>
      <c r="T74" s="1058">
        <f t="shared" si="26"/>
        <v>0</v>
      </c>
      <c r="U74" s="1057">
        <v>0</v>
      </c>
      <c r="V74" s="1057">
        <v>0</v>
      </c>
      <c r="W74" s="1057">
        <v>0</v>
      </c>
      <c r="X74" s="1057">
        <v>0</v>
      </c>
      <c r="Y74" s="1057">
        <v>0</v>
      </c>
      <c r="Z74" s="1057">
        <v>0</v>
      </c>
      <c r="AA74" s="1057">
        <v>0</v>
      </c>
      <c r="AB74" s="1057">
        <v>0</v>
      </c>
      <c r="AC74" s="1057">
        <v>0</v>
      </c>
      <c r="AD74" s="1057">
        <v>0</v>
      </c>
      <c r="AE74" s="1057">
        <v>0</v>
      </c>
      <c r="AF74" s="1057">
        <v>0</v>
      </c>
      <c r="AG74" s="1057">
        <v>0</v>
      </c>
      <c r="AH74" s="1057">
        <v>1081000</v>
      </c>
      <c r="AI74" s="1057">
        <v>951000</v>
      </c>
      <c r="AJ74" s="1062" t="s">
        <v>908</v>
      </c>
      <c r="AK74" s="1062" t="s">
        <v>909</v>
      </c>
      <c r="AL74" s="1066" t="s">
        <v>1416</v>
      </c>
      <c r="AM74" s="1062" t="s">
        <v>1417</v>
      </c>
      <c r="AN74" s="1090" t="s">
        <v>106</v>
      </c>
      <c r="AO74" s="1084">
        <v>0</v>
      </c>
      <c r="AP74" s="1067">
        <f>AR74+AT74+AU74+AV74+AX74+AY74+AZ74+BD74+BF74+BG74+BH74+BJ74+BK74+(BL74+BM74+BN74)/1000+(0.1*BO74)</f>
        <v>589.95630000000006</v>
      </c>
      <c r="AQ74" s="1059">
        <f t="shared" si="27"/>
        <v>600.95630000000006</v>
      </c>
      <c r="AR74" s="753">
        <v>84</v>
      </c>
      <c r="AS74" s="753">
        <v>951</v>
      </c>
      <c r="AT74" s="753">
        <v>385</v>
      </c>
      <c r="AU74" s="753">
        <v>14</v>
      </c>
      <c r="AV74" s="1061">
        <v>0</v>
      </c>
      <c r="AW74" s="1061">
        <v>32</v>
      </c>
      <c r="AX74" s="1061">
        <v>19</v>
      </c>
      <c r="AY74" s="1061">
        <v>0</v>
      </c>
      <c r="AZ74" s="1061">
        <v>0</v>
      </c>
      <c r="BA74" s="1061">
        <v>0</v>
      </c>
      <c r="BB74" s="1061">
        <v>10</v>
      </c>
      <c r="BC74" s="1061">
        <v>1</v>
      </c>
      <c r="BD74" s="1061">
        <v>0</v>
      </c>
      <c r="BE74" s="1061">
        <v>0</v>
      </c>
      <c r="BF74" s="1061">
        <v>0</v>
      </c>
      <c r="BG74" s="1061">
        <v>0</v>
      </c>
      <c r="BH74" s="1061">
        <v>0</v>
      </c>
      <c r="BI74" s="1061">
        <v>5</v>
      </c>
      <c r="BJ74" s="1061">
        <v>0</v>
      </c>
      <c r="BK74" s="1061">
        <v>0</v>
      </c>
      <c r="BL74" s="1061">
        <v>0</v>
      </c>
      <c r="BM74" s="1061">
        <v>0</v>
      </c>
      <c r="BN74" s="1061">
        <v>0</v>
      </c>
      <c r="BO74" s="1061">
        <v>879.56299999999999</v>
      </c>
      <c r="BR74" s="1140">
        <f t="shared" si="28"/>
        <v>1166666.6666666667</v>
      </c>
      <c r="BS74" s="1140">
        <f t="shared" si="29"/>
        <v>5347222.2222222229</v>
      </c>
      <c r="BT74" s="1140">
        <f t="shared" si="30"/>
        <v>194444.44444444447</v>
      </c>
      <c r="BU74" s="1140">
        <f t="shared" si="31"/>
        <v>6708333.333333334</v>
      </c>
      <c r="BV74" s="1140">
        <f t="shared" si="41"/>
        <v>0</v>
      </c>
      <c r="BW74" s="1140">
        <f t="shared" si="42"/>
        <v>3800</v>
      </c>
      <c r="BX74" s="1140">
        <f t="shared" si="43"/>
        <v>0</v>
      </c>
      <c r="BY74" s="1140">
        <f t="shared" si="32"/>
        <v>3800</v>
      </c>
      <c r="CA74" s="1140">
        <f t="shared" si="33"/>
        <v>0</v>
      </c>
      <c r="CB74" s="1140">
        <f t="shared" si="34"/>
        <v>0</v>
      </c>
      <c r="CC74" s="1140">
        <f t="shared" si="35"/>
        <v>0</v>
      </c>
      <c r="CD74" s="1140">
        <f t="shared" si="36"/>
        <v>0</v>
      </c>
      <c r="CE74" s="1140">
        <f t="shared" si="37"/>
        <v>0</v>
      </c>
      <c r="CF74" s="1140">
        <f t="shared" si="38"/>
        <v>3800</v>
      </c>
      <c r="CG74" s="1140">
        <f t="shared" si="39"/>
        <v>0</v>
      </c>
      <c r="CH74" s="1140">
        <f t="shared" si="40"/>
        <v>3800</v>
      </c>
      <c r="CJ74" s="1069"/>
      <c r="CK74" s="1069"/>
      <c r="CL74" s="1069"/>
      <c r="CM74" s="1069"/>
      <c r="CN74" s="1069"/>
      <c r="CO74" s="1069"/>
      <c r="CP74" s="1069"/>
      <c r="CQ74" s="1069"/>
      <c r="CR74" s="1069"/>
      <c r="CS74" s="1069"/>
      <c r="CT74" s="1069"/>
      <c r="CU74" s="1069"/>
      <c r="CV74" s="1069"/>
      <c r="CW74" s="1069"/>
      <c r="CX74" s="1069"/>
      <c r="CY74" s="1069"/>
      <c r="CZ74" s="1069"/>
      <c r="DA74" s="1069"/>
      <c r="DB74" s="1069"/>
      <c r="DC74" s="1069"/>
      <c r="DD74" s="1069"/>
      <c r="DE74" s="1069"/>
      <c r="DF74" s="1069"/>
      <c r="DG74" s="1069"/>
      <c r="DH74" s="1069"/>
      <c r="DI74" s="1069"/>
      <c r="DJ74" s="1069"/>
      <c r="DK74" s="1069"/>
      <c r="DL74" s="1069"/>
      <c r="DM74" s="1069"/>
      <c r="DN74" s="1069"/>
      <c r="DO74" s="1069"/>
      <c r="DP74" s="1069"/>
      <c r="DQ74" s="1069"/>
      <c r="DR74" s="1069"/>
      <c r="DS74" s="1069"/>
      <c r="DT74" s="1069"/>
      <c r="DU74" s="1069"/>
      <c r="DV74" s="1069"/>
      <c r="DW74" s="1069"/>
      <c r="DX74" s="1069"/>
      <c r="DY74" s="1069"/>
      <c r="DZ74" s="1069"/>
      <c r="EA74" s="1069"/>
      <c r="EB74" s="1069"/>
      <c r="EC74" s="1069"/>
      <c r="ED74" s="1069"/>
      <c r="EE74" s="1069"/>
      <c r="EF74" s="1069"/>
      <c r="EG74" s="1069"/>
      <c r="EH74" s="1069"/>
      <c r="EI74" s="1069"/>
      <c r="EJ74" s="1069"/>
      <c r="EK74" s="1069"/>
      <c r="EL74" s="1069"/>
      <c r="EM74" s="1069"/>
      <c r="EN74" s="1069"/>
      <c r="EO74" s="1069"/>
      <c r="EP74" s="1069"/>
      <c r="EQ74" s="1069"/>
      <c r="ER74" s="1069"/>
      <c r="ES74" s="1069"/>
      <c r="ET74" s="1069"/>
      <c r="EU74" s="1069"/>
      <c r="EV74" s="1069"/>
      <c r="EW74" s="1069"/>
      <c r="EX74" s="1069"/>
      <c r="EY74" s="1069"/>
      <c r="EZ74" s="1069"/>
      <c r="FA74" s="1069"/>
      <c r="FB74" s="1069"/>
      <c r="FC74" s="1069"/>
      <c r="FD74" s="1069"/>
      <c r="FE74" s="1069"/>
      <c r="FF74" s="1069"/>
      <c r="FG74" s="1069"/>
      <c r="FH74" s="1069"/>
      <c r="FI74" s="1069"/>
      <c r="FJ74" s="1069"/>
      <c r="FK74" s="1069"/>
      <c r="FL74" s="1069"/>
      <c r="FM74" s="1069"/>
      <c r="FN74" s="1069"/>
      <c r="FO74" s="1069"/>
      <c r="FP74" s="1069"/>
      <c r="FQ74" s="1069"/>
      <c r="FR74" s="1069"/>
      <c r="FS74" s="1069"/>
      <c r="FT74" s="1069"/>
      <c r="FU74" s="1069"/>
      <c r="FV74" s="1069"/>
      <c r="FW74" s="1069"/>
      <c r="FX74" s="1069"/>
      <c r="FY74" s="1069"/>
      <c r="FZ74" s="1069"/>
      <c r="GA74" s="1069"/>
      <c r="GB74" s="1069"/>
      <c r="GC74" s="1069"/>
      <c r="GD74" s="1069"/>
      <c r="GE74" s="1069"/>
      <c r="GF74" s="1069"/>
      <c r="GG74" s="1069"/>
      <c r="GH74" s="1069"/>
      <c r="GI74" s="1069"/>
      <c r="GJ74" s="1069"/>
      <c r="GK74" s="1069"/>
      <c r="GL74" s="1069"/>
      <c r="GM74" s="1069"/>
      <c r="GN74" s="1069"/>
      <c r="GO74" s="1069"/>
      <c r="GP74" s="1069"/>
      <c r="GQ74" s="1069"/>
      <c r="GR74" s="1069"/>
      <c r="GS74" s="1069"/>
      <c r="GT74" s="1069"/>
      <c r="GU74" s="1069"/>
      <c r="GV74" s="1069"/>
      <c r="GW74" s="1069"/>
      <c r="GX74" s="1069"/>
    </row>
    <row r="75" spans="1:206" ht="15" customHeight="1" x14ac:dyDescent="0.2">
      <c r="A75" s="1052">
        <v>8675</v>
      </c>
      <c r="B75" s="1052"/>
      <c r="C75" s="1053" t="s">
        <v>107</v>
      </c>
      <c r="D75" s="1054" t="s">
        <v>107</v>
      </c>
      <c r="E75" s="1055">
        <f t="shared" si="24"/>
        <v>438612.95399999997</v>
      </c>
      <c r="F75" s="1055">
        <v>0</v>
      </c>
      <c r="G75" s="1056">
        <f t="shared" si="25"/>
        <v>438612.95399999997</v>
      </c>
      <c r="H75" s="1053" t="s">
        <v>10</v>
      </c>
      <c r="I75" s="1054" t="s">
        <v>1416</v>
      </c>
      <c r="J75" s="1054" t="s">
        <v>1417</v>
      </c>
      <c r="K75" s="1054" t="s">
        <v>109</v>
      </c>
      <c r="L75" s="1054" t="s">
        <v>10</v>
      </c>
      <c r="M75" s="1057">
        <v>130</v>
      </c>
      <c r="N75" s="1057">
        <v>0.98299999999999998</v>
      </c>
      <c r="O75" s="1057">
        <v>0.98299999999999998</v>
      </c>
      <c r="P75" s="1057">
        <v>0.98599999999999999</v>
      </c>
      <c r="Q75" s="1057">
        <v>0.96499999999999997</v>
      </c>
      <c r="R75" s="1057">
        <v>1425929</v>
      </c>
      <c r="S75" s="1057">
        <v>1258935</v>
      </c>
      <c r="T75" s="1058">
        <f t="shared" si="26"/>
        <v>424213.8775</v>
      </c>
      <c r="U75" s="1057">
        <v>866300</v>
      </c>
      <c r="V75" s="1057">
        <v>392635</v>
      </c>
      <c r="W75" s="1057">
        <v>7500</v>
      </c>
      <c r="X75" s="1057">
        <v>0</v>
      </c>
      <c r="Y75" s="1057">
        <v>0</v>
      </c>
      <c r="Z75" s="1057">
        <v>0</v>
      </c>
      <c r="AA75" s="1057">
        <v>1683148.878</v>
      </c>
      <c r="AB75" s="1057">
        <v>424213.8775</v>
      </c>
      <c r="AC75" s="1057">
        <v>1258935</v>
      </c>
      <c r="AD75" s="1057">
        <v>0</v>
      </c>
      <c r="AE75" s="1057">
        <v>0</v>
      </c>
      <c r="AF75" s="1057">
        <v>0</v>
      </c>
      <c r="AG75" s="1057">
        <v>1258935</v>
      </c>
      <c r="AH75" s="1057">
        <v>0</v>
      </c>
      <c r="AI75" s="1057">
        <v>0</v>
      </c>
      <c r="AJ75" s="1053">
        <v>4</v>
      </c>
      <c r="AK75" s="1053" t="s">
        <v>913</v>
      </c>
      <c r="AL75" s="1054" t="s">
        <v>1416</v>
      </c>
      <c r="AM75" s="1053" t="s">
        <v>10</v>
      </c>
      <c r="AN75" s="1054" t="s">
        <v>107</v>
      </c>
      <c r="AO75" s="1054">
        <v>424213.8775</v>
      </c>
      <c r="AP75" s="1059">
        <f>AR75+AT75+AU75+AV75+AX75+AY75+AZ75+BD75+BF75+BG75+BH75+BJ75+BK75+(BL75+BM75+BN75)/1000+(0.1*BO75)</f>
        <v>490.28840000000002</v>
      </c>
      <c r="AQ75" s="1059">
        <f t="shared" si="27"/>
        <v>511.28840000000002</v>
      </c>
      <c r="AR75" s="1052">
        <v>0</v>
      </c>
      <c r="AS75" s="1052">
        <v>0</v>
      </c>
      <c r="AT75" s="1052">
        <v>343</v>
      </c>
      <c r="AU75" s="1052">
        <v>25</v>
      </c>
      <c r="AV75" s="1052">
        <v>0</v>
      </c>
      <c r="AW75" s="1052">
        <v>0</v>
      </c>
      <c r="AX75" s="1052">
        <v>33</v>
      </c>
      <c r="AY75" s="1052">
        <v>1</v>
      </c>
      <c r="AZ75" s="1052">
        <v>0</v>
      </c>
      <c r="BA75" s="1052">
        <v>3</v>
      </c>
      <c r="BB75" s="1052">
        <v>19</v>
      </c>
      <c r="BC75" s="1052">
        <v>2</v>
      </c>
      <c r="BD75" s="1052">
        <v>0</v>
      </c>
      <c r="BE75" s="1052">
        <v>0</v>
      </c>
      <c r="BF75" s="1052">
        <v>0</v>
      </c>
      <c r="BG75" s="1052">
        <v>0</v>
      </c>
      <c r="BH75" s="1052">
        <v>0</v>
      </c>
      <c r="BI75" s="1052">
        <v>0</v>
      </c>
      <c r="BJ75" s="1052">
        <v>0</v>
      </c>
      <c r="BK75" s="1052">
        <v>0</v>
      </c>
      <c r="BL75" s="1052">
        <v>0</v>
      </c>
      <c r="BM75" s="1052">
        <v>0</v>
      </c>
      <c r="BN75" s="1052">
        <v>0</v>
      </c>
      <c r="BO75" s="1052">
        <v>882.88400000000001</v>
      </c>
      <c r="BR75" s="1140">
        <f t="shared" si="28"/>
        <v>0</v>
      </c>
      <c r="BS75" s="1140">
        <f t="shared" si="29"/>
        <v>4763888.888888889</v>
      </c>
      <c r="BT75" s="1140">
        <f t="shared" si="30"/>
        <v>347222.22222222225</v>
      </c>
      <c r="BU75" s="1140">
        <f t="shared" si="31"/>
        <v>5111111.111111111</v>
      </c>
      <c r="BV75" s="1140">
        <f t="shared" si="41"/>
        <v>0</v>
      </c>
      <c r="BW75" s="1140">
        <f t="shared" si="42"/>
        <v>6600</v>
      </c>
      <c r="BX75" s="1140">
        <f t="shared" si="43"/>
        <v>200</v>
      </c>
      <c r="BY75" s="1140">
        <f t="shared" si="32"/>
        <v>6800</v>
      </c>
      <c r="CA75" s="1140">
        <f t="shared" si="33"/>
        <v>0</v>
      </c>
      <c r="CB75" s="1140">
        <f t="shared" si="34"/>
        <v>4763888.888888889</v>
      </c>
      <c r="CC75" s="1140">
        <f t="shared" si="35"/>
        <v>347222.22222222225</v>
      </c>
      <c r="CD75" s="1140">
        <f t="shared" si="36"/>
        <v>5111111.111111111</v>
      </c>
      <c r="CE75" s="1140">
        <f t="shared" si="37"/>
        <v>0</v>
      </c>
      <c r="CF75" s="1140">
        <f t="shared" si="38"/>
        <v>6600</v>
      </c>
      <c r="CG75" s="1140">
        <f t="shared" si="39"/>
        <v>200</v>
      </c>
      <c r="CH75" s="1140">
        <f t="shared" si="40"/>
        <v>6800</v>
      </c>
      <c r="CJ75" s="1069"/>
      <c r="CK75" s="1069"/>
      <c r="CL75" s="1069"/>
      <c r="CM75" s="1069"/>
      <c r="CN75" s="1069"/>
      <c r="CO75" s="1069"/>
      <c r="CP75" s="1069"/>
      <c r="CQ75" s="1069"/>
      <c r="CR75" s="1069"/>
      <c r="CS75" s="1069"/>
      <c r="CT75" s="1069"/>
      <c r="CU75" s="1069"/>
      <c r="CV75" s="1069"/>
      <c r="CW75" s="1069"/>
      <c r="CX75" s="1069"/>
      <c r="CY75" s="1069"/>
      <c r="CZ75" s="1069"/>
      <c r="DA75" s="1069"/>
      <c r="DB75" s="1069"/>
      <c r="DC75" s="1069"/>
      <c r="DD75" s="1069"/>
      <c r="DE75" s="1069"/>
      <c r="DF75" s="1069"/>
      <c r="DG75" s="1069"/>
      <c r="DH75" s="1069"/>
      <c r="DI75" s="1069"/>
      <c r="DJ75" s="1069"/>
      <c r="DK75" s="1069"/>
      <c r="DL75" s="1069"/>
      <c r="DM75" s="1069"/>
      <c r="DN75" s="1069"/>
      <c r="DO75" s="1069"/>
      <c r="DP75" s="1069"/>
      <c r="DQ75" s="1069"/>
      <c r="DR75" s="1069"/>
      <c r="DS75" s="1069"/>
      <c r="DT75" s="1069"/>
      <c r="DU75" s="1069"/>
      <c r="DV75" s="1069"/>
      <c r="DW75" s="1069"/>
      <c r="DX75" s="1069"/>
      <c r="DY75" s="1069"/>
      <c r="DZ75" s="1069"/>
      <c r="EA75" s="1069"/>
      <c r="EB75" s="1069"/>
      <c r="EC75" s="1069"/>
      <c r="ED75" s="1069"/>
      <c r="EE75" s="1069"/>
      <c r="EF75" s="1069"/>
      <c r="EG75" s="1069"/>
      <c r="EH75" s="1069"/>
      <c r="EI75" s="1069"/>
      <c r="EJ75" s="1069"/>
      <c r="EK75" s="1069"/>
      <c r="EL75" s="1069"/>
      <c r="EM75" s="1069"/>
      <c r="EN75" s="1069"/>
      <c r="EO75" s="1069"/>
      <c r="EP75" s="1069"/>
      <c r="EQ75" s="1069"/>
      <c r="ER75" s="1069"/>
      <c r="ES75" s="1069"/>
      <c r="ET75" s="1069"/>
      <c r="EU75" s="1069"/>
      <c r="EV75" s="1069"/>
      <c r="EW75" s="1069"/>
      <c r="EX75" s="1069"/>
      <c r="EY75" s="1069"/>
      <c r="EZ75" s="1069"/>
      <c r="FA75" s="1069"/>
      <c r="FB75" s="1069"/>
      <c r="FC75" s="1069"/>
      <c r="FD75" s="1069"/>
      <c r="FE75" s="1069"/>
      <c r="FF75" s="1069"/>
      <c r="FG75" s="1069"/>
      <c r="FH75" s="1069"/>
      <c r="FI75" s="1069"/>
      <c r="FJ75" s="1069"/>
      <c r="FK75" s="1069"/>
      <c r="FL75" s="1069"/>
      <c r="FM75" s="1069"/>
      <c r="FN75" s="1069"/>
      <c r="FO75" s="1069"/>
      <c r="FP75" s="1069"/>
      <c r="FQ75" s="1069"/>
      <c r="FR75" s="1069"/>
      <c r="FS75" s="1069"/>
      <c r="FT75" s="1069"/>
      <c r="FU75" s="1069"/>
      <c r="FV75" s="1069"/>
      <c r="FW75" s="1069"/>
      <c r="FX75" s="1069"/>
      <c r="FY75" s="1069"/>
      <c r="FZ75" s="1069"/>
      <c r="GA75" s="1069"/>
      <c r="GB75" s="1069"/>
      <c r="GC75" s="1069"/>
      <c r="GD75" s="1069"/>
      <c r="GE75" s="1069"/>
      <c r="GF75" s="1069"/>
      <c r="GG75" s="1069"/>
      <c r="GH75" s="1069"/>
      <c r="GI75" s="1069"/>
      <c r="GJ75" s="1069"/>
      <c r="GK75" s="1069"/>
      <c r="GL75" s="1069"/>
      <c r="GM75" s="1069"/>
      <c r="GN75" s="1069"/>
      <c r="GO75" s="1069"/>
      <c r="GP75" s="1069"/>
      <c r="GQ75" s="1069"/>
      <c r="GR75" s="1069"/>
      <c r="GS75" s="1069"/>
      <c r="GT75" s="1069"/>
      <c r="GU75" s="1069"/>
      <c r="GV75" s="1069"/>
      <c r="GW75" s="1069"/>
      <c r="GX75" s="1069"/>
    </row>
    <row r="76" spans="1:206" s="1087" customFormat="1" ht="15" customHeight="1" x14ac:dyDescent="0.2">
      <c r="A76" s="1052">
        <v>8678</v>
      </c>
      <c r="B76" s="1052"/>
      <c r="C76" s="1053" t="s">
        <v>110</v>
      </c>
      <c r="D76" s="1054" t="s">
        <v>110</v>
      </c>
      <c r="E76" s="1055">
        <f t="shared" si="24"/>
        <v>31779.822199999999</v>
      </c>
      <c r="F76" s="1055">
        <v>0</v>
      </c>
      <c r="G76" s="1056">
        <f t="shared" si="25"/>
        <v>31779.822199999999</v>
      </c>
      <c r="H76" s="1053" t="s">
        <v>10</v>
      </c>
      <c r="I76" s="1054" t="s">
        <v>1512</v>
      </c>
      <c r="J76" s="1054" t="s">
        <v>10</v>
      </c>
      <c r="K76" s="1054" t="s">
        <v>109</v>
      </c>
      <c r="L76" s="1054" t="s">
        <v>10</v>
      </c>
      <c r="M76" s="1057">
        <v>12</v>
      </c>
      <c r="N76" s="1057">
        <v>0.79300000000000004</v>
      </c>
      <c r="O76" s="1057">
        <v>0.79300000000000004</v>
      </c>
      <c r="P76" s="1057">
        <v>0.754</v>
      </c>
      <c r="Q76" s="1057">
        <v>0.82699999999999996</v>
      </c>
      <c r="R76" s="1057">
        <v>0</v>
      </c>
      <c r="S76" s="1057">
        <v>163898</v>
      </c>
      <c r="T76" s="1058">
        <f t="shared" si="26"/>
        <v>31779.822199999999</v>
      </c>
      <c r="U76" s="1057">
        <v>142229</v>
      </c>
      <c r="V76" s="1057">
        <v>21669</v>
      </c>
      <c r="W76" s="1057">
        <v>900</v>
      </c>
      <c r="X76" s="1057">
        <v>0</v>
      </c>
      <c r="Y76" s="1057">
        <v>0</v>
      </c>
      <c r="Z76" s="1057">
        <v>0</v>
      </c>
      <c r="AA76" s="1057">
        <v>195677.8222</v>
      </c>
      <c r="AB76" s="1057">
        <v>31779.822199999999</v>
      </c>
      <c r="AC76" s="1057">
        <v>163898</v>
      </c>
      <c r="AD76" s="1057">
        <v>0</v>
      </c>
      <c r="AE76" s="1057">
        <v>0</v>
      </c>
      <c r="AF76" s="1057">
        <v>0</v>
      </c>
      <c r="AG76" s="1057">
        <v>163898</v>
      </c>
      <c r="AH76" s="1057">
        <v>0</v>
      </c>
      <c r="AI76" s="1057">
        <v>0</v>
      </c>
      <c r="AJ76" s="1053">
        <v>4</v>
      </c>
      <c r="AK76" s="1053" t="s">
        <v>913</v>
      </c>
      <c r="AL76" s="1054" t="s">
        <v>1512</v>
      </c>
      <c r="AM76" s="1053" t="s">
        <v>10</v>
      </c>
      <c r="AN76" s="1054" t="s">
        <v>110</v>
      </c>
      <c r="AO76" s="1054">
        <v>31779.822199999999</v>
      </c>
      <c r="AP76" s="1059">
        <f>AR76+AT76+AU76+AV76+AX76+AY76+AZ76+BD76+BF76+BG76+BH76+BJ76+BK76+(BL76+BM76+BN76)/1000+(0.1*BO76)</f>
        <v>25.305800000000001</v>
      </c>
      <c r="AQ76" s="1059">
        <f t="shared" si="27"/>
        <v>26.305800000000001</v>
      </c>
      <c r="AR76" s="1081">
        <v>0</v>
      </c>
      <c r="AS76" s="1081">
        <v>0</v>
      </c>
      <c r="AT76" s="1081">
        <v>13</v>
      </c>
      <c r="AU76" s="1081">
        <v>0</v>
      </c>
      <c r="AV76" s="1081">
        <v>0</v>
      </c>
      <c r="AW76" s="1081">
        <v>0</v>
      </c>
      <c r="AX76" s="1081">
        <v>0</v>
      </c>
      <c r="AY76" s="1081">
        <v>0</v>
      </c>
      <c r="AZ76" s="1081">
        <v>0</v>
      </c>
      <c r="BA76" s="1081">
        <v>0</v>
      </c>
      <c r="BB76" s="1081">
        <v>0</v>
      </c>
      <c r="BC76" s="1081">
        <v>1</v>
      </c>
      <c r="BD76" s="1052">
        <v>0</v>
      </c>
      <c r="BE76" s="1052">
        <v>0</v>
      </c>
      <c r="BF76" s="1052">
        <v>0</v>
      </c>
      <c r="BG76" s="1052">
        <v>0</v>
      </c>
      <c r="BH76" s="1052">
        <v>0</v>
      </c>
      <c r="BI76" s="1052">
        <v>0</v>
      </c>
      <c r="BJ76" s="1052">
        <v>0</v>
      </c>
      <c r="BK76" s="1052">
        <v>0</v>
      </c>
      <c r="BL76" s="1081">
        <v>0</v>
      </c>
      <c r="BM76" s="1081">
        <v>0</v>
      </c>
      <c r="BN76" s="1081">
        <v>9880</v>
      </c>
      <c r="BO76" s="1081">
        <v>24.257999999999999</v>
      </c>
      <c r="BP76" s="1069"/>
      <c r="BQ76" s="1136"/>
      <c r="BR76" s="1140">
        <f t="shared" si="28"/>
        <v>0</v>
      </c>
      <c r="BS76" s="1140">
        <f t="shared" si="29"/>
        <v>180555.55555555556</v>
      </c>
      <c r="BT76" s="1140">
        <f t="shared" si="30"/>
        <v>0</v>
      </c>
      <c r="BU76" s="1140">
        <f t="shared" si="31"/>
        <v>180555.55555555556</v>
      </c>
      <c r="BV76" s="1140">
        <f t="shared" si="41"/>
        <v>0</v>
      </c>
      <c r="BW76" s="1140">
        <f t="shared" si="42"/>
        <v>0</v>
      </c>
      <c r="BX76" s="1140">
        <f t="shared" si="43"/>
        <v>0</v>
      </c>
      <c r="BY76" s="1140">
        <f t="shared" si="32"/>
        <v>0</v>
      </c>
      <c r="BZ76" s="1136"/>
      <c r="CA76" s="1140">
        <f t="shared" si="33"/>
        <v>0</v>
      </c>
      <c r="CB76" s="1140">
        <f t="shared" si="34"/>
        <v>180555.55555555556</v>
      </c>
      <c r="CC76" s="1140">
        <f t="shared" si="35"/>
        <v>0</v>
      </c>
      <c r="CD76" s="1140">
        <f t="shared" si="36"/>
        <v>180555.55555555556</v>
      </c>
      <c r="CE76" s="1140">
        <f t="shared" si="37"/>
        <v>0</v>
      </c>
      <c r="CF76" s="1140">
        <f t="shared" si="38"/>
        <v>0</v>
      </c>
      <c r="CG76" s="1140">
        <f t="shared" si="39"/>
        <v>0</v>
      </c>
      <c r="CH76" s="1140">
        <f t="shared" si="40"/>
        <v>0</v>
      </c>
      <c r="CI76" s="1146"/>
      <c r="CJ76" s="1069"/>
      <c r="CK76" s="1069"/>
      <c r="CL76" s="1069"/>
      <c r="CM76" s="1069"/>
      <c r="CN76" s="1069"/>
      <c r="CO76" s="1069"/>
      <c r="CP76" s="1069"/>
      <c r="CQ76" s="1069"/>
      <c r="CR76" s="1069"/>
      <c r="CS76" s="1069"/>
      <c r="CT76" s="1069"/>
      <c r="CU76" s="1069"/>
      <c r="CV76" s="1069"/>
      <c r="CW76" s="1069"/>
      <c r="CX76" s="1069"/>
      <c r="CY76" s="1069"/>
      <c r="CZ76" s="1069"/>
      <c r="DA76" s="1069"/>
      <c r="DB76" s="1069"/>
      <c r="DC76" s="1069"/>
      <c r="DD76" s="1069"/>
      <c r="DE76" s="1069"/>
      <c r="DF76" s="1069"/>
      <c r="DG76" s="1069"/>
      <c r="DH76" s="1069"/>
      <c r="DI76" s="1069"/>
      <c r="DJ76" s="1069"/>
      <c r="DK76" s="1069"/>
      <c r="DL76" s="1069"/>
      <c r="DM76" s="1069"/>
      <c r="DN76" s="1069"/>
      <c r="DO76" s="1069"/>
      <c r="DP76" s="1069"/>
      <c r="DQ76" s="1069"/>
      <c r="DR76" s="1069"/>
      <c r="DS76" s="1069"/>
      <c r="DT76" s="1069"/>
      <c r="DU76" s="1069"/>
      <c r="DV76" s="1069"/>
      <c r="DW76" s="1069"/>
      <c r="DX76" s="1069"/>
      <c r="DY76" s="1069"/>
      <c r="DZ76" s="1069"/>
      <c r="EA76" s="1069"/>
      <c r="EB76" s="1069"/>
      <c r="EC76" s="1069"/>
      <c r="ED76" s="1069"/>
      <c r="EE76" s="1069"/>
      <c r="EF76" s="1069"/>
      <c r="EG76" s="1069"/>
      <c r="EH76" s="1069"/>
      <c r="EI76" s="1069"/>
      <c r="EJ76" s="1069"/>
      <c r="EK76" s="1069"/>
      <c r="EL76" s="1069"/>
      <c r="EM76" s="1069"/>
      <c r="EN76" s="1069"/>
      <c r="EO76" s="1069"/>
      <c r="EP76" s="1069"/>
      <c r="EQ76" s="1069"/>
      <c r="ER76" s="1069"/>
      <c r="ES76" s="1069"/>
      <c r="ET76" s="1069"/>
      <c r="EU76" s="1069"/>
      <c r="EV76" s="1069"/>
      <c r="EW76" s="1069"/>
      <c r="EX76" s="1069"/>
      <c r="EY76" s="1069"/>
      <c r="EZ76" s="1069"/>
      <c r="FA76" s="1069"/>
      <c r="FB76" s="1069"/>
      <c r="FC76" s="1069"/>
      <c r="FD76" s="1069"/>
      <c r="FE76" s="1069"/>
      <c r="FF76" s="1069"/>
      <c r="FG76" s="1069"/>
      <c r="FH76" s="1069"/>
      <c r="FI76" s="1069"/>
      <c r="FJ76" s="1069"/>
      <c r="FK76" s="1069"/>
      <c r="FL76" s="1069"/>
      <c r="FM76" s="1069"/>
      <c r="FN76" s="1069"/>
      <c r="FO76" s="1069"/>
      <c r="FP76" s="1069"/>
      <c r="FQ76" s="1069"/>
      <c r="FR76" s="1069"/>
      <c r="FS76" s="1069"/>
      <c r="FT76" s="1069"/>
      <c r="FU76" s="1069"/>
      <c r="FV76" s="1069"/>
      <c r="FW76" s="1069"/>
      <c r="FX76" s="1069"/>
      <c r="FY76" s="1069"/>
      <c r="FZ76" s="1069"/>
      <c r="GA76" s="1069"/>
      <c r="GB76" s="1069"/>
      <c r="GC76" s="1069"/>
      <c r="GD76" s="1069"/>
      <c r="GE76" s="1069"/>
      <c r="GF76" s="1069"/>
      <c r="GG76" s="1069"/>
      <c r="GH76" s="1069"/>
      <c r="GI76" s="1069"/>
      <c r="GJ76" s="1069"/>
      <c r="GK76" s="1069"/>
      <c r="GL76" s="1069"/>
      <c r="GM76" s="1069"/>
      <c r="GN76" s="1069"/>
      <c r="GO76" s="1069"/>
      <c r="GP76" s="1069"/>
      <c r="GQ76" s="1069"/>
      <c r="GR76" s="1069"/>
      <c r="GS76" s="1069"/>
      <c r="GT76" s="1069"/>
      <c r="GU76" s="1069"/>
      <c r="GV76" s="1069"/>
      <c r="GW76" s="1069"/>
      <c r="GX76" s="1069"/>
    </row>
    <row r="77" spans="1:206" ht="15" customHeight="1" x14ac:dyDescent="0.2">
      <c r="A77" s="1091">
        <v>9375</v>
      </c>
      <c r="B77" s="1091" t="s">
        <v>1412</v>
      </c>
      <c r="C77" s="1076" t="s">
        <v>111</v>
      </c>
      <c r="D77" s="1054" t="s">
        <v>111</v>
      </c>
      <c r="E77" s="1055">
        <f t="shared" si="24"/>
        <v>57829.123799999994</v>
      </c>
      <c r="F77" s="1055">
        <v>0</v>
      </c>
      <c r="G77" s="1056">
        <f t="shared" si="25"/>
        <v>57829.123799999994</v>
      </c>
      <c r="H77" s="1053" t="s">
        <v>1417</v>
      </c>
      <c r="I77" s="1054" t="s">
        <v>1512</v>
      </c>
      <c r="J77" s="1054" t="s">
        <v>10</v>
      </c>
      <c r="K77" s="1054" t="s">
        <v>3</v>
      </c>
      <c r="L77" s="1054" t="s">
        <v>10</v>
      </c>
      <c r="M77" s="1057">
        <v>15</v>
      </c>
      <c r="N77" s="1057">
        <v>0.83199999999999996</v>
      </c>
      <c r="O77" s="1057">
        <v>0.83199999999999996</v>
      </c>
      <c r="P77" s="1057">
        <v>0.81299999999999994</v>
      </c>
      <c r="Q77" s="1057">
        <v>0.76800000000000002</v>
      </c>
      <c r="R77" s="1057">
        <v>0</v>
      </c>
      <c r="S77" s="1055">
        <v>298242</v>
      </c>
      <c r="T77" s="1058">
        <f t="shared" si="26"/>
        <v>57829.123799999994</v>
      </c>
      <c r="U77" s="1057">
        <v>247025</v>
      </c>
      <c r="V77" s="1057">
        <v>51217</v>
      </c>
      <c r="W77" s="1057">
        <v>1500</v>
      </c>
      <c r="X77" s="1057">
        <v>0</v>
      </c>
      <c r="Y77" s="1057">
        <v>0</v>
      </c>
      <c r="Z77" s="1057">
        <v>0</v>
      </c>
      <c r="AA77" s="1057">
        <v>356071.1238</v>
      </c>
      <c r="AB77" s="1057">
        <v>57829.123800000001</v>
      </c>
      <c r="AC77" s="1057">
        <v>298242</v>
      </c>
      <c r="AD77" s="1057">
        <v>0</v>
      </c>
      <c r="AE77" s="1057">
        <v>0</v>
      </c>
      <c r="AF77" s="1057">
        <v>0</v>
      </c>
      <c r="AG77" s="1057">
        <v>298242</v>
      </c>
      <c r="AH77" s="1057">
        <v>0</v>
      </c>
      <c r="AI77" s="1057">
        <v>0</v>
      </c>
      <c r="AJ77" s="1053" t="s">
        <v>908</v>
      </c>
      <c r="AK77" s="1053" t="s">
        <v>909</v>
      </c>
      <c r="AL77" s="1066" t="s">
        <v>1512</v>
      </c>
      <c r="AM77" s="1053" t="s">
        <v>1417</v>
      </c>
      <c r="AN77" s="1092" t="s">
        <v>926</v>
      </c>
      <c r="AO77" s="1078">
        <v>0</v>
      </c>
      <c r="AP77" s="1079">
        <v>0</v>
      </c>
      <c r="AQ77" s="1059">
        <f t="shared" si="27"/>
        <v>22</v>
      </c>
      <c r="AR77" s="1088">
        <v>0</v>
      </c>
      <c r="AS77" s="1088">
        <v>671</v>
      </c>
      <c r="AT77" s="1088">
        <v>0</v>
      </c>
      <c r="AU77" s="1088">
        <v>1</v>
      </c>
      <c r="AV77" s="1088">
        <v>0</v>
      </c>
      <c r="AW77" s="1088">
        <v>6</v>
      </c>
      <c r="AX77" s="1088">
        <v>0</v>
      </c>
      <c r="AY77" s="1088">
        <v>0</v>
      </c>
      <c r="AZ77" s="1088">
        <v>0</v>
      </c>
      <c r="BA77" s="1088">
        <v>0</v>
      </c>
      <c r="BB77" s="1088">
        <v>21</v>
      </c>
      <c r="BC77" s="1088">
        <v>0</v>
      </c>
      <c r="BD77" s="1052">
        <v>0</v>
      </c>
      <c r="BE77" s="1052">
        <v>0</v>
      </c>
      <c r="BF77" s="1052">
        <v>0</v>
      </c>
      <c r="BG77" s="1052">
        <v>0</v>
      </c>
      <c r="BH77" s="1052">
        <v>0</v>
      </c>
      <c r="BI77" s="1052">
        <v>0</v>
      </c>
      <c r="BJ77" s="1052">
        <v>0</v>
      </c>
      <c r="BK77" s="1052">
        <v>0</v>
      </c>
      <c r="BL77" s="1052">
        <v>0</v>
      </c>
      <c r="BM77" s="1052">
        <v>0</v>
      </c>
      <c r="BN77" s="1052">
        <v>0</v>
      </c>
      <c r="BO77" s="730"/>
      <c r="BP77" s="1069"/>
      <c r="BR77" s="1140">
        <f t="shared" si="28"/>
        <v>0</v>
      </c>
      <c r="BS77" s="1140">
        <f t="shared" si="29"/>
        <v>0</v>
      </c>
      <c r="BT77" s="1140">
        <f t="shared" si="30"/>
        <v>13888.888888888891</v>
      </c>
      <c r="BU77" s="1140">
        <f t="shared" si="31"/>
        <v>13888.888888888891</v>
      </c>
      <c r="BV77" s="1140">
        <f t="shared" si="41"/>
        <v>0</v>
      </c>
      <c r="BW77" s="1140">
        <f t="shared" si="42"/>
        <v>0</v>
      </c>
      <c r="BX77" s="1140">
        <f t="shared" si="43"/>
        <v>0</v>
      </c>
      <c r="BY77" s="1140">
        <f t="shared" si="32"/>
        <v>0</v>
      </c>
      <c r="CA77" s="1140">
        <f t="shared" si="33"/>
        <v>0</v>
      </c>
      <c r="CB77" s="1140">
        <f t="shared" si="34"/>
        <v>0</v>
      </c>
      <c r="CC77" s="1140">
        <f t="shared" si="35"/>
        <v>0</v>
      </c>
      <c r="CD77" s="1140">
        <f t="shared" si="36"/>
        <v>0</v>
      </c>
      <c r="CE77" s="1140">
        <f t="shared" si="37"/>
        <v>0</v>
      </c>
      <c r="CF77" s="1140">
        <f t="shared" si="38"/>
        <v>0</v>
      </c>
      <c r="CG77" s="1140">
        <f t="shared" si="39"/>
        <v>0</v>
      </c>
      <c r="CH77" s="1140">
        <f t="shared" si="40"/>
        <v>0</v>
      </c>
      <c r="CJ77" s="1069"/>
      <c r="CK77" s="1069"/>
      <c r="CL77" s="1069"/>
      <c r="CM77" s="1069"/>
      <c r="CN77" s="1069"/>
      <c r="CO77" s="1069"/>
      <c r="CP77" s="1069"/>
      <c r="CQ77" s="1069"/>
      <c r="CR77" s="1069"/>
      <c r="CS77" s="1069"/>
      <c r="CT77" s="1069"/>
      <c r="CU77" s="1069"/>
      <c r="CV77" s="1069"/>
      <c r="CW77" s="1069"/>
      <c r="CX77" s="1069"/>
      <c r="CY77" s="1069"/>
      <c r="CZ77" s="1069"/>
      <c r="DA77" s="1069"/>
      <c r="DB77" s="1069"/>
      <c r="DC77" s="1069"/>
      <c r="DD77" s="1069"/>
      <c r="DE77" s="1069"/>
      <c r="DF77" s="1069"/>
      <c r="DG77" s="1069"/>
      <c r="DH77" s="1069"/>
      <c r="DI77" s="1069"/>
      <c r="DJ77" s="1069"/>
      <c r="DK77" s="1069"/>
      <c r="DL77" s="1069"/>
      <c r="DM77" s="1069"/>
      <c r="DN77" s="1069"/>
      <c r="DO77" s="1069"/>
      <c r="DP77" s="1069"/>
      <c r="DQ77" s="1069"/>
      <c r="DR77" s="1069"/>
      <c r="DS77" s="1069"/>
      <c r="DT77" s="1069"/>
      <c r="DU77" s="1069"/>
      <c r="DV77" s="1069"/>
      <c r="DW77" s="1069"/>
      <c r="DX77" s="1069"/>
      <c r="DY77" s="1069"/>
      <c r="DZ77" s="1069"/>
      <c r="EA77" s="1069"/>
      <c r="EB77" s="1069"/>
      <c r="EC77" s="1069"/>
      <c r="ED77" s="1069"/>
      <c r="EE77" s="1069"/>
      <c r="EF77" s="1069"/>
      <c r="EG77" s="1069"/>
      <c r="EH77" s="1069"/>
      <c r="EI77" s="1069"/>
      <c r="EJ77" s="1069"/>
      <c r="EK77" s="1069"/>
      <c r="EL77" s="1069"/>
      <c r="EM77" s="1069"/>
      <c r="EN77" s="1069"/>
      <c r="EO77" s="1069"/>
      <c r="EP77" s="1069"/>
      <c r="EQ77" s="1069"/>
      <c r="ER77" s="1069"/>
      <c r="ES77" s="1069"/>
      <c r="ET77" s="1069"/>
      <c r="EU77" s="1069"/>
      <c r="EV77" s="1069"/>
      <c r="EW77" s="1069"/>
      <c r="EX77" s="1069"/>
      <c r="EY77" s="1069"/>
      <c r="EZ77" s="1069"/>
      <c r="FA77" s="1069"/>
      <c r="FB77" s="1069"/>
      <c r="FC77" s="1069"/>
      <c r="FD77" s="1069"/>
      <c r="FE77" s="1069"/>
      <c r="FF77" s="1069"/>
      <c r="FG77" s="1069"/>
      <c r="FH77" s="1069"/>
      <c r="FI77" s="1069"/>
      <c r="FJ77" s="1069"/>
      <c r="FK77" s="1069"/>
      <c r="FL77" s="1069"/>
      <c r="FM77" s="1069"/>
      <c r="FN77" s="1069"/>
      <c r="FO77" s="1069"/>
      <c r="FP77" s="1069"/>
      <c r="FQ77" s="1069"/>
      <c r="FR77" s="1069"/>
      <c r="FS77" s="1069"/>
      <c r="FT77" s="1069"/>
      <c r="FU77" s="1069"/>
      <c r="FV77" s="1069"/>
      <c r="FW77" s="1069"/>
      <c r="FX77" s="1069"/>
      <c r="FY77" s="1069"/>
      <c r="FZ77" s="1069"/>
      <c r="GA77" s="1069"/>
      <c r="GB77" s="1069"/>
      <c r="GC77" s="1069"/>
      <c r="GD77" s="1069"/>
      <c r="GE77" s="1069"/>
      <c r="GF77" s="1069"/>
      <c r="GG77" s="1069"/>
      <c r="GH77" s="1069"/>
      <c r="GI77" s="1069"/>
      <c r="GJ77" s="1069"/>
      <c r="GK77" s="1069"/>
      <c r="GL77" s="1069"/>
      <c r="GM77" s="1069"/>
      <c r="GN77" s="1069"/>
      <c r="GO77" s="1069"/>
      <c r="GP77" s="1069"/>
      <c r="GQ77" s="1069"/>
      <c r="GR77" s="1069"/>
      <c r="GS77" s="1069"/>
      <c r="GT77" s="1069"/>
      <c r="GU77" s="1069"/>
      <c r="GV77" s="1069"/>
      <c r="GW77" s="1069"/>
      <c r="GX77" s="1069"/>
    </row>
    <row r="78" spans="1:206" ht="15" customHeight="1" x14ac:dyDescent="0.2">
      <c r="A78" s="1052">
        <v>1325</v>
      </c>
      <c r="B78" s="1052" t="s">
        <v>1412</v>
      </c>
      <c r="C78" s="1053" t="s">
        <v>113</v>
      </c>
      <c r="D78" s="1054" t="s">
        <v>113</v>
      </c>
      <c r="E78" s="1055">
        <f t="shared" si="24"/>
        <v>436277.62880000001</v>
      </c>
      <c r="F78" s="1055">
        <v>0</v>
      </c>
      <c r="G78" s="1056">
        <f t="shared" si="25"/>
        <v>436277.62880000001</v>
      </c>
      <c r="H78" s="1053" t="s">
        <v>10</v>
      </c>
      <c r="I78" s="1054" t="s">
        <v>1416</v>
      </c>
      <c r="J78" s="1054" t="s">
        <v>1412</v>
      </c>
      <c r="K78" s="1054" t="s">
        <v>19</v>
      </c>
      <c r="L78" s="1054" t="s">
        <v>10</v>
      </c>
      <c r="M78" s="1057">
        <v>144</v>
      </c>
      <c r="N78" s="1057">
        <v>0.89800000000000002</v>
      </c>
      <c r="O78" s="1057">
        <v>0.89600000000000002</v>
      </c>
      <c r="P78" s="1057">
        <v>0.93799999999999994</v>
      </c>
      <c r="Q78" s="1057">
        <v>0.93700000000000006</v>
      </c>
      <c r="R78" s="1057">
        <v>1322843</v>
      </c>
      <c r="S78" s="1057">
        <v>1252232</v>
      </c>
      <c r="T78" s="1058">
        <f t="shared" si="26"/>
        <v>393545.79249999998</v>
      </c>
      <c r="U78" s="1057">
        <v>898928</v>
      </c>
      <c r="V78" s="1057">
        <v>353304</v>
      </c>
      <c r="W78" s="1057">
        <v>6000</v>
      </c>
      <c r="X78" s="1057">
        <v>0</v>
      </c>
      <c r="Y78" s="1057">
        <v>0</v>
      </c>
      <c r="Z78" s="1057">
        <v>0</v>
      </c>
      <c r="AA78" s="1057">
        <v>1645777.7930000001</v>
      </c>
      <c r="AB78" s="1057">
        <v>393545.79249999998</v>
      </c>
      <c r="AC78" s="1057">
        <v>1252232</v>
      </c>
      <c r="AD78" s="1057">
        <v>0</v>
      </c>
      <c r="AE78" s="1057">
        <v>0</v>
      </c>
      <c r="AF78" s="1057">
        <v>1252232</v>
      </c>
      <c r="AG78" s="1057">
        <v>0</v>
      </c>
      <c r="AH78" s="1057">
        <v>764000</v>
      </c>
      <c r="AI78" s="1057">
        <v>598000</v>
      </c>
      <c r="AJ78" s="1053">
        <v>4</v>
      </c>
      <c r="AK78" s="1053" t="s">
        <v>913</v>
      </c>
      <c r="AL78" s="1054" t="s">
        <v>1416</v>
      </c>
      <c r="AM78" s="1053" t="s">
        <v>10</v>
      </c>
      <c r="AN78" s="1054" t="s">
        <v>113</v>
      </c>
      <c r="AO78" s="1054">
        <v>393545.79249999998</v>
      </c>
      <c r="AP78" s="1067">
        <f t="shared" ref="AP78:AP94" si="44">AR78+AT78+AU78+AV78+AX78+AY78+AZ78+BD78+BF78+BG78+BH78+BJ78+BK78+(BL78+BM78+BN78)/1000+(0.1*BO78)</f>
        <v>313.60750000000002</v>
      </c>
      <c r="AQ78" s="1059">
        <f t="shared" si="27"/>
        <v>338.60750000000002</v>
      </c>
      <c r="AR78" s="1052">
        <v>72</v>
      </c>
      <c r="AS78" s="1052">
        <v>598</v>
      </c>
      <c r="AT78" s="1052">
        <v>101</v>
      </c>
      <c r="AU78" s="1052">
        <v>3</v>
      </c>
      <c r="AV78" s="1052">
        <v>0</v>
      </c>
      <c r="AW78" s="1052">
        <v>0</v>
      </c>
      <c r="AX78" s="1052">
        <v>5</v>
      </c>
      <c r="AY78" s="1052">
        <v>1</v>
      </c>
      <c r="AZ78" s="1052">
        <v>0</v>
      </c>
      <c r="BA78" s="1052">
        <v>30</v>
      </c>
      <c r="BB78" s="1052">
        <v>24</v>
      </c>
      <c r="BC78" s="1052">
        <v>1</v>
      </c>
      <c r="BD78" s="1052">
        <v>0</v>
      </c>
      <c r="BE78" s="1052">
        <v>0</v>
      </c>
      <c r="BF78" s="1052">
        <v>0</v>
      </c>
      <c r="BG78" s="1052">
        <v>0</v>
      </c>
      <c r="BH78" s="1052">
        <v>0</v>
      </c>
      <c r="BI78" s="1052">
        <v>2</v>
      </c>
      <c r="BJ78" s="1052">
        <v>0</v>
      </c>
      <c r="BK78" s="1052">
        <v>0</v>
      </c>
      <c r="BL78" s="1052">
        <v>17163</v>
      </c>
      <c r="BM78" s="1052">
        <v>0</v>
      </c>
      <c r="BN78" s="1052">
        <v>23122</v>
      </c>
      <c r="BO78" s="1052">
        <v>913.22500000000002</v>
      </c>
      <c r="BP78" s="1069"/>
      <c r="BR78" s="1140">
        <f t="shared" si="28"/>
        <v>1000000.0000000001</v>
      </c>
      <c r="BS78" s="1140">
        <f t="shared" si="29"/>
        <v>1402777.777777778</v>
      </c>
      <c r="BT78" s="1140">
        <f t="shared" si="30"/>
        <v>41666.666666666672</v>
      </c>
      <c r="BU78" s="1140">
        <f t="shared" si="31"/>
        <v>2444444.4444444445</v>
      </c>
      <c r="BV78" s="1140">
        <f t="shared" si="41"/>
        <v>0</v>
      </c>
      <c r="BW78" s="1140">
        <f t="shared" si="42"/>
        <v>1000</v>
      </c>
      <c r="BX78" s="1140">
        <f t="shared" si="43"/>
        <v>200</v>
      </c>
      <c r="BY78" s="1140">
        <f t="shared" si="32"/>
        <v>1200</v>
      </c>
      <c r="CA78" s="1140">
        <f t="shared" si="33"/>
        <v>1000000.0000000001</v>
      </c>
      <c r="CB78" s="1140">
        <f t="shared" si="34"/>
        <v>1402777.777777778</v>
      </c>
      <c r="CC78" s="1140">
        <f t="shared" si="35"/>
        <v>41666.666666666672</v>
      </c>
      <c r="CD78" s="1140">
        <f t="shared" si="36"/>
        <v>2444444.4444444445</v>
      </c>
      <c r="CE78" s="1140">
        <f t="shared" si="37"/>
        <v>0</v>
      </c>
      <c r="CF78" s="1140">
        <f t="shared" si="38"/>
        <v>1000</v>
      </c>
      <c r="CG78" s="1140">
        <f t="shared" si="39"/>
        <v>200</v>
      </c>
      <c r="CH78" s="1140">
        <f t="shared" si="40"/>
        <v>1200</v>
      </c>
      <c r="CJ78" s="1069"/>
      <c r="CK78" s="1069"/>
      <c r="CL78" s="1069"/>
      <c r="CM78" s="1069"/>
      <c r="CN78" s="1069"/>
      <c r="CO78" s="1069"/>
      <c r="CP78" s="1069"/>
      <c r="CQ78" s="1069"/>
      <c r="CR78" s="1069"/>
      <c r="CS78" s="1069"/>
      <c r="CT78" s="1069"/>
      <c r="CU78" s="1069"/>
      <c r="CV78" s="1069"/>
      <c r="CW78" s="1069"/>
      <c r="CX78" s="1069"/>
      <c r="CY78" s="1069"/>
      <c r="CZ78" s="1069"/>
      <c r="DA78" s="1069"/>
      <c r="DB78" s="1069"/>
      <c r="DC78" s="1069"/>
      <c r="DD78" s="1069"/>
      <c r="DE78" s="1069"/>
      <c r="DF78" s="1069"/>
      <c r="DG78" s="1069"/>
      <c r="DH78" s="1069"/>
      <c r="DI78" s="1069"/>
      <c r="DJ78" s="1069"/>
      <c r="DK78" s="1069"/>
      <c r="DL78" s="1069"/>
      <c r="DM78" s="1069"/>
      <c r="DN78" s="1069"/>
      <c r="DO78" s="1069"/>
      <c r="DP78" s="1069"/>
      <c r="DQ78" s="1069"/>
      <c r="DR78" s="1069"/>
      <c r="DS78" s="1069"/>
      <c r="DT78" s="1069"/>
      <c r="DU78" s="1069"/>
      <c r="DV78" s="1069"/>
      <c r="DW78" s="1069"/>
      <c r="DX78" s="1069"/>
      <c r="DY78" s="1069"/>
      <c r="DZ78" s="1069"/>
      <c r="EA78" s="1069"/>
      <c r="EB78" s="1069"/>
      <c r="EC78" s="1069"/>
      <c r="ED78" s="1069"/>
      <c r="EE78" s="1069"/>
      <c r="EF78" s="1069"/>
      <c r="EG78" s="1069"/>
      <c r="EH78" s="1069"/>
      <c r="EI78" s="1069"/>
      <c r="EJ78" s="1069"/>
      <c r="EK78" s="1069"/>
      <c r="EL78" s="1069"/>
      <c r="EM78" s="1069"/>
      <c r="EN78" s="1069"/>
      <c r="EO78" s="1069"/>
      <c r="EP78" s="1069"/>
      <c r="EQ78" s="1069"/>
      <c r="ER78" s="1069"/>
      <c r="ES78" s="1069"/>
      <c r="ET78" s="1069"/>
      <c r="EU78" s="1069"/>
      <c r="EV78" s="1069"/>
      <c r="EW78" s="1069"/>
      <c r="EX78" s="1069"/>
      <c r="EY78" s="1069"/>
      <c r="EZ78" s="1069"/>
      <c r="FA78" s="1069"/>
      <c r="FB78" s="1069"/>
      <c r="FC78" s="1069"/>
      <c r="FD78" s="1069"/>
      <c r="FE78" s="1069"/>
      <c r="FF78" s="1069"/>
      <c r="FG78" s="1069"/>
      <c r="FH78" s="1069"/>
      <c r="FI78" s="1069"/>
      <c r="FJ78" s="1069"/>
      <c r="FK78" s="1069"/>
      <c r="FL78" s="1069"/>
      <c r="FM78" s="1069"/>
      <c r="FN78" s="1069"/>
      <c r="FO78" s="1069"/>
      <c r="FP78" s="1069"/>
      <c r="FQ78" s="1069"/>
      <c r="FR78" s="1069"/>
      <c r="FS78" s="1069"/>
      <c r="FT78" s="1069"/>
      <c r="FU78" s="1069"/>
      <c r="FV78" s="1069"/>
      <c r="FW78" s="1069"/>
      <c r="FX78" s="1069"/>
      <c r="FY78" s="1069"/>
      <c r="FZ78" s="1069"/>
      <c r="GA78" s="1069"/>
      <c r="GB78" s="1069"/>
      <c r="GC78" s="1069"/>
      <c r="GD78" s="1069"/>
      <c r="GE78" s="1069"/>
      <c r="GF78" s="1069"/>
      <c r="GG78" s="1069"/>
      <c r="GH78" s="1069"/>
      <c r="GI78" s="1069"/>
      <c r="GJ78" s="1069"/>
      <c r="GK78" s="1069"/>
      <c r="GL78" s="1069"/>
      <c r="GM78" s="1069"/>
      <c r="GN78" s="1069"/>
      <c r="GO78" s="1069"/>
      <c r="GP78" s="1069"/>
      <c r="GQ78" s="1069"/>
      <c r="GR78" s="1069"/>
      <c r="GS78" s="1069"/>
      <c r="GT78" s="1069"/>
      <c r="GU78" s="1069"/>
      <c r="GV78" s="1069"/>
      <c r="GW78" s="1069"/>
      <c r="GX78" s="1069"/>
    </row>
    <row r="79" spans="1:206" ht="15" customHeight="1" x14ac:dyDescent="0.2">
      <c r="A79" s="1052">
        <v>1329</v>
      </c>
      <c r="B79" s="1052"/>
      <c r="C79" s="1053" t="s">
        <v>115</v>
      </c>
      <c r="D79" s="1054" t="s">
        <v>115</v>
      </c>
      <c r="E79" s="1055">
        <f t="shared" si="24"/>
        <v>28918.245999999999</v>
      </c>
      <c r="F79" s="1055">
        <v>0</v>
      </c>
      <c r="G79" s="1056">
        <f t="shared" si="25"/>
        <v>28918.245999999999</v>
      </c>
      <c r="H79" s="1053" t="s">
        <v>10</v>
      </c>
      <c r="I79" s="1054" t="s">
        <v>1512</v>
      </c>
      <c r="J79" s="1054" t="s">
        <v>10</v>
      </c>
      <c r="K79" s="1054" t="s">
        <v>19</v>
      </c>
      <c r="L79" s="1054" t="s">
        <v>10</v>
      </c>
      <c r="M79" s="1057">
        <v>0</v>
      </c>
      <c r="N79" s="1057">
        <v>1</v>
      </c>
      <c r="O79" s="1057">
        <v>1</v>
      </c>
      <c r="P79" s="1057">
        <v>1</v>
      </c>
      <c r="Q79" s="1057">
        <v>0.97499999999999998</v>
      </c>
      <c r="R79" s="1057">
        <v>0</v>
      </c>
      <c r="S79" s="1057">
        <v>149140</v>
      </c>
      <c r="T79" s="1058">
        <f t="shared" si="26"/>
        <v>28918.245999999999</v>
      </c>
      <c r="U79" s="1057">
        <v>149140</v>
      </c>
      <c r="V79" s="1057">
        <v>0</v>
      </c>
      <c r="W79" s="1057">
        <v>1660</v>
      </c>
      <c r="X79" s="1057">
        <v>0</v>
      </c>
      <c r="Y79" s="1057">
        <v>0</v>
      </c>
      <c r="Z79" s="1057">
        <v>0</v>
      </c>
      <c r="AA79" s="1057">
        <v>178058.24600000001</v>
      </c>
      <c r="AB79" s="1057">
        <v>28918.245999999999</v>
      </c>
      <c r="AC79" s="1057">
        <v>149140</v>
      </c>
      <c r="AD79" s="1057">
        <v>0</v>
      </c>
      <c r="AE79" s="1057">
        <v>0</v>
      </c>
      <c r="AF79" s="1057">
        <v>0</v>
      </c>
      <c r="AG79" s="1057">
        <v>149140</v>
      </c>
      <c r="AH79" s="1057">
        <v>0</v>
      </c>
      <c r="AI79" s="1057">
        <v>0</v>
      </c>
      <c r="AJ79" s="1053">
        <v>4</v>
      </c>
      <c r="AK79" s="1053" t="s">
        <v>913</v>
      </c>
      <c r="AL79" s="1054" t="s">
        <v>1512</v>
      </c>
      <c r="AM79" s="1053" t="s">
        <v>10</v>
      </c>
      <c r="AN79" s="1054" t="s">
        <v>115</v>
      </c>
      <c r="AO79" s="1054">
        <v>28918.245999999999</v>
      </c>
      <c r="AP79" s="1067">
        <f t="shared" si="44"/>
        <v>0</v>
      </c>
      <c r="AQ79" s="1059">
        <f t="shared" si="27"/>
        <v>0</v>
      </c>
      <c r="AR79" s="1052">
        <v>0</v>
      </c>
      <c r="AS79" s="1052">
        <v>0</v>
      </c>
      <c r="AT79" s="1052">
        <v>0</v>
      </c>
      <c r="AU79" s="1052">
        <v>0</v>
      </c>
      <c r="AV79" s="1052">
        <v>0</v>
      </c>
      <c r="AW79" s="1052">
        <v>0</v>
      </c>
      <c r="AX79" s="1052">
        <v>0</v>
      </c>
      <c r="AY79" s="1052">
        <v>0</v>
      </c>
      <c r="AZ79" s="1052">
        <v>0</v>
      </c>
      <c r="BA79" s="1052">
        <v>3</v>
      </c>
      <c r="BB79" s="1052">
        <v>0</v>
      </c>
      <c r="BC79" s="1052">
        <v>0</v>
      </c>
      <c r="BD79" s="1052">
        <v>0</v>
      </c>
      <c r="BE79" s="1052">
        <v>0</v>
      </c>
      <c r="BF79" s="1052">
        <v>0</v>
      </c>
      <c r="BG79" s="1052">
        <v>0</v>
      </c>
      <c r="BH79" s="1052">
        <v>0</v>
      </c>
      <c r="BI79" s="1052">
        <v>0</v>
      </c>
      <c r="BJ79" s="1052">
        <v>0</v>
      </c>
      <c r="BK79" s="1052">
        <v>0</v>
      </c>
      <c r="BL79" s="1052">
        <v>0</v>
      </c>
      <c r="BM79" s="1052">
        <v>0</v>
      </c>
      <c r="BN79" s="1052">
        <v>0</v>
      </c>
      <c r="BO79" s="1052">
        <v>0</v>
      </c>
      <c r="BR79" s="1140">
        <f t="shared" si="28"/>
        <v>0</v>
      </c>
      <c r="BS79" s="1140">
        <f t="shared" si="29"/>
        <v>0</v>
      </c>
      <c r="BT79" s="1140">
        <f t="shared" si="30"/>
        <v>0</v>
      </c>
      <c r="BU79" s="1140">
        <f t="shared" si="31"/>
        <v>0</v>
      </c>
      <c r="BV79" s="1140">
        <f t="shared" si="41"/>
        <v>0</v>
      </c>
      <c r="BW79" s="1140">
        <f t="shared" si="42"/>
        <v>0</v>
      </c>
      <c r="BX79" s="1140">
        <f t="shared" si="43"/>
        <v>0</v>
      </c>
      <c r="BY79" s="1140">
        <f t="shared" si="32"/>
        <v>0</v>
      </c>
      <c r="CA79" s="1140">
        <f t="shared" si="33"/>
        <v>0</v>
      </c>
      <c r="CB79" s="1140">
        <f t="shared" si="34"/>
        <v>0</v>
      </c>
      <c r="CC79" s="1140">
        <f t="shared" si="35"/>
        <v>0</v>
      </c>
      <c r="CD79" s="1140">
        <f t="shared" si="36"/>
        <v>0</v>
      </c>
      <c r="CE79" s="1140">
        <f t="shared" si="37"/>
        <v>0</v>
      </c>
      <c r="CF79" s="1140">
        <f t="shared" si="38"/>
        <v>0</v>
      </c>
      <c r="CG79" s="1140">
        <f t="shared" si="39"/>
        <v>0</v>
      </c>
      <c r="CH79" s="1140">
        <f t="shared" si="40"/>
        <v>0</v>
      </c>
      <c r="CJ79" s="1069"/>
      <c r="CK79" s="1069"/>
      <c r="CL79" s="1069"/>
      <c r="CM79" s="1069"/>
      <c r="CN79" s="1069"/>
      <c r="CO79" s="1069"/>
      <c r="CP79" s="1069"/>
      <c r="CQ79" s="1069"/>
      <c r="CR79" s="1069"/>
      <c r="CS79" s="1069"/>
      <c r="CT79" s="1069"/>
      <c r="CU79" s="1069"/>
      <c r="CV79" s="1069"/>
      <c r="CW79" s="1069"/>
      <c r="CX79" s="1069"/>
      <c r="CY79" s="1069"/>
      <c r="CZ79" s="1069"/>
      <c r="DA79" s="1069"/>
      <c r="DB79" s="1069"/>
      <c r="DC79" s="1069"/>
      <c r="DD79" s="1069"/>
      <c r="DE79" s="1069"/>
      <c r="DF79" s="1069"/>
      <c r="DG79" s="1069"/>
      <c r="DH79" s="1069"/>
      <c r="DI79" s="1069"/>
      <c r="DJ79" s="1069"/>
      <c r="DK79" s="1069"/>
      <c r="DL79" s="1069"/>
      <c r="DM79" s="1069"/>
      <c r="DN79" s="1069"/>
      <c r="DO79" s="1069"/>
      <c r="DP79" s="1069"/>
      <c r="DQ79" s="1069"/>
      <c r="DR79" s="1069"/>
      <c r="DS79" s="1069"/>
      <c r="DT79" s="1069"/>
      <c r="DU79" s="1069"/>
      <c r="DV79" s="1069"/>
      <c r="DW79" s="1069"/>
      <c r="DX79" s="1069"/>
      <c r="DY79" s="1069"/>
      <c r="DZ79" s="1069"/>
      <c r="EA79" s="1069"/>
      <c r="EB79" s="1069"/>
      <c r="EC79" s="1069"/>
      <c r="ED79" s="1069"/>
      <c r="EE79" s="1069"/>
      <c r="EF79" s="1069"/>
      <c r="EG79" s="1069"/>
      <c r="EH79" s="1069"/>
      <c r="EI79" s="1069"/>
      <c r="EJ79" s="1069"/>
      <c r="EK79" s="1069"/>
      <c r="EL79" s="1069"/>
      <c r="EM79" s="1069"/>
      <c r="EN79" s="1069"/>
      <c r="EO79" s="1069"/>
      <c r="EP79" s="1069"/>
      <c r="EQ79" s="1069"/>
      <c r="ER79" s="1069"/>
      <c r="ES79" s="1069"/>
      <c r="ET79" s="1069"/>
      <c r="EU79" s="1069"/>
      <c r="EV79" s="1069"/>
      <c r="EW79" s="1069"/>
      <c r="EX79" s="1069"/>
      <c r="EY79" s="1069"/>
      <c r="EZ79" s="1069"/>
      <c r="FA79" s="1069"/>
      <c r="FB79" s="1069"/>
      <c r="FC79" s="1069"/>
      <c r="FD79" s="1069"/>
      <c r="FE79" s="1069"/>
      <c r="FF79" s="1069"/>
      <c r="FG79" s="1069"/>
      <c r="FH79" s="1069"/>
      <c r="FI79" s="1069"/>
      <c r="FJ79" s="1069"/>
      <c r="FK79" s="1069"/>
      <c r="FL79" s="1069"/>
      <c r="FM79" s="1069"/>
      <c r="FN79" s="1069"/>
      <c r="FO79" s="1069"/>
      <c r="FP79" s="1069"/>
      <c r="FQ79" s="1069"/>
      <c r="FR79" s="1069"/>
      <c r="FS79" s="1069"/>
      <c r="FT79" s="1069"/>
      <c r="FU79" s="1069"/>
      <c r="FV79" s="1069"/>
      <c r="FW79" s="1069"/>
      <c r="FX79" s="1069"/>
      <c r="FY79" s="1069"/>
      <c r="FZ79" s="1069"/>
      <c r="GA79" s="1069"/>
      <c r="GB79" s="1069"/>
      <c r="GC79" s="1069"/>
      <c r="GD79" s="1069"/>
      <c r="GE79" s="1069"/>
      <c r="GF79" s="1069"/>
      <c r="GG79" s="1069"/>
      <c r="GH79" s="1069"/>
      <c r="GI79" s="1069"/>
      <c r="GJ79" s="1069"/>
      <c r="GK79" s="1069"/>
      <c r="GL79" s="1069"/>
      <c r="GM79" s="1069"/>
      <c r="GN79" s="1069"/>
      <c r="GO79" s="1069"/>
      <c r="GP79" s="1069"/>
      <c r="GQ79" s="1069"/>
      <c r="GR79" s="1069"/>
      <c r="GS79" s="1069"/>
      <c r="GT79" s="1069"/>
      <c r="GU79" s="1069"/>
      <c r="GV79" s="1069"/>
      <c r="GW79" s="1069"/>
      <c r="GX79" s="1069"/>
    </row>
    <row r="80" spans="1:206" ht="15" customHeight="1" x14ac:dyDescent="0.2">
      <c r="A80" s="1052">
        <v>1331</v>
      </c>
      <c r="B80" s="1052"/>
      <c r="C80" s="1053" t="s">
        <v>116</v>
      </c>
      <c r="D80" s="1054" t="s">
        <v>116</v>
      </c>
      <c r="E80" s="1055">
        <f t="shared" si="24"/>
        <v>50674.989399999999</v>
      </c>
      <c r="F80" s="1055">
        <v>0</v>
      </c>
      <c r="G80" s="1056">
        <f t="shared" si="25"/>
        <v>50674.989399999999</v>
      </c>
      <c r="H80" s="1053" t="s">
        <v>10</v>
      </c>
      <c r="I80" s="1054" t="s">
        <v>1512</v>
      </c>
      <c r="J80" s="1054" t="s">
        <v>10</v>
      </c>
      <c r="K80" s="1054" t="s">
        <v>1598</v>
      </c>
      <c r="L80" s="1054" t="s">
        <v>10</v>
      </c>
      <c r="M80" s="1057">
        <v>15</v>
      </c>
      <c r="N80" s="1057">
        <v>0.73499999999999999</v>
      </c>
      <c r="O80" s="1057">
        <v>0.88200000000000001</v>
      </c>
      <c r="P80" s="1057">
        <v>0.97299999999999998</v>
      </c>
      <c r="Q80" s="1057">
        <v>0.99199999999999999</v>
      </c>
      <c r="R80" s="1057">
        <v>0</v>
      </c>
      <c r="S80" s="1057">
        <v>261346</v>
      </c>
      <c r="T80" s="1058">
        <f t="shared" si="26"/>
        <v>50674.989399999999</v>
      </c>
      <c r="U80" s="1057">
        <v>205774</v>
      </c>
      <c r="V80" s="1057">
        <v>55572</v>
      </c>
      <c r="W80" s="1057">
        <v>1644</v>
      </c>
      <c r="X80" s="1057">
        <v>0</v>
      </c>
      <c r="Y80" s="1057">
        <v>0</v>
      </c>
      <c r="Z80" s="1057">
        <v>0</v>
      </c>
      <c r="AA80" s="1057">
        <v>312020.98940000002</v>
      </c>
      <c r="AB80" s="1057">
        <v>50674.989399999999</v>
      </c>
      <c r="AC80" s="1057">
        <v>261346</v>
      </c>
      <c r="AD80" s="1057">
        <v>0</v>
      </c>
      <c r="AE80" s="1057">
        <v>0</v>
      </c>
      <c r="AF80" s="1057">
        <v>0</v>
      </c>
      <c r="AG80" s="1057">
        <v>261346</v>
      </c>
      <c r="AH80" s="1057">
        <v>0</v>
      </c>
      <c r="AI80" s="1057">
        <v>0</v>
      </c>
      <c r="AJ80" s="1053">
        <v>4</v>
      </c>
      <c r="AK80" s="1053" t="s">
        <v>913</v>
      </c>
      <c r="AL80" s="1054" t="s">
        <v>1512</v>
      </c>
      <c r="AM80" s="1053" t="s">
        <v>10</v>
      </c>
      <c r="AN80" s="1054" t="s">
        <v>116</v>
      </c>
      <c r="AO80" s="1054">
        <v>50674.989399999999</v>
      </c>
      <c r="AP80" s="1059">
        <f t="shared" si="44"/>
        <v>16</v>
      </c>
      <c r="AQ80" s="1059">
        <f t="shared" si="27"/>
        <v>21</v>
      </c>
      <c r="AR80" s="1052">
        <v>0</v>
      </c>
      <c r="AS80" s="1052">
        <v>0</v>
      </c>
      <c r="AT80" s="1052">
        <v>12</v>
      </c>
      <c r="AU80" s="1052">
        <v>2</v>
      </c>
      <c r="AV80" s="1052">
        <v>0</v>
      </c>
      <c r="AW80" s="1052">
        <v>0</v>
      </c>
      <c r="AX80" s="1052">
        <v>0</v>
      </c>
      <c r="AY80" s="1052">
        <v>2</v>
      </c>
      <c r="AZ80" s="1052">
        <v>0</v>
      </c>
      <c r="BA80" s="1052">
        <v>0</v>
      </c>
      <c r="BB80" s="1052">
        <v>4</v>
      </c>
      <c r="BC80" s="1052">
        <v>1</v>
      </c>
      <c r="BD80" s="1052">
        <v>0</v>
      </c>
      <c r="BE80" s="1052">
        <v>0</v>
      </c>
      <c r="BF80" s="1052">
        <v>0</v>
      </c>
      <c r="BG80" s="1052">
        <v>0</v>
      </c>
      <c r="BH80" s="1052">
        <v>0</v>
      </c>
      <c r="BI80" s="1052">
        <v>0</v>
      </c>
      <c r="BJ80" s="1052">
        <v>0</v>
      </c>
      <c r="BK80" s="1052">
        <v>0</v>
      </c>
      <c r="BL80" s="1052">
        <v>0</v>
      </c>
      <c r="BM80" s="1052">
        <v>0</v>
      </c>
      <c r="BN80" s="1052">
        <v>0</v>
      </c>
      <c r="BO80" s="1052">
        <v>0</v>
      </c>
      <c r="BR80" s="1140">
        <f t="shared" si="28"/>
        <v>0</v>
      </c>
      <c r="BS80" s="1140">
        <f t="shared" si="29"/>
        <v>166666.66666666669</v>
      </c>
      <c r="BT80" s="1140">
        <f t="shared" si="30"/>
        <v>27777.777777777781</v>
      </c>
      <c r="BU80" s="1140">
        <f t="shared" si="31"/>
        <v>194444.44444444447</v>
      </c>
      <c r="BV80" s="1140">
        <f t="shared" si="41"/>
        <v>0</v>
      </c>
      <c r="BW80" s="1140">
        <f t="shared" si="42"/>
        <v>0</v>
      </c>
      <c r="BX80" s="1140">
        <f t="shared" si="43"/>
        <v>400</v>
      </c>
      <c r="BY80" s="1140">
        <f t="shared" si="32"/>
        <v>400</v>
      </c>
      <c r="CA80" s="1140">
        <f t="shared" si="33"/>
        <v>0</v>
      </c>
      <c r="CB80" s="1140">
        <f t="shared" si="34"/>
        <v>166666.66666666669</v>
      </c>
      <c r="CC80" s="1140">
        <f t="shared" si="35"/>
        <v>27777.777777777781</v>
      </c>
      <c r="CD80" s="1140">
        <f t="shared" si="36"/>
        <v>194444.44444444447</v>
      </c>
      <c r="CE80" s="1140">
        <f t="shared" si="37"/>
        <v>0</v>
      </c>
      <c r="CF80" s="1140">
        <f t="shared" si="38"/>
        <v>0</v>
      </c>
      <c r="CG80" s="1140">
        <f t="shared" si="39"/>
        <v>400</v>
      </c>
      <c r="CH80" s="1140">
        <f t="shared" si="40"/>
        <v>400</v>
      </c>
      <c r="CJ80" s="1069"/>
      <c r="CK80" s="1069"/>
      <c r="CL80" s="1069"/>
      <c r="CM80" s="1069"/>
      <c r="CN80" s="1069"/>
      <c r="CO80" s="1069"/>
      <c r="CP80" s="1069"/>
      <c r="CQ80" s="1069"/>
      <c r="CR80" s="1069"/>
      <c r="CS80" s="1069"/>
      <c r="CT80" s="1069"/>
      <c r="CU80" s="1069"/>
      <c r="CV80" s="1069"/>
      <c r="CW80" s="1069"/>
      <c r="CX80" s="1069"/>
      <c r="CY80" s="1069"/>
      <c r="CZ80" s="1069"/>
      <c r="DA80" s="1069"/>
      <c r="DB80" s="1069"/>
      <c r="DC80" s="1069"/>
      <c r="DD80" s="1069"/>
      <c r="DE80" s="1069"/>
      <c r="DF80" s="1069"/>
      <c r="DG80" s="1069"/>
      <c r="DH80" s="1069"/>
      <c r="DI80" s="1069"/>
      <c r="DJ80" s="1069"/>
      <c r="DK80" s="1069"/>
      <c r="DL80" s="1069"/>
      <c r="DM80" s="1069"/>
      <c r="DN80" s="1069"/>
      <c r="DO80" s="1069"/>
      <c r="DP80" s="1069"/>
      <c r="DQ80" s="1069"/>
      <c r="DR80" s="1069"/>
      <c r="DS80" s="1069"/>
      <c r="DT80" s="1069"/>
      <c r="DU80" s="1069"/>
      <c r="DV80" s="1069"/>
      <c r="DW80" s="1069"/>
      <c r="DX80" s="1069"/>
      <c r="DY80" s="1069"/>
      <c r="DZ80" s="1069"/>
      <c r="EA80" s="1069"/>
      <c r="EB80" s="1069"/>
      <c r="EC80" s="1069"/>
      <c r="ED80" s="1069"/>
      <c r="EE80" s="1069"/>
      <c r="EF80" s="1069"/>
      <c r="EG80" s="1069"/>
      <c r="EH80" s="1069"/>
      <c r="EI80" s="1069"/>
      <c r="EJ80" s="1069"/>
      <c r="EK80" s="1069"/>
      <c r="EL80" s="1069"/>
      <c r="EM80" s="1069"/>
      <c r="EN80" s="1069"/>
      <c r="EO80" s="1069"/>
      <c r="EP80" s="1069"/>
      <c r="EQ80" s="1069"/>
      <c r="ER80" s="1069"/>
      <c r="ES80" s="1069"/>
      <c r="ET80" s="1069"/>
      <c r="EU80" s="1069"/>
      <c r="EV80" s="1069"/>
      <c r="EW80" s="1069"/>
      <c r="EX80" s="1069"/>
      <c r="EY80" s="1069"/>
      <c r="EZ80" s="1069"/>
      <c r="FA80" s="1069"/>
      <c r="FB80" s="1069"/>
      <c r="FC80" s="1069"/>
      <c r="FD80" s="1069"/>
      <c r="FE80" s="1069"/>
      <c r="FF80" s="1069"/>
      <c r="FG80" s="1069"/>
      <c r="FH80" s="1069"/>
      <c r="FI80" s="1069"/>
      <c r="FJ80" s="1069"/>
      <c r="FK80" s="1069"/>
      <c r="FL80" s="1069"/>
      <c r="FM80" s="1069"/>
      <c r="FN80" s="1069"/>
      <c r="FO80" s="1069"/>
      <c r="FP80" s="1069"/>
      <c r="FQ80" s="1069"/>
      <c r="FR80" s="1069"/>
      <c r="FS80" s="1069"/>
      <c r="FT80" s="1069"/>
      <c r="FU80" s="1069"/>
      <c r="FV80" s="1069"/>
      <c r="FW80" s="1069"/>
      <c r="FX80" s="1069"/>
      <c r="FY80" s="1069"/>
      <c r="FZ80" s="1069"/>
      <c r="GA80" s="1069"/>
      <c r="GB80" s="1069"/>
      <c r="GC80" s="1069"/>
      <c r="GD80" s="1069"/>
      <c r="GE80" s="1069"/>
      <c r="GF80" s="1069"/>
      <c r="GG80" s="1069"/>
      <c r="GH80" s="1069"/>
      <c r="GI80" s="1069"/>
      <c r="GJ80" s="1069"/>
      <c r="GK80" s="1069"/>
      <c r="GL80" s="1069"/>
      <c r="GM80" s="1069"/>
      <c r="GN80" s="1069"/>
      <c r="GO80" s="1069"/>
      <c r="GP80" s="1069"/>
      <c r="GQ80" s="1069"/>
      <c r="GR80" s="1069"/>
      <c r="GS80" s="1069"/>
      <c r="GT80" s="1069"/>
      <c r="GU80" s="1069"/>
      <c r="GV80" s="1069"/>
      <c r="GW80" s="1069"/>
      <c r="GX80" s="1069"/>
    </row>
    <row r="81" spans="1:206" ht="15" customHeight="1" x14ac:dyDescent="0.2">
      <c r="A81" s="1052">
        <v>8682</v>
      </c>
      <c r="B81" s="1052"/>
      <c r="C81" s="1053" t="s">
        <v>118</v>
      </c>
      <c r="D81" s="1054" t="s">
        <v>118</v>
      </c>
      <c r="E81" s="1055">
        <f t="shared" si="24"/>
        <v>35678.181700000001</v>
      </c>
      <c r="F81" s="1055">
        <v>0</v>
      </c>
      <c r="G81" s="1056">
        <f t="shared" si="25"/>
        <v>35678.181700000001</v>
      </c>
      <c r="H81" s="1053" t="s">
        <v>10</v>
      </c>
      <c r="I81" s="1054" t="s">
        <v>1512</v>
      </c>
      <c r="J81" s="1054" t="s">
        <v>10</v>
      </c>
      <c r="K81" s="1054" t="s">
        <v>120</v>
      </c>
      <c r="L81" s="1054" t="s">
        <v>10</v>
      </c>
      <c r="M81" s="1057">
        <v>12</v>
      </c>
      <c r="N81" s="1057">
        <v>1</v>
      </c>
      <c r="O81" s="1057">
        <v>1</v>
      </c>
      <c r="P81" s="1057">
        <v>1</v>
      </c>
      <c r="Q81" s="1057">
        <v>0.96199999999999997</v>
      </c>
      <c r="R81" s="1057">
        <v>0</v>
      </c>
      <c r="S81" s="1057">
        <v>184003</v>
      </c>
      <c r="T81" s="1058">
        <f t="shared" si="26"/>
        <v>35678.181700000001</v>
      </c>
      <c r="U81" s="1057">
        <v>154723</v>
      </c>
      <c r="V81" s="1057">
        <v>29280</v>
      </c>
      <c r="W81" s="1057">
        <v>1100</v>
      </c>
      <c r="X81" s="1057">
        <v>0</v>
      </c>
      <c r="Y81" s="1057">
        <v>0</v>
      </c>
      <c r="Z81" s="1057">
        <v>0</v>
      </c>
      <c r="AA81" s="1057">
        <v>219681.18169999999</v>
      </c>
      <c r="AB81" s="1057">
        <v>35678.181700000001</v>
      </c>
      <c r="AC81" s="1057">
        <v>184003</v>
      </c>
      <c r="AD81" s="1057">
        <v>0</v>
      </c>
      <c r="AE81" s="1057">
        <v>0</v>
      </c>
      <c r="AF81" s="1057">
        <v>0</v>
      </c>
      <c r="AG81" s="1057">
        <v>184003</v>
      </c>
      <c r="AH81" s="1057">
        <v>0</v>
      </c>
      <c r="AI81" s="1057">
        <v>0</v>
      </c>
      <c r="AJ81" s="1053" t="s">
        <v>900</v>
      </c>
      <c r="AK81" s="1053" t="s">
        <v>907</v>
      </c>
      <c r="AL81" s="1054" t="s">
        <v>1512</v>
      </c>
      <c r="AM81" s="1053" t="s">
        <v>10</v>
      </c>
      <c r="AN81" s="1054" t="s">
        <v>118</v>
      </c>
      <c r="AO81" s="1054">
        <v>35678.181700000001</v>
      </c>
      <c r="AP81" s="1059">
        <f t="shared" si="44"/>
        <v>7.7119</v>
      </c>
      <c r="AQ81" s="1059">
        <f t="shared" si="27"/>
        <v>7.7119</v>
      </c>
      <c r="AR81" s="1052">
        <v>0</v>
      </c>
      <c r="AS81" s="1052">
        <v>0</v>
      </c>
      <c r="AT81" s="1052">
        <v>5</v>
      </c>
      <c r="AU81" s="1052">
        <v>0</v>
      </c>
      <c r="AV81" s="1052">
        <v>0</v>
      </c>
      <c r="AW81" s="1052">
        <v>0</v>
      </c>
      <c r="AX81" s="1052">
        <v>0</v>
      </c>
      <c r="AY81" s="1052">
        <v>0</v>
      </c>
      <c r="AZ81" s="1052">
        <v>0</v>
      </c>
      <c r="BA81" s="1052">
        <v>0</v>
      </c>
      <c r="BB81" s="1052">
        <v>0</v>
      </c>
      <c r="BC81" s="1052">
        <v>0</v>
      </c>
      <c r="BD81" s="1052">
        <v>0</v>
      </c>
      <c r="BE81" s="1052">
        <v>0</v>
      </c>
      <c r="BF81" s="1052">
        <v>0</v>
      </c>
      <c r="BG81" s="1052">
        <v>0</v>
      </c>
      <c r="BH81" s="1052">
        <v>0</v>
      </c>
      <c r="BI81" s="1052">
        <v>0</v>
      </c>
      <c r="BJ81" s="1052">
        <v>0</v>
      </c>
      <c r="BK81" s="1052">
        <v>0</v>
      </c>
      <c r="BL81" s="1052">
        <v>0</v>
      </c>
      <c r="BM81" s="1052">
        <v>0</v>
      </c>
      <c r="BN81" s="1052">
        <v>0</v>
      </c>
      <c r="BO81" s="1052">
        <v>27.119</v>
      </c>
      <c r="BR81" s="1140">
        <f t="shared" si="28"/>
        <v>0</v>
      </c>
      <c r="BS81" s="1140">
        <f t="shared" si="29"/>
        <v>69444.444444444453</v>
      </c>
      <c r="BT81" s="1140">
        <f t="shared" si="30"/>
        <v>0</v>
      </c>
      <c r="BU81" s="1140">
        <f t="shared" si="31"/>
        <v>69444.444444444453</v>
      </c>
      <c r="BV81" s="1140">
        <f t="shared" si="41"/>
        <v>0</v>
      </c>
      <c r="BW81" s="1140">
        <f t="shared" si="42"/>
        <v>0</v>
      </c>
      <c r="BX81" s="1140">
        <f t="shared" si="43"/>
        <v>0</v>
      </c>
      <c r="BY81" s="1140">
        <f t="shared" si="32"/>
        <v>0</v>
      </c>
      <c r="CA81" s="1140">
        <f t="shared" si="33"/>
        <v>0</v>
      </c>
      <c r="CB81" s="1140">
        <f t="shared" si="34"/>
        <v>69444.444444444453</v>
      </c>
      <c r="CC81" s="1140">
        <f t="shared" si="35"/>
        <v>0</v>
      </c>
      <c r="CD81" s="1140">
        <f t="shared" si="36"/>
        <v>69444.444444444453</v>
      </c>
      <c r="CE81" s="1140">
        <f t="shared" si="37"/>
        <v>0</v>
      </c>
      <c r="CF81" s="1140">
        <f t="shared" si="38"/>
        <v>0</v>
      </c>
      <c r="CG81" s="1140">
        <f t="shared" si="39"/>
        <v>0</v>
      </c>
      <c r="CH81" s="1140">
        <f t="shared" si="40"/>
        <v>0</v>
      </c>
      <c r="CJ81" s="1069"/>
      <c r="CK81" s="1069"/>
      <c r="CL81" s="1069"/>
      <c r="CM81" s="1069"/>
      <c r="CN81" s="1069"/>
      <c r="CO81" s="1069"/>
      <c r="CP81" s="1069"/>
      <c r="CQ81" s="1069"/>
      <c r="CR81" s="1069"/>
      <c r="CS81" s="1069"/>
      <c r="CT81" s="1069"/>
      <c r="CU81" s="1069"/>
      <c r="CV81" s="1069"/>
      <c r="CW81" s="1069"/>
      <c r="CX81" s="1069"/>
      <c r="CY81" s="1069"/>
      <c r="CZ81" s="1069"/>
      <c r="DA81" s="1069"/>
      <c r="DB81" s="1069"/>
      <c r="DC81" s="1069"/>
      <c r="DD81" s="1069"/>
      <c r="DE81" s="1069"/>
      <c r="DF81" s="1069"/>
      <c r="DG81" s="1069"/>
      <c r="DH81" s="1069"/>
      <c r="DI81" s="1069"/>
      <c r="DJ81" s="1069"/>
      <c r="DK81" s="1069"/>
      <c r="DL81" s="1069"/>
      <c r="DM81" s="1069"/>
      <c r="DN81" s="1069"/>
      <c r="DO81" s="1069"/>
      <c r="DP81" s="1069"/>
      <c r="DQ81" s="1069"/>
      <c r="DR81" s="1069"/>
      <c r="DS81" s="1069"/>
      <c r="DT81" s="1069"/>
      <c r="DU81" s="1069"/>
      <c r="DV81" s="1069"/>
      <c r="DW81" s="1069"/>
      <c r="DX81" s="1069"/>
      <c r="DY81" s="1069"/>
      <c r="DZ81" s="1069"/>
      <c r="EA81" s="1069"/>
      <c r="EB81" s="1069"/>
      <c r="EC81" s="1069"/>
      <c r="ED81" s="1069"/>
      <c r="EE81" s="1069"/>
      <c r="EF81" s="1069"/>
      <c r="EG81" s="1069"/>
      <c r="EH81" s="1069"/>
      <c r="EI81" s="1069"/>
      <c r="EJ81" s="1069"/>
      <c r="EK81" s="1069"/>
      <c r="EL81" s="1069"/>
      <c r="EM81" s="1069"/>
      <c r="EN81" s="1069"/>
      <c r="EO81" s="1069"/>
      <c r="EP81" s="1069"/>
      <c r="EQ81" s="1069"/>
      <c r="ER81" s="1069"/>
      <c r="ES81" s="1069"/>
      <c r="ET81" s="1069"/>
      <c r="EU81" s="1069"/>
      <c r="EV81" s="1069"/>
      <c r="EW81" s="1069"/>
      <c r="EX81" s="1069"/>
      <c r="EY81" s="1069"/>
      <c r="EZ81" s="1069"/>
      <c r="FA81" s="1069"/>
      <c r="FB81" s="1069"/>
      <c r="FC81" s="1069"/>
      <c r="FD81" s="1069"/>
      <c r="FE81" s="1069"/>
      <c r="FF81" s="1069"/>
      <c r="FG81" s="1069"/>
      <c r="FH81" s="1069"/>
      <c r="FI81" s="1069"/>
      <c r="FJ81" s="1069"/>
      <c r="FK81" s="1069"/>
      <c r="FL81" s="1069"/>
      <c r="FM81" s="1069"/>
      <c r="FN81" s="1069"/>
      <c r="FO81" s="1069"/>
      <c r="FP81" s="1069"/>
      <c r="FQ81" s="1069"/>
      <c r="FR81" s="1069"/>
      <c r="FS81" s="1069"/>
      <c r="FT81" s="1069"/>
      <c r="FU81" s="1069"/>
      <c r="FV81" s="1069"/>
      <c r="FW81" s="1069"/>
      <c r="FX81" s="1069"/>
      <c r="FY81" s="1069"/>
      <c r="FZ81" s="1069"/>
      <c r="GA81" s="1069"/>
      <c r="GB81" s="1069"/>
      <c r="GC81" s="1069"/>
      <c r="GD81" s="1069"/>
      <c r="GE81" s="1069"/>
      <c r="GF81" s="1069"/>
      <c r="GG81" s="1069"/>
      <c r="GH81" s="1069"/>
      <c r="GI81" s="1069"/>
      <c r="GJ81" s="1069"/>
      <c r="GK81" s="1069"/>
      <c r="GL81" s="1069"/>
      <c r="GM81" s="1069"/>
      <c r="GN81" s="1069"/>
      <c r="GO81" s="1069"/>
      <c r="GP81" s="1069"/>
      <c r="GQ81" s="1069"/>
      <c r="GR81" s="1069"/>
      <c r="GS81" s="1069"/>
      <c r="GT81" s="1069"/>
      <c r="GU81" s="1069"/>
      <c r="GV81" s="1069"/>
      <c r="GW81" s="1069"/>
      <c r="GX81" s="1069"/>
    </row>
    <row r="82" spans="1:206" ht="15" customHeight="1" x14ac:dyDescent="0.2">
      <c r="A82" s="1052">
        <v>8688</v>
      </c>
      <c r="B82" s="1052"/>
      <c r="C82" s="1053" t="s">
        <v>121</v>
      </c>
      <c r="D82" s="1054" t="s">
        <v>121</v>
      </c>
      <c r="E82" s="1055">
        <f t="shared" si="24"/>
        <v>280548.4032</v>
      </c>
      <c r="F82" s="1055">
        <v>0</v>
      </c>
      <c r="G82" s="1056">
        <f t="shared" si="25"/>
        <v>280548.4032</v>
      </c>
      <c r="H82" s="1053" t="s">
        <v>10</v>
      </c>
      <c r="I82" s="1054" t="s">
        <v>1416</v>
      </c>
      <c r="J82" s="1054" t="s">
        <v>10</v>
      </c>
      <c r="K82" s="1054" t="s">
        <v>78</v>
      </c>
      <c r="L82" s="1054" t="s">
        <v>10</v>
      </c>
      <c r="M82" s="1057">
        <v>112</v>
      </c>
      <c r="N82" s="1057">
        <v>0.81599999999999995</v>
      </c>
      <c r="O82" s="1057">
        <v>0.83099999999999996</v>
      </c>
      <c r="P82" s="1057">
        <v>0.79600000000000004</v>
      </c>
      <c r="Q82" s="1057">
        <v>0.83199999999999996</v>
      </c>
      <c r="R82" s="1057">
        <v>829678</v>
      </c>
      <c r="S82" s="1057">
        <v>805248</v>
      </c>
      <c r="T82" s="1058">
        <f t="shared" si="26"/>
        <v>246829.20499999999</v>
      </c>
      <c r="U82" s="1057">
        <v>568882</v>
      </c>
      <c r="V82" s="1057">
        <v>236366</v>
      </c>
      <c r="W82" s="1057">
        <v>4890</v>
      </c>
      <c r="X82" s="1057">
        <v>0</v>
      </c>
      <c r="Y82" s="1057">
        <v>0</v>
      </c>
      <c r="Z82" s="1057">
        <v>0</v>
      </c>
      <c r="AA82" s="1057">
        <v>1052077.2050000001</v>
      </c>
      <c r="AB82" s="1057">
        <v>246829.20499999999</v>
      </c>
      <c r="AC82" s="1057">
        <v>805248</v>
      </c>
      <c r="AD82" s="1057">
        <v>0</v>
      </c>
      <c r="AE82" s="1057">
        <v>0</v>
      </c>
      <c r="AF82" s="1057">
        <v>0</v>
      </c>
      <c r="AG82" s="1057">
        <v>805248</v>
      </c>
      <c r="AH82" s="1057">
        <v>0</v>
      </c>
      <c r="AI82" s="1057">
        <v>0</v>
      </c>
      <c r="AJ82" s="1053" t="s">
        <v>900</v>
      </c>
      <c r="AK82" s="1053" t="s">
        <v>907</v>
      </c>
      <c r="AL82" s="1054" t="s">
        <v>1416</v>
      </c>
      <c r="AM82" s="1053" t="s">
        <v>10</v>
      </c>
      <c r="AN82" s="1054" t="s">
        <v>121</v>
      </c>
      <c r="AO82" s="1054">
        <v>246829.20499999999</v>
      </c>
      <c r="AP82" s="1059">
        <f t="shared" si="44"/>
        <v>179.1422</v>
      </c>
      <c r="AQ82" s="1059">
        <f t="shared" si="27"/>
        <v>237.1422</v>
      </c>
      <c r="AR82" s="1052">
        <v>0</v>
      </c>
      <c r="AS82" s="1052">
        <v>0</v>
      </c>
      <c r="AT82" s="1052">
        <v>131</v>
      </c>
      <c r="AU82" s="1052">
        <v>3</v>
      </c>
      <c r="AV82" s="1052">
        <v>0</v>
      </c>
      <c r="AW82" s="1052">
        <v>0</v>
      </c>
      <c r="AX82" s="1052">
        <v>0</v>
      </c>
      <c r="AY82" s="1052">
        <v>0</v>
      </c>
      <c r="AZ82" s="1052">
        <v>0</v>
      </c>
      <c r="BA82" s="1052">
        <v>0</v>
      </c>
      <c r="BB82" s="1052">
        <v>57</v>
      </c>
      <c r="BC82" s="1052">
        <v>1</v>
      </c>
      <c r="BD82" s="1052">
        <v>0</v>
      </c>
      <c r="BE82" s="1052">
        <v>0</v>
      </c>
      <c r="BF82" s="1052">
        <v>0</v>
      </c>
      <c r="BG82" s="1052">
        <v>0</v>
      </c>
      <c r="BH82" s="1052">
        <v>0</v>
      </c>
      <c r="BI82" s="1052">
        <v>0</v>
      </c>
      <c r="BJ82" s="1052">
        <v>0</v>
      </c>
      <c r="BK82" s="1052">
        <v>0</v>
      </c>
      <c r="BL82" s="1052">
        <v>0</v>
      </c>
      <c r="BM82" s="1052">
        <v>20592</v>
      </c>
      <c r="BN82" s="1052">
        <v>0</v>
      </c>
      <c r="BO82" s="1052">
        <v>245.50200000000001</v>
      </c>
      <c r="BR82" s="1140">
        <f t="shared" si="28"/>
        <v>0</v>
      </c>
      <c r="BS82" s="1140">
        <f t="shared" si="29"/>
        <v>1819444.4444444445</v>
      </c>
      <c r="BT82" s="1140">
        <f t="shared" si="30"/>
        <v>41666.666666666672</v>
      </c>
      <c r="BU82" s="1140">
        <f t="shared" si="31"/>
        <v>1861111.1111111112</v>
      </c>
      <c r="BV82" s="1140">
        <f t="shared" si="41"/>
        <v>0</v>
      </c>
      <c r="BW82" s="1140">
        <f t="shared" si="42"/>
        <v>0</v>
      </c>
      <c r="BX82" s="1140">
        <f t="shared" si="43"/>
        <v>0</v>
      </c>
      <c r="BY82" s="1140">
        <f t="shared" si="32"/>
        <v>0</v>
      </c>
      <c r="CA82" s="1140">
        <f t="shared" si="33"/>
        <v>0</v>
      </c>
      <c r="CB82" s="1140">
        <f t="shared" si="34"/>
        <v>1819444.4444444445</v>
      </c>
      <c r="CC82" s="1140">
        <f t="shared" si="35"/>
        <v>41666.666666666672</v>
      </c>
      <c r="CD82" s="1140">
        <f t="shared" si="36"/>
        <v>1861111.1111111112</v>
      </c>
      <c r="CE82" s="1140">
        <f t="shared" si="37"/>
        <v>0</v>
      </c>
      <c r="CF82" s="1140">
        <f t="shared" si="38"/>
        <v>0</v>
      </c>
      <c r="CG82" s="1140">
        <f t="shared" si="39"/>
        <v>0</v>
      </c>
      <c r="CH82" s="1140">
        <f t="shared" si="40"/>
        <v>0</v>
      </c>
      <c r="CJ82" s="1069"/>
      <c r="CK82" s="1069"/>
      <c r="CL82" s="1069"/>
      <c r="CM82" s="1069"/>
      <c r="CN82" s="1069"/>
      <c r="CO82" s="1069"/>
      <c r="CP82" s="1069"/>
      <c r="CQ82" s="1069"/>
      <c r="CR82" s="1069"/>
      <c r="CS82" s="1069"/>
      <c r="CT82" s="1069"/>
      <c r="CU82" s="1069"/>
      <c r="CV82" s="1069"/>
      <c r="CW82" s="1069"/>
      <c r="CX82" s="1069"/>
      <c r="CY82" s="1069"/>
      <c r="CZ82" s="1069"/>
      <c r="DA82" s="1069"/>
      <c r="DB82" s="1069"/>
      <c r="DC82" s="1069"/>
      <c r="DD82" s="1069"/>
      <c r="DE82" s="1069"/>
      <c r="DF82" s="1069"/>
      <c r="DG82" s="1069"/>
      <c r="DH82" s="1069"/>
      <c r="DI82" s="1069"/>
      <c r="DJ82" s="1069"/>
      <c r="DK82" s="1069"/>
      <c r="DL82" s="1069"/>
      <c r="DM82" s="1069"/>
      <c r="DN82" s="1069"/>
      <c r="DO82" s="1069"/>
      <c r="DP82" s="1069"/>
      <c r="DQ82" s="1069"/>
      <c r="DR82" s="1069"/>
      <c r="DS82" s="1069"/>
      <c r="DT82" s="1069"/>
      <c r="DU82" s="1069"/>
      <c r="DV82" s="1069"/>
      <c r="DW82" s="1069"/>
      <c r="DX82" s="1069"/>
      <c r="DY82" s="1069"/>
      <c r="DZ82" s="1069"/>
      <c r="EA82" s="1069"/>
      <c r="EB82" s="1069"/>
      <c r="EC82" s="1069"/>
      <c r="ED82" s="1069"/>
      <c r="EE82" s="1069"/>
      <c r="EF82" s="1069"/>
      <c r="EG82" s="1069"/>
      <c r="EH82" s="1069"/>
      <c r="EI82" s="1069"/>
      <c r="EJ82" s="1069"/>
      <c r="EK82" s="1069"/>
      <c r="EL82" s="1069"/>
      <c r="EM82" s="1069"/>
      <c r="EN82" s="1069"/>
      <c r="EO82" s="1069"/>
      <c r="EP82" s="1069"/>
      <c r="EQ82" s="1069"/>
      <c r="ER82" s="1069"/>
      <c r="ES82" s="1069"/>
      <c r="ET82" s="1069"/>
      <c r="EU82" s="1069"/>
      <c r="EV82" s="1069"/>
      <c r="EW82" s="1069"/>
      <c r="EX82" s="1069"/>
      <c r="EY82" s="1069"/>
      <c r="EZ82" s="1069"/>
      <c r="FA82" s="1069"/>
      <c r="FB82" s="1069"/>
      <c r="FC82" s="1069"/>
      <c r="FD82" s="1069"/>
      <c r="FE82" s="1069"/>
      <c r="FF82" s="1069"/>
      <c r="FG82" s="1069"/>
      <c r="FH82" s="1069"/>
      <c r="FI82" s="1069"/>
      <c r="FJ82" s="1069"/>
      <c r="FK82" s="1069"/>
      <c r="FL82" s="1069"/>
      <c r="FM82" s="1069"/>
      <c r="FN82" s="1069"/>
      <c r="FO82" s="1069"/>
      <c r="FP82" s="1069"/>
      <c r="FQ82" s="1069"/>
      <c r="FR82" s="1069"/>
      <c r="FS82" s="1069"/>
      <c r="FT82" s="1069"/>
      <c r="FU82" s="1069"/>
      <c r="FV82" s="1069"/>
      <c r="FW82" s="1069"/>
      <c r="FX82" s="1069"/>
      <c r="FY82" s="1069"/>
      <c r="FZ82" s="1069"/>
      <c r="GA82" s="1069"/>
      <c r="GB82" s="1069"/>
      <c r="GC82" s="1069"/>
      <c r="GD82" s="1069"/>
      <c r="GE82" s="1069"/>
      <c r="GF82" s="1069"/>
      <c r="GG82" s="1069"/>
      <c r="GH82" s="1069"/>
      <c r="GI82" s="1069"/>
      <c r="GJ82" s="1069"/>
      <c r="GK82" s="1069"/>
      <c r="GL82" s="1069"/>
      <c r="GM82" s="1069"/>
      <c r="GN82" s="1069"/>
      <c r="GO82" s="1069"/>
      <c r="GP82" s="1069"/>
      <c r="GQ82" s="1069"/>
      <c r="GR82" s="1069"/>
      <c r="GS82" s="1069"/>
      <c r="GT82" s="1069"/>
      <c r="GU82" s="1069"/>
      <c r="GV82" s="1069"/>
      <c r="GW82" s="1069"/>
      <c r="GX82" s="1069"/>
    </row>
    <row r="83" spans="1:206" ht="15" customHeight="1" x14ac:dyDescent="0.2">
      <c r="A83" s="1052">
        <v>4824</v>
      </c>
      <c r="B83" s="1052" t="s">
        <v>1412</v>
      </c>
      <c r="C83" s="1053" t="s">
        <v>123</v>
      </c>
      <c r="D83" s="1054" t="s">
        <v>123</v>
      </c>
      <c r="E83" s="1055">
        <f t="shared" si="24"/>
        <v>432016</v>
      </c>
      <c r="F83" s="1055">
        <v>0</v>
      </c>
      <c r="G83" s="1056">
        <f t="shared" si="25"/>
        <v>432016</v>
      </c>
      <c r="H83" s="1053" t="s">
        <v>1417</v>
      </c>
      <c r="I83" s="1054" t="s">
        <v>1416</v>
      </c>
      <c r="J83" s="1054" t="s">
        <v>1412</v>
      </c>
      <c r="K83" s="1054" t="s">
        <v>126</v>
      </c>
      <c r="L83" s="1054" t="s">
        <v>10</v>
      </c>
      <c r="M83" s="1057">
        <v>198</v>
      </c>
      <c r="N83" s="1057">
        <v>0.91400000000000003</v>
      </c>
      <c r="O83" s="1057">
        <v>0.94</v>
      </c>
      <c r="P83" s="1057">
        <v>0.92500000000000004</v>
      </c>
      <c r="Q83" s="1057">
        <v>0.95199999999999996</v>
      </c>
      <c r="R83" s="1057">
        <v>807096</v>
      </c>
      <c r="S83" s="1057">
        <v>1240000</v>
      </c>
      <c r="T83" s="1058">
        <f t="shared" si="26"/>
        <v>240111.06</v>
      </c>
      <c r="U83" s="1057">
        <v>807096</v>
      </c>
      <c r="V83" s="1057">
        <v>432904</v>
      </c>
      <c r="W83" s="1057">
        <v>5900</v>
      </c>
      <c r="X83" s="1057">
        <v>0</v>
      </c>
      <c r="Y83" s="1057">
        <v>0</v>
      </c>
      <c r="Z83" s="1057">
        <v>0</v>
      </c>
      <c r="AA83" s="1057">
        <v>1480111.06</v>
      </c>
      <c r="AB83" s="1057">
        <v>240111.06</v>
      </c>
      <c r="AC83" s="1057">
        <v>1240000</v>
      </c>
      <c r="AD83" s="1057">
        <v>0</v>
      </c>
      <c r="AE83" s="1057">
        <v>0</v>
      </c>
      <c r="AF83" s="1057">
        <v>1240000</v>
      </c>
      <c r="AG83" s="1057">
        <v>0</v>
      </c>
      <c r="AH83" s="1057">
        <v>1083000</v>
      </c>
      <c r="AI83" s="1057">
        <v>965000</v>
      </c>
      <c r="AJ83" s="1053" t="s">
        <v>900</v>
      </c>
      <c r="AK83" s="1053" t="s">
        <v>905</v>
      </c>
      <c r="AL83" s="1054" t="s">
        <v>1416</v>
      </c>
      <c r="AM83" s="1053" t="s">
        <v>1417</v>
      </c>
      <c r="AN83" s="1054" t="s">
        <v>123</v>
      </c>
      <c r="AO83" s="1054">
        <v>240111.06</v>
      </c>
      <c r="AP83" s="1059">
        <f t="shared" si="44"/>
        <v>828</v>
      </c>
      <c r="AQ83" s="1059">
        <f t="shared" si="27"/>
        <v>877</v>
      </c>
      <c r="AR83" s="1052">
        <v>483</v>
      </c>
      <c r="AS83" s="1052">
        <v>965</v>
      </c>
      <c r="AT83" s="1052">
        <v>313</v>
      </c>
      <c r="AU83" s="1052">
        <v>0</v>
      </c>
      <c r="AV83" s="1052">
        <v>0</v>
      </c>
      <c r="AW83" s="1052">
        <v>0</v>
      </c>
      <c r="AX83" s="1052">
        <v>0</v>
      </c>
      <c r="AY83" s="1052">
        <v>0</v>
      </c>
      <c r="AZ83" s="1052">
        <v>0</v>
      </c>
      <c r="BA83" s="1052">
        <v>171</v>
      </c>
      <c r="BB83" s="1052">
        <v>49</v>
      </c>
      <c r="BC83" s="1052">
        <v>0</v>
      </c>
      <c r="BD83" s="1052">
        <v>0</v>
      </c>
      <c r="BE83" s="1052">
        <v>0</v>
      </c>
      <c r="BF83" s="1052">
        <v>0</v>
      </c>
      <c r="BG83" s="1052">
        <v>0</v>
      </c>
      <c r="BH83" s="1052">
        <v>32</v>
      </c>
      <c r="BI83" s="1052">
        <v>6</v>
      </c>
      <c r="BJ83" s="1052">
        <v>0</v>
      </c>
      <c r="BK83" s="1052">
        <v>0</v>
      </c>
      <c r="BL83" s="1052">
        <v>0</v>
      </c>
      <c r="BM83" s="1052">
        <v>0</v>
      </c>
      <c r="BN83" s="1052">
        <v>0</v>
      </c>
      <c r="BO83" s="1052">
        <v>0</v>
      </c>
      <c r="BR83" s="1140">
        <f t="shared" si="28"/>
        <v>6708333.333333334</v>
      </c>
      <c r="BS83" s="1140">
        <f t="shared" si="29"/>
        <v>4347222.2222222229</v>
      </c>
      <c r="BT83" s="1140">
        <f t="shared" si="30"/>
        <v>0</v>
      </c>
      <c r="BU83" s="1140">
        <f t="shared" si="31"/>
        <v>11055555.555555556</v>
      </c>
      <c r="BV83" s="1140">
        <f t="shared" si="41"/>
        <v>0</v>
      </c>
      <c r="BW83" s="1140">
        <f t="shared" si="42"/>
        <v>0</v>
      </c>
      <c r="BX83" s="1140">
        <f t="shared" si="43"/>
        <v>0</v>
      </c>
      <c r="BY83" s="1140">
        <f t="shared" si="32"/>
        <v>0</v>
      </c>
      <c r="CA83" s="1140">
        <f t="shared" si="33"/>
        <v>0</v>
      </c>
      <c r="CB83" s="1140">
        <f t="shared" si="34"/>
        <v>0</v>
      </c>
      <c r="CC83" s="1140">
        <f t="shared" si="35"/>
        <v>0</v>
      </c>
      <c r="CD83" s="1140">
        <f t="shared" si="36"/>
        <v>0</v>
      </c>
      <c r="CE83" s="1140">
        <f t="shared" si="37"/>
        <v>0</v>
      </c>
      <c r="CF83" s="1140">
        <f t="shared" si="38"/>
        <v>0</v>
      </c>
      <c r="CG83" s="1140">
        <f t="shared" si="39"/>
        <v>0</v>
      </c>
      <c r="CH83" s="1140">
        <f t="shared" si="40"/>
        <v>0</v>
      </c>
      <c r="CJ83" s="1069"/>
      <c r="CK83" s="1069"/>
      <c r="CL83" s="1069"/>
      <c r="CM83" s="1069"/>
      <c r="CN83" s="1069"/>
      <c r="CO83" s="1069"/>
      <c r="CP83" s="1069"/>
      <c r="CQ83" s="1069"/>
      <c r="CR83" s="1069"/>
      <c r="CS83" s="1069"/>
      <c r="CT83" s="1069"/>
      <c r="CU83" s="1069"/>
      <c r="CV83" s="1069"/>
      <c r="CW83" s="1069"/>
      <c r="CX83" s="1069"/>
      <c r="CY83" s="1069"/>
      <c r="CZ83" s="1069"/>
      <c r="DA83" s="1069"/>
      <c r="DB83" s="1069"/>
      <c r="DC83" s="1069"/>
      <c r="DD83" s="1069"/>
      <c r="DE83" s="1069"/>
      <c r="DF83" s="1069"/>
      <c r="DG83" s="1069"/>
      <c r="DH83" s="1069"/>
      <c r="DI83" s="1069"/>
      <c r="DJ83" s="1069"/>
      <c r="DK83" s="1069"/>
      <c r="DL83" s="1069"/>
      <c r="DM83" s="1069"/>
      <c r="DN83" s="1069"/>
      <c r="DO83" s="1069"/>
      <c r="DP83" s="1069"/>
      <c r="DQ83" s="1069"/>
      <c r="DR83" s="1069"/>
      <c r="DS83" s="1069"/>
      <c r="DT83" s="1069"/>
      <c r="DU83" s="1069"/>
      <c r="DV83" s="1069"/>
      <c r="DW83" s="1069"/>
      <c r="DX83" s="1069"/>
      <c r="DY83" s="1069"/>
      <c r="DZ83" s="1069"/>
      <c r="EA83" s="1069"/>
      <c r="EB83" s="1069"/>
      <c r="EC83" s="1069"/>
      <c r="ED83" s="1069"/>
      <c r="EE83" s="1069"/>
      <c r="EF83" s="1069"/>
      <c r="EG83" s="1069"/>
      <c r="EH83" s="1069"/>
      <c r="EI83" s="1069"/>
      <c r="EJ83" s="1069"/>
      <c r="EK83" s="1069"/>
      <c r="EL83" s="1069"/>
      <c r="EM83" s="1069"/>
      <c r="EN83" s="1069"/>
      <c r="EO83" s="1069"/>
      <c r="EP83" s="1069"/>
      <c r="EQ83" s="1069"/>
      <c r="ER83" s="1069"/>
      <c r="ES83" s="1069"/>
      <c r="ET83" s="1069"/>
      <c r="EU83" s="1069"/>
      <c r="EV83" s="1069"/>
      <c r="EW83" s="1069"/>
      <c r="EX83" s="1069"/>
      <c r="EY83" s="1069"/>
      <c r="EZ83" s="1069"/>
      <c r="FA83" s="1069"/>
      <c r="FB83" s="1069"/>
      <c r="FC83" s="1069"/>
      <c r="FD83" s="1069"/>
      <c r="FE83" s="1069"/>
      <c r="FF83" s="1069"/>
      <c r="FG83" s="1069"/>
      <c r="FH83" s="1069"/>
      <c r="FI83" s="1069"/>
      <c r="FJ83" s="1069"/>
      <c r="FK83" s="1069"/>
      <c r="FL83" s="1069"/>
      <c r="FM83" s="1069"/>
      <c r="FN83" s="1069"/>
      <c r="FO83" s="1069"/>
      <c r="FP83" s="1069"/>
      <c r="FQ83" s="1069"/>
      <c r="FR83" s="1069"/>
      <c r="FS83" s="1069"/>
      <c r="FT83" s="1069"/>
      <c r="FU83" s="1069"/>
      <c r="FV83" s="1069"/>
      <c r="FW83" s="1069"/>
      <c r="FX83" s="1069"/>
      <c r="FY83" s="1069"/>
      <c r="FZ83" s="1069"/>
      <c r="GA83" s="1069"/>
      <c r="GB83" s="1069"/>
      <c r="GC83" s="1069"/>
      <c r="GD83" s="1069"/>
      <c r="GE83" s="1069"/>
      <c r="GF83" s="1069"/>
      <c r="GG83" s="1069"/>
      <c r="GH83" s="1069"/>
      <c r="GI83" s="1069"/>
      <c r="GJ83" s="1069"/>
      <c r="GK83" s="1069"/>
      <c r="GL83" s="1069"/>
      <c r="GM83" s="1069"/>
      <c r="GN83" s="1069"/>
      <c r="GO83" s="1069"/>
      <c r="GP83" s="1069"/>
      <c r="GQ83" s="1069"/>
      <c r="GR83" s="1069"/>
      <c r="GS83" s="1069"/>
      <c r="GT83" s="1069"/>
      <c r="GU83" s="1069"/>
      <c r="GV83" s="1069"/>
      <c r="GW83" s="1069"/>
      <c r="GX83" s="1069"/>
    </row>
    <row r="84" spans="1:206" ht="15" customHeight="1" x14ac:dyDescent="0.2">
      <c r="A84" s="1052">
        <v>4825</v>
      </c>
      <c r="B84" s="1052" t="s">
        <v>1412</v>
      </c>
      <c r="C84" s="1053" t="s">
        <v>927</v>
      </c>
      <c r="D84" s="1054" t="s">
        <v>127</v>
      </c>
      <c r="E84" s="1055">
        <f t="shared" si="24"/>
        <v>437242</v>
      </c>
      <c r="F84" s="1055">
        <v>460000</v>
      </c>
      <c r="G84" s="1056">
        <f t="shared" si="25"/>
        <v>897242</v>
      </c>
      <c r="H84" s="1053" t="s">
        <v>10</v>
      </c>
      <c r="I84" s="1054" t="s">
        <v>1416</v>
      </c>
      <c r="J84" s="1054" t="s">
        <v>1412</v>
      </c>
      <c r="K84" s="1054" t="s">
        <v>129</v>
      </c>
      <c r="L84" s="1054" t="s">
        <v>1412</v>
      </c>
      <c r="M84" s="1057">
        <v>138</v>
      </c>
      <c r="N84" s="1057">
        <v>0.96299999999999997</v>
      </c>
      <c r="O84" s="1057">
        <v>0.96299999999999997</v>
      </c>
      <c r="P84" s="1057">
        <v>0.92500000000000004</v>
      </c>
      <c r="Q84" s="1057">
        <v>0.95199999999999996</v>
      </c>
      <c r="R84" s="1057">
        <v>1332847</v>
      </c>
      <c r="S84" s="1057">
        <v>1255000</v>
      </c>
      <c r="T84" s="1058">
        <f t="shared" si="26"/>
        <v>396521.98249999998</v>
      </c>
      <c r="U84" s="1057">
        <v>887000</v>
      </c>
      <c r="V84" s="1057">
        <v>368000</v>
      </c>
      <c r="W84" s="1057">
        <v>7000</v>
      </c>
      <c r="X84" s="1057">
        <v>856521.98250000004</v>
      </c>
      <c r="Y84" s="1057">
        <v>396521.98249999998</v>
      </c>
      <c r="Z84" s="1057">
        <v>460000</v>
      </c>
      <c r="AA84" s="1057">
        <v>795000</v>
      </c>
      <c r="AB84" s="1057">
        <v>0</v>
      </c>
      <c r="AC84" s="1057">
        <v>795000</v>
      </c>
      <c r="AD84" s="1057">
        <v>460000</v>
      </c>
      <c r="AE84" s="1057">
        <v>0</v>
      </c>
      <c r="AF84" s="1057">
        <v>795000</v>
      </c>
      <c r="AG84" s="1057">
        <v>0</v>
      </c>
      <c r="AH84" s="1057">
        <v>812000</v>
      </c>
      <c r="AI84" s="1057">
        <v>477000</v>
      </c>
      <c r="AJ84" s="1053" t="s">
        <v>900</v>
      </c>
      <c r="AK84" s="1053" t="s">
        <v>905</v>
      </c>
      <c r="AL84" s="1054" t="s">
        <v>1416</v>
      </c>
      <c r="AM84" s="1053" t="s">
        <v>10</v>
      </c>
      <c r="AN84" s="1054" t="s">
        <v>127</v>
      </c>
      <c r="AO84" s="1054">
        <v>856521.98249999993</v>
      </c>
      <c r="AP84" s="1059">
        <f t="shared" si="44"/>
        <v>590.63800000000003</v>
      </c>
      <c r="AQ84" s="1059">
        <f t="shared" si="27"/>
        <v>618.63800000000003</v>
      </c>
      <c r="AR84" s="1052">
        <v>248</v>
      </c>
      <c r="AS84" s="1052">
        <v>477</v>
      </c>
      <c r="AT84" s="1052">
        <v>151</v>
      </c>
      <c r="AU84" s="1052">
        <v>0</v>
      </c>
      <c r="AV84" s="1052">
        <v>0</v>
      </c>
      <c r="AW84" s="1052">
        <v>0</v>
      </c>
      <c r="AX84" s="1052">
        <v>0</v>
      </c>
      <c r="AY84" s="1052">
        <v>0</v>
      </c>
      <c r="AZ84" s="1052">
        <v>14</v>
      </c>
      <c r="BA84" s="1052">
        <v>37</v>
      </c>
      <c r="BB84" s="1052">
        <v>28</v>
      </c>
      <c r="BC84" s="1052">
        <v>0</v>
      </c>
      <c r="BD84" s="1052">
        <v>4</v>
      </c>
      <c r="BE84" s="1052">
        <v>1</v>
      </c>
      <c r="BF84" s="1052">
        <v>0</v>
      </c>
      <c r="BG84" s="1052">
        <v>0</v>
      </c>
      <c r="BH84" s="1052">
        <v>31</v>
      </c>
      <c r="BI84" s="1052">
        <v>0</v>
      </c>
      <c r="BJ84" s="1052">
        <v>0</v>
      </c>
      <c r="BK84" s="1052">
        <v>0</v>
      </c>
      <c r="BL84" s="1052">
        <v>0</v>
      </c>
      <c r="BM84" s="1052">
        <v>0</v>
      </c>
      <c r="BN84" s="1052">
        <v>142638</v>
      </c>
      <c r="BO84" s="1052">
        <v>0</v>
      </c>
      <c r="BR84" s="1140">
        <f t="shared" si="28"/>
        <v>3444444.4444444445</v>
      </c>
      <c r="BS84" s="1140">
        <f t="shared" si="29"/>
        <v>2097222.2222222225</v>
      </c>
      <c r="BT84" s="1140">
        <f t="shared" si="30"/>
        <v>0</v>
      </c>
      <c r="BU84" s="1140">
        <f t="shared" si="31"/>
        <v>5541666.666666667</v>
      </c>
      <c r="BV84" s="1140">
        <f t="shared" si="41"/>
        <v>0</v>
      </c>
      <c r="BW84" s="1140">
        <f t="shared" si="42"/>
        <v>0</v>
      </c>
      <c r="BX84" s="1140">
        <f t="shared" si="43"/>
        <v>0</v>
      </c>
      <c r="BY84" s="1140">
        <f t="shared" si="32"/>
        <v>0</v>
      </c>
      <c r="CA84" s="1140">
        <f t="shared" si="33"/>
        <v>3444444.4444444445</v>
      </c>
      <c r="CB84" s="1140">
        <f t="shared" si="34"/>
        <v>2097222.2222222225</v>
      </c>
      <c r="CC84" s="1140">
        <f t="shared" si="35"/>
        <v>0</v>
      </c>
      <c r="CD84" s="1140">
        <f t="shared" si="36"/>
        <v>5541666.666666667</v>
      </c>
      <c r="CE84" s="1140">
        <f t="shared" si="37"/>
        <v>0</v>
      </c>
      <c r="CF84" s="1140">
        <f t="shared" si="38"/>
        <v>0</v>
      </c>
      <c r="CG84" s="1140">
        <f t="shared" si="39"/>
        <v>0</v>
      </c>
      <c r="CH84" s="1140">
        <f t="shared" si="40"/>
        <v>0</v>
      </c>
      <c r="CJ84" s="1069"/>
      <c r="CK84" s="1069"/>
      <c r="CL84" s="1069"/>
      <c r="CM84" s="1069"/>
      <c r="CN84" s="1069"/>
      <c r="CO84" s="1069"/>
      <c r="CP84" s="1069"/>
      <c r="CQ84" s="1069"/>
      <c r="CR84" s="1069"/>
      <c r="CS84" s="1069"/>
      <c r="CT84" s="1069"/>
      <c r="CU84" s="1069"/>
      <c r="CV84" s="1069"/>
      <c r="CW84" s="1069"/>
      <c r="CX84" s="1069"/>
      <c r="CY84" s="1069"/>
      <c r="CZ84" s="1069"/>
      <c r="DA84" s="1069"/>
      <c r="DB84" s="1069"/>
      <c r="DC84" s="1069"/>
      <c r="DD84" s="1069"/>
      <c r="DE84" s="1069"/>
      <c r="DF84" s="1069"/>
      <c r="DG84" s="1069"/>
      <c r="DH84" s="1069"/>
      <c r="DI84" s="1069"/>
      <c r="DJ84" s="1069"/>
      <c r="DK84" s="1069"/>
      <c r="DL84" s="1069"/>
      <c r="DM84" s="1069"/>
      <c r="DN84" s="1069"/>
      <c r="DO84" s="1069"/>
      <c r="DP84" s="1069"/>
      <c r="DQ84" s="1069"/>
      <c r="DR84" s="1069"/>
      <c r="DS84" s="1069"/>
      <c r="DT84" s="1069"/>
      <c r="DU84" s="1069"/>
      <c r="DV84" s="1069"/>
      <c r="DW84" s="1069"/>
      <c r="DX84" s="1069"/>
      <c r="DY84" s="1069"/>
      <c r="DZ84" s="1069"/>
      <c r="EA84" s="1069"/>
      <c r="EB84" s="1069"/>
      <c r="EC84" s="1069"/>
      <c r="ED84" s="1069"/>
      <c r="EE84" s="1069"/>
      <c r="EF84" s="1069"/>
      <c r="EG84" s="1069"/>
      <c r="EH84" s="1069"/>
      <c r="EI84" s="1069"/>
      <c r="EJ84" s="1069"/>
      <c r="EK84" s="1069"/>
      <c r="EL84" s="1069"/>
      <c r="EM84" s="1069"/>
      <c r="EN84" s="1069"/>
      <c r="EO84" s="1069"/>
      <c r="EP84" s="1069"/>
      <c r="EQ84" s="1069"/>
      <c r="ER84" s="1069"/>
      <c r="ES84" s="1069"/>
      <c r="ET84" s="1069"/>
      <c r="EU84" s="1069"/>
      <c r="EV84" s="1069"/>
      <c r="EW84" s="1069"/>
      <c r="EX84" s="1069"/>
      <c r="EY84" s="1069"/>
      <c r="EZ84" s="1069"/>
      <c r="FA84" s="1069"/>
      <c r="FB84" s="1069"/>
      <c r="FC84" s="1069"/>
      <c r="FD84" s="1069"/>
      <c r="FE84" s="1069"/>
      <c r="FF84" s="1069"/>
      <c r="FG84" s="1069"/>
      <c r="FH84" s="1069"/>
      <c r="FI84" s="1069"/>
      <c r="FJ84" s="1069"/>
      <c r="FK84" s="1069"/>
      <c r="FL84" s="1069"/>
      <c r="FM84" s="1069"/>
      <c r="FN84" s="1069"/>
      <c r="FO84" s="1069"/>
      <c r="FP84" s="1069"/>
      <c r="FQ84" s="1069"/>
      <c r="FR84" s="1069"/>
      <c r="FS84" s="1069"/>
      <c r="FT84" s="1069"/>
      <c r="FU84" s="1069"/>
      <c r="FV84" s="1069"/>
      <c r="FW84" s="1069"/>
      <c r="FX84" s="1069"/>
      <c r="FY84" s="1069"/>
      <c r="FZ84" s="1069"/>
      <c r="GA84" s="1069"/>
      <c r="GB84" s="1069"/>
      <c r="GC84" s="1069"/>
      <c r="GD84" s="1069"/>
      <c r="GE84" s="1069"/>
      <c r="GF84" s="1069"/>
      <c r="GG84" s="1069"/>
      <c r="GH84" s="1069"/>
      <c r="GI84" s="1069"/>
      <c r="GJ84" s="1069"/>
      <c r="GK84" s="1069"/>
      <c r="GL84" s="1069"/>
      <c r="GM84" s="1069"/>
      <c r="GN84" s="1069"/>
      <c r="GO84" s="1069"/>
      <c r="GP84" s="1069"/>
      <c r="GQ84" s="1069"/>
      <c r="GR84" s="1069"/>
      <c r="GS84" s="1069"/>
      <c r="GT84" s="1069"/>
      <c r="GU84" s="1069"/>
      <c r="GV84" s="1069"/>
      <c r="GW84" s="1069"/>
      <c r="GX84" s="1069"/>
    </row>
    <row r="85" spans="1:206" ht="15" customHeight="1" x14ac:dyDescent="0.2">
      <c r="A85" s="1052">
        <v>1518</v>
      </c>
      <c r="B85" s="1052" t="s">
        <v>1412</v>
      </c>
      <c r="C85" s="1053" t="s">
        <v>130</v>
      </c>
      <c r="D85" s="1054" t="s">
        <v>130</v>
      </c>
      <c r="E85" s="1055">
        <f t="shared" si="24"/>
        <v>218857.91199999998</v>
      </c>
      <c r="F85" s="1055">
        <v>0</v>
      </c>
      <c r="G85" s="1056">
        <f t="shared" si="25"/>
        <v>218857.91199999998</v>
      </c>
      <c r="H85" s="1053" t="s">
        <v>10</v>
      </c>
      <c r="I85" s="1054" t="s">
        <v>1416</v>
      </c>
      <c r="J85" s="1054" t="s">
        <v>1412</v>
      </c>
      <c r="K85" s="1054" t="s">
        <v>132</v>
      </c>
      <c r="L85" s="1054" t="s">
        <v>10</v>
      </c>
      <c r="M85" s="1057">
        <v>78</v>
      </c>
      <c r="N85" s="1057">
        <v>0.82499999999999996</v>
      </c>
      <c r="O85" s="1057">
        <v>0.86699999999999999</v>
      </c>
      <c r="P85" s="1057">
        <v>0.82599999999999996</v>
      </c>
      <c r="Q85" s="1057">
        <v>0.81299999999999994</v>
      </c>
      <c r="R85" s="1057">
        <v>652086</v>
      </c>
      <c r="S85" s="1057">
        <v>628180</v>
      </c>
      <c r="T85" s="1058">
        <f t="shared" si="26"/>
        <v>193995.58499999999</v>
      </c>
      <c r="U85" s="1057">
        <v>382700</v>
      </c>
      <c r="V85" s="1057">
        <v>245480</v>
      </c>
      <c r="W85" s="1057">
        <v>3500</v>
      </c>
      <c r="X85" s="1057">
        <v>0</v>
      </c>
      <c r="Y85" s="1057">
        <v>0</v>
      </c>
      <c r="Z85" s="1057">
        <v>0</v>
      </c>
      <c r="AA85" s="1057">
        <v>822175.58499999996</v>
      </c>
      <c r="AB85" s="1057">
        <v>193995.58499999999</v>
      </c>
      <c r="AC85" s="1057">
        <v>628180</v>
      </c>
      <c r="AD85" s="1057">
        <v>0</v>
      </c>
      <c r="AE85" s="1057">
        <v>0</v>
      </c>
      <c r="AF85" s="1057">
        <v>628180</v>
      </c>
      <c r="AG85" s="1057">
        <v>0</v>
      </c>
      <c r="AH85" s="1057">
        <v>418000</v>
      </c>
      <c r="AI85" s="1057">
        <v>378000</v>
      </c>
      <c r="AJ85" s="1053" t="s">
        <v>900</v>
      </c>
      <c r="AK85" s="1053" t="s">
        <v>922</v>
      </c>
      <c r="AL85" s="1054" t="s">
        <v>1416</v>
      </c>
      <c r="AM85" s="1053" t="s">
        <v>10</v>
      </c>
      <c r="AN85" s="1054" t="s">
        <v>130</v>
      </c>
      <c r="AO85" s="1054">
        <v>193995.58499999999</v>
      </c>
      <c r="AP85" s="1059">
        <f t="shared" si="44"/>
        <v>142.274</v>
      </c>
      <c r="AQ85" s="1059">
        <f t="shared" si="27"/>
        <v>161.274</v>
      </c>
      <c r="AR85" s="1052">
        <v>66</v>
      </c>
      <c r="AS85" s="1052">
        <v>378</v>
      </c>
      <c r="AT85" s="1052">
        <v>32</v>
      </c>
      <c r="AU85" s="1052">
        <v>1</v>
      </c>
      <c r="AV85" s="1052">
        <v>0</v>
      </c>
      <c r="AW85" s="1052">
        <v>0</v>
      </c>
      <c r="AX85" s="1052">
        <v>0</v>
      </c>
      <c r="AY85" s="1052">
        <v>0</v>
      </c>
      <c r="AZ85" s="1052">
        <v>0</v>
      </c>
      <c r="BA85" s="1052">
        <v>11</v>
      </c>
      <c r="BB85" s="1052">
        <v>19</v>
      </c>
      <c r="BC85" s="1052">
        <v>0</v>
      </c>
      <c r="BD85" s="1052">
        <v>0</v>
      </c>
      <c r="BE85" s="1052">
        <v>0</v>
      </c>
      <c r="BF85" s="1052">
        <v>0</v>
      </c>
      <c r="BG85" s="1052">
        <v>0</v>
      </c>
      <c r="BH85" s="1052">
        <v>0</v>
      </c>
      <c r="BI85" s="1052">
        <v>2</v>
      </c>
      <c r="BJ85" s="1052">
        <v>0</v>
      </c>
      <c r="BK85" s="1052">
        <v>0</v>
      </c>
      <c r="BL85" s="1052">
        <v>12674</v>
      </c>
      <c r="BM85" s="1052">
        <v>0</v>
      </c>
      <c r="BN85" s="1052">
        <v>30600</v>
      </c>
      <c r="BO85" s="1052">
        <v>0</v>
      </c>
      <c r="BR85" s="1140">
        <f t="shared" si="28"/>
        <v>916666.66666666674</v>
      </c>
      <c r="BS85" s="1140">
        <f t="shared" si="29"/>
        <v>444444.4444444445</v>
      </c>
      <c r="BT85" s="1140">
        <f t="shared" si="30"/>
        <v>13888.888888888891</v>
      </c>
      <c r="BU85" s="1140">
        <f t="shared" si="31"/>
        <v>1375000.0000000002</v>
      </c>
      <c r="BV85" s="1140">
        <f t="shared" si="41"/>
        <v>0</v>
      </c>
      <c r="BW85" s="1140">
        <f t="shared" si="42"/>
        <v>0</v>
      </c>
      <c r="BX85" s="1140">
        <f t="shared" si="43"/>
        <v>0</v>
      </c>
      <c r="BY85" s="1140">
        <f t="shared" si="32"/>
        <v>0</v>
      </c>
      <c r="CA85" s="1140">
        <f t="shared" si="33"/>
        <v>916666.66666666674</v>
      </c>
      <c r="CB85" s="1140">
        <f t="shared" si="34"/>
        <v>444444.4444444445</v>
      </c>
      <c r="CC85" s="1140">
        <f t="shared" si="35"/>
        <v>13888.888888888891</v>
      </c>
      <c r="CD85" s="1140">
        <f t="shared" si="36"/>
        <v>1375000.0000000002</v>
      </c>
      <c r="CE85" s="1140">
        <f t="shared" si="37"/>
        <v>0</v>
      </c>
      <c r="CF85" s="1140">
        <f t="shared" si="38"/>
        <v>0</v>
      </c>
      <c r="CG85" s="1140">
        <f t="shared" si="39"/>
        <v>0</v>
      </c>
      <c r="CH85" s="1140">
        <f t="shared" si="40"/>
        <v>0</v>
      </c>
      <c r="CJ85" s="1069"/>
      <c r="CK85" s="1069"/>
      <c r="CL85" s="1069"/>
      <c r="CM85" s="1069"/>
      <c r="CN85" s="1069"/>
      <c r="CO85" s="1069"/>
      <c r="CP85" s="1069"/>
      <c r="CQ85" s="1069"/>
      <c r="CR85" s="1069"/>
      <c r="CS85" s="1069"/>
      <c r="CT85" s="1069"/>
      <c r="CU85" s="1069"/>
      <c r="CV85" s="1069"/>
      <c r="CW85" s="1069"/>
      <c r="CX85" s="1069"/>
      <c r="CY85" s="1069"/>
      <c r="CZ85" s="1069"/>
      <c r="DA85" s="1069"/>
      <c r="DB85" s="1069"/>
      <c r="DC85" s="1069"/>
      <c r="DD85" s="1069"/>
      <c r="DE85" s="1069"/>
      <c r="DF85" s="1069"/>
      <c r="DG85" s="1069"/>
      <c r="DH85" s="1069"/>
      <c r="DI85" s="1069"/>
      <c r="DJ85" s="1069"/>
      <c r="DK85" s="1069"/>
      <c r="DL85" s="1069"/>
      <c r="DM85" s="1069"/>
      <c r="DN85" s="1069"/>
      <c r="DO85" s="1069"/>
      <c r="DP85" s="1069"/>
      <c r="DQ85" s="1069"/>
      <c r="DR85" s="1069"/>
      <c r="DS85" s="1069"/>
      <c r="DT85" s="1069"/>
      <c r="DU85" s="1069"/>
      <c r="DV85" s="1069"/>
      <c r="DW85" s="1069"/>
      <c r="DX85" s="1069"/>
      <c r="DY85" s="1069"/>
      <c r="DZ85" s="1069"/>
      <c r="EA85" s="1069"/>
      <c r="EB85" s="1069"/>
      <c r="EC85" s="1069"/>
      <c r="ED85" s="1069"/>
      <c r="EE85" s="1069"/>
      <c r="EF85" s="1069"/>
      <c r="EG85" s="1069"/>
      <c r="EH85" s="1069"/>
      <c r="EI85" s="1069"/>
      <c r="EJ85" s="1069"/>
      <c r="EK85" s="1069"/>
      <c r="EL85" s="1069"/>
      <c r="EM85" s="1069"/>
      <c r="EN85" s="1069"/>
      <c r="EO85" s="1069"/>
      <c r="EP85" s="1069"/>
      <c r="EQ85" s="1069"/>
      <c r="ER85" s="1069"/>
      <c r="ES85" s="1069"/>
      <c r="ET85" s="1069"/>
      <c r="EU85" s="1069"/>
      <c r="EV85" s="1069"/>
      <c r="EW85" s="1069"/>
      <c r="EX85" s="1069"/>
      <c r="EY85" s="1069"/>
      <c r="EZ85" s="1069"/>
      <c r="FA85" s="1069"/>
      <c r="FB85" s="1069"/>
      <c r="FC85" s="1069"/>
      <c r="FD85" s="1069"/>
      <c r="FE85" s="1069"/>
      <c r="FF85" s="1069"/>
      <c r="FG85" s="1069"/>
      <c r="FH85" s="1069"/>
      <c r="FI85" s="1069"/>
      <c r="FJ85" s="1069"/>
      <c r="FK85" s="1069"/>
      <c r="FL85" s="1069"/>
      <c r="FM85" s="1069"/>
      <c r="FN85" s="1069"/>
      <c r="FO85" s="1069"/>
      <c r="FP85" s="1069"/>
      <c r="FQ85" s="1069"/>
      <c r="FR85" s="1069"/>
      <c r="FS85" s="1069"/>
      <c r="FT85" s="1069"/>
      <c r="FU85" s="1069"/>
      <c r="FV85" s="1069"/>
      <c r="FW85" s="1069"/>
      <c r="FX85" s="1069"/>
      <c r="FY85" s="1069"/>
      <c r="FZ85" s="1069"/>
      <c r="GA85" s="1069"/>
      <c r="GB85" s="1069"/>
      <c r="GC85" s="1069"/>
      <c r="GD85" s="1069"/>
      <c r="GE85" s="1069"/>
      <c r="GF85" s="1069"/>
      <c r="GG85" s="1069"/>
      <c r="GH85" s="1069"/>
      <c r="GI85" s="1069"/>
      <c r="GJ85" s="1069"/>
      <c r="GK85" s="1069"/>
      <c r="GL85" s="1069"/>
      <c r="GM85" s="1069"/>
      <c r="GN85" s="1069"/>
      <c r="GO85" s="1069"/>
      <c r="GP85" s="1069"/>
      <c r="GQ85" s="1069"/>
      <c r="GR85" s="1069"/>
      <c r="GS85" s="1069"/>
      <c r="GT85" s="1069"/>
      <c r="GU85" s="1069"/>
      <c r="GV85" s="1069"/>
      <c r="GW85" s="1069"/>
      <c r="GX85" s="1069"/>
    </row>
    <row r="86" spans="1:206" ht="15" customHeight="1" x14ac:dyDescent="0.2">
      <c r="A86" s="1052">
        <v>8735</v>
      </c>
      <c r="B86" s="1052"/>
      <c r="C86" s="1053" t="s">
        <v>133</v>
      </c>
      <c r="D86" s="1054" t="s">
        <v>133</v>
      </c>
      <c r="E86" s="1055">
        <f t="shared" si="24"/>
        <v>83683.168099999995</v>
      </c>
      <c r="F86" s="1055">
        <v>0</v>
      </c>
      <c r="G86" s="1056">
        <f t="shared" si="25"/>
        <v>83683.168099999995</v>
      </c>
      <c r="H86" s="1053" t="s">
        <v>10</v>
      </c>
      <c r="I86" s="1054" t="s">
        <v>1512</v>
      </c>
      <c r="J86" s="1054" t="s">
        <v>1417</v>
      </c>
      <c r="K86" s="1054" t="s">
        <v>78</v>
      </c>
      <c r="L86" s="1054" t="s">
        <v>10</v>
      </c>
      <c r="M86" s="1057">
        <v>35</v>
      </c>
      <c r="N86" s="1057">
        <v>0.996</v>
      </c>
      <c r="O86" s="1057">
        <v>0.97599999999999998</v>
      </c>
      <c r="P86" s="1057">
        <v>0.99199999999999999</v>
      </c>
      <c r="Q86" s="1057">
        <v>0.82599999999999996</v>
      </c>
      <c r="R86" s="1057">
        <v>0</v>
      </c>
      <c r="S86" s="1057">
        <v>431579</v>
      </c>
      <c r="T86" s="1058">
        <f t="shared" si="26"/>
        <v>83683.168099999995</v>
      </c>
      <c r="U86" s="1057">
        <v>353962</v>
      </c>
      <c r="V86" s="1057">
        <v>77617</v>
      </c>
      <c r="W86" s="1057">
        <v>2400</v>
      </c>
      <c r="X86" s="1057">
        <v>0</v>
      </c>
      <c r="Y86" s="1057">
        <v>0</v>
      </c>
      <c r="Z86" s="1057">
        <v>0</v>
      </c>
      <c r="AA86" s="1057">
        <v>515262.16810000001</v>
      </c>
      <c r="AB86" s="1057">
        <v>83683.168099999995</v>
      </c>
      <c r="AC86" s="1057">
        <v>431579</v>
      </c>
      <c r="AD86" s="1057">
        <v>0</v>
      </c>
      <c r="AE86" s="1057">
        <v>0</v>
      </c>
      <c r="AF86" s="1057">
        <v>0</v>
      </c>
      <c r="AG86" s="1057">
        <v>431579</v>
      </c>
      <c r="AH86" s="1057">
        <v>0</v>
      </c>
      <c r="AI86" s="1057">
        <v>0</v>
      </c>
      <c r="AJ86" s="1053" t="s">
        <v>900</v>
      </c>
      <c r="AK86" s="1053" t="s">
        <v>907</v>
      </c>
      <c r="AL86" s="1054" t="s">
        <v>1512</v>
      </c>
      <c r="AM86" s="1053" t="s">
        <v>10</v>
      </c>
      <c r="AN86" s="1054" t="s">
        <v>133</v>
      </c>
      <c r="AO86" s="1054">
        <v>83683.168099999995</v>
      </c>
      <c r="AP86" s="1059">
        <f t="shared" si="44"/>
        <v>34</v>
      </c>
      <c r="AQ86" s="1059">
        <f t="shared" si="27"/>
        <v>185</v>
      </c>
      <c r="AR86" s="1052">
        <v>0</v>
      </c>
      <c r="AS86" s="1052">
        <v>0</v>
      </c>
      <c r="AT86" s="1052">
        <v>33</v>
      </c>
      <c r="AU86" s="1052">
        <v>1</v>
      </c>
      <c r="AV86" s="1052">
        <v>0</v>
      </c>
      <c r="AW86" s="1052">
        <v>0</v>
      </c>
      <c r="AX86" s="1052">
        <v>0</v>
      </c>
      <c r="AY86" s="1052">
        <v>0</v>
      </c>
      <c r="AZ86" s="1052">
        <v>0</v>
      </c>
      <c r="BA86" s="1052">
        <v>-11</v>
      </c>
      <c r="BB86" s="1052">
        <v>151</v>
      </c>
      <c r="BC86" s="1052">
        <v>0</v>
      </c>
      <c r="BD86" s="1052">
        <v>0</v>
      </c>
      <c r="BE86" s="1052">
        <v>0</v>
      </c>
      <c r="BF86" s="1052">
        <v>0</v>
      </c>
      <c r="BG86" s="1052">
        <v>0</v>
      </c>
      <c r="BH86" s="1052">
        <v>0</v>
      </c>
      <c r="BI86" s="1052">
        <v>0</v>
      </c>
      <c r="BJ86" s="1052">
        <v>0</v>
      </c>
      <c r="BK86" s="1052">
        <v>0</v>
      </c>
      <c r="BL86" s="1052">
        <v>0</v>
      </c>
      <c r="BM86" s="1052">
        <v>0</v>
      </c>
      <c r="BN86" s="1052">
        <v>0</v>
      </c>
      <c r="BO86" s="1052">
        <v>0</v>
      </c>
      <c r="BR86" s="1140">
        <f t="shared" si="28"/>
        <v>0</v>
      </c>
      <c r="BS86" s="1140">
        <f t="shared" si="29"/>
        <v>458333.33333333337</v>
      </c>
      <c r="BT86" s="1140">
        <f t="shared" si="30"/>
        <v>13888.888888888891</v>
      </c>
      <c r="BU86" s="1140">
        <f t="shared" si="31"/>
        <v>472222.22222222225</v>
      </c>
      <c r="BV86" s="1140">
        <f t="shared" si="41"/>
        <v>0</v>
      </c>
      <c r="BW86" s="1140">
        <f t="shared" si="42"/>
        <v>0</v>
      </c>
      <c r="BX86" s="1140">
        <f t="shared" si="43"/>
        <v>0</v>
      </c>
      <c r="BY86" s="1140">
        <f t="shared" si="32"/>
        <v>0</v>
      </c>
      <c r="CA86" s="1140">
        <f t="shared" si="33"/>
        <v>0</v>
      </c>
      <c r="CB86" s="1140">
        <f t="shared" si="34"/>
        <v>458333.33333333337</v>
      </c>
      <c r="CC86" s="1140">
        <f t="shared" si="35"/>
        <v>13888.888888888891</v>
      </c>
      <c r="CD86" s="1140">
        <f t="shared" si="36"/>
        <v>472222.22222222225</v>
      </c>
      <c r="CE86" s="1140">
        <f t="shared" si="37"/>
        <v>0</v>
      </c>
      <c r="CF86" s="1140">
        <f t="shared" si="38"/>
        <v>0</v>
      </c>
      <c r="CG86" s="1140">
        <f t="shared" si="39"/>
        <v>0</v>
      </c>
      <c r="CH86" s="1140">
        <f t="shared" si="40"/>
        <v>0</v>
      </c>
      <c r="CJ86" s="1069"/>
      <c r="CK86" s="1069"/>
      <c r="CL86" s="1069"/>
      <c r="CM86" s="1069"/>
      <c r="CN86" s="1069"/>
      <c r="CO86" s="1069"/>
      <c r="CP86" s="1069"/>
      <c r="CQ86" s="1069"/>
      <c r="CR86" s="1069"/>
      <c r="CS86" s="1069"/>
      <c r="CT86" s="1069"/>
      <c r="CU86" s="1069"/>
      <c r="CV86" s="1069"/>
      <c r="CW86" s="1069"/>
      <c r="CX86" s="1069"/>
      <c r="CY86" s="1069"/>
      <c r="CZ86" s="1069"/>
      <c r="DA86" s="1069"/>
      <c r="DB86" s="1069"/>
      <c r="DC86" s="1069"/>
      <c r="DD86" s="1069"/>
      <c r="DE86" s="1069"/>
      <c r="DF86" s="1069"/>
      <c r="DG86" s="1069"/>
      <c r="DH86" s="1069"/>
      <c r="DI86" s="1069"/>
      <c r="DJ86" s="1069"/>
      <c r="DK86" s="1069"/>
      <c r="DL86" s="1069"/>
      <c r="DM86" s="1069"/>
      <c r="DN86" s="1069"/>
      <c r="DO86" s="1069"/>
      <c r="DP86" s="1069"/>
      <c r="DQ86" s="1069"/>
      <c r="DR86" s="1069"/>
      <c r="DS86" s="1069"/>
      <c r="DT86" s="1069"/>
      <c r="DU86" s="1069"/>
      <c r="DV86" s="1069"/>
      <c r="DW86" s="1069"/>
      <c r="DX86" s="1069"/>
      <c r="DY86" s="1069"/>
      <c r="DZ86" s="1069"/>
      <c r="EA86" s="1069"/>
      <c r="EB86" s="1069"/>
      <c r="EC86" s="1069"/>
      <c r="ED86" s="1069"/>
      <c r="EE86" s="1069"/>
      <c r="EF86" s="1069"/>
      <c r="EG86" s="1069"/>
      <c r="EH86" s="1069"/>
      <c r="EI86" s="1069"/>
      <c r="EJ86" s="1069"/>
      <c r="EK86" s="1069"/>
      <c r="EL86" s="1069"/>
      <c r="EM86" s="1069"/>
      <c r="EN86" s="1069"/>
      <c r="EO86" s="1069"/>
      <c r="EP86" s="1069"/>
      <c r="EQ86" s="1069"/>
      <c r="ER86" s="1069"/>
      <c r="ES86" s="1069"/>
      <c r="ET86" s="1069"/>
      <c r="EU86" s="1069"/>
      <c r="EV86" s="1069"/>
      <c r="EW86" s="1069"/>
      <c r="EX86" s="1069"/>
      <c r="EY86" s="1069"/>
      <c r="EZ86" s="1069"/>
      <c r="FA86" s="1069"/>
      <c r="FB86" s="1069"/>
      <c r="FC86" s="1069"/>
      <c r="FD86" s="1069"/>
      <c r="FE86" s="1069"/>
      <c r="FF86" s="1069"/>
      <c r="FG86" s="1069"/>
      <c r="FH86" s="1069"/>
      <c r="FI86" s="1069"/>
      <c r="FJ86" s="1069"/>
      <c r="FK86" s="1069"/>
      <c r="FL86" s="1069"/>
      <c r="FM86" s="1069"/>
      <c r="FN86" s="1069"/>
      <c r="FO86" s="1069"/>
      <c r="FP86" s="1069"/>
      <c r="FQ86" s="1069"/>
      <c r="FR86" s="1069"/>
      <c r="FS86" s="1069"/>
      <c r="FT86" s="1069"/>
      <c r="FU86" s="1069"/>
      <c r="FV86" s="1069"/>
      <c r="FW86" s="1069"/>
      <c r="FX86" s="1069"/>
      <c r="FY86" s="1069"/>
      <c r="FZ86" s="1069"/>
      <c r="GA86" s="1069"/>
      <c r="GB86" s="1069"/>
      <c r="GC86" s="1069"/>
      <c r="GD86" s="1069"/>
      <c r="GE86" s="1069"/>
      <c r="GF86" s="1069"/>
      <c r="GG86" s="1069"/>
      <c r="GH86" s="1069"/>
      <c r="GI86" s="1069"/>
      <c r="GJ86" s="1069"/>
      <c r="GK86" s="1069"/>
      <c r="GL86" s="1069"/>
      <c r="GM86" s="1069"/>
      <c r="GN86" s="1069"/>
      <c r="GO86" s="1069"/>
      <c r="GP86" s="1069"/>
      <c r="GQ86" s="1069"/>
      <c r="GR86" s="1069"/>
      <c r="GS86" s="1069"/>
      <c r="GT86" s="1069"/>
      <c r="GU86" s="1069"/>
      <c r="GV86" s="1069"/>
      <c r="GW86" s="1069"/>
      <c r="GX86" s="1069"/>
    </row>
    <row r="87" spans="1:206" ht="15" customHeight="1" x14ac:dyDescent="0.2">
      <c r="A87" s="1052">
        <v>1552</v>
      </c>
      <c r="B87" s="1052" t="s">
        <v>1412</v>
      </c>
      <c r="C87" s="1053" t="s">
        <v>135</v>
      </c>
      <c r="D87" s="1054" t="s">
        <v>135</v>
      </c>
      <c r="E87" s="1055">
        <f t="shared" si="24"/>
        <v>183178.6164</v>
      </c>
      <c r="F87" s="1055">
        <v>0</v>
      </c>
      <c r="G87" s="1056">
        <f t="shared" si="25"/>
        <v>183178.6164</v>
      </c>
      <c r="H87" s="1053" t="s">
        <v>10</v>
      </c>
      <c r="I87" s="1054" t="s">
        <v>1416</v>
      </c>
      <c r="J87" s="1054" t="s">
        <v>1412</v>
      </c>
      <c r="K87" s="1054" t="s">
        <v>138</v>
      </c>
      <c r="L87" s="1054" t="s">
        <v>10</v>
      </c>
      <c r="M87" s="1057">
        <v>92</v>
      </c>
      <c r="N87" s="1057">
        <v>0.73499999999999999</v>
      </c>
      <c r="O87" s="1057">
        <v>0.71799999999999997</v>
      </c>
      <c r="P87" s="1057">
        <v>0.70599999999999996</v>
      </c>
      <c r="Q87" s="1057">
        <v>0.74299999999999999</v>
      </c>
      <c r="R87" s="1057">
        <v>616089</v>
      </c>
      <c r="S87" s="1057">
        <v>525771</v>
      </c>
      <c r="T87" s="1058">
        <f t="shared" si="26"/>
        <v>183286.47749999998</v>
      </c>
      <c r="U87" s="1057">
        <v>277665</v>
      </c>
      <c r="V87" s="1057">
        <v>248106</v>
      </c>
      <c r="W87" s="1057">
        <v>2472</v>
      </c>
      <c r="X87" s="1057">
        <v>0</v>
      </c>
      <c r="Y87" s="1057">
        <v>0</v>
      </c>
      <c r="Z87" s="1057">
        <v>0</v>
      </c>
      <c r="AA87" s="1057">
        <v>709057.47750000004</v>
      </c>
      <c r="AB87" s="1057">
        <v>183286.47750000001</v>
      </c>
      <c r="AC87" s="1057">
        <v>525771</v>
      </c>
      <c r="AD87" s="1057">
        <v>0</v>
      </c>
      <c r="AE87" s="1057">
        <v>0</v>
      </c>
      <c r="AF87" s="1057">
        <v>525771</v>
      </c>
      <c r="AG87" s="1057">
        <v>0</v>
      </c>
      <c r="AH87" s="1057">
        <v>186000</v>
      </c>
      <c r="AI87" s="1057">
        <v>221000</v>
      </c>
      <c r="AJ87" s="1053" t="s">
        <v>900</v>
      </c>
      <c r="AK87" s="1053" t="s">
        <v>922</v>
      </c>
      <c r="AL87" s="1054" t="s">
        <v>1416</v>
      </c>
      <c r="AM87" s="1053" t="s">
        <v>10</v>
      </c>
      <c r="AN87" s="1054" t="s">
        <v>135</v>
      </c>
      <c r="AO87" s="1054">
        <v>183286.47750000001</v>
      </c>
      <c r="AP87" s="1059">
        <f t="shared" si="44"/>
        <v>102.846</v>
      </c>
      <c r="AQ87" s="1059">
        <f t="shared" si="27"/>
        <v>109.846</v>
      </c>
      <c r="AR87" s="1052">
        <v>56</v>
      </c>
      <c r="AS87" s="1052">
        <v>221</v>
      </c>
      <c r="AT87" s="1052">
        <v>43</v>
      </c>
      <c r="AU87" s="1052">
        <v>0</v>
      </c>
      <c r="AV87" s="1052">
        <v>0</v>
      </c>
      <c r="AW87" s="1052">
        <v>0</v>
      </c>
      <c r="AX87" s="1052">
        <v>0</v>
      </c>
      <c r="AY87" s="1052">
        <v>0</v>
      </c>
      <c r="AZ87" s="1052">
        <v>0</v>
      </c>
      <c r="BA87" s="1052">
        <v>7</v>
      </c>
      <c r="BB87" s="1052">
        <v>7</v>
      </c>
      <c r="BC87" s="1052">
        <v>0</v>
      </c>
      <c r="BD87" s="1052">
        <v>0</v>
      </c>
      <c r="BE87" s="1052">
        <v>0</v>
      </c>
      <c r="BF87" s="1052">
        <v>0</v>
      </c>
      <c r="BG87" s="1052">
        <v>0</v>
      </c>
      <c r="BH87" s="1052">
        <v>0</v>
      </c>
      <c r="BI87" s="1052">
        <v>0</v>
      </c>
      <c r="BJ87" s="1052">
        <v>0</v>
      </c>
      <c r="BK87" s="1052">
        <v>0</v>
      </c>
      <c r="BL87" s="1052">
        <v>3846</v>
      </c>
      <c r="BM87" s="1052">
        <v>0</v>
      </c>
      <c r="BN87" s="1052">
        <v>0</v>
      </c>
      <c r="BO87" s="1052">
        <v>0</v>
      </c>
      <c r="BR87" s="1140">
        <f t="shared" si="28"/>
        <v>777777.77777777787</v>
      </c>
      <c r="BS87" s="1140">
        <f t="shared" si="29"/>
        <v>597222.22222222225</v>
      </c>
      <c r="BT87" s="1140">
        <f t="shared" si="30"/>
        <v>0</v>
      </c>
      <c r="BU87" s="1140">
        <f t="shared" si="31"/>
        <v>1375000</v>
      </c>
      <c r="BV87" s="1140">
        <f t="shared" si="41"/>
        <v>0</v>
      </c>
      <c r="BW87" s="1140">
        <f t="shared" si="42"/>
        <v>0</v>
      </c>
      <c r="BX87" s="1140">
        <f t="shared" si="43"/>
        <v>0</v>
      </c>
      <c r="BY87" s="1140">
        <f t="shared" si="32"/>
        <v>0</v>
      </c>
      <c r="CA87" s="1140">
        <f t="shared" si="33"/>
        <v>777777.77777777787</v>
      </c>
      <c r="CB87" s="1140">
        <f t="shared" si="34"/>
        <v>597222.22222222225</v>
      </c>
      <c r="CC87" s="1140">
        <f t="shared" si="35"/>
        <v>0</v>
      </c>
      <c r="CD87" s="1140">
        <f t="shared" si="36"/>
        <v>1375000</v>
      </c>
      <c r="CE87" s="1140">
        <f t="shared" si="37"/>
        <v>0</v>
      </c>
      <c r="CF87" s="1140">
        <f t="shared" si="38"/>
        <v>0</v>
      </c>
      <c r="CG87" s="1140">
        <f t="shared" si="39"/>
        <v>0</v>
      </c>
      <c r="CH87" s="1140">
        <f t="shared" si="40"/>
        <v>0</v>
      </c>
      <c r="CJ87" s="1069"/>
      <c r="CK87" s="1069"/>
      <c r="CL87" s="1069"/>
      <c r="CM87" s="1069"/>
      <c r="CN87" s="1069"/>
      <c r="CO87" s="1069"/>
      <c r="CP87" s="1069"/>
      <c r="CQ87" s="1069"/>
      <c r="CR87" s="1069"/>
      <c r="CS87" s="1069"/>
      <c r="CT87" s="1069"/>
      <c r="CU87" s="1069"/>
      <c r="CV87" s="1069"/>
      <c r="CW87" s="1069"/>
      <c r="CX87" s="1069"/>
      <c r="CY87" s="1069"/>
      <c r="CZ87" s="1069"/>
      <c r="DA87" s="1069"/>
      <c r="DB87" s="1069"/>
      <c r="DC87" s="1069"/>
      <c r="DD87" s="1069"/>
      <c r="DE87" s="1069"/>
      <c r="DF87" s="1069"/>
      <c r="DG87" s="1069"/>
      <c r="DH87" s="1069"/>
      <c r="DI87" s="1069"/>
      <c r="DJ87" s="1069"/>
      <c r="DK87" s="1069"/>
      <c r="DL87" s="1069"/>
      <c r="DM87" s="1069"/>
      <c r="DN87" s="1069"/>
      <c r="DO87" s="1069"/>
      <c r="DP87" s="1069"/>
      <c r="DQ87" s="1069"/>
      <c r="DR87" s="1069"/>
      <c r="DS87" s="1069"/>
      <c r="DT87" s="1069"/>
      <c r="DU87" s="1069"/>
      <c r="DV87" s="1069"/>
      <c r="DW87" s="1069"/>
      <c r="DX87" s="1069"/>
      <c r="DY87" s="1069"/>
      <c r="DZ87" s="1069"/>
      <c r="EA87" s="1069"/>
      <c r="EB87" s="1069"/>
      <c r="EC87" s="1069"/>
      <c r="ED87" s="1069"/>
      <c r="EE87" s="1069"/>
      <c r="EF87" s="1069"/>
      <c r="EG87" s="1069"/>
      <c r="EH87" s="1069"/>
      <c r="EI87" s="1069"/>
      <c r="EJ87" s="1069"/>
      <c r="EK87" s="1069"/>
      <c r="EL87" s="1069"/>
      <c r="EM87" s="1069"/>
      <c r="EN87" s="1069"/>
      <c r="EO87" s="1069"/>
      <c r="EP87" s="1069"/>
      <c r="EQ87" s="1069"/>
      <c r="ER87" s="1069"/>
      <c r="ES87" s="1069"/>
      <c r="ET87" s="1069"/>
      <c r="EU87" s="1069"/>
      <c r="EV87" s="1069"/>
      <c r="EW87" s="1069"/>
      <c r="EX87" s="1069"/>
      <c r="EY87" s="1069"/>
      <c r="EZ87" s="1069"/>
      <c r="FA87" s="1069"/>
      <c r="FB87" s="1069"/>
      <c r="FC87" s="1069"/>
      <c r="FD87" s="1069"/>
      <c r="FE87" s="1069"/>
      <c r="FF87" s="1069"/>
      <c r="FG87" s="1069"/>
      <c r="FH87" s="1069"/>
      <c r="FI87" s="1069"/>
      <c r="FJ87" s="1069"/>
      <c r="FK87" s="1069"/>
      <c r="FL87" s="1069"/>
      <c r="FM87" s="1069"/>
      <c r="FN87" s="1069"/>
      <c r="FO87" s="1069"/>
      <c r="FP87" s="1069"/>
      <c r="FQ87" s="1069"/>
      <c r="FR87" s="1069"/>
      <c r="FS87" s="1069"/>
      <c r="FT87" s="1069"/>
      <c r="FU87" s="1069"/>
      <c r="FV87" s="1069"/>
      <c r="FW87" s="1069"/>
      <c r="FX87" s="1069"/>
      <c r="FY87" s="1069"/>
      <c r="FZ87" s="1069"/>
      <c r="GA87" s="1069"/>
      <c r="GB87" s="1069"/>
      <c r="GC87" s="1069"/>
      <c r="GD87" s="1069"/>
      <c r="GE87" s="1069"/>
      <c r="GF87" s="1069"/>
      <c r="GG87" s="1069"/>
      <c r="GH87" s="1069"/>
      <c r="GI87" s="1069"/>
      <c r="GJ87" s="1069"/>
      <c r="GK87" s="1069"/>
      <c r="GL87" s="1069"/>
      <c r="GM87" s="1069"/>
      <c r="GN87" s="1069"/>
      <c r="GO87" s="1069"/>
      <c r="GP87" s="1069"/>
      <c r="GQ87" s="1069"/>
      <c r="GR87" s="1069"/>
      <c r="GS87" s="1069"/>
      <c r="GT87" s="1069"/>
      <c r="GU87" s="1069"/>
      <c r="GV87" s="1069"/>
      <c r="GW87" s="1069"/>
      <c r="GX87" s="1069"/>
    </row>
    <row r="88" spans="1:206" ht="15" customHeight="1" x14ac:dyDescent="0.2">
      <c r="A88" s="1052">
        <v>1704</v>
      </c>
      <c r="B88" s="1052" t="s">
        <v>1412</v>
      </c>
      <c r="C88" s="1053" t="s">
        <v>139</v>
      </c>
      <c r="D88" s="1054" t="s">
        <v>139</v>
      </c>
      <c r="E88" s="1055">
        <f t="shared" si="24"/>
        <v>300459.4632</v>
      </c>
      <c r="F88" s="1055">
        <v>787736</v>
      </c>
      <c r="G88" s="1056">
        <f t="shared" si="25"/>
        <v>1088195.4632000001</v>
      </c>
      <c r="H88" s="1053" t="s">
        <v>10</v>
      </c>
      <c r="I88" s="1054" t="s">
        <v>1416</v>
      </c>
      <c r="J88" s="1054" t="s">
        <v>1412</v>
      </c>
      <c r="K88" s="1054" t="s">
        <v>141</v>
      </c>
      <c r="L88" s="1054" t="s">
        <v>1412</v>
      </c>
      <c r="M88" s="1057">
        <v>100</v>
      </c>
      <c r="N88" s="1057">
        <v>0.85599999999999998</v>
      </c>
      <c r="O88" s="1057">
        <v>0.86299999999999999</v>
      </c>
      <c r="P88" s="1057">
        <v>0.72399999999999998</v>
      </c>
      <c r="Q88" s="1057">
        <v>0.76900000000000002</v>
      </c>
      <c r="R88" s="1057">
        <v>1347605</v>
      </c>
      <c r="S88" s="1057">
        <v>862398</v>
      </c>
      <c r="T88" s="1058">
        <f t="shared" si="26"/>
        <v>400912.48749999999</v>
      </c>
      <c r="U88" s="1057">
        <v>471463</v>
      </c>
      <c r="V88" s="1057">
        <v>390935</v>
      </c>
      <c r="W88" s="1057">
        <v>4350</v>
      </c>
      <c r="X88" s="1057">
        <v>1188648.4879999999</v>
      </c>
      <c r="Y88" s="1057">
        <v>400912.48749999999</v>
      </c>
      <c r="Z88" s="1057">
        <v>787736</v>
      </c>
      <c r="AA88" s="1057">
        <v>74662</v>
      </c>
      <c r="AB88" s="1057">
        <v>0</v>
      </c>
      <c r="AC88" s="1057">
        <v>74662</v>
      </c>
      <c r="AD88" s="1057">
        <v>787736</v>
      </c>
      <c r="AE88" s="1057">
        <v>0</v>
      </c>
      <c r="AF88" s="1057">
        <v>74662</v>
      </c>
      <c r="AG88" s="1057">
        <v>0</v>
      </c>
      <c r="AH88" s="1057">
        <v>779000</v>
      </c>
      <c r="AI88" s="1057">
        <v>461000</v>
      </c>
      <c r="AJ88" s="1053">
        <v>4</v>
      </c>
      <c r="AK88" s="1053" t="s">
        <v>899</v>
      </c>
      <c r="AL88" s="1054" t="s">
        <v>1416</v>
      </c>
      <c r="AM88" s="1053" t="s">
        <v>10</v>
      </c>
      <c r="AN88" s="1054" t="s">
        <v>139</v>
      </c>
      <c r="AO88" s="1054">
        <v>1188648.4875</v>
      </c>
      <c r="AP88" s="1059">
        <f t="shared" si="44"/>
        <v>663.721</v>
      </c>
      <c r="AQ88" s="1059">
        <f t="shared" si="27"/>
        <v>665.721</v>
      </c>
      <c r="AR88" s="1052">
        <v>218</v>
      </c>
      <c r="AS88" s="1052">
        <v>461</v>
      </c>
      <c r="AT88" s="1052">
        <v>148</v>
      </c>
      <c r="AU88" s="1052">
        <v>24</v>
      </c>
      <c r="AV88" s="1052">
        <v>0</v>
      </c>
      <c r="AW88" s="1052">
        <v>0</v>
      </c>
      <c r="AX88" s="1052">
        <v>0</v>
      </c>
      <c r="AY88" s="1052">
        <v>0</v>
      </c>
      <c r="AZ88" s="1052">
        <v>16</v>
      </c>
      <c r="BA88" s="1052">
        <v>74</v>
      </c>
      <c r="BB88" s="1052">
        <v>2</v>
      </c>
      <c r="BC88" s="1052">
        <v>0</v>
      </c>
      <c r="BD88" s="1052">
        <v>12</v>
      </c>
      <c r="BE88" s="1052">
        <v>0</v>
      </c>
      <c r="BF88" s="1052">
        <v>0</v>
      </c>
      <c r="BG88" s="1052">
        <v>0</v>
      </c>
      <c r="BH88" s="1052">
        <v>154</v>
      </c>
      <c r="BI88" s="1052">
        <v>0</v>
      </c>
      <c r="BJ88" s="1052">
        <v>0</v>
      </c>
      <c r="BK88" s="1052">
        <v>0</v>
      </c>
      <c r="BL88" s="1052">
        <v>0</v>
      </c>
      <c r="BM88" s="1052">
        <v>0</v>
      </c>
      <c r="BN88" s="1052">
        <v>0</v>
      </c>
      <c r="BO88" s="1052">
        <v>917.21</v>
      </c>
      <c r="BR88" s="1140">
        <f t="shared" si="28"/>
        <v>3027777.777777778</v>
      </c>
      <c r="BS88" s="1140">
        <f t="shared" si="29"/>
        <v>2055555.5555555557</v>
      </c>
      <c r="BT88" s="1140">
        <f t="shared" si="30"/>
        <v>333333.33333333337</v>
      </c>
      <c r="BU88" s="1140">
        <f t="shared" si="31"/>
        <v>5416666.666666667</v>
      </c>
      <c r="BV88" s="1140">
        <f t="shared" si="41"/>
        <v>0</v>
      </c>
      <c r="BW88" s="1140">
        <f t="shared" si="42"/>
        <v>0</v>
      </c>
      <c r="BX88" s="1140">
        <f t="shared" si="43"/>
        <v>0</v>
      </c>
      <c r="BY88" s="1140">
        <f t="shared" si="32"/>
        <v>0</v>
      </c>
      <c r="CA88" s="1140">
        <f t="shared" si="33"/>
        <v>3027777.777777778</v>
      </c>
      <c r="CB88" s="1140">
        <f t="shared" si="34"/>
        <v>2055555.5555555557</v>
      </c>
      <c r="CC88" s="1140">
        <f t="shared" si="35"/>
        <v>333333.33333333337</v>
      </c>
      <c r="CD88" s="1140">
        <f t="shared" si="36"/>
        <v>5416666.666666667</v>
      </c>
      <c r="CE88" s="1140">
        <f t="shared" si="37"/>
        <v>0</v>
      </c>
      <c r="CF88" s="1140">
        <f t="shared" si="38"/>
        <v>0</v>
      </c>
      <c r="CG88" s="1140">
        <f t="shared" si="39"/>
        <v>0</v>
      </c>
      <c r="CH88" s="1140">
        <f t="shared" si="40"/>
        <v>0</v>
      </c>
      <c r="CJ88" s="1069"/>
      <c r="CK88" s="1069"/>
      <c r="CL88" s="1069"/>
      <c r="CM88" s="1069"/>
      <c r="CN88" s="1069"/>
      <c r="CO88" s="1069"/>
      <c r="CP88" s="1069"/>
      <c r="CQ88" s="1069"/>
      <c r="CR88" s="1069"/>
      <c r="CS88" s="1069"/>
      <c r="CT88" s="1069"/>
      <c r="CU88" s="1069"/>
      <c r="CV88" s="1069"/>
      <c r="CW88" s="1069"/>
      <c r="CX88" s="1069"/>
      <c r="CY88" s="1069"/>
      <c r="CZ88" s="1069"/>
      <c r="DA88" s="1069"/>
      <c r="DB88" s="1069"/>
      <c r="DC88" s="1069"/>
      <c r="DD88" s="1069"/>
      <c r="DE88" s="1069"/>
      <c r="DF88" s="1069"/>
      <c r="DG88" s="1069"/>
      <c r="DH88" s="1069"/>
      <c r="DI88" s="1069"/>
      <c r="DJ88" s="1069"/>
      <c r="DK88" s="1069"/>
      <c r="DL88" s="1069"/>
      <c r="DM88" s="1069"/>
      <c r="DN88" s="1069"/>
      <c r="DO88" s="1069"/>
      <c r="DP88" s="1069"/>
      <c r="DQ88" s="1069"/>
      <c r="DR88" s="1069"/>
      <c r="DS88" s="1069"/>
      <c r="DT88" s="1069"/>
      <c r="DU88" s="1069"/>
      <c r="DV88" s="1069"/>
      <c r="DW88" s="1069"/>
      <c r="DX88" s="1069"/>
      <c r="DY88" s="1069"/>
      <c r="DZ88" s="1069"/>
      <c r="EA88" s="1069"/>
      <c r="EB88" s="1069"/>
      <c r="EC88" s="1069"/>
      <c r="ED88" s="1069"/>
      <c r="EE88" s="1069"/>
      <c r="EF88" s="1069"/>
      <c r="EG88" s="1069"/>
      <c r="EH88" s="1069"/>
      <c r="EI88" s="1069"/>
      <c r="EJ88" s="1069"/>
      <c r="EK88" s="1069"/>
      <c r="EL88" s="1069"/>
      <c r="EM88" s="1069"/>
      <c r="EN88" s="1069"/>
      <c r="EO88" s="1069"/>
      <c r="EP88" s="1069"/>
      <c r="EQ88" s="1069"/>
      <c r="ER88" s="1069"/>
      <c r="ES88" s="1069"/>
      <c r="ET88" s="1069"/>
      <c r="EU88" s="1069"/>
      <c r="EV88" s="1069"/>
      <c r="EW88" s="1069"/>
      <c r="EX88" s="1069"/>
      <c r="EY88" s="1069"/>
      <c r="EZ88" s="1069"/>
      <c r="FA88" s="1069"/>
      <c r="FB88" s="1069"/>
      <c r="FC88" s="1069"/>
      <c r="FD88" s="1069"/>
      <c r="FE88" s="1069"/>
      <c r="FF88" s="1069"/>
      <c r="FG88" s="1069"/>
      <c r="FH88" s="1069"/>
      <c r="FI88" s="1069"/>
      <c r="FJ88" s="1069"/>
      <c r="FK88" s="1069"/>
      <c r="FL88" s="1069"/>
      <c r="FM88" s="1069"/>
      <c r="FN88" s="1069"/>
      <c r="FO88" s="1069"/>
      <c r="FP88" s="1069"/>
      <c r="FQ88" s="1069"/>
      <c r="FR88" s="1069"/>
      <c r="FS88" s="1069"/>
      <c r="FT88" s="1069"/>
      <c r="FU88" s="1069"/>
      <c r="FV88" s="1069"/>
      <c r="FW88" s="1069"/>
      <c r="FX88" s="1069"/>
      <c r="FY88" s="1069"/>
      <c r="FZ88" s="1069"/>
      <c r="GA88" s="1069"/>
      <c r="GB88" s="1069"/>
      <c r="GC88" s="1069"/>
      <c r="GD88" s="1069"/>
      <c r="GE88" s="1069"/>
      <c r="GF88" s="1069"/>
      <c r="GG88" s="1069"/>
      <c r="GH88" s="1069"/>
      <c r="GI88" s="1069"/>
      <c r="GJ88" s="1069"/>
      <c r="GK88" s="1069"/>
      <c r="GL88" s="1069"/>
      <c r="GM88" s="1069"/>
      <c r="GN88" s="1069"/>
      <c r="GO88" s="1069"/>
      <c r="GP88" s="1069"/>
      <c r="GQ88" s="1069"/>
      <c r="GR88" s="1069"/>
      <c r="GS88" s="1069"/>
      <c r="GT88" s="1069"/>
      <c r="GU88" s="1069"/>
      <c r="GV88" s="1069"/>
      <c r="GW88" s="1069"/>
      <c r="GX88" s="1069"/>
    </row>
    <row r="89" spans="1:206" ht="15" customHeight="1" x14ac:dyDescent="0.2">
      <c r="A89" s="1052">
        <v>8807</v>
      </c>
      <c r="B89" s="1052"/>
      <c r="C89" s="1053" t="s">
        <v>142</v>
      </c>
      <c r="D89" s="1054" t="s">
        <v>142</v>
      </c>
      <c r="E89" s="1055">
        <f t="shared" si="24"/>
        <v>51102.344999999994</v>
      </c>
      <c r="F89" s="1055">
        <v>0</v>
      </c>
      <c r="G89" s="1056">
        <f t="shared" si="25"/>
        <v>51102.344999999994</v>
      </c>
      <c r="H89" s="1053" t="s">
        <v>1417</v>
      </c>
      <c r="I89" s="1054" t="s">
        <v>1512</v>
      </c>
      <c r="J89" s="1054" t="s">
        <v>10</v>
      </c>
      <c r="K89" s="1054" t="s">
        <v>144</v>
      </c>
      <c r="L89" s="1054" t="s">
        <v>10</v>
      </c>
      <c r="M89" s="1057">
        <v>0</v>
      </c>
      <c r="N89" s="1057">
        <v>0.98399999999999999</v>
      </c>
      <c r="O89" s="1057">
        <v>0.98399999999999999</v>
      </c>
      <c r="P89" s="1057">
        <v>0.97</v>
      </c>
      <c r="Q89" s="1057">
        <v>0.82599999999999996</v>
      </c>
      <c r="R89" s="1057">
        <v>0</v>
      </c>
      <c r="S89" s="1057">
        <v>263550</v>
      </c>
      <c r="T89" s="1058">
        <f t="shared" si="26"/>
        <v>51102.344999999994</v>
      </c>
      <c r="U89" s="1057">
        <v>253782</v>
      </c>
      <c r="V89" s="1057">
        <v>9768</v>
      </c>
      <c r="W89" s="1057">
        <v>0</v>
      </c>
      <c r="X89" s="1057">
        <v>0</v>
      </c>
      <c r="Y89" s="1057">
        <v>0</v>
      </c>
      <c r="Z89" s="1057">
        <v>0</v>
      </c>
      <c r="AA89" s="1057">
        <v>314652.34499999997</v>
      </c>
      <c r="AB89" s="1057">
        <v>51102.345000000001</v>
      </c>
      <c r="AC89" s="1057">
        <v>263550</v>
      </c>
      <c r="AD89" s="1057">
        <v>0</v>
      </c>
      <c r="AE89" s="1057">
        <v>0</v>
      </c>
      <c r="AF89" s="1057">
        <v>0</v>
      </c>
      <c r="AG89" s="1057">
        <v>263550</v>
      </c>
      <c r="AH89" s="1057">
        <v>0</v>
      </c>
      <c r="AI89" s="1057">
        <v>0</v>
      </c>
      <c r="AJ89" s="1053" t="s">
        <v>900</v>
      </c>
      <c r="AK89" s="1053" t="s">
        <v>907</v>
      </c>
      <c r="AL89" s="1054" t="s">
        <v>1512</v>
      </c>
      <c r="AM89" s="1053" t="s">
        <v>1417</v>
      </c>
      <c r="AN89" s="1054" t="s">
        <v>142</v>
      </c>
      <c r="AO89" s="1054">
        <v>51102.345000000001</v>
      </c>
      <c r="AP89" s="1059">
        <f t="shared" si="44"/>
        <v>8</v>
      </c>
      <c r="AQ89" s="1059">
        <f t="shared" si="27"/>
        <v>8</v>
      </c>
      <c r="AR89" s="1052">
        <v>0</v>
      </c>
      <c r="AS89" s="1052">
        <v>0</v>
      </c>
      <c r="AT89" s="1052">
        <v>8</v>
      </c>
      <c r="AU89" s="1052">
        <v>0</v>
      </c>
      <c r="AV89" s="1052">
        <v>0</v>
      </c>
      <c r="AW89" s="1052">
        <v>0</v>
      </c>
      <c r="AX89" s="1052">
        <v>0</v>
      </c>
      <c r="AY89" s="1052">
        <v>0</v>
      </c>
      <c r="AZ89" s="1052">
        <v>0</v>
      </c>
      <c r="BA89" s="1052">
        <v>0</v>
      </c>
      <c r="BB89" s="1052">
        <v>0</v>
      </c>
      <c r="BC89" s="1052">
        <v>0</v>
      </c>
      <c r="BD89" s="1052">
        <v>0</v>
      </c>
      <c r="BE89" s="1052">
        <v>0</v>
      </c>
      <c r="BF89" s="1052">
        <v>0</v>
      </c>
      <c r="BG89" s="1052">
        <v>0</v>
      </c>
      <c r="BH89" s="1052">
        <v>0</v>
      </c>
      <c r="BI89" s="1052">
        <v>0</v>
      </c>
      <c r="BJ89" s="1052">
        <v>0</v>
      </c>
      <c r="BK89" s="1052">
        <v>0</v>
      </c>
      <c r="BL89" s="1052">
        <v>0</v>
      </c>
      <c r="BM89" s="1052">
        <v>0</v>
      </c>
      <c r="BN89" s="1052">
        <v>0</v>
      </c>
      <c r="BO89" s="1052">
        <v>0</v>
      </c>
      <c r="BR89" s="1140">
        <f t="shared" si="28"/>
        <v>0</v>
      </c>
      <c r="BS89" s="1140">
        <f t="shared" si="29"/>
        <v>111111.11111111112</v>
      </c>
      <c r="BT89" s="1140">
        <f t="shared" si="30"/>
        <v>0</v>
      </c>
      <c r="BU89" s="1140">
        <f t="shared" si="31"/>
        <v>111111.11111111112</v>
      </c>
      <c r="BV89" s="1140">
        <f t="shared" si="41"/>
        <v>0</v>
      </c>
      <c r="BW89" s="1140">
        <f t="shared" si="42"/>
        <v>0</v>
      </c>
      <c r="BX89" s="1140">
        <f t="shared" si="43"/>
        <v>0</v>
      </c>
      <c r="BY89" s="1140">
        <f t="shared" si="32"/>
        <v>0</v>
      </c>
      <c r="CA89" s="1140">
        <f t="shared" si="33"/>
        <v>0</v>
      </c>
      <c r="CB89" s="1140">
        <f t="shared" si="34"/>
        <v>0</v>
      </c>
      <c r="CC89" s="1140">
        <f t="shared" si="35"/>
        <v>0</v>
      </c>
      <c r="CD89" s="1140">
        <f t="shared" si="36"/>
        <v>0</v>
      </c>
      <c r="CE89" s="1140">
        <f t="shared" si="37"/>
        <v>0</v>
      </c>
      <c r="CF89" s="1140">
        <f t="shared" si="38"/>
        <v>0</v>
      </c>
      <c r="CG89" s="1140">
        <f t="shared" si="39"/>
        <v>0</v>
      </c>
      <c r="CH89" s="1140">
        <f t="shared" si="40"/>
        <v>0</v>
      </c>
      <c r="CJ89" s="1069"/>
      <c r="CK89" s="1069"/>
      <c r="CL89" s="1069"/>
      <c r="CM89" s="1069"/>
      <c r="CN89" s="1069"/>
      <c r="CO89" s="1069"/>
      <c r="CP89" s="1069"/>
      <c r="CQ89" s="1069"/>
      <c r="CR89" s="1069"/>
      <c r="CS89" s="1069"/>
      <c r="CT89" s="1069"/>
      <c r="CU89" s="1069"/>
      <c r="CV89" s="1069"/>
      <c r="CW89" s="1069"/>
      <c r="CX89" s="1069"/>
      <c r="CY89" s="1069"/>
      <c r="CZ89" s="1069"/>
      <c r="DA89" s="1069"/>
      <c r="DB89" s="1069"/>
      <c r="DC89" s="1069"/>
      <c r="DD89" s="1069"/>
      <c r="DE89" s="1069"/>
      <c r="DF89" s="1069"/>
      <c r="DG89" s="1069"/>
      <c r="DH89" s="1069"/>
      <c r="DI89" s="1069"/>
      <c r="DJ89" s="1069"/>
      <c r="DK89" s="1069"/>
      <c r="DL89" s="1069"/>
      <c r="DM89" s="1069"/>
      <c r="DN89" s="1069"/>
      <c r="DO89" s="1069"/>
      <c r="DP89" s="1069"/>
      <c r="DQ89" s="1069"/>
      <c r="DR89" s="1069"/>
      <c r="DS89" s="1069"/>
      <c r="DT89" s="1069"/>
      <c r="DU89" s="1069"/>
      <c r="DV89" s="1069"/>
      <c r="DW89" s="1069"/>
      <c r="DX89" s="1069"/>
      <c r="DY89" s="1069"/>
      <c r="DZ89" s="1069"/>
      <c r="EA89" s="1069"/>
      <c r="EB89" s="1069"/>
      <c r="EC89" s="1069"/>
      <c r="ED89" s="1069"/>
      <c r="EE89" s="1069"/>
      <c r="EF89" s="1069"/>
      <c r="EG89" s="1069"/>
      <c r="EH89" s="1069"/>
      <c r="EI89" s="1069"/>
      <c r="EJ89" s="1069"/>
      <c r="EK89" s="1069"/>
      <c r="EL89" s="1069"/>
      <c r="EM89" s="1069"/>
      <c r="EN89" s="1069"/>
      <c r="EO89" s="1069"/>
      <c r="EP89" s="1069"/>
      <c r="EQ89" s="1069"/>
      <c r="ER89" s="1069"/>
      <c r="ES89" s="1069"/>
      <c r="ET89" s="1069"/>
      <c r="EU89" s="1069"/>
      <c r="EV89" s="1069"/>
      <c r="EW89" s="1069"/>
      <c r="EX89" s="1069"/>
      <c r="EY89" s="1069"/>
      <c r="EZ89" s="1069"/>
      <c r="FA89" s="1069"/>
      <c r="FB89" s="1069"/>
      <c r="FC89" s="1069"/>
      <c r="FD89" s="1069"/>
      <c r="FE89" s="1069"/>
      <c r="FF89" s="1069"/>
      <c r="FG89" s="1069"/>
      <c r="FH89" s="1069"/>
      <c r="FI89" s="1069"/>
      <c r="FJ89" s="1069"/>
      <c r="FK89" s="1069"/>
      <c r="FL89" s="1069"/>
      <c r="FM89" s="1069"/>
      <c r="FN89" s="1069"/>
      <c r="FO89" s="1069"/>
      <c r="FP89" s="1069"/>
      <c r="FQ89" s="1069"/>
      <c r="FR89" s="1069"/>
      <c r="FS89" s="1069"/>
      <c r="FT89" s="1069"/>
      <c r="FU89" s="1069"/>
      <c r="FV89" s="1069"/>
      <c r="FW89" s="1069"/>
      <c r="FX89" s="1069"/>
      <c r="FY89" s="1069"/>
      <c r="FZ89" s="1069"/>
      <c r="GA89" s="1069"/>
      <c r="GB89" s="1069"/>
      <c r="GC89" s="1069"/>
      <c r="GD89" s="1069"/>
      <c r="GE89" s="1069"/>
      <c r="GF89" s="1069"/>
      <c r="GG89" s="1069"/>
      <c r="GH89" s="1069"/>
      <c r="GI89" s="1069"/>
      <c r="GJ89" s="1069"/>
      <c r="GK89" s="1069"/>
      <c r="GL89" s="1069"/>
      <c r="GM89" s="1069"/>
      <c r="GN89" s="1069"/>
      <c r="GO89" s="1069"/>
      <c r="GP89" s="1069"/>
      <c r="GQ89" s="1069"/>
      <c r="GR89" s="1069"/>
      <c r="GS89" s="1069"/>
      <c r="GT89" s="1069"/>
      <c r="GU89" s="1069"/>
      <c r="GV89" s="1069"/>
      <c r="GW89" s="1069"/>
      <c r="GX89" s="1069"/>
    </row>
    <row r="90" spans="1:206" ht="15" customHeight="1" x14ac:dyDescent="0.2">
      <c r="A90" s="1052">
        <v>8808</v>
      </c>
      <c r="B90" s="1052" t="s">
        <v>1412</v>
      </c>
      <c r="C90" s="1053" t="s">
        <v>145</v>
      </c>
      <c r="D90" s="1054" t="s">
        <v>145</v>
      </c>
      <c r="E90" s="1055">
        <f t="shared" si="24"/>
        <v>261640.7352</v>
      </c>
      <c r="F90" s="1055">
        <v>0</v>
      </c>
      <c r="G90" s="1056">
        <f t="shared" si="25"/>
        <v>261640.7352</v>
      </c>
      <c r="H90" s="1053" t="s">
        <v>1417</v>
      </c>
      <c r="I90" s="1054" t="s">
        <v>1416</v>
      </c>
      <c r="J90" s="1054" t="s">
        <v>1412</v>
      </c>
      <c r="K90" s="1054" t="s">
        <v>144</v>
      </c>
      <c r="L90" s="1054" t="s">
        <v>10</v>
      </c>
      <c r="M90" s="1057">
        <v>106</v>
      </c>
      <c r="N90" s="1057">
        <v>0.86599999999999999</v>
      </c>
      <c r="O90" s="1057">
        <v>0.86599999999999999</v>
      </c>
      <c r="P90" s="1057">
        <v>0.81899999999999995</v>
      </c>
      <c r="Q90" s="1057">
        <v>0.78100000000000003</v>
      </c>
      <c r="R90" s="1057">
        <v>701772</v>
      </c>
      <c r="S90" s="1057">
        <v>750978</v>
      </c>
      <c r="T90" s="1058">
        <f t="shared" si="26"/>
        <v>208777.16999999998</v>
      </c>
      <c r="U90" s="1057">
        <v>447346</v>
      </c>
      <c r="V90" s="1057">
        <v>303632</v>
      </c>
      <c r="W90" s="1057">
        <v>2758</v>
      </c>
      <c r="X90" s="1057">
        <v>0</v>
      </c>
      <c r="Y90" s="1057">
        <v>0</v>
      </c>
      <c r="Z90" s="1057">
        <v>0</v>
      </c>
      <c r="AA90" s="1057">
        <v>959755.17</v>
      </c>
      <c r="AB90" s="1057">
        <v>208777.17</v>
      </c>
      <c r="AC90" s="1057">
        <v>750978</v>
      </c>
      <c r="AD90" s="1057">
        <v>0</v>
      </c>
      <c r="AE90" s="1057">
        <v>0</v>
      </c>
      <c r="AF90" s="1057">
        <v>750978</v>
      </c>
      <c r="AG90" s="1057">
        <v>0</v>
      </c>
      <c r="AH90" s="1057">
        <v>553000</v>
      </c>
      <c r="AI90" s="1057">
        <v>583000</v>
      </c>
      <c r="AJ90" s="1053" t="s">
        <v>900</v>
      </c>
      <c r="AK90" s="1053" t="s">
        <v>907</v>
      </c>
      <c r="AL90" s="1054" t="s">
        <v>1416</v>
      </c>
      <c r="AM90" s="1053" t="s">
        <v>1417</v>
      </c>
      <c r="AN90" s="1054" t="s">
        <v>145</v>
      </c>
      <c r="AO90" s="1054">
        <v>208777.17</v>
      </c>
      <c r="AP90" s="1059">
        <f t="shared" si="44"/>
        <v>632.84320000000002</v>
      </c>
      <c r="AQ90" s="1059">
        <f t="shared" si="27"/>
        <v>673.84320000000002</v>
      </c>
      <c r="AR90" s="1052">
        <v>280</v>
      </c>
      <c r="AS90" s="1052">
        <v>583</v>
      </c>
      <c r="AT90" s="1052">
        <v>288</v>
      </c>
      <c r="AU90" s="1052">
        <v>0</v>
      </c>
      <c r="AV90" s="1052">
        <v>0</v>
      </c>
      <c r="AW90" s="1052">
        <v>0</v>
      </c>
      <c r="AX90" s="1052">
        <v>0</v>
      </c>
      <c r="AY90" s="1052">
        <v>0</v>
      </c>
      <c r="AZ90" s="1052">
        <v>0</v>
      </c>
      <c r="BA90" s="1052">
        <v>0</v>
      </c>
      <c r="BB90" s="1052">
        <v>38</v>
      </c>
      <c r="BC90" s="1052">
        <v>3</v>
      </c>
      <c r="BD90" s="1052">
        <v>1</v>
      </c>
      <c r="BE90" s="1052">
        <v>0</v>
      </c>
      <c r="BF90" s="1052">
        <v>0</v>
      </c>
      <c r="BG90" s="1052">
        <v>0</v>
      </c>
      <c r="BH90" s="1052">
        <v>3</v>
      </c>
      <c r="BI90" s="1052">
        <v>0</v>
      </c>
      <c r="BJ90" s="1052">
        <v>0</v>
      </c>
      <c r="BK90" s="1052">
        <v>0</v>
      </c>
      <c r="BL90" s="1052">
        <v>0</v>
      </c>
      <c r="BM90" s="1052">
        <v>0</v>
      </c>
      <c r="BN90" s="1052">
        <v>0</v>
      </c>
      <c r="BO90" s="1052">
        <v>608.43200000000002</v>
      </c>
      <c r="BR90" s="1140">
        <f t="shared" si="28"/>
        <v>3888888.888888889</v>
      </c>
      <c r="BS90" s="1140">
        <f t="shared" si="29"/>
        <v>4000000.0000000005</v>
      </c>
      <c r="BT90" s="1140">
        <f t="shared" si="30"/>
        <v>0</v>
      </c>
      <c r="BU90" s="1140">
        <f t="shared" si="31"/>
        <v>7888888.8888888899</v>
      </c>
      <c r="BV90" s="1140">
        <f t="shared" si="41"/>
        <v>0</v>
      </c>
      <c r="BW90" s="1140">
        <f t="shared" si="42"/>
        <v>0</v>
      </c>
      <c r="BX90" s="1140">
        <f t="shared" si="43"/>
        <v>0</v>
      </c>
      <c r="BY90" s="1140">
        <f t="shared" si="32"/>
        <v>0</v>
      </c>
      <c r="CA90" s="1140">
        <f t="shared" si="33"/>
        <v>0</v>
      </c>
      <c r="CB90" s="1140">
        <f t="shared" si="34"/>
        <v>0</v>
      </c>
      <c r="CC90" s="1140">
        <f t="shared" si="35"/>
        <v>0</v>
      </c>
      <c r="CD90" s="1140">
        <f t="shared" si="36"/>
        <v>0</v>
      </c>
      <c r="CE90" s="1140">
        <f t="shared" si="37"/>
        <v>0</v>
      </c>
      <c r="CF90" s="1140">
        <f t="shared" si="38"/>
        <v>0</v>
      </c>
      <c r="CG90" s="1140">
        <f t="shared" si="39"/>
        <v>0</v>
      </c>
      <c r="CH90" s="1140">
        <f t="shared" si="40"/>
        <v>0</v>
      </c>
      <c r="CJ90" s="1069"/>
      <c r="CK90" s="1069"/>
      <c r="CL90" s="1069"/>
      <c r="CM90" s="1069"/>
      <c r="CN90" s="1069"/>
      <c r="CO90" s="1069"/>
      <c r="CP90" s="1069"/>
      <c r="CQ90" s="1069"/>
      <c r="CR90" s="1069"/>
      <c r="CS90" s="1069"/>
      <c r="CT90" s="1069"/>
      <c r="CU90" s="1069"/>
      <c r="CV90" s="1069"/>
      <c r="CW90" s="1069"/>
      <c r="CX90" s="1069"/>
      <c r="CY90" s="1069"/>
      <c r="CZ90" s="1069"/>
      <c r="DA90" s="1069"/>
      <c r="DB90" s="1069"/>
      <c r="DC90" s="1069"/>
      <c r="DD90" s="1069"/>
      <c r="DE90" s="1069"/>
      <c r="DF90" s="1069"/>
      <c r="DG90" s="1069"/>
      <c r="DH90" s="1069"/>
      <c r="DI90" s="1069"/>
      <c r="DJ90" s="1069"/>
      <c r="DK90" s="1069"/>
      <c r="DL90" s="1069"/>
      <c r="DM90" s="1069"/>
      <c r="DN90" s="1069"/>
      <c r="DO90" s="1069"/>
      <c r="DP90" s="1069"/>
      <c r="DQ90" s="1069"/>
      <c r="DR90" s="1069"/>
      <c r="DS90" s="1069"/>
      <c r="DT90" s="1069"/>
      <c r="DU90" s="1069"/>
      <c r="DV90" s="1069"/>
      <c r="DW90" s="1069"/>
      <c r="DX90" s="1069"/>
      <c r="DY90" s="1069"/>
      <c r="DZ90" s="1069"/>
      <c r="EA90" s="1069"/>
      <c r="EB90" s="1069"/>
      <c r="EC90" s="1069"/>
      <c r="ED90" s="1069"/>
      <c r="EE90" s="1069"/>
      <c r="EF90" s="1069"/>
      <c r="EG90" s="1069"/>
      <c r="EH90" s="1069"/>
      <c r="EI90" s="1069"/>
      <c r="EJ90" s="1069"/>
      <c r="EK90" s="1069"/>
      <c r="EL90" s="1069"/>
      <c r="EM90" s="1069"/>
      <c r="EN90" s="1069"/>
      <c r="EO90" s="1069"/>
      <c r="EP90" s="1069"/>
      <c r="EQ90" s="1069"/>
      <c r="ER90" s="1069"/>
      <c r="ES90" s="1069"/>
      <c r="ET90" s="1069"/>
      <c r="EU90" s="1069"/>
      <c r="EV90" s="1069"/>
      <c r="EW90" s="1069"/>
      <c r="EX90" s="1069"/>
      <c r="EY90" s="1069"/>
      <c r="EZ90" s="1069"/>
      <c r="FA90" s="1069"/>
      <c r="FB90" s="1069"/>
      <c r="FC90" s="1069"/>
      <c r="FD90" s="1069"/>
      <c r="FE90" s="1069"/>
      <c r="FF90" s="1069"/>
      <c r="FG90" s="1069"/>
      <c r="FH90" s="1069"/>
      <c r="FI90" s="1069"/>
      <c r="FJ90" s="1069"/>
      <c r="FK90" s="1069"/>
      <c r="FL90" s="1069"/>
      <c r="FM90" s="1069"/>
      <c r="FN90" s="1069"/>
      <c r="FO90" s="1069"/>
      <c r="FP90" s="1069"/>
      <c r="FQ90" s="1069"/>
      <c r="FR90" s="1069"/>
      <c r="FS90" s="1069"/>
      <c r="FT90" s="1069"/>
      <c r="FU90" s="1069"/>
      <c r="FV90" s="1069"/>
      <c r="FW90" s="1069"/>
      <c r="FX90" s="1069"/>
      <c r="FY90" s="1069"/>
      <c r="FZ90" s="1069"/>
      <c r="GA90" s="1069"/>
      <c r="GB90" s="1069"/>
      <c r="GC90" s="1069"/>
      <c r="GD90" s="1069"/>
      <c r="GE90" s="1069"/>
      <c r="GF90" s="1069"/>
      <c r="GG90" s="1069"/>
      <c r="GH90" s="1069"/>
      <c r="GI90" s="1069"/>
      <c r="GJ90" s="1069"/>
      <c r="GK90" s="1069"/>
      <c r="GL90" s="1069"/>
      <c r="GM90" s="1069"/>
      <c r="GN90" s="1069"/>
      <c r="GO90" s="1069"/>
      <c r="GP90" s="1069"/>
      <c r="GQ90" s="1069"/>
      <c r="GR90" s="1069"/>
      <c r="GS90" s="1069"/>
      <c r="GT90" s="1069"/>
      <c r="GU90" s="1069"/>
      <c r="GV90" s="1069"/>
      <c r="GW90" s="1069"/>
      <c r="GX90" s="1069"/>
    </row>
    <row r="91" spans="1:206" ht="15" customHeight="1" x14ac:dyDescent="0.2">
      <c r="A91" s="1052">
        <v>1711</v>
      </c>
      <c r="B91" s="1052" t="s">
        <v>1412</v>
      </c>
      <c r="C91" s="1053" t="s">
        <v>146</v>
      </c>
      <c r="D91" s="1054" t="s">
        <v>146</v>
      </c>
      <c r="E91" s="1055">
        <f t="shared" si="24"/>
        <v>392699.06</v>
      </c>
      <c r="F91" s="1055">
        <v>546597</v>
      </c>
      <c r="G91" s="1056">
        <f t="shared" si="25"/>
        <v>939296.06</v>
      </c>
      <c r="H91" s="1053" t="s">
        <v>10</v>
      </c>
      <c r="I91" s="1054" t="s">
        <v>1416</v>
      </c>
      <c r="J91" s="1054" t="s">
        <v>1412</v>
      </c>
      <c r="K91" s="1054" t="s">
        <v>153</v>
      </c>
      <c r="L91" s="1054" t="s">
        <v>1412</v>
      </c>
      <c r="M91" s="1057">
        <v>159</v>
      </c>
      <c r="N91" s="1057">
        <v>0.89700000000000002</v>
      </c>
      <c r="O91" s="1057">
        <v>0.91200000000000003</v>
      </c>
      <c r="P91" s="1057">
        <v>0.9</v>
      </c>
      <c r="Q91" s="1057">
        <v>0.89300000000000002</v>
      </c>
      <c r="R91" s="1057">
        <v>1357308</v>
      </c>
      <c r="S91" s="1057">
        <v>1127150</v>
      </c>
      <c r="T91" s="1058">
        <f t="shared" si="26"/>
        <v>403799.13</v>
      </c>
      <c r="U91" s="1057">
        <v>751704</v>
      </c>
      <c r="V91" s="1057">
        <v>375446</v>
      </c>
      <c r="W91" s="1057">
        <v>5000</v>
      </c>
      <c r="X91" s="1057">
        <v>950396.13</v>
      </c>
      <c r="Y91" s="1057">
        <v>403799.13</v>
      </c>
      <c r="Z91" s="1057">
        <v>546597</v>
      </c>
      <c r="AA91" s="1057">
        <v>580553</v>
      </c>
      <c r="AB91" s="1057">
        <v>0</v>
      </c>
      <c r="AC91" s="1057">
        <v>580553</v>
      </c>
      <c r="AD91" s="1057">
        <v>546597</v>
      </c>
      <c r="AE91" s="1057">
        <v>0</v>
      </c>
      <c r="AF91" s="1057">
        <v>580553</v>
      </c>
      <c r="AG91" s="1057">
        <v>0</v>
      </c>
      <c r="AH91" s="1057">
        <v>621000</v>
      </c>
      <c r="AI91" s="1057">
        <v>558000</v>
      </c>
      <c r="AJ91" s="1053" t="s">
        <v>900</v>
      </c>
      <c r="AK91" s="1053" t="s">
        <v>901</v>
      </c>
      <c r="AL91" s="1054" t="s">
        <v>1416</v>
      </c>
      <c r="AM91" s="1053" t="s">
        <v>10</v>
      </c>
      <c r="AN91" s="1054" t="s">
        <v>146</v>
      </c>
      <c r="AO91" s="1054">
        <v>950396.13</v>
      </c>
      <c r="AP91" s="1059">
        <f t="shared" si="44"/>
        <v>519.90070000000003</v>
      </c>
      <c r="AQ91" s="1059">
        <f t="shared" si="27"/>
        <v>546.90070000000003</v>
      </c>
      <c r="AR91" s="1052">
        <v>223</v>
      </c>
      <c r="AS91" s="1052">
        <v>558</v>
      </c>
      <c r="AT91" s="1052">
        <v>63</v>
      </c>
      <c r="AU91" s="1052">
        <v>0</v>
      </c>
      <c r="AV91" s="1052">
        <v>0</v>
      </c>
      <c r="AW91" s="1052">
        <v>0</v>
      </c>
      <c r="AX91" s="1052">
        <v>0</v>
      </c>
      <c r="AY91" s="1052">
        <v>0</v>
      </c>
      <c r="AZ91" s="1052">
        <v>9</v>
      </c>
      <c r="BA91" s="1052">
        <v>42</v>
      </c>
      <c r="BB91" s="1052">
        <v>27</v>
      </c>
      <c r="BC91" s="1052">
        <v>0</v>
      </c>
      <c r="BD91" s="1052">
        <v>4</v>
      </c>
      <c r="BE91" s="1052">
        <v>0</v>
      </c>
      <c r="BF91" s="1052">
        <v>0</v>
      </c>
      <c r="BG91" s="1052">
        <v>0</v>
      </c>
      <c r="BH91" s="1052">
        <v>62</v>
      </c>
      <c r="BI91" s="1052">
        <v>2</v>
      </c>
      <c r="BJ91" s="1052">
        <v>0</v>
      </c>
      <c r="BK91" s="1052">
        <v>0</v>
      </c>
      <c r="BL91" s="1052">
        <v>10399</v>
      </c>
      <c r="BM91" s="1052">
        <v>0</v>
      </c>
      <c r="BN91" s="1052">
        <v>50502</v>
      </c>
      <c r="BO91" s="1052">
        <v>979.99699999999996</v>
      </c>
      <c r="BR91" s="1140">
        <f t="shared" si="28"/>
        <v>3097222.2222222225</v>
      </c>
      <c r="BS91" s="1140">
        <f t="shared" si="29"/>
        <v>875000.00000000012</v>
      </c>
      <c r="BT91" s="1140">
        <f t="shared" si="30"/>
        <v>0</v>
      </c>
      <c r="BU91" s="1140">
        <f t="shared" si="31"/>
        <v>3972222.2222222225</v>
      </c>
      <c r="BV91" s="1140">
        <f t="shared" si="41"/>
        <v>0</v>
      </c>
      <c r="BW91" s="1140">
        <f t="shared" si="42"/>
        <v>0</v>
      </c>
      <c r="BX91" s="1140">
        <f t="shared" si="43"/>
        <v>0</v>
      </c>
      <c r="BY91" s="1140">
        <f t="shared" si="32"/>
        <v>0</v>
      </c>
      <c r="CA91" s="1140">
        <f t="shared" si="33"/>
        <v>3097222.2222222225</v>
      </c>
      <c r="CB91" s="1140">
        <f t="shared" si="34"/>
        <v>875000.00000000012</v>
      </c>
      <c r="CC91" s="1140">
        <f t="shared" si="35"/>
        <v>0</v>
      </c>
      <c r="CD91" s="1140">
        <f t="shared" si="36"/>
        <v>3972222.2222222225</v>
      </c>
      <c r="CE91" s="1140">
        <f t="shared" si="37"/>
        <v>0</v>
      </c>
      <c r="CF91" s="1140">
        <f t="shared" si="38"/>
        <v>0</v>
      </c>
      <c r="CG91" s="1140">
        <f t="shared" si="39"/>
        <v>0</v>
      </c>
      <c r="CH91" s="1140">
        <f t="shared" si="40"/>
        <v>0</v>
      </c>
      <c r="CJ91" s="1069"/>
      <c r="CK91" s="1069"/>
      <c r="CL91" s="1069"/>
      <c r="CM91" s="1069"/>
      <c r="CN91" s="1069"/>
      <c r="CO91" s="1069"/>
      <c r="CP91" s="1069"/>
      <c r="CQ91" s="1069"/>
      <c r="CR91" s="1069"/>
      <c r="CS91" s="1069"/>
      <c r="CT91" s="1069"/>
      <c r="CU91" s="1069"/>
      <c r="CV91" s="1069"/>
      <c r="CW91" s="1069"/>
      <c r="CX91" s="1069"/>
      <c r="CY91" s="1069"/>
      <c r="CZ91" s="1069"/>
      <c r="DA91" s="1069"/>
      <c r="DB91" s="1069"/>
      <c r="DC91" s="1069"/>
      <c r="DD91" s="1069"/>
      <c r="DE91" s="1069"/>
      <c r="DF91" s="1069"/>
      <c r="DG91" s="1069"/>
      <c r="DH91" s="1069"/>
      <c r="DI91" s="1069"/>
      <c r="DJ91" s="1069"/>
      <c r="DK91" s="1069"/>
      <c r="DL91" s="1069"/>
      <c r="DM91" s="1069"/>
      <c r="DN91" s="1069"/>
      <c r="DO91" s="1069"/>
      <c r="DP91" s="1069"/>
      <c r="DQ91" s="1069"/>
      <c r="DR91" s="1069"/>
      <c r="DS91" s="1069"/>
      <c r="DT91" s="1069"/>
      <c r="DU91" s="1069"/>
      <c r="DV91" s="1069"/>
      <c r="DW91" s="1069"/>
      <c r="DX91" s="1069"/>
      <c r="DY91" s="1069"/>
      <c r="DZ91" s="1069"/>
      <c r="EA91" s="1069"/>
      <c r="EB91" s="1069"/>
      <c r="EC91" s="1069"/>
      <c r="ED91" s="1069"/>
      <c r="EE91" s="1069"/>
      <c r="EF91" s="1069"/>
      <c r="EG91" s="1069"/>
      <c r="EH91" s="1069"/>
      <c r="EI91" s="1069"/>
      <c r="EJ91" s="1069"/>
      <c r="EK91" s="1069"/>
      <c r="EL91" s="1069"/>
      <c r="EM91" s="1069"/>
      <c r="EN91" s="1069"/>
      <c r="EO91" s="1069"/>
      <c r="EP91" s="1069"/>
      <c r="EQ91" s="1069"/>
      <c r="ER91" s="1069"/>
      <c r="ES91" s="1069"/>
      <c r="ET91" s="1069"/>
      <c r="EU91" s="1069"/>
      <c r="EV91" s="1069"/>
      <c r="EW91" s="1069"/>
      <c r="EX91" s="1069"/>
      <c r="EY91" s="1069"/>
      <c r="EZ91" s="1069"/>
      <c r="FA91" s="1069"/>
      <c r="FB91" s="1069"/>
      <c r="FC91" s="1069"/>
      <c r="FD91" s="1069"/>
      <c r="FE91" s="1069"/>
      <c r="FF91" s="1069"/>
      <c r="FG91" s="1069"/>
      <c r="FH91" s="1069"/>
      <c r="FI91" s="1069"/>
      <c r="FJ91" s="1069"/>
      <c r="FK91" s="1069"/>
      <c r="FL91" s="1069"/>
      <c r="FM91" s="1069"/>
      <c r="FN91" s="1069"/>
      <c r="FO91" s="1069"/>
      <c r="FP91" s="1069"/>
      <c r="FQ91" s="1069"/>
      <c r="FR91" s="1069"/>
      <c r="FS91" s="1069"/>
      <c r="FT91" s="1069"/>
      <c r="FU91" s="1069"/>
      <c r="FV91" s="1069"/>
      <c r="FW91" s="1069"/>
      <c r="FX91" s="1069"/>
      <c r="FY91" s="1069"/>
      <c r="FZ91" s="1069"/>
      <c r="GA91" s="1069"/>
      <c r="GB91" s="1069"/>
      <c r="GC91" s="1069"/>
      <c r="GD91" s="1069"/>
      <c r="GE91" s="1069"/>
      <c r="GF91" s="1069"/>
      <c r="GG91" s="1069"/>
      <c r="GH91" s="1069"/>
      <c r="GI91" s="1069"/>
      <c r="GJ91" s="1069"/>
      <c r="GK91" s="1069"/>
      <c r="GL91" s="1069"/>
      <c r="GM91" s="1069"/>
      <c r="GN91" s="1069"/>
      <c r="GO91" s="1069"/>
      <c r="GP91" s="1069"/>
      <c r="GQ91" s="1069"/>
      <c r="GR91" s="1069"/>
      <c r="GS91" s="1069"/>
      <c r="GT91" s="1069"/>
      <c r="GU91" s="1069"/>
      <c r="GV91" s="1069"/>
      <c r="GW91" s="1069"/>
      <c r="GX91" s="1069"/>
    </row>
    <row r="92" spans="1:206" ht="15" customHeight="1" x14ac:dyDescent="0.2">
      <c r="A92" s="1052">
        <v>1712</v>
      </c>
      <c r="B92" s="1052"/>
      <c r="C92" s="1053" t="s">
        <v>154</v>
      </c>
      <c r="D92" s="1054" t="s">
        <v>154</v>
      </c>
      <c r="E92" s="1055">
        <f t="shared" si="24"/>
        <v>21623.340199999999</v>
      </c>
      <c r="F92" s="1055">
        <v>0</v>
      </c>
      <c r="G92" s="1056">
        <f t="shared" si="25"/>
        <v>21623.340199999999</v>
      </c>
      <c r="H92" s="1053" t="s">
        <v>10</v>
      </c>
      <c r="I92" s="1054" t="s">
        <v>1512</v>
      </c>
      <c r="J92" s="1054" t="s">
        <v>10</v>
      </c>
      <c r="K92" s="1054" t="s">
        <v>153</v>
      </c>
      <c r="L92" s="1054" t="s">
        <v>10</v>
      </c>
      <c r="M92" s="1057">
        <v>0</v>
      </c>
      <c r="N92" s="1057">
        <v>1</v>
      </c>
      <c r="O92" s="1057">
        <v>1</v>
      </c>
      <c r="P92" s="1057">
        <v>1</v>
      </c>
      <c r="Q92" s="1057">
        <v>1</v>
      </c>
      <c r="R92" s="1057">
        <v>0</v>
      </c>
      <c r="S92" s="1057">
        <v>111518</v>
      </c>
      <c r="T92" s="1058">
        <f t="shared" si="26"/>
        <v>21623.340199999999</v>
      </c>
      <c r="U92" s="1057">
        <v>111518</v>
      </c>
      <c r="V92" s="1057">
        <v>0</v>
      </c>
      <c r="W92" s="1057">
        <v>600</v>
      </c>
      <c r="X92" s="1057">
        <v>0</v>
      </c>
      <c r="Y92" s="1057">
        <v>0</v>
      </c>
      <c r="Z92" s="1057">
        <v>0</v>
      </c>
      <c r="AA92" s="1057">
        <v>133141.34020000001</v>
      </c>
      <c r="AB92" s="1057">
        <v>21623.340199999999</v>
      </c>
      <c r="AC92" s="1057">
        <v>111518</v>
      </c>
      <c r="AD92" s="1057">
        <v>0</v>
      </c>
      <c r="AE92" s="1057">
        <v>0</v>
      </c>
      <c r="AF92" s="1057">
        <v>0</v>
      </c>
      <c r="AG92" s="1057">
        <v>111518</v>
      </c>
      <c r="AH92" s="1057">
        <v>0</v>
      </c>
      <c r="AI92" s="1057">
        <v>0</v>
      </c>
      <c r="AJ92" s="1053" t="s">
        <v>900</v>
      </c>
      <c r="AK92" s="1053" t="s">
        <v>901</v>
      </c>
      <c r="AL92" s="1054" t="s">
        <v>1512</v>
      </c>
      <c r="AM92" s="1053" t="s">
        <v>10</v>
      </c>
      <c r="AN92" s="1054" t="s">
        <v>154</v>
      </c>
      <c r="AO92" s="1054">
        <v>21623.340199999999</v>
      </c>
      <c r="AP92" s="1059">
        <f t="shared" si="44"/>
        <v>3.2511999999999999</v>
      </c>
      <c r="AQ92" s="1059">
        <f t="shared" si="27"/>
        <v>3.2511999999999999</v>
      </c>
      <c r="AR92" s="1052">
        <v>0</v>
      </c>
      <c r="AS92" s="1052">
        <v>0</v>
      </c>
      <c r="AT92" s="1052">
        <v>2</v>
      </c>
      <c r="AU92" s="1052">
        <v>0</v>
      </c>
      <c r="AV92" s="1052">
        <v>0</v>
      </c>
      <c r="AW92" s="1052">
        <v>0</v>
      </c>
      <c r="AX92" s="1052">
        <v>0</v>
      </c>
      <c r="AY92" s="1052">
        <v>0</v>
      </c>
      <c r="AZ92" s="1052">
        <v>0</v>
      </c>
      <c r="BA92" s="1052">
        <v>0</v>
      </c>
      <c r="BB92" s="1052">
        <v>0</v>
      </c>
      <c r="BC92" s="1052">
        <v>0</v>
      </c>
      <c r="BD92" s="1052">
        <v>0</v>
      </c>
      <c r="BE92" s="1052">
        <v>0</v>
      </c>
      <c r="BF92" s="1052">
        <v>0</v>
      </c>
      <c r="BG92" s="1052">
        <v>0</v>
      </c>
      <c r="BH92" s="1052">
        <v>0</v>
      </c>
      <c r="BI92" s="1052">
        <v>0</v>
      </c>
      <c r="BJ92" s="1052">
        <v>0</v>
      </c>
      <c r="BK92" s="1052">
        <v>0</v>
      </c>
      <c r="BL92" s="1052">
        <v>0</v>
      </c>
      <c r="BM92" s="1052">
        <v>0</v>
      </c>
      <c r="BN92" s="1052">
        <v>0</v>
      </c>
      <c r="BO92" s="1052">
        <v>12.512</v>
      </c>
      <c r="BR92" s="1140">
        <f t="shared" si="28"/>
        <v>0</v>
      </c>
      <c r="BS92" s="1140">
        <f t="shared" si="29"/>
        <v>27777.777777777781</v>
      </c>
      <c r="BT92" s="1140">
        <f t="shared" si="30"/>
        <v>0</v>
      </c>
      <c r="BU92" s="1140">
        <f t="shared" si="31"/>
        <v>27777.777777777781</v>
      </c>
      <c r="BV92" s="1140">
        <f t="shared" si="41"/>
        <v>0</v>
      </c>
      <c r="BW92" s="1140">
        <f t="shared" si="42"/>
        <v>0</v>
      </c>
      <c r="BX92" s="1140">
        <f t="shared" si="43"/>
        <v>0</v>
      </c>
      <c r="BY92" s="1140">
        <f t="shared" si="32"/>
        <v>0</v>
      </c>
      <c r="CA92" s="1140">
        <f t="shared" si="33"/>
        <v>0</v>
      </c>
      <c r="CB92" s="1140">
        <f t="shared" si="34"/>
        <v>27777.777777777781</v>
      </c>
      <c r="CC92" s="1140">
        <f t="shared" si="35"/>
        <v>0</v>
      </c>
      <c r="CD92" s="1140">
        <f t="shared" si="36"/>
        <v>27777.777777777781</v>
      </c>
      <c r="CE92" s="1140">
        <f t="shared" si="37"/>
        <v>0</v>
      </c>
      <c r="CF92" s="1140">
        <f t="shared" si="38"/>
        <v>0</v>
      </c>
      <c r="CG92" s="1140">
        <f t="shared" si="39"/>
        <v>0</v>
      </c>
      <c r="CH92" s="1140">
        <f t="shared" si="40"/>
        <v>0</v>
      </c>
      <c r="CJ92" s="1069"/>
      <c r="CK92" s="1069"/>
      <c r="CL92" s="1069"/>
      <c r="CM92" s="1069"/>
      <c r="CN92" s="1069"/>
      <c r="CO92" s="1069"/>
      <c r="CP92" s="1069"/>
      <c r="CQ92" s="1069"/>
      <c r="CR92" s="1069"/>
      <c r="CS92" s="1069"/>
      <c r="CT92" s="1069"/>
      <c r="CU92" s="1069"/>
      <c r="CV92" s="1069"/>
      <c r="CW92" s="1069"/>
      <c r="CX92" s="1069"/>
      <c r="CY92" s="1069"/>
      <c r="CZ92" s="1069"/>
      <c r="DA92" s="1069"/>
      <c r="DB92" s="1069"/>
      <c r="DC92" s="1069"/>
      <c r="DD92" s="1069"/>
      <c r="DE92" s="1069"/>
      <c r="DF92" s="1069"/>
      <c r="DG92" s="1069"/>
      <c r="DH92" s="1069"/>
      <c r="DI92" s="1069"/>
      <c r="DJ92" s="1069"/>
      <c r="DK92" s="1069"/>
      <c r="DL92" s="1069"/>
      <c r="DM92" s="1069"/>
      <c r="DN92" s="1069"/>
      <c r="DO92" s="1069"/>
      <c r="DP92" s="1069"/>
      <c r="DQ92" s="1069"/>
      <c r="DR92" s="1069"/>
      <c r="DS92" s="1069"/>
      <c r="DT92" s="1069"/>
      <c r="DU92" s="1069"/>
      <c r="DV92" s="1069"/>
      <c r="DW92" s="1069"/>
      <c r="DX92" s="1069"/>
      <c r="DY92" s="1069"/>
      <c r="DZ92" s="1069"/>
      <c r="EA92" s="1069"/>
      <c r="EB92" s="1069"/>
      <c r="EC92" s="1069"/>
      <c r="ED92" s="1069"/>
      <c r="EE92" s="1069"/>
      <c r="EF92" s="1069"/>
      <c r="EG92" s="1069"/>
      <c r="EH92" s="1069"/>
      <c r="EI92" s="1069"/>
      <c r="EJ92" s="1069"/>
      <c r="EK92" s="1069"/>
      <c r="EL92" s="1069"/>
      <c r="EM92" s="1069"/>
      <c r="EN92" s="1069"/>
      <c r="EO92" s="1069"/>
      <c r="EP92" s="1069"/>
      <c r="EQ92" s="1069"/>
      <c r="ER92" s="1069"/>
      <c r="ES92" s="1069"/>
      <c r="ET92" s="1069"/>
      <c r="EU92" s="1069"/>
      <c r="EV92" s="1069"/>
      <c r="EW92" s="1069"/>
      <c r="EX92" s="1069"/>
      <c r="EY92" s="1069"/>
      <c r="EZ92" s="1069"/>
      <c r="FA92" s="1069"/>
      <c r="FB92" s="1069"/>
      <c r="FC92" s="1069"/>
      <c r="FD92" s="1069"/>
      <c r="FE92" s="1069"/>
      <c r="FF92" s="1069"/>
      <c r="FG92" s="1069"/>
      <c r="FH92" s="1069"/>
      <c r="FI92" s="1069"/>
      <c r="FJ92" s="1069"/>
      <c r="FK92" s="1069"/>
      <c r="FL92" s="1069"/>
      <c r="FM92" s="1069"/>
      <c r="FN92" s="1069"/>
      <c r="FO92" s="1069"/>
      <c r="FP92" s="1069"/>
      <c r="FQ92" s="1069"/>
      <c r="FR92" s="1069"/>
      <c r="FS92" s="1069"/>
      <c r="FT92" s="1069"/>
      <c r="FU92" s="1069"/>
      <c r="FV92" s="1069"/>
      <c r="FW92" s="1069"/>
      <c r="FX92" s="1069"/>
      <c r="FY92" s="1069"/>
      <c r="FZ92" s="1069"/>
      <c r="GA92" s="1069"/>
      <c r="GB92" s="1069"/>
      <c r="GC92" s="1069"/>
      <c r="GD92" s="1069"/>
      <c r="GE92" s="1069"/>
      <c r="GF92" s="1069"/>
      <c r="GG92" s="1069"/>
      <c r="GH92" s="1069"/>
      <c r="GI92" s="1069"/>
      <c r="GJ92" s="1069"/>
      <c r="GK92" s="1069"/>
      <c r="GL92" s="1069"/>
      <c r="GM92" s="1069"/>
      <c r="GN92" s="1069"/>
      <c r="GO92" s="1069"/>
      <c r="GP92" s="1069"/>
      <c r="GQ92" s="1069"/>
      <c r="GR92" s="1069"/>
      <c r="GS92" s="1069"/>
      <c r="GT92" s="1069"/>
      <c r="GU92" s="1069"/>
      <c r="GV92" s="1069"/>
      <c r="GW92" s="1069"/>
      <c r="GX92" s="1069"/>
    </row>
    <row r="93" spans="1:206" ht="15" customHeight="1" x14ac:dyDescent="0.2">
      <c r="A93" s="1052">
        <v>1731</v>
      </c>
      <c r="B93" s="1052" t="s">
        <v>1412</v>
      </c>
      <c r="C93" s="1053" t="s">
        <v>155</v>
      </c>
      <c r="D93" s="1054" t="s">
        <v>155</v>
      </c>
      <c r="E93" s="1055">
        <f t="shared" si="24"/>
        <v>385063.87400000001</v>
      </c>
      <c r="F93" s="1055">
        <v>0</v>
      </c>
      <c r="G93" s="1056">
        <f t="shared" si="25"/>
        <v>385063.87400000001</v>
      </c>
      <c r="H93" s="1053" t="s">
        <v>10</v>
      </c>
      <c r="I93" s="1054" t="s">
        <v>1416</v>
      </c>
      <c r="J93" s="1054" t="s">
        <v>1412</v>
      </c>
      <c r="K93" s="1054" t="s">
        <v>157</v>
      </c>
      <c r="L93" s="1054" t="s">
        <v>10</v>
      </c>
      <c r="M93" s="1057">
        <v>152</v>
      </c>
      <c r="N93" s="1057">
        <v>0.86899999999999999</v>
      </c>
      <c r="O93" s="1057">
        <v>0.88500000000000001</v>
      </c>
      <c r="P93" s="1057">
        <v>0.84199999999999997</v>
      </c>
      <c r="Q93" s="1057">
        <v>0.93899999999999995</v>
      </c>
      <c r="R93" s="1057">
        <v>1215199</v>
      </c>
      <c r="S93" s="1057">
        <v>1105235</v>
      </c>
      <c r="T93" s="1058">
        <f t="shared" si="26"/>
        <v>361521.70249999996</v>
      </c>
      <c r="U93" s="1057">
        <v>740284</v>
      </c>
      <c r="V93" s="1057">
        <v>364951</v>
      </c>
      <c r="W93" s="1057">
        <v>4144</v>
      </c>
      <c r="X93" s="1057">
        <v>0</v>
      </c>
      <c r="Y93" s="1057">
        <v>0</v>
      </c>
      <c r="Z93" s="1057">
        <v>0</v>
      </c>
      <c r="AA93" s="1057">
        <v>1466756.703</v>
      </c>
      <c r="AB93" s="1057">
        <v>361521.70250000001</v>
      </c>
      <c r="AC93" s="1057">
        <v>1105235</v>
      </c>
      <c r="AD93" s="1057">
        <v>0</v>
      </c>
      <c r="AE93" s="1057">
        <v>0</v>
      </c>
      <c r="AF93" s="1057">
        <v>1105235</v>
      </c>
      <c r="AG93" s="1057">
        <v>0</v>
      </c>
      <c r="AH93" s="1057">
        <v>813000</v>
      </c>
      <c r="AI93" s="1057">
        <v>678000</v>
      </c>
      <c r="AJ93" s="1053" t="s">
        <v>900</v>
      </c>
      <c r="AK93" s="1053" t="s">
        <v>901</v>
      </c>
      <c r="AL93" s="1054" t="s">
        <v>1416</v>
      </c>
      <c r="AM93" s="1053" t="s">
        <v>10</v>
      </c>
      <c r="AN93" s="1054" t="s">
        <v>155</v>
      </c>
      <c r="AO93" s="1054">
        <v>361521.70250000001</v>
      </c>
      <c r="AP93" s="1059">
        <f t="shared" si="44"/>
        <v>283.5204</v>
      </c>
      <c r="AQ93" s="1059">
        <f t="shared" si="27"/>
        <v>365.5204</v>
      </c>
      <c r="AR93" s="1052">
        <v>111</v>
      </c>
      <c r="AS93" s="1052">
        <v>678</v>
      </c>
      <c r="AT93" s="1052">
        <v>105</v>
      </c>
      <c r="AU93" s="1052">
        <v>0</v>
      </c>
      <c r="AV93" s="1052">
        <v>0</v>
      </c>
      <c r="AW93" s="1052">
        <v>0</v>
      </c>
      <c r="AX93" s="1052">
        <v>7</v>
      </c>
      <c r="AY93" s="1052">
        <v>0</v>
      </c>
      <c r="AZ93" s="1052">
        <v>0</v>
      </c>
      <c r="BA93" s="1052">
        <v>21</v>
      </c>
      <c r="BB93" s="1052">
        <v>82</v>
      </c>
      <c r="BC93" s="1052">
        <v>0</v>
      </c>
      <c r="BD93" s="1052">
        <v>0</v>
      </c>
      <c r="BE93" s="1052">
        <v>0</v>
      </c>
      <c r="BF93" s="1052">
        <v>0</v>
      </c>
      <c r="BG93" s="1052">
        <v>0</v>
      </c>
      <c r="BH93" s="1052">
        <v>0</v>
      </c>
      <c r="BI93" s="1052">
        <v>4</v>
      </c>
      <c r="BJ93" s="1052">
        <v>0</v>
      </c>
      <c r="BK93" s="1052">
        <v>0</v>
      </c>
      <c r="BL93" s="1052">
        <v>17842</v>
      </c>
      <c r="BM93" s="1052">
        <v>0</v>
      </c>
      <c r="BN93" s="1052">
        <v>2280</v>
      </c>
      <c r="BO93" s="1052">
        <v>403.98399999999998</v>
      </c>
      <c r="BR93" s="1140">
        <f t="shared" si="28"/>
        <v>1541666.6666666667</v>
      </c>
      <c r="BS93" s="1140">
        <f t="shared" si="29"/>
        <v>1458333.3333333335</v>
      </c>
      <c r="BT93" s="1140">
        <f t="shared" si="30"/>
        <v>0</v>
      </c>
      <c r="BU93" s="1140">
        <f t="shared" si="31"/>
        <v>3000000</v>
      </c>
      <c r="BV93" s="1140">
        <f t="shared" si="41"/>
        <v>0</v>
      </c>
      <c r="BW93" s="1140">
        <f t="shared" si="42"/>
        <v>1400</v>
      </c>
      <c r="BX93" s="1140">
        <f t="shared" si="43"/>
        <v>0</v>
      </c>
      <c r="BY93" s="1140">
        <f t="shared" si="32"/>
        <v>1400</v>
      </c>
      <c r="CA93" s="1140">
        <f t="shared" si="33"/>
        <v>1541666.6666666667</v>
      </c>
      <c r="CB93" s="1140">
        <f t="shared" si="34"/>
        <v>1458333.3333333335</v>
      </c>
      <c r="CC93" s="1140">
        <f t="shared" si="35"/>
        <v>0</v>
      </c>
      <c r="CD93" s="1140">
        <f t="shared" si="36"/>
        <v>3000000</v>
      </c>
      <c r="CE93" s="1140">
        <f t="shared" si="37"/>
        <v>0</v>
      </c>
      <c r="CF93" s="1140">
        <f t="shared" si="38"/>
        <v>1400</v>
      </c>
      <c r="CG93" s="1140">
        <f t="shared" si="39"/>
        <v>0</v>
      </c>
      <c r="CH93" s="1140">
        <f t="shared" si="40"/>
        <v>1400</v>
      </c>
      <c r="CJ93" s="1069"/>
      <c r="CK93" s="1069"/>
      <c r="CL93" s="1069"/>
      <c r="CM93" s="1069"/>
      <c r="CN93" s="1069"/>
      <c r="CO93" s="1069"/>
      <c r="CP93" s="1069"/>
      <c r="CQ93" s="1069"/>
      <c r="CR93" s="1069"/>
      <c r="CS93" s="1069"/>
      <c r="CT93" s="1069"/>
      <c r="CU93" s="1069"/>
      <c r="CV93" s="1069"/>
      <c r="CW93" s="1069"/>
      <c r="CX93" s="1069"/>
      <c r="CY93" s="1069"/>
      <c r="CZ93" s="1069"/>
      <c r="DA93" s="1069"/>
      <c r="DB93" s="1069"/>
      <c r="DC93" s="1069"/>
      <c r="DD93" s="1069"/>
      <c r="DE93" s="1069"/>
      <c r="DF93" s="1069"/>
      <c r="DG93" s="1069"/>
      <c r="DH93" s="1069"/>
      <c r="DI93" s="1069"/>
      <c r="DJ93" s="1069"/>
      <c r="DK93" s="1069"/>
      <c r="DL93" s="1069"/>
      <c r="DM93" s="1069"/>
      <c r="DN93" s="1069"/>
      <c r="DO93" s="1069"/>
      <c r="DP93" s="1069"/>
      <c r="DQ93" s="1069"/>
      <c r="DR93" s="1069"/>
      <c r="DS93" s="1069"/>
      <c r="DT93" s="1069"/>
      <c r="DU93" s="1069"/>
      <c r="DV93" s="1069"/>
      <c r="DW93" s="1069"/>
      <c r="DX93" s="1069"/>
      <c r="DY93" s="1069"/>
      <c r="DZ93" s="1069"/>
      <c r="EA93" s="1069"/>
      <c r="EB93" s="1069"/>
      <c r="EC93" s="1069"/>
      <c r="ED93" s="1069"/>
      <c r="EE93" s="1069"/>
      <c r="EF93" s="1069"/>
      <c r="EG93" s="1069"/>
      <c r="EH93" s="1069"/>
      <c r="EI93" s="1069"/>
      <c r="EJ93" s="1069"/>
      <c r="EK93" s="1069"/>
      <c r="EL93" s="1069"/>
      <c r="EM93" s="1069"/>
      <c r="EN93" s="1069"/>
      <c r="EO93" s="1069"/>
      <c r="EP93" s="1069"/>
      <c r="EQ93" s="1069"/>
      <c r="ER93" s="1069"/>
      <c r="ES93" s="1069"/>
      <c r="ET93" s="1069"/>
      <c r="EU93" s="1069"/>
      <c r="EV93" s="1069"/>
      <c r="EW93" s="1069"/>
      <c r="EX93" s="1069"/>
      <c r="EY93" s="1069"/>
      <c r="EZ93" s="1069"/>
      <c r="FA93" s="1069"/>
      <c r="FB93" s="1069"/>
      <c r="FC93" s="1069"/>
      <c r="FD93" s="1069"/>
      <c r="FE93" s="1069"/>
      <c r="FF93" s="1069"/>
      <c r="FG93" s="1069"/>
      <c r="FH93" s="1069"/>
      <c r="FI93" s="1069"/>
      <c r="FJ93" s="1069"/>
      <c r="FK93" s="1069"/>
      <c r="FL93" s="1069"/>
      <c r="FM93" s="1069"/>
      <c r="FN93" s="1069"/>
      <c r="FO93" s="1069"/>
      <c r="FP93" s="1069"/>
      <c r="FQ93" s="1069"/>
      <c r="FR93" s="1069"/>
      <c r="FS93" s="1069"/>
      <c r="FT93" s="1069"/>
      <c r="FU93" s="1069"/>
      <c r="FV93" s="1069"/>
      <c r="FW93" s="1069"/>
      <c r="FX93" s="1069"/>
      <c r="FY93" s="1069"/>
      <c r="FZ93" s="1069"/>
      <c r="GA93" s="1069"/>
      <c r="GB93" s="1069"/>
      <c r="GC93" s="1069"/>
      <c r="GD93" s="1069"/>
      <c r="GE93" s="1069"/>
      <c r="GF93" s="1069"/>
      <c r="GG93" s="1069"/>
      <c r="GH93" s="1069"/>
      <c r="GI93" s="1069"/>
      <c r="GJ93" s="1069"/>
      <c r="GK93" s="1069"/>
      <c r="GL93" s="1069"/>
      <c r="GM93" s="1069"/>
      <c r="GN93" s="1069"/>
      <c r="GO93" s="1069"/>
      <c r="GP93" s="1069"/>
      <c r="GQ93" s="1069"/>
      <c r="GR93" s="1069"/>
      <c r="GS93" s="1069"/>
      <c r="GT93" s="1069"/>
      <c r="GU93" s="1069"/>
      <c r="GV93" s="1069"/>
      <c r="GW93" s="1069"/>
      <c r="GX93" s="1069"/>
    </row>
    <row r="94" spans="1:206" s="1082" customFormat="1" ht="15" customHeight="1" x14ac:dyDescent="0.2">
      <c r="A94" s="1052">
        <v>3811</v>
      </c>
      <c r="B94" s="1052" t="s">
        <v>1412</v>
      </c>
      <c r="C94" s="1053" t="s">
        <v>158</v>
      </c>
      <c r="D94" s="1054" t="s">
        <v>158</v>
      </c>
      <c r="E94" s="1055">
        <f t="shared" si="24"/>
        <v>203327.98199999999</v>
      </c>
      <c r="F94" s="1055">
        <v>443648</v>
      </c>
      <c r="G94" s="1056">
        <f t="shared" si="25"/>
        <v>646975.98199999996</v>
      </c>
      <c r="H94" s="1053" t="s">
        <v>10</v>
      </c>
      <c r="I94" s="1054" t="s">
        <v>1416</v>
      </c>
      <c r="J94" s="1054" t="s">
        <v>1412</v>
      </c>
      <c r="K94" s="1054" t="s">
        <v>160</v>
      </c>
      <c r="L94" s="1054" t="s">
        <v>1412</v>
      </c>
      <c r="M94" s="1057">
        <v>112</v>
      </c>
      <c r="N94" s="1057">
        <v>0.93400000000000005</v>
      </c>
      <c r="O94" s="1057">
        <v>0.93400000000000005</v>
      </c>
      <c r="P94" s="1057">
        <v>0.94099999999999995</v>
      </c>
      <c r="Q94" s="1057">
        <v>0.90500000000000003</v>
      </c>
      <c r="R94" s="1057">
        <v>777054</v>
      </c>
      <c r="S94" s="1057">
        <v>583605</v>
      </c>
      <c r="T94" s="1058">
        <f t="shared" si="26"/>
        <v>231173.565</v>
      </c>
      <c r="U94" s="1057">
        <v>311865</v>
      </c>
      <c r="V94" s="1057">
        <v>271740</v>
      </c>
      <c r="W94" s="1057">
        <v>2950</v>
      </c>
      <c r="X94" s="1057">
        <v>674821.56499999994</v>
      </c>
      <c r="Y94" s="1057">
        <v>231173.565</v>
      </c>
      <c r="Z94" s="1057">
        <v>443648</v>
      </c>
      <c r="AA94" s="1057">
        <v>139957</v>
      </c>
      <c r="AB94" s="1057">
        <v>0</v>
      </c>
      <c r="AC94" s="1057">
        <v>139957</v>
      </c>
      <c r="AD94" s="1057">
        <v>443648</v>
      </c>
      <c r="AE94" s="1057">
        <v>0</v>
      </c>
      <c r="AF94" s="1057">
        <v>139957</v>
      </c>
      <c r="AG94" s="1057">
        <v>0</v>
      </c>
      <c r="AH94" s="1057">
        <v>1144000</v>
      </c>
      <c r="AI94" s="1057">
        <v>825000</v>
      </c>
      <c r="AJ94" s="1053">
        <v>4</v>
      </c>
      <c r="AK94" s="1053" t="s">
        <v>917</v>
      </c>
      <c r="AL94" s="1054" t="s">
        <v>1416</v>
      </c>
      <c r="AM94" s="1053" t="s">
        <v>10</v>
      </c>
      <c r="AN94" s="1054" t="s">
        <v>158</v>
      </c>
      <c r="AO94" s="1054">
        <v>674821.56499999994</v>
      </c>
      <c r="AP94" s="1059">
        <f t="shared" si="44"/>
        <v>715.06269999999995</v>
      </c>
      <c r="AQ94" s="1059">
        <f t="shared" si="27"/>
        <v>702.06269999999995</v>
      </c>
      <c r="AR94" s="1081">
        <v>454</v>
      </c>
      <c r="AS94" s="1081">
        <v>825</v>
      </c>
      <c r="AT94" s="1081">
        <v>107</v>
      </c>
      <c r="AU94" s="1081">
        <v>10</v>
      </c>
      <c r="AV94" s="1052">
        <v>1</v>
      </c>
      <c r="AW94" s="1052">
        <v>40</v>
      </c>
      <c r="AX94" s="1052">
        <v>0</v>
      </c>
      <c r="AY94" s="1052">
        <v>0</v>
      </c>
      <c r="AZ94" s="1052">
        <v>35</v>
      </c>
      <c r="BA94" s="1052">
        <v>35</v>
      </c>
      <c r="BB94" s="1052">
        <v>-13</v>
      </c>
      <c r="BC94" s="1052">
        <v>0</v>
      </c>
      <c r="BD94" s="1052">
        <v>23</v>
      </c>
      <c r="BE94" s="1052">
        <v>0</v>
      </c>
      <c r="BF94" s="1052">
        <v>0</v>
      </c>
      <c r="BG94" s="1052">
        <v>0</v>
      </c>
      <c r="BH94" s="1052">
        <v>47</v>
      </c>
      <c r="BI94" s="1052">
        <v>0</v>
      </c>
      <c r="BJ94" s="1052">
        <v>0</v>
      </c>
      <c r="BK94" s="1052">
        <v>0</v>
      </c>
      <c r="BL94" s="1052">
        <v>6305</v>
      </c>
      <c r="BM94" s="1052">
        <v>0</v>
      </c>
      <c r="BN94" s="1052">
        <v>0</v>
      </c>
      <c r="BO94" s="1052">
        <v>317.577</v>
      </c>
      <c r="BP94" s="1069"/>
      <c r="BQ94" s="1136"/>
      <c r="BR94" s="1140">
        <f t="shared" si="28"/>
        <v>6305555.555555556</v>
      </c>
      <c r="BS94" s="1140">
        <f t="shared" si="29"/>
        <v>1486111.1111111112</v>
      </c>
      <c r="BT94" s="1140">
        <f t="shared" si="30"/>
        <v>138888.88888888891</v>
      </c>
      <c r="BU94" s="1140">
        <f t="shared" si="31"/>
        <v>7930555.555555556</v>
      </c>
      <c r="BV94" s="1140">
        <f t="shared" si="41"/>
        <v>200</v>
      </c>
      <c r="BW94" s="1140">
        <f t="shared" si="42"/>
        <v>0</v>
      </c>
      <c r="BX94" s="1140">
        <f t="shared" si="43"/>
        <v>0</v>
      </c>
      <c r="BY94" s="1140">
        <f t="shared" si="32"/>
        <v>200</v>
      </c>
      <c r="BZ94" s="1136"/>
      <c r="CA94" s="1140">
        <f t="shared" si="33"/>
        <v>6305555.555555556</v>
      </c>
      <c r="CB94" s="1140">
        <f t="shared" si="34"/>
        <v>1486111.1111111112</v>
      </c>
      <c r="CC94" s="1140">
        <f t="shared" si="35"/>
        <v>138888.88888888891</v>
      </c>
      <c r="CD94" s="1140">
        <f t="shared" si="36"/>
        <v>7930555.555555556</v>
      </c>
      <c r="CE94" s="1140">
        <f t="shared" si="37"/>
        <v>200</v>
      </c>
      <c r="CF94" s="1140">
        <f t="shared" si="38"/>
        <v>0</v>
      </c>
      <c r="CG94" s="1140">
        <f t="shared" si="39"/>
        <v>0</v>
      </c>
      <c r="CH94" s="1140">
        <f t="shared" si="40"/>
        <v>200</v>
      </c>
      <c r="CI94" s="1146"/>
      <c r="CJ94" s="1069"/>
      <c r="CK94" s="1069"/>
      <c r="CL94" s="1069"/>
      <c r="CM94" s="1069"/>
      <c r="CN94" s="1069"/>
      <c r="CO94" s="1069"/>
      <c r="CP94" s="1069"/>
      <c r="CQ94" s="1069"/>
      <c r="CR94" s="1069"/>
      <c r="CS94" s="1069"/>
      <c r="CT94" s="1069"/>
      <c r="CU94" s="1069"/>
      <c r="CV94" s="1069"/>
      <c r="CW94" s="1069"/>
      <c r="CX94" s="1069"/>
      <c r="CY94" s="1069"/>
      <c r="CZ94" s="1069"/>
      <c r="DA94" s="1069"/>
      <c r="DB94" s="1069"/>
      <c r="DC94" s="1069"/>
      <c r="DD94" s="1069"/>
      <c r="DE94" s="1069"/>
      <c r="DF94" s="1069"/>
      <c r="DG94" s="1069"/>
      <c r="DH94" s="1069"/>
      <c r="DI94" s="1069"/>
      <c r="DJ94" s="1069"/>
      <c r="DK94" s="1069"/>
      <c r="DL94" s="1069"/>
      <c r="DM94" s="1069"/>
      <c r="DN94" s="1069"/>
      <c r="DO94" s="1069"/>
      <c r="DP94" s="1069"/>
      <c r="DQ94" s="1069"/>
      <c r="DR94" s="1069"/>
      <c r="DS94" s="1069"/>
      <c r="DT94" s="1069"/>
      <c r="DU94" s="1069"/>
      <c r="DV94" s="1069"/>
      <c r="DW94" s="1069"/>
      <c r="DX94" s="1069"/>
      <c r="DY94" s="1069"/>
      <c r="DZ94" s="1069"/>
      <c r="EA94" s="1069"/>
      <c r="EB94" s="1069"/>
      <c r="EC94" s="1069"/>
      <c r="ED94" s="1069"/>
      <c r="EE94" s="1069"/>
      <c r="EF94" s="1069"/>
      <c r="EG94" s="1069"/>
      <c r="EH94" s="1069"/>
      <c r="EI94" s="1069"/>
      <c r="EJ94" s="1069"/>
      <c r="EK94" s="1069"/>
      <c r="EL94" s="1069"/>
      <c r="EM94" s="1069"/>
      <c r="EN94" s="1069"/>
      <c r="EO94" s="1069"/>
      <c r="EP94" s="1069"/>
      <c r="EQ94" s="1069"/>
      <c r="ER94" s="1069"/>
      <c r="ES94" s="1069"/>
      <c r="ET94" s="1069"/>
      <c r="EU94" s="1069"/>
      <c r="EV94" s="1069"/>
      <c r="EW94" s="1069"/>
      <c r="EX94" s="1069"/>
      <c r="EY94" s="1069"/>
      <c r="EZ94" s="1069"/>
      <c r="FA94" s="1069"/>
      <c r="FB94" s="1069"/>
      <c r="FC94" s="1069"/>
      <c r="FD94" s="1069"/>
      <c r="FE94" s="1069"/>
      <c r="FF94" s="1069"/>
      <c r="FG94" s="1069"/>
      <c r="FH94" s="1069"/>
      <c r="FI94" s="1069"/>
      <c r="FJ94" s="1069"/>
      <c r="FK94" s="1069"/>
      <c r="FL94" s="1069"/>
      <c r="FM94" s="1069"/>
      <c r="FN94" s="1069"/>
      <c r="FO94" s="1069"/>
      <c r="FP94" s="1069"/>
      <c r="FQ94" s="1069"/>
      <c r="FR94" s="1069"/>
      <c r="FS94" s="1069"/>
      <c r="FT94" s="1069"/>
      <c r="FU94" s="1069"/>
      <c r="FV94" s="1069"/>
      <c r="FW94" s="1069"/>
      <c r="FX94" s="1069"/>
      <c r="FY94" s="1069"/>
      <c r="FZ94" s="1069"/>
      <c r="GA94" s="1069"/>
      <c r="GB94" s="1069"/>
      <c r="GC94" s="1069"/>
      <c r="GD94" s="1069"/>
      <c r="GE94" s="1069"/>
      <c r="GF94" s="1069"/>
      <c r="GG94" s="1069"/>
      <c r="GH94" s="1069"/>
      <c r="GI94" s="1069"/>
      <c r="GJ94" s="1069"/>
      <c r="GK94" s="1069"/>
      <c r="GL94" s="1069"/>
      <c r="GM94" s="1069"/>
      <c r="GN94" s="1069"/>
      <c r="GO94" s="1069"/>
      <c r="GP94" s="1069"/>
      <c r="GQ94" s="1069"/>
      <c r="GR94" s="1069"/>
      <c r="GS94" s="1069"/>
      <c r="GT94" s="1069"/>
      <c r="GU94" s="1069"/>
      <c r="GV94" s="1069"/>
      <c r="GW94" s="1069"/>
      <c r="GX94" s="1069"/>
    </row>
    <row r="95" spans="1:206" ht="15" customHeight="1" x14ac:dyDescent="0.2">
      <c r="A95" s="1075">
        <v>2114</v>
      </c>
      <c r="B95" s="1075"/>
      <c r="C95" s="1076" t="s">
        <v>162</v>
      </c>
      <c r="D95" s="1063" t="s">
        <v>162</v>
      </c>
      <c r="E95" s="1055" t="e">
        <f t="shared" si="24"/>
        <v>#VALUE!</v>
      </c>
      <c r="F95" s="1064" t="s">
        <v>10</v>
      </c>
      <c r="G95" s="1056" t="e">
        <f t="shared" si="25"/>
        <v>#VALUE!</v>
      </c>
      <c r="H95" s="1062" t="s">
        <v>10</v>
      </c>
      <c r="I95" s="1063" t="s">
        <v>1416</v>
      </c>
      <c r="J95" s="1063" t="s">
        <v>10</v>
      </c>
      <c r="K95" s="1063" t="s">
        <v>10</v>
      </c>
      <c r="L95" s="1063" t="s">
        <v>10</v>
      </c>
      <c r="M95" s="1065" t="s">
        <v>10</v>
      </c>
      <c r="N95" s="1065" t="s">
        <v>10</v>
      </c>
      <c r="O95" s="1065" t="s">
        <v>10</v>
      </c>
      <c r="P95" s="1065" t="s">
        <v>10</v>
      </c>
      <c r="Q95" s="1065" t="s">
        <v>10</v>
      </c>
      <c r="R95" s="1065" t="s">
        <v>10</v>
      </c>
      <c r="S95" s="1065" t="s">
        <v>10</v>
      </c>
      <c r="T95" s="1058" t="e">
        <f t="shared" si="26"/>
        <v>#VALUE!</v>
      </c>
      <c r="U95" s="1065" t="s">
        <v>10</v>
      </c>
      <c r="V95" s="1065" t="s">
        <v>10</v>
      </c>
      <c r="W95" s="1065" t="s">
        <v>10</v>
      </c>
      <c r="X95" s="1065" t="s">
        <v>10</v>
      </c>
      <c r="Y95" s="1065" t="s">
        <v>10</v>
      </c>
      <c r="Z95" s="1065" t="s">
        <v>10</v>
      </c>
      <c r="AA95" s="1065" t="s">
        <v>10</v>
      </c>
      <c r="AB95" s="1065" t="s">
        <v>10</v>
      </c>
      <c r="AC95" s="1065" t="s">
        <v>10</v>
      </c>
      <c r="AD95" s="1065" t="s">
        <v>10</v>
      </c>
      <c r="AE95" s="1065" t="s">
        <v>10</v>
      </c>
      <c r="AF95" s="1065" t="s">
        <v>10</v>
      </c>
      <c r="AG95" s="1065" t="s">
        <v>10</v>
      </c>
      <c r="AH95" s="1065" t="s">
        <v>10</v>
      </c>
      <c r="AI95" s="1065" t="s">
        <v>10</v>
      </c>
      <c r="AJ95" s="1062">
        <v>4</v>
      </c>
      <c r="AK95" s="1062" t="s">
        <v>913</v>
      </c>
      <c r="AL95" s="1066" t="s">
        <v>1512</v>
      </c>
      <c r="AM95" s="1062" t="s">
        <v>10</v>
      </c>
      <c r="AN95" s="1078" t="s">
        <v>162</v>
      </c>
      <c r="AO95" s="1078">
        <v>0</v>
      </c>
      <c r="AP95" s="1079">
        <v>0</v>
      </c>
      <c r="AQ95" s="1059" t="e">
        <f t="shared" si="27"/>
        <v>#VALUE!</v>
      </c>
      <c r="AR95" s="753">
        <v>0</v>
      </c>
      <c r="AS95" s="753">
        <v>0</v>
      </c>
      <c r="AT95" s="753">
        <v>3</v>
      </c>
      <c r="AU95" s="753">
        <v>2</v>
      </c>
      <c r="AV95" s="1080" t="s">
        <v>10</v>
      </c>
      <c r="AW95" s="1080" t="s">
        <v>10</v>
      </c>
      <c r="AX95" s="1080" t="s">
        <v>10</v>
      </c>
      <c r="AY95" s="1080" t="s">
        <v>10</v>
      </c>
      <c r="AZ95" s="1080" t="s">
        <v>10</v>
      </c>
      <c r="BA95" s="1080" t="s">
        <v>10</v>
      </c>
      <c r="BB95" s="1080" t="s">
        <v>10</v>
      </c>
      <c r="BC95" s="1080" t="s">
        <v>10</v>
      </c>
      <c r="BD95" s="1080" t="s">
        <v>10</v>
      </c>
      <c r="BE95" s="1080" t="s">
        <v>10</v>
      </c>
      <c r="BF95" s="1080" t="s">
        <v>10</v>
      </c>
      <c r="BG95" s="1080" t="s">
        <v>10</v>
      </c>
      <c r="BH95" s="1080" t="s">
        <v>10</v>
      </c>
      <c r="BI95" s="1080" t="s">
        <v>10</v>
      </c>
      <c r="BJ95" s="1080" t="s">
        <v>10</v>
      </c>
      <c r="BK95" s="1080" t="s">
        <v>10</v>
      </c>
      <c r="BL95" s="1080" t="s">
        <v>10</v>
      </c>
      <c r="BM95" s="1080" t="s">
        <v>10</v>
      </c>
      <c r="BN95" s="1080" t="s">
        <v>10</v>
      </c>
      <c r="BO95" s="1080" t="s">
        <v>10</v>
      </c>
      <c r="BR95" s="1140">
        <f t="shared" si="28"/>
        <v>0</v>
      </c>
      <c r="BS95" s="1140">
        <f t="shared" si="29"/>
        <v>41666.666666666672</v>
      </c>
      <c r="BT95" s="1140">
        <f t="shared" si="30"/>
        <v>27777.777777777781</v>
      </c>
      <c r="BU95" s="1140">
        <f t="shared" si="31"/>
        <v>69444.444444444453</v>
      </c>
      <c r="BV95" s="1140">
        <v>0</v>
      </c>
      <c r="BW95" s="1140">
        <v>0</v>
      </c>
      <c r="BX95" s="1140">
        <v>0</v>
      </c>
      <c r="BY95" s="1140">
        <f t="shared" si="32"/>
        <v>0</v>
      </c>
      <c r="CA95" s="1140">
        <f t="shared" si="33"/>
        <v>0</v>
      </c>
      <c r="CB95" s="1140">
        <f t="shared" si="34"/>
        <v>41666.666666666672</v>
      </c>
      <c r="CC95" s="1140">
        <f t="shared" si="35"/>
        <v>27777.777777777781</v>
      </c>
      <c r="CD95" s="1140">
        <f t="shared" si="36"/>
        <v>69444.444444444453</v>
      </c>
      <c r="CE95" s="1140">
        <f t="shared" si="37"/>
        <v>0</v>
      </c>
      <c r="CF95" s="1140">
        <f t="shared" si="38"/>
        <v>0</v>
      </c>
      <c r="CG95" s="1140">
        <f t="shared" si="39"/>
        <v>0</v>
      </c>
      <c r="CH95" s="1140">
        <f t="shared" si="40"/>
        <v>0</v>
      </c>
      <c r="CJ95" s="1069"/>
      <c r="CK95" s="1069"/>
      <c r="CL95" s="1069"/>
      <c r="CM95" s="1069"/>
      <c r="CN95" s="1069"/>
      <c r="CO95" s="1069"/>
      <c r="CP95" s="1069"/>
      <c r="CQ95" s="1069"/>
      <c r="CR95" s="1069"/>
      <c r="CS95" s="1069"/>
      <c r="CT95" s="1069"/>
      <c r="CU95" s="1069"/>
      <c r="CV95" s="1069"/>
      <c r="CW95" s="1069"/>
      <c r="CX95" s="1069"/>
      <c r="CY95" s="1069"/>
      <c r="CZ95" s="1069"/>
      <c r="DA95" s="1069"/>
      <c r="DB95" s="1069"/>
      <c r="DC95" s="1069"/>
      <c r="DD95" s="1069"/>
      <c r="DE95" s="1069"/>
      <c r="DF95" s="1069"/>
      <c r="DG95" s="1069"/>
      <c r="DH95" s="1069"/>
      <c r="DI95" s="1069"/>
      <c r="DJ95" s="1069"/>
      <c r="DK95" s="1069"/>
      <c r="DL95" s="1069"/>
      <c r="DM95" s="1069"/>
      <c r="DN95" s="1069"/>
      <c r="DO95" s="1069"/>
      <c r="DP95" s="1069"/>
      <c r="DQ95" s="1069"/>
      <c r="DR95" s="1069"/>
      <c r="DS95" s="1069"/>
      <c r="DT95" s="1069"/>
      <c r="DU95" s="1069"/>
      <c r="DV95" s="1069"/>
      <c r="DW95" s="1069"/>
      <c r="DX95" s="1069"/>
      <c r="DY95" s="1069"/>
      <c r="DZ95" s="1069"/>
      <c r="EA95" s="1069"/>
      <c r="EB95" s="1069"/>
      <c r="EC95" s="1069"/>
      <c r="ED95" s="1069"/>
      <c r="EE95" s="1069"/>
      <c r="EF95" s="1069"/>
      <c r="EG95" s="1069"/>
      <c r="EH95" s="1069"/>
      <c r="EI95" s="1069"/>
      <c r="EJ95" s="1069"/>
      <c r="EK95" s="1069"/>
      <c r="EL95" s="1069"/>
      <c r="EM95" s="1069"/>
      <c r="EN95" s="1069"/>
      <c r="EO95" s="1069"/>
      <c r="EP95" s="1069"/>
      <c r="EQ95" s="1069"/>
      <c r="ER95" s="1069"/>
      <c r="ES95" s="1069"/>
      <c r="ET95" s="1069"/>
      <c r="EU95" s="1069"/>
      <c r="EV95" s="1069"/>
      <c r="EW95" s="1069"/>
      <c r="EX95" s="1069"/>
      <c r="EY95" s="1069"/>
      <c r="EZ95" s="1069"/>
      <c r="FA95" s="1069"/>
      <c r="FB95" s="1069"/>
      <c r="FC95" s="1069"/>
      <c r="FD95" s="1069"/>
      <c r="FE95" s="1069"/>
      <c r="FF95" s="1069"/>
      <c r="FG95" s="1069"/>
      <c r="FH95" s="1069"/>
      <c r="FI95" s="1069"/>
      <c r="FJ95" s="1069"/>
      <c r="FK95" s="1069"/>
      <c r="FL95" s="1069"/>
      <c r="FM95" s="1069"/>
      <c r="FN95" s="1069"/>
      <c r="FO95" s="1069"/>
      <c r="FP95" s="1069"/>
      <c r="FQ95" s="1069"/>
      <c r="FR95" s="1069"/>
      <c r="FS95" s="1069"/>
      <c r="FT95" s="1069"/>
      <c r="FU95" s="1069"/>
      <c r="FV95" s="1069"/>
      <c r="FW95" s="1069"/>
      <c r="FX95" s="1069"/>
      <c r="FY95" s="1069"/>
      <c r="FZ95" s="1069"/>
      <c r="GA95" s="1069"/>
      <c r="GB95" s="1069"/>
      <c r="GC95" s="1069"/>
      <c r="GD95" s="1069"/>
      <c r="GE95" s="1069"/>
      <c r="GF95" s="1069"/>
      <c r="GG95" s="1069"/>
      <c r="GH95" s="1069"/>
      <c r="GI95" s="1069"/>
      <c r="GJ95" s="1069"/>
      <c r="GK95" s="1069"/>
      <c r="GL95" s="1069"/>
      <c r="GM95" s="1069"/>
      <c r="GN95" s="1069"/>
      <c r="GO95" s="1069"/>
      <c r="GP95" s="1069"/>
      <c r="GQ95" s="1069"/>
      <c r="GR95" s="1069"/>
      <c r="GS95" s="1069"/>
      <c r="GT95" s="1069"/>
      <c r="GU95" s="1069"/>
      <c r="GV95" s="1069"/>
      <c r="GW95" s="1069"/>
      <c r="GX95" s="1069"/>
    </row>
    <row r="96" spans="1:206" ht="15" customHeight="1" x14ac:dyDescent="0.2">
      <c r="A96" s="1052">
        <v>906</v>
      </c>
      <c r="B96" s="1052" t="s">
        <v>1412</v>
      </c>
      <c r="C96" s="1053" t="s">
        <v>163</v>
      </c>
      <c r="D96" s="1054" t="s">
        <v>163</v>
      </c>
      <c r="E96" s="1055">
        <f t="shared" si="24"/>
        <v>342621.08919999999</v>
      </c>
      <c r="F96" s="1055">
        <v>549013</v>
      </c>
      <c r="G96" s="1056">
        <f t="shared" si="25"/>
        <v>891634.08920000005</v>
      </c>
      <c r="H96" s="1053" t="s">
        <v>10</v>
      </c>
      <c r="I96" s="1054" t="s">
        <v>1416</v>
      </c>
      <c r="J96" s="1054" t="s">
        <v>1412</v>
      </c>
      <c r="K96" s="1054" t="s">
        <v>166</v>
      </c>
      <c r="L96" s="1054" t="s">
        <v>1412</v>
      </c>
      <c r="M96" s="1057">
        <v>165</v>
      </c>
      <c r="N96" s="1057">
        <v>0.81499999999999995</v>
      </c>
      <c r="O96" s="1057">
        <v>0.81499999999999995</v>
      </c>
      <c r="P96" s="1057">
        <v>0.871</v>
      </c>
      <c r="Q96" s="1057">
        <v>0.81200000000000006</v>
      </c>
      <c r="R96" s="1057">
        <v>1238108</v>
      </c>
      <c r="S96" s="1057">
        <v>983413</v>
      </c>
      <c r="T96" s="1058">
        <f t="shared" si="26"/>
        <v>368337.13</v>
      </c>
      <c r="U96" s="1057">
        <v>597028</v>
      </c>
      <c r="V96" s="1057">
        <v>386385</v>
      </c>
      <c r="W96" s="1057">
        <v>4846</v>
      </c>
      <c r="X96" s="1057">
        <v>917350.13</v>
      </c>
      <c r="Y96" s="1057">
        <v>368337.13</v>
      </c>
      <c r="Z96" s="1057">
        <v>549013</v>
      </c>
      <c r="AA96" s="1057">
        <v>434400</v>
      </c>
      <c r="AB96" s="1057">
        <v>0</v>
      </c>
      <c r="AC96" s="1057">
        <v>434400</v>
      </c>
      <c r="AD96" s="1057">
        <v>549013</v>
      </c>
      <c r="AE96" s="1057">
        <v>0</v>
      </c>
      <c r="AF96" s="1057">
        <v>434400</v>
      </c>
      <c r="AG96" s="1057">
        <v>0</v>
      </c>
      <c r="AH96" s="1057">
        <v>581000</v>
      </c>
      <c r="AI96" s="1057">
        <v>561000</v>
      </c>
      <c r="AJ96" s="1053" t="s">
        <v>900</v>
      </c>
      <c r="AK96" s="1053" t="s">
        <v>905</v>
      </c>
      <c r="AL96" s="1054" t="s">
        <v>1416</v>
      </c>
      <c r="AM96" s="1053" t="s">
        <v>10</v>
      </c>
      <c r="AN96" s="1054" t="s">
        <v>163</v>
      </c>
      <c r="AO96" s="1054">
        <v>917350.13</v>
      </c>
      <c r="AP96" s="1059">
        <f t="shared" ref="AP96:AP101" si="45">AR96+AT96+AU96+AV96+AX96+AY96+AZ96+BD96+BF96+BG96+BH96+BJ96+BK96+(BL96+BM96+BN96)/1000+(0.1*BO96)</f>
        <v>1036.2948999999999</v>
      </c>
      <c r="AQ96" s="1059">
        <f t="shared" si="27"/>
        <v>1089.2948999999999</v>
      </c>
      <c r="AR96" s="1052">
        <v>442</v>
      </c>
      <c r="AS96" s="1052">
        <v>561</v>
      </c>
      <c r="AT96" s="1052">
        <v>116</v>
      </c>
      <c r="AU96" s="1052">
        <v>0</v>
      </c>
      <c r="AV96" s="1052">
        <v>0</v>
      </c>
      <c r="AW96" s="1052">
        <v>17</v>
      </c>
      <c r="AX96" s="1052">
        <v>0</v>
      </c>
      <c r="AY96" s="1052">
        <v>0</v>
      </c>
      <c r="AZ96" s="1052">
        <v>17</v>
      </c>
      <c r="BA96" s="1052">
        <v>59</v>
      </c>
      <c r="BB96" s="1052">
        <v>53</v>
      </c>
      <c r="BC96" s="1052">
        <v>0</v>
      </c>
      <c r="BD96" s="1052">
        <v>30</v>
      </c>
      <c r="BE96" s="1052">
        <v>0</v>
      </c>
      <c r="BF96" s="1052">
        <v>0</v>
      </c>
      <c r="BG96" s="1052">
        <v>0</v>
      </c>
      <c r="BH96" s="1052">
        <v>64</v>
      </c>
      <c r="BI96" s="1052">
        <v>0</v>
      </c>
      <c r="BJ96" s="1052">
        <v>0</v>
      </c>
      <c r="BK96" s="1052">
        <v>0</v>
      </c>
      <c r="BL96" s="1052">
        <v>0</v>
      </c>
      <c r="BM96" s="1052">
        <v>0</v>
      </c>
      <c r="BN96" s="1052">
        <v>293400</v>
      </c>
      <c r="BO96" s="1052">
        <v>738.94899999999996</v>
      </c>
      <c r="BR96" s="1140">
        <f t="shared" si="28"/>
        <v>6138888.888888889</v>
      </c>
      <c r="BS96" s="1140">
        <f t="shared" si="29"/>
        <v>1611111.1111111112</v>
      </c>
      <c r="BT96" s="1140">
        <f t="shared" si="30"/>
        <v>0</v>
      </c>
      <c r="BU96" s="1140">
        <f t="shared" si="31"/>
        <v>7750000</v>
      </c>
      <c r="BV96" s="1140">
        <f t="shared" si="41"/>
        <v>0</v>
      </c>
      <c r="BW96" s="1140">
        <f t="shared" si="42"/>
        <v>0</v>
      </c>
      <c r="BX96" s="1140">
        <f t="shared" si="43"/>
        <v>0</v>
      </c>
      <c r="BY96" s="1140">
        <f t="shared" si="32"/>
        <v>0</v>
      </c>
      <c r="CA96" s="1140">
        <f t="shared" si="33"/>
        <v>6138888.888888889</v>
      </c>
      <c r="CB96" s="1140">
        <f t="shared" si="34"/>
        <v>1611111.1111111112</v>
      </c>
      <c r="CC96" s="1140">
        <f t="shared" si="35"/>
        <v>0</v>
      </c>
      <c r="CD96" s="1140">
        <f t="shared" si="36"/>
        <v>7750000</v>
      </c>
      <c r="CE96" s="1140">
        <f t="shared" si="37"/>
        <v>0</v>
      </c>
      <c r="CF96" s="1140">
        <f t="shared" si="38"/>
        <v>0</v>
      </c>
      <c r="CG96" s="1140">
        <f t="shared" si="39"/>
        <v>0</v>
      </c>
      <c r="CH96" s="1140">
        <f t="shared" si="40"/>
        <v>0</v>
      </c>
      <c r="CJ96" s="1069"/>
      <c r="CK96" s="1069"/>
      <c r="CL96" s="1069"/>
      <c r="CM96" s="1069"/>
      <c r="CN96" s="1069"/>
      <c r="CO96" s="1069"/>
      <c r="CP96" s="1069"/>
      <c r="CQ96" s="1069"/>
      <c r="CR96" s="1069"/>
      <c r="CS96" s="1069"/>
      <c r="CT96" s="1069"/>
      <c r="CU96" s="1069"/>
      <c r="CV96" s="1069"/>
      <c r="CW96" s="1069"/>
      <c r="CX96" s="1069"/>
      <c r="CY96" s="1069"/>
      <c r="CZ96" s="1069"/>
      <c r="DA96" s="1069"/>
      <c r="DB96" s="1069"/>
      <c r="DC96" s="1069"/>
      <c r="DD96" s="1069"/>
      <c r="DE96" s="1069"/>
      <c r="DF96" s="1069"/>
      <c r="DG96" s="1069"/>
      <c r="DH96" s="1069"/>
      <c r="DI96" s="1069"/>
      <c r="DJ96" s="1069"/>
      <c r="DK96" s="1069"/>
      <c r="DL96" s="1069"/>
      <c r="DM96" s="1069"/>
      <c r="DN96" s="1069"/>
      <c r="DO96" s="1069"/>
      <c r="DP96" s="1069"/>
      <c r="DQ96" s="1069"/>
      <c r="DR96" s="1069"/>
      <c r="DS96" s="1069"/>
      <c r="DT96" s="1069"/>
      <c r="DU96" s="1069"/>
      <c r="DV96" s="1069"/>
      <c r="DW96" s="1069"/>
      <c r="DX96" s="1069"/>
      <c r="DY96" s="1069"/>
      <c r="DZ96" s="1069"/>
      <c r="EA96" s="1069"/>
      <c r="EB96" s="1069"/>
      <c r="EC96" s="1069"/>
      <c r="ED96" s="1069"/>
      <c r="EE96" s="1069"/>
      <c r="EF96" s="1069"/>
      <c r="EG96" s="1069"/>
      <c r="EH96" s="1069"/>
      <c r="EI96" s="1069"/>
      <c r="EJ96" s="1069"/>
      <c r="EK96" s="1069"/>
      <c r="EL96" s="1069"/>
      <c r="EM96" s="1069"/>
      <c r="EN96" s="1069"/>
      <c r="EO96" s="1069"/>
      <c r="EP96" s="1069"/>
      <c r="EQ96" s="1069"/>
      <c r="ER96" s="1069"/>
      <c r="ES96" s="1069"/>
      <c r="ET96" s="1069"/>
      <c r="EU96" s="1069"/>
      <c r="EV96" s="1069"/>
      <c r="EW96" s="1069"/>
      <c r="EX96" s="1069"/>
      <c r="EY96" s="1069"/>
      <c r="EZ96" s="1069"/>
      <c r="FA96" s="1069"/>
      <c r="FB96" s="1069"/>
      <c r="FC96" s="1069"/>
      <c r="FD96" s="1069"/>
      <c r="FE96" s="1069"/>
      <c r="FF96" s="1069"/>
      <c r="FG96" s="1069"/>
      <c r="FH96" s="1069"/>
      <c r="FI96" s="1069"/>
      <c r="FJ96" s="1069"/>
      <c r="FK96" s="1069"/>
      <c r="FL96" s="1069"/>
      <c r="FM96" s="1069"/>
      <c r="FN96" s="1069"/>
      <c r="FO96" s="1069"/>
      <c r="FP96" s="1069"/>
      <c r="FQ96" s="1069"/>
      <c r="FR96" s="1069"/>
      <c r="FS96" s="1069"/>
      <c r="FT96" s="1069"/>
      <c r="FU96" s="1069"/>
      <c r="FV96" s="1069"/>
      <c r="FW96" s="1069"/>
      <c r="FX96" s="1069"/>
      <c r="FY96" s="1069"/>
      <c r="FZ96" s="1069"/>
      <c r="GA96" s="1069"/>
      <c r="GB96" s="1069"/>
      <c r="GC96" s="1069"/>
      <c r="GD96" s="1069"/>
      <c r="GE96" s="1069"/>
      <c r="GF96" s="1069"/>
      <c r="GG96" s="1069"/>
      <c r="GH96" s="1069"/>
      <c r="GI96" s="1069"/>
      <c r="GJ96" s="1069"/>
      <c r="GK96" s="1069"/>
      <c r="GL96" s="1069"/>
      <c r="GM96" s="1069"/>
      <c r="GN96" s="1069"/>
      <c r="GO96" s="1069"/>
      <c r="GP96" s="1069"/>
      <c r="GQ96" s="1069"/>
      <c r="GR96" s="1069"/>
      <c r="GS96" s="1069"/>
      <c r="GT96" s="1069"/>
      <c r="GU96" s="1069"/>
      <c r="GV96" s="1069"/>
      <c r="GW96" s="1069"/>
      <c r="GX96" s="1069"/>
    </row>
    <row r="97" spans="1:243" ht="15" customHeight="1" x14ac:dyDescent="0.2">
      <c r="A97" s="1052">
        <v>907</v>
      </c>
      <c r="B97" s="1052"/>
      <c r="C97" s="1053" t="s">
        <v>167</v>
      </c>
      <c r="D97" s="1054" t="s">
        <v>167</v>
      </c>
      <c r="E97" s="1055">
        <f t="shared" si="24"/>
        <v>34962.108999999997</v>
      </c>
      <c r="F97" s="1055">
        <v>0</v>
      </c>
      <c r="G97" s="1056">
        <f t="shared" si="25"/>
        <v>34962.108999999997</v>
      </c>
      <c r="H97" s="1053" t="s">
        <v>10</v>
      </c>
      <c r="I97" s="1054" t="s">
        <v>1512</v>
      </c>
      <c r="J97" s="1054" t="s">
        <v>10</v>
      </c>
      <c r="K97" s="1054" t="s">
        <v>166</v>
      </c>
      <c r="L97" s="1054" t="s">
        <v>10</v>
      </c>
      <c r="M97" s="1057">
        <v>0</v>
      </c>
      <c r="N97" s="1057">
        <v>1</v>
      </c>
      <c r="O97" s="1057">
        <v>1</v>
      </c>
      <c r="P97" s="1057">
        <v>0.60399999999999998</v>
      </c>
      <c r="Q97" s="1057">
        <v>1</v>
      </c>
      <c r="R97" s="1057">
        <v>0</v>
      </c>
      <c r="S97" s="1057">
        <v>180310</v>
      </c>
      <c r="T97" s="1058">
        <f t="shared" si="26"/>
        <v>34962.108999999997</v>
      </c>
      <c r="U97" s="1057">
        <v>180355</v>
      </c>
      <c r="V97" s="1057">
        <v>-45</v>
      </c>
      <c r="W97" s="1057">
        <v>700</v>
      </c>
      <c r="X97" s="1057">
        <v>0</v>
      </c>
      <c r="Y97" s="1057">
        <v>0</v>
      </c>
      <c r="Z97" s="1057">
        <v>0</v>
      </c>
      <c r="AA97" s="1057">
        <v>215272.109</v>
      </c>
      <c r="AB97" s="1057">
        <v>34962.108999999997</v>
      </c>
      <c r="AC97" s="1057">
        <v>180310</v>
      </c>
      <c r="AD97" s="1057">
        <v>0</v>
      </c>
      <c r="AE97" s="1057">
        <v>0</v>
      </c>
      <c r="AF97" s="1057">
        <v>0</v>
      </c>
      <c r="AG97" s="1057">
        <v>180310</v>
      </c>
      <c r="AH97" s="1057">
        <v>0</v>
      </c>
      <c r="AI97" s="1057">
        <v>0</v>
      </c>
      <c r="AJ97" s="1053" t="s">
        <v>900</v>
      </c>
      <c r="AK97" s="1053" t="s">
        <v>905</v>
      </c>
      <c r="AL97" s="1054" t="s">
        <v>1512</v>
      </c>
      <c r="AM97" s="1053" t="s">
        <v>10</v>
      </c>
      <c r="AN97" s="1054" t="s">
        <v>167</v>
      </c>
      <c r="AO97" s="1054">
        <v>34962.108999999997</v>
      </c>
      <c r="AP97" s="1059">
        <f t="shared" si="45"/>
        <v>13.54</v>
      </c>
      <c r="AQ97" s="1059">
        <f t="shared" si="27"/>
        <v>14.54</v>
      </c>
      <c r="AR97" s="1052">
        <v>0</v>
      </c>
      <c r="AS97" s="1052">
        <v>0</v>
      </c>
      <c r="AT97" s="1052">
        <v>3</v>
      </c>
      <c r="AU97" s="1052">
        <v>10</v>
      </c>
      <c r="AV97" s="1052">
        <v>0</v>
      </c>
      <c r="AW97" s="1052">
        <v>0</v>
      </c>
      <c r="AX97" s="1052">
        <v>0</v>
      </c>
      <c r="AY97" s="1052">
        <v>0</v>
      </c>
      <c r="AZ97" s="1052">
        <v>0</v>
      </c>
      <c r="BA97" s="1052">
        <v>0</v>
      </c>
      <c r="BB97" s="1052">
        <v>0</v>
      </c>
      <c r="BC97" s="1052">
        <v>1</v>
      </c>
      <c r="BD97" s="1052">
        <v>0</v>
      </c>
      <c r="BE97" s="1052">
        <v>0</v>
      </c>
      <c r="BF97" s="1052">
        <v>0</v>
      </c>
      <c r="BG97" s="1052">
        <v>0</v>
      </c>
      <c r="BH97" s="1052">
        <v>0</v>
      </c>
      <c r="BI97" s="1052">
        <v>0</v>
      </c>
      <c r="BJ97" s="1052">
        <v>0</v>
      </c>
      <c r="BK97" s="1052">
        <v>0</v>
      </c>
      <c r="BL97" s="1052">
        <v>0</v>
      </c>
      <c r="BM97" s="1052">
        <v>0</v>
      </c>
      <c r="BN97" s="1052">
        <v>0</v>
      </c>
      <c r="BO97" s="1052">
        <v>5.4</v>
      </c>
      <c r="BR97" s="1140">
        <f t="shared" si="28"/>
        <v>0</v>
      </c>
      <c r="BS97" s="1140">
        <f t="shared" si="29"/>
        <v>41666.666666666672</v>
      </c>
      <c r="BT97" s="1140">
        <f t="shared" si="30"/>
        <v>138888.88888888891</v>
      </c>
      <c r="BU97" s="1140">
        <f t="shared" si="31"/>
        <v>180555.55555555556</v>
      </c>
      <c r="BV97" s="1140">
        <f t="shared" si="41"/>
        <v>0</v>
      </c>
      <c r="BW97" s="1140">
        <f t="shared" si="42"/>
        <v>0</v>
      </c>
      <c r="BX97" s="1140">
        <f t="shared" si="43"/>
        <v>0</v>
      </c>
      <c r="BY97" s="1140">
        <f t="shared" si="32"/>
        <v>0</v>
      </c>
      <c r="CA97" s="1140">
        <f t="shared" si="33"/>
        <v>0</v>
      </c>
      <c r="CB97" s="1140">
        <f t="shared" si="34"/>
        <v>41666.666666666672</v>
      </c>
      <c r="CC97" s="1140">
        <f t="shared" si="35"/>
        <v>138888.88888888891</v>
      </c>
      <c r="CD97" s="1140">
        <f t="shared" si="36"/>
        <v>180555.55555555556</v>
      </c>
      <c r="CE97" s="1140">
        <f t="shared" si="37"/>
        <v>0</v>
      </c>
      <c r="CF97" s="1140">
        <f t="shared" si="38"/>
        <v>0</v>
      </c>
      <c r="CG97" s="1140">
        <f t="shared" si="39"/>
        <v>0</v>
      </c>
      <c r="CH97" s="1140">
        <f t="shared" si="40"/>
        <v>0</v>
      </c>
      <c r="CJ97" s="1069"/>
      <c r="CK97" s="1069"/>
      <c r="CL97" s="1069"/>
      <c r="CM97" s="1069"/>
      <c r="CN97" s="1069"/>
      <c r="CO97" s="1069"/>
      <c r="CP97" s="1069"/>
      <c r="CQ97" s="1069"/>
      <c r="CR97" s="1069"/>
      <c r="CS97" s="1069"/>
      <c r="CT97" s="1069"/>
      <c r="CU97" s="1069"/>
      <c r="CV97" s="1069"/>
      <c r="CW97" s="1069"/>
      <c r="CX97" s="1069"/>
      <c r="CY97" s="1069"/>
      <c r="CZ97" s="1069"/>
      <c r="DA97" s="1069"/>
      <c r="DB97" s="1069"/>
      <c r="DC97" s="1069"/>
      <c r="DD97" s="1069"/>
      <c r="DE97" s="1069"/>
      <c r="DF97" s="1069"/>
      <c r="DG97" s="1069"/>
      <c r="DH97" s="1069"/>
      <c r="DI97" s="1069"/>
      <c r="DJ97" s="1069"/>
      <c r="DK97" s="1069"/>
      <c r="DL97" s="1069"/>
      <c r="DM97" s="1069"/>
      <c r="DN97" s="1069"/>
      <c r="DO97" s="1069"/>
      <c r="DP97" s="1069"/>
      <c r="DQ97" s="1069"/>
      <c r="DR97" s="1069"/>
      <c r="DS97" s="1069"/>
      <c r="DT97" s="1069"/>
      <c r="DU97" s="1069"/>
      <c r="DV97" s="1069"/>
      <c r="DW97" s="1069"/>
      <c r="DX97" s="1069"/>
      <c r="DY97" s="1069"/>
      <c r="DZ97" s="1069"/>
      <c r="EA97" s="1069"/>
      <c r="EB97" s="1069"/>
      <c r="EC97" s="1069"/>
      <c r="ED97" s="1069"/>
      <c r="EE97" s="1069"/>
      <c r="EF97" s="1069"/>
      <c r="EG97" s="1069"/>
      <c r="EH97" s="1069"/>
      <c r="EI97" s="1069"/>
      <c r="EJ97" s="1069"/>
      <c r="EK97" s="1069"/>
      <c r="EL97" s="1069"/>
      <c r="EM97" s="1069"/>
      <c r="EN97" s="1069"/>
      <c r="EO97" s="1069"/>
      <c r="EP97" s="1069"/>
      <c r="EQ97" s="1069"/>
      <c r="ER97" s="1069"/>
      <c r="ES97" s="1069"/>
      <c r="ET97" s="1069"/>
      <c r="EU97" s="1069"/>
      <c r="EV97" s="1069"/>
      <c r="EW97" s="1069"/>
      <c r="EX97" s="1069"/>
      <c r="EY97" s="1069"/>
      <c r="EZ97" s="1069"/>
      <c r="FA97" s="1069"/>
      <c r="FB97" s="1069"/>
      <c r="FC97" s="1069"/>
      <c r="FD97" s="1069"/>
      <c r="FE97" s="1069"/>
      <c r="FF97" s="1069"/>
      <c r="FG97" s="1069"/>
      <c r="FH97" s="1069"/>
      <c r="FI97" s="1069"/>
      <c r="FJ97" s="1069"/>
      <c r="FK97" s="1069"/>
      <c r="FL97" s="1069"/>
      <c r="FM97" s="1069"/>
      <c r="FN97" s="1069"/>
      <c r="FO97" s="1069"/>
      <c r="FP97" s="1069"/>
      <c r="FQ97" s="1069"/>
      <c r="FR97" s="1069"/>
      <c r="FS97" s="1069"/>
      <c r="FT97" s="1069"/>
      <c r="FU97" s="1069"/>
      <c r="FV97" s="1069"/>
      <c r="FW97" s="1069"/>
      <c r="FX97" s="1069"/>
      <c r="FY97" s="1069"/>
      <c r="FZ97" s="1069"/>
      <c r="GA97" s="1069"/>
      <c r="GB97" s="1069"/>
      <c r="GC97" s="1069"/>
      <c r="GD97" s="1069"/>
      <c r="GE97" s="1069"/>
      <c r="GF97" s="1069"/>
      <c r="GG97" s="1069"/>
      <c r="GH97" s="1069"/>
      <c r="GI97" s="1069"/>
      <c r="GJ97" s="1069"/>
      <c r="GK97" s="1069"/>
      <c r="GL97" s="1069"/>
      <c r="GM97" s="1069"/>
      <c r="GN97" s="1069"/>
      <c r="GO97" s="1069"/>
      <c r="GP97" s="1069"/>
      <c r="GQ97" s="1069"/>
      <c r="GR97" s="1069"/>
      <c r="GS97" s="1069"/>
      <c r="GT97" s="1069"/>
      <c r="GU97" s="1069"/>
      <c r="GV97" s="1069"/>
      <c r="GW97" s="1069"/>
      <c r="GX97" s="1069"/>
    </row>
    <row r="98" spans="1:243" ht="15" customHeight="1" x14ac:dyDescent="0.2">
      <c r="A98" s="1052">
        <v>2546</v>
      </c>
      <c r="B98" s="1052" t="s">
        <v>1412</v>
      </c>
      <c r="C98" s="1053" t="s">
        <v>168</v>
      </c>
      <c r="D98" s="1054" t="s">
        <v>168</v>
      </c>
      <c r="E98" s="1055">
        <f t="shared" si="24"/>
        <v>334150.44</v>
      </c>
      <c r="F98" s="1055">
        <v>0</v>
      </c>
      <c r="G98" s="1056">
        <f t="shared" si="25"/>
        <v>334150.44</v>
      </c>
      <c r="H98" s="1053" t="s">
        <v>10</v>
      </c>
      <c r="I98" s="1054" t="s">
        <v>1416</v>
      </c>
      <c r="J98" s="1054" t="s">
        <v>1412</v>
      </c>
      <c r="K98" s="1054" t="s">
        <v>170</v>
      </c>
      <c r="L98" s="1054" t="s">
        <v>10</v>
      </c>
      <c r="M98" s="1057">
        <v>114</v>
      </c>
      <c r="N98" s="1057">
        <v>0.93899999999999995</v>
      </c>
      <c r="O98" s="1057">
        <v>0.99199999999999999</v>
      </c>
      <c r="P98" s="1057">
        <v>0.98899999999999999</v>
      </c>
      <c r="Q98" s="1057">
        <v>0.97699999999999998</v>
      </c>
      <c r="R98" s="1057">
        <v>1049405</v>
      </c>
      <c r="S98" s="1057">
        <v>959100</v>
      </c>
      <c r="T98" s="1058">
        <f t="shared" si="26"/>
        <v>312197.98749999999</v>
      </c>
      <c r="U98" s="1057">
        <v>639742</v>
      </c>
      <c r="V98" s="1057">
        <v>319358</v>
      </c>
      <c r="W98" s="1057">
        <v>4100</v>
      </c>
      <c r="X98" s="1057">
        <v>0</v>
      </c>
      <c r="Y98" s="1057">
        <v>0</v>
      </c>
      <c r="Z98" s="1057">
        <v>0</v>
      </c>
      <c r="AA98" s="1057">
        <v>1271297.9879999999</v>
      </c>
      <c r="AB98" s="1057">
        <v>312197.98749999999</v>
      </c>
      <c r="AC98" s="1057">
        <v>959100</v>
      </c>
      <c r="AD98" s="1057">
        <v>0</v>
      </c>
      <c r="AE98" s="1057">
        <v>0</v>
      </c>
      <c r="AF98" s="1057">
        <v>959100</v>
      </c>
      <c r="AG98" s="1057">
        <v>0</v>
      </c>
      <c r="AH98" s="1057">
        <v>1390000</v>
      </c>
      <c r="AI98" s="1057">
        <v>1300000</v>
      </c>
      <c r="AJ98" s="1053" t="s">
        <v>900</v>
      </c>
      <c r="AK98" s="1053" t="s">
        <v>901</v>
      </c>
      <c r="AL98" s="1054" t="s">
        <v>1416</v>
      </c>
      <c r="AM98" s="1053" t="s">
        <v>10</v>
      </c>
      <c r="AN98" s="1054" t="s">
        <v>168</v>
      </c>
      <c r="AO98" s="1054">
        <v>312197.98749999999</v>
      </c>
      <c r="AP98" s="1059">
        <f t="shared" si="45"/>
        <v>403.28210000000001</v>
      </c>
      <c r="AQ98" s="1059">
        <f t="shared" si="27"/>
        <v>427.28210000000001</v>
      </c>
      <c r="AR98" s="1052">
        <v>99</v>
      </c>
      <c r="AS98" s="1093">
        <v>1300</v>
      </c>
      <c r="AT98" s="1052">
        <v>106</v>
      </c>
      <c r="AU98" s="1052">
        <v>18</v>
      </c>
      <c r="AV98" s="1052">
        <v>0</v>
      </c>
      <c r="AW98" s="1052">
        <v>0</v>
      </c>
      <c r="AX98" s="1052">
        <v>0</v>
      </c>
      <c r="AY98" s="1052">
        <v>0</v>
      </c>
      <c r="AZ98" s="1052">
        <v>0</v>
      </c>
      <c r="BA98" s="1052">
        <v>19</v>
      </c>
      <c r="BB98" s="1052">
        <v>24</v>
      </c>
      <c r="BC98" s="1052">
        <v>0</v>
      </c>
      <c r="BD98" s="1052">
        <v>0</v>
      </c>
      <c r="BE98" s="1052">
        <v>0</v>
      </c>
      <c r="BF98" s="1052">
        <v>0</v>
      </c>
      <c r="BG98" s="1052">
        <v>0</v>
      </c>
      <c r="BH98" s="1052">
        <v>0</v>
      </c>
      <c r="BI98" s="1052">
        <v>0</v>
      </c>
      <c r="BJ98" s="1052">
        <v>0</v>
      </c>
      <c r="BK98" s="1052">
        <v>0</v>
      </c>
      <c r="BL98" s="1052">
        <v>0</v>
      </c>
      <c r="BM98" s="1052">
        <v>0</v>
      </c>
      <c r="BN98" s="1052">
        <v>100633</v>
      </c>
      <c r="BO98" s="1052">
        <v>796.49099999999999</v>
      </c>
      <c r="BR98" s="1140">
        <f t="shared" si="28"/>
        <v>1375000</v>
      </c>
      <c r="BS98" s="1140">
        <f t="shared" si="29"/>
        <v>1472222.2222222222</v>
      </c>
      <c r="BT98" s="1140">
        <f t="shared" si="30"/>
        <v>250000.00000000003</v>
      </c>
      <c r="BU98" s="1140">
        <f t="shared" si="31"/>
        <v>3097222.222222222</v>
      </c>
      <c r="BV98" s="1140">
        <f t="shared" si="41"/>
        <v>0</v>
      </c>
      <c r="BW98" s="1140">
        <f t="shared" si="42"/>
        <v>0</v>
      </c>
      <c r="BX98" s="1140">
        <f t="shared" si="43"/>
        <v>0</v>
      </c>
      <c r="BY98" s="1140">
        <f t="shared" si="32"/>
        <v>0</v>
      </c>
      <c r="CA98" s="1140">
        <f t="shared" si="33"/>
        <v>1375000</v>
      </c>
      <c r="CB98" s="1140">
        <f t="shared" si="34"/>
        <v>1472222.2222222222</v>
      </c>
      <c r="CC98" s="1140">
        <f t="shared" si="35"/>
        <v>250000.00000000003</v>
      </c>
      <c r="CD98" s="1140">
        <f t="shared" si="36"/>
        <v>3097222.222222222</v>
      </c>
      <c r="CE98" s="1140">
        <f t="shared" si="37"/>
        <v>0</v>
      </c>
      <c r="CF98" s="1140">
        <f t="shared" si="38"/>
        <v>0</v>
      </c>
      <c r="CG98" s="1140">
        <f t="shared" si="39"/>
        <v>0</v>
      </c>
      <c r="CH98" s="1140">
        <f t="shared" si="40"/>
        <v>0</v>
      </c>
      <c r="CJ98" s="1069"/>
      <c r="CK98" s="1069"/>
      <c r="CL98" s="1069"/>
      <c r="CM98" s="1069"/>
      <c r="CN98" s="1069"/>
      <c r="CO98" s="1069"/>
      <c r="CP98" s="1069"/>
      <c r="CQ98" s="1069"/>
      <c r="CR98" s="1069"/>
      <c r="CS98" s="1069"/>
      <c r="CT98" s="1069"/>
      <c r="CU98" s="1069"/>
      <c r="CV98" s="1069"/>
      <c r="CW98" s="1069"/>
      <c r="CX98" s="1069"/>
      <c r="CY98" s="1069"/>
      <c r="CZ98" s="1069"/>
      <c r="DA98" s="1069"/>
      <c r="DB98" s="1069"/>
      <c r="DC98" s="1069"/>
      <c r="DD98" s="1069"/>
      <c r="DE98" s="1069"/>
      <c r="DF98" s="1069"/>
      <c r="DG98" s="1069"/>
      <c r="DH98" s="1069"/>
      <c r="DI98" s="1069"/>
      <c r="DJ98" s="1069"/>
      <c r="DK98" s="1069"/>
      <c r="DL98" s="1069"/>
      <c r="DM98" s="1069"/>
      <c r="DN98" s="1069"/>
      <c r="DO98" s="1069"/>
      <c r="DP98" s="1069"/>
      <c r="DQ98" s="1069"/>
      <c r="DR98" s="1069"/>
      <c r="DS98" s="1069"/>
      <c r="DT98" s="1069"/>
      <c r="DU98" s="1069"/>
      <c r="DV98" s="1069"/>
      <c r="DW98" s="1069"/>
      <c r="DX98" s="1069"/>
      <c r="DY98" s="1069"/>
      <c r="DZ98" s="1069"/>
      <c r="EA98" s="1069"/>
      <c r="EB98" s="1069"/>
      <c r="EC98" s="1069"/>
      <c r="ED98" s="1069"/>
      <c r="EE98" s="1069"/>
      <c r="EF98" s="1069"/>
      <c r="EG98" s="1069"/>
      <c r="EH98" s="1069"/>
      <c r="EI98" s="1069"/>
      <c r="EJ98" s="1069"/>
      <c r="EK98" s="1069"/>
      <c r="EL98" s="1069"/>
      <c r="EM98" s="1069"/>
      <c r="EN98" s="1069"/>
      <c r="EO98" s="1069"/>
      <c r="EP98" s="1069"/>
      <c r="EQ98" s="1069"/>
      <c r="ER98" s="1069"/>
      <c r="ES98" s="1069"/>
      <c r="ET98" s="1069"/>
      <c r="EU98" s="1069"/>
      <c r="EV98" s="1069"/>
      <c r="EW98" s="1069"/>
      <c r="EX98" s="1069"/>
      <c r="EY98" s="1069"/>
      <c r="EZ98" s="1069"/>
      <c r="FA98" s="1069"/>
      <c r="FB98" s="1069"/>
      <c r="FC98" s="1069"/>
      <c r="FD98" s="1069"/>
      <c r="FE98" s="1069"/>
      <c r="FF98" s="1069"/>
      <c r="FG98" s="1069"/>
      <c r="FH98" s="1069"/>
      <c r="FI98" s="1069"/>
      <c r="FJ98" s="1069"/>
      <c r="FK98" s="1069"/>
      <c r="FL98" s="1069"/>
      <c r="FM98" s="1069"/>
      <c r="FN98" s="1069"/>
      <c r="FO98" s="1069"/>
      <c r="FP98" s="1069"/>
      <c r="FQ98" s="1069"/>
      <c r="FR98" s="1069"/>
      <c r="FS98" s="1069"/>
      <c r="FT98" s="1069"/>
      <c r="FU98" s="1069"/>
      <c r="FV98" s="1069"/>
      <c r="FW98" s="1069"/>
      <c r="FX98" s="1069"/>
      <c r="FY98" s="1069"/>
      <c r="FZ98" s="1069"/>
      <c r="GA98" s="1069"/>
      <c r="GB98" s="1069"/>
      <c r="GC98" s="1069"/>
      <c r="GD98" s="1069"/>
      <c r="GE98" s="1069"/>
      <c r="GF98" s="1069"/>
      <c r="GG98" s="1069"/>
      <c r="GH98" s="1069"/>
      <c r="GI98" s="1069"/>
      <c r="GJ98" s="1069"/>
      <c r="GK98" s="1069"/>
      <c r="GL98" s="1069"/>
      <c r="GM98" s="1069"/>
      <c r="GN98" s="1069"/>
      <c r="GO98" s="1069"/>
      <c r="GP98" s="1069"/>
      <c r="GQ98" s="1069"/>
      <c r="GR98" s="1069"/>
      <c r="GS98" s="1069"/>
      <c r="GT98" s="1069"/>
      <c r="GU98" s="1069"/>
      <c r="GV98" s="1069"/>
      <c r="GW98" s="1069"/>
      <c r="GX98" s="1069"/>
    </row>
    <row r="99" spans="1:243" ht="15" customHeight="1" x14ac:dyDescent="0.2">
      <c r="A99" s="1052">
        <v>9060</v>
      </c>
      <c r="B99" s="1052" t="s">
        <v>1412</v>
      </c>
      <c r="C99" s="1053" t="s">
        <v>171</v>
      </c>
      <c r="D99" s="1054" t="s">
        <v>171</v>
      </c>
      <c r="E99" s="1055">
        <f t="shared" si="24"/>
        <v>415748.50719999999</v>
      </c>
      <c r="F99" s="1055">
        <v>0</v>
      </c>
      <c r="G99" s="1056">
        <f t="shared" si="25"/>
        <v>415748.50719999999</v>
      </c>
      <c r="H99" s="1053" t="s">
        <v>10</v>
      </c>
      <c r="I99" s="1054" t="s">
        <v>1416</v>
      </c>
      <c r="J99" s="1054" t="s">
        <v>1412</v>
      </c>
      <c r="K99" s="1054" t="s">
        <v>1565</v>
      </c>
      <c r="L99" s="1054" t="s">
        <v>10</v>
      </c>
      <c r="M99" s="1057">
        <v>108</v>
      </c>
      <c r="N99" s="1057">
        <v>0.90900000000000003</v>
      </c>
      <c r="O99" s="1057">
        <v>0.85599999999999998</v>
      </c>
      <c r="P99" s="1057">
        <v>0.873</v>
      </c>
      <c r="Q99" s="1057">
        <v>0.80900000000000005</v>
      </c>
      <c r="R99" s="1057">
        <v>1342722</v>
      </c>
      <c r="S99" s="1057">
        <v>1193308</v>
      </c>
      <c r="T99" s="1058">
        <f t="shared" si="26"/>
        <v>399459.79499999998</v>
      </c>
      <c r="U99" s="1057">
        <v>889002</v>
      </c>
      <c r="V99" s="1057">
        <v>304306</v>
      </c>
      <c r="W99" s="1057">
        <v>6417</v>
      </c>
      <c r="X99" s="1057">
        <v>0</v>
      </c>
      <c r="Y99" s="1057">
        <v>0</v>
      </c>
      <c r="Z99" s="1057">
        <v>0</v>
      </c>
      <c r="AA99" s="1057">
        <v>1592767.7949999999</v>
      </c>
      <c r="AB99" s="1057">
        <v>399459.79499999998</v>
      </c>
      <c r="AC99" s="1057">
        <v>1193308</v>
      </c>
      <c r="AD99" s="1057">
        <v>0</v>
      </c>
      <c r="AE99" s="1057">
        <v>0</v>
      </c>
      <c r="AF99" s="1057">
        <v>1193308</v>
      </c>
      <c r="AG99" s="1057">
        <v>0</v>
      </c>
      <c r="AH99" s="1057">
        <v>170000</v>
      </c>
      <c r="AI99" s="1057">
        <v>165000</v>
      </c>
      <c r="AJ99" s="1053">
        <v>4</v>
      </c>
      <c r="AK99" s="1053" t="s">
        <v>913</v>
      </c>
      <c r="AL99" s="1054" t="s">
        <v>1416</v>
      </c>
      <c r="AM99" s="1053" t="s">
        <v>10</v>
      </c>
      <c r="AN99" s="1054" t="s">
        <v>171</v>
      </c>
      <c r="AO99" s="1054">
        <v>399459.79499999998</v>
      </c>
      <c r="AP99" s="1059">
        <f t="shared" si="45"/>
        <v>262.29860000000002</v>
      </c>
      <c r="AQ99" s="1059">
        <f t="shared" si="27"/>
        <v>275.29860000000002</v>
      </c>
      <c r="AR99" s="1094">
        <v>6</v>
      </c>
      <c r="AS99" s="1081">
        <v>165</v>
      </c>
      <c r="AT99" s="1095">
        <v>54</v>
      </c>
      <c r="AU99" s="1052">
        <v>98</v>
      </c>
      <c r="AV99" s="1052">
        <v>0</v>
      </c>
      <c r="AW99" s="1052">
        <v>0</v>
      </c>
      <c r="AX99" s="1052">
        <v>19</v>
      </c>
      <c r="AY99" s="1052">
        <v>1</v>
      </c>
      <c r="AZ99" s="1052">
        <v>0</v>
      </c>
      <c r="BA99" s="1052">
        <v>0</v>
      </c>
      <c r="BB99" s="1052">
        <v>9</v>
      </c>
      <c r="BC99" s="1052">
        <v>4</v>
      </c>
      <c r="BD99" s="1052">
        <v>0</v>
      </c>
      <c r="BE99" s="1052">
        <v>0</v>
      </c>
      <c r="BF99" s="1052">
        <v>0</v>
      </c>
      <c r="BG99" s="1052">
        <v>0</v>
      </c>
      <c r="BH99" s="1052">
        <v>0</v>
      </c>
      <c r="BI99" s="1052">
        <v>0</v>
      </c>
      <c r="BJ99" s="1052">
        <v>0</v>
      </c>
      <c r="BK99" s="1052">
        <v>0</v>
      </c>
      <c r="BL99" s="1052">
        <v>0</v>
      </c>
      <c r="BM99" s="1052">
        <v>0</v>
      </c>
      <c r="BN99" s="1052">
        <v>0</v>
      </c>
      <c r="BO99" s="1052">
        <v>842.98599999999999</v>
      </c>
      <c r="BR99" s="1140">
        <f t="shared" si="28"/>
        <v>83333.333333333343</v>
      </c>
      <c r="BS99" s="1140">
        <f t="shared" si="29"/>
        <v>750000</v>
      </c>
      <c r="BT99" s="1140">
        <f t="shared" si="30"/>
        <v>1361111.1111111112</v>
      </c>
      <c r="BU99" s="1140">
        <f t="shared" si="31"/>
        <v>2194444.4444444445</v>
      </c>
      <c r="BV99" s="1140">
        <f t="shared" si="41"/>
        <v>0</v>
      </c>
      <c r="BW99" s="1140">
        <f t="shared" si="42"/>
        <v>3800</v>
      </c>
      <c r="BX99" s="1140">
        <f t="shared" si="43"/>
        <v>200</v>
      </c>
      <c r="BY99" s="1140">
        <f t="shared" si="32"/>
        <v>4000</v>
      </c>
      <c r="CA99" s="1140">
        <f t="shared" si="33"/>
        <v>83333.333333333343</v>
      </c>
      <c r="CB99" s="1140">
        <f t="shared" si="34"/>
        <v>750000</v>
      </c>
      <c r="CC99" s="1140">
        <f t="shared" si="35"/>
        <v>1361111.1111111112</v>
      </c>
      <c r="CD99" s="1140">
        <f t="shared" si="36"/>
        <v>2194444.4444444445</v>
      </c>
      <c r="CE99" s="1140">
        <f t="shared" si="37"/>
        <v>0</v>
      </c>
      <c r="CF99" s="1140">
        <f t="shared" si="38"/>
        <v>3800</v>
      </c>
      <c r="CG99" s="1140">
        <f t="shared" si="39"/>
        <v>200</v>
      </c>
      <c r="CH99" s="1140">
        <f t="shared" si="40"/>
        <v>4000</v>
      </c>
      <c r="CJ99" s="1069"/>
      <c r="CK99" s="1069"/>
      <c r="CL99" s="1069"/>
      <c r="CM99" s="1069"/>
      <c r="CN99" s="1069"/>
      <c r="CO99" s="1069"/>
      <c r="CP99" s="1069"/>
      <c r="CQ99" s="1069"/>
      <c r="CR99" s="1069"/>
      <c r="CS99" s="1069"/>
      <c r="CT99" s="1069"/>
      <c r="CU99" s="1069"/>
      <c r="CV99" s="1069"/>
      <c r="CW99" s="1069"/>
      <c r="CX99" s="1069"/>
      <c r="CY99" s="1069"/>
      <c r="CZ99" s="1069"/>
      <c r="DA99" s="1069"/>
      <c r="DB99" s="1069"/>
      <c r="DC99" s="1069"/>
      <c r="DD99" s="1069"/>
      <c r="DE99" s="1069"/>
      <c r="DF99" s="1069"/>
      <c r="DG99" s="1069"/>
      <c r="DH99" s="1069"/>
      <c r="DI99" s="1069"/>
      <c r="DJ99" s="1069"/>
      <c r="DK99" s="1069"/>
      <c r="DL99" s="1069"/>
      <c r="DM99" s="1069"/>
      <c r="DN99" s="1069"/>
      <c r="DO99" s="1069"/>
      <c r="DP99" s="1069"/>
      <c r="DQ99" s="1069"/>
      <c r="DR99" s="1069"/>
      <c r="DS99" s="1069"/>
      <c r="DT99" s="1069"/>
      <c r="DU99" s="1069"/>
      <c r="DV99" s="1069"/>
      <c r="DW99" s="1069"/>
      <c r="DX99" s="1069"/>
      <c r="DY99" s="1069"/>
      <c r="DZ99" s="1069"/>
      <c r="EA99" s="1069"/>
      <c r="EB99" s="1069"/>
      <c r="EC99" s="1069"/>
      <c r="ED99" s="1069"/>
      <c r="EE99" s="1069"/>
      <c r="EF99" s="1069"/>
      <c r="EG99" s="1069"/>
      <c r="EH99" s="1069"/>
      <c r="EI99" s="1069"/>
      <c r="EJ99" s="1069"/>
      <c r="EK99" s="1069"/>
      <c r="EL99" s="1069"/>
      <c r="EM99" s="1069"/>
      <c r="EN99" s="1069"/>
      <c r="EO99" s="1069"/>
      <c r="EP99" s="1069"/>
      <c r="EQ99" s="1069"/>
      <c r="ER99" s="1069"/>
      <c r="ES99" s="1069"/>
      <c r="ET99" s="1069"/>
      <c r="EU99" s="1069"/>
      <c r="EV99" s="1069"/>
      <c r="EW99" s="1069"/>
      <c r="EX99" s="1069"/>
      <c r="EY99" s="1069"/>
      <c r="EZ99" s="1069"/>
      <c r="FA99" s="1069"/>
      <c r="FB99" s="1069"/>
      <c r="FC99" s="1069"/>
      <c r="FD99" s="1069"/>
      <c r="FE99" s="1069"/>
      <c r="FF99" s="1069"/>
      <c r="FG99" s="1069"/>
      <c r="FH99" s="1069"/>
      <c r="FI99" s="1069"/>
      <c r="FJ99" s="1069"/>
      <c r="FK99" s="1069"/>
      <c r="FL99" s="1069"/>
      <c r="FM99" s="1069"/>
      <c r="FN99" s="1069"/>
      <c r="FO99" s="1069"/>
      <c r="FP99" s="1069"/>
      <c r="FQ99" s="1069"/>
      <c r="FR99" s="1069"/>
      <c r="FS99" s="1069"/>
      <c r="FT99" s="1069"/>
      <c r="FU99" s="1069"/>
      <c r="FV99" s="1069"/>
      <c r="FW99" s="1069"/>
      <c r="FX99" s="1069"/>
      <c r="FY99" s="1069"/>
      <c r="FZ99" s="1069"/>
      <c r="GA99" s="1069"/>
      <c r="GB99" s="1069"/>
      <c r="GC99" s="1069"/>
      <c r="GD99" s="1069"/>
      <c r="GE99" s="1069"/>
      <c r="GF99" s="1069"/>
      <c r="GG99" s="1069"/>
      <c r="GH99" s="1069"/>
      <c r="GI99" s="1069"/>
      <c r="GJ99" s="1069"/>
      <c r="GK99" s="1069"/>
      <c r="GL99" s="1069"/>
      <c r="GM99" s="1069"/>
      <c r="GN99" s="1069"/>
      <c r="GO99" s="1069"/>
      <c r="GP99" s="1069"/>
      <c r="GQ99" s="1069"/>
      <c r="GR99" s="1069"/>
      <c r="GS99" s="1069"/>
      <c r="GT99" s="1069"/>
      <c r="GU99" s="1069"/>
      <c r="GV99" s="1069"/>
      <c r="GW99" s="1069"/>
      <c r="GX99" s="1069"/>
    </row>
    <row r="100" spans="1:243" ht="15" customHeight="1" x14ac:dyDescent="0.2">
      <c r="A100" s="1052">
        <v>4665</v>
      </c>
      <c r="B100" s="1052" t="s">
        <v>1412</v>
      </c>
      <c r="C100" s="1053" t="s">
        <v>172</v>
      </c>
      <c r="D100" s="1054" t="s">
        <v>172</v>
      </c>
      <c r="E100" s="1055">
        <f t="shared" si="24"/>
        <v>260761.0252</v>
      </c>
      <c r="F100" s="1055">
        <v>0</v>
      </c>
      <c r="G100" s="1056">
        <f t="shared" si="25"/>
        <v>260761.0252</v>
      </c>
      <c r="H100" s="1053" t="s">
        <v>10</v>
      </c>
      <c r="I100" s="1054" t="s">
        <v>1416</v>
      </c>
      <c r="J100" s="1054" t="s">
        <v>1412</v>
      </c>
      <c r="K100" s="1054" t="s">
        <v>1556</v>
      </c>
      <c r="L100" s="1054" t="s">
        <v>10</v>
      </c>
      <c r="M100" s="1057">
        <v>170</v>
      </c>
      <c r="N100" s="1057">
        <v>0.88900000000000001</v>
      </c>
      <c r="O100" s="1057">
        <v>0.89300000000000002</v>
      </c>
      <c r="P100" s="1057">
        <v>0.86199999999999999</v>
      </c>
      <c r="Q100" s="1057">
        <v>0.95199999999999996</v>
      </c>
      <c r="R100" s="1057">
        <v>879099</v>
      </c>
      <c r="S100" s="1057">
        <v>748453</v>
      </c>
      <c r="T100" s="1058">
        <f t="shared" si="26"/>
        <v>261531.95249999998</v>
      </c>
      <c r="U100" s="1057">
        <v>528914</v>
      </c>
      <c r="V100" s="1057">
        <v>219539</v>
      </c>
      <c r="W100" s="1057">
        <v>4480</v>
      </c>
      <c r="X100" s="1057">
        <v>0</v>
      </c>
      <c r="Y100" s="1057">
        <v>0</v>
      </c>
      <c r="Z100" s="1057">
        <v>0</v>
      </c>
      <c r="AA100" s="1057">
        <v>1009984.953</v>
      </c>
      <c r="AB100" s="1057">
        <v>261531.95250000001</v>
      </c>
      <c r="AC100" s="1057">
        <v>748453</v>
      </c>
      <c r="AD100" s="1057">
        <v>0</v>
      </c>
      <c r="AE100" s="1057">
        <v>0</v>
      </c>
      <c r="AF100" s="1057">
        <v>748453</v>
      </c>
      <c r="AG100" s="1057">
        <v>0</v>
      </c>
      <c r="AH100" s="1057">
        <v>659000</v>
      </c>
      <c r="AI100" s="1057">
        <v>746000</v>
      </c>
      <c r="AJ100" s="1053" t="s">
        <v>914</v>
      </c>
      <c r="AK100" s="1053" t="s">
        <v>1555</v>
      </c>
      <c r="AL100" s="1054" t="s">
        <v>1416</v>
      </c>
      <c r="AM100" s="1053" t="s">
        <v>10</v>
      </c>
      <c r="AN100" s="1054" t="s">
        <v>172</v>
      </c>
      <c r="AO100" s="1054">
        <v>261531.95250000001</v>
      </c>
      <c r="AP100" s="1059">
        <f t="shared" si="45"/>
        <v>210.92750000000001</v>
      </c>
      <c r="AQ100" s="1059">
        <f t="shared" si="27"/>
        <v>304.92750000000001</v>
      </c>
      <c r="AR100" s="1052">
        <v>0</v>
      </c>
      <c r="AS100" s="1096">
        <v>746</v>
      </c>
      <c r="AT100" s="1052">
        <v>193</v>
      </c>
      <c r="AU100" s="1052">
        <v>1</v>
      </c>
      <c r="AV100" s="1052">
        <v>0</v>
      </c>
      <c r="AW100" s="1052">
        <v>0</v>
      </c>
      <c r="AX100" s="1052">
        <v>0</v>
      </c>
      <c r="AY100" s="1052">
        <v>0</v>
      </c>
      <c r="AZ100" s="1052">
        <v>0</v>
      </c>
      <c r="BA100" s="1052">
        <v>0</v>
      </c>
      <c r="BB100" s="1052">
        <v>94</v>
      </c>
      <c r="BC100" s="1052">
        <v>0</v>
      </c>
      <c r="BD100" s="1052">
        <v>0</v>
      </c>
      <c r="BE100" s="1052">
        <v>0</v>
      </c>
      <c r="BF100" s="1052">
        <v>0</v>
      </c>
      <c r="BG100" s="1052">
        <v>0</v>
      </c>
      <c r="BH100" s="1052">
        <v>0</v>
      </c>
      <c r="BI100" s="1052">
        <v>0</v>
      </c>
      <c r="BJ100" s="1052">
        <v>0</v>
      </c>
      <c r="BK100" s="1052">
        <v>0</v>
      </c>
      <c r="BL100" s="1052">
        <v>0</v>
      </c>
      <c r="BM100" s="1052">
        <v>0</v>
      </c>
      <c r="BN100" s="1052">
        <v>0</v>
      </c>
      <c r="BO100" s="1052">
        <v>169.27500000000001</v>
      </c>
      <c r="BR100" s="1140">
        <f t="shared" si="28"/>
        <v>0</v>
      </c>
      <c r="BS100" s="1140">
        <f t="shared" si="29"/>
        <v>2680555.555555556</v>
      </c>
      <c r="BT100" s="1140">
        <f t="shared" si="30"/>
        <v>13888.888888888891</v>
      </c>
      <c r="BU100" s="1140">
        <f t="shared" si="31"/>
        <v>2694444.444444445</v>
      </c>
      <c r="BV100" s="1140">
        <f t="shared" si="41"/>
        <v>0</v>
      </c>
      <c r="BW100" s="1140">
        <f t="shared" si="42"/>
        <v>0</v>
      </c>
      <c r="BX100" s="1140">
        <f t="shared" si="43"/>
        <v>0</v>
      </c>
      <c r="BY100" s="1140">
        <f t="shared" si="32"/>
        <v>0</v>
      </c>
      <c r="CA100" s="1140">
        <f t="shared" si="33"/>
        <v>0</v>
      </c>
      <c r="CB100" s="1140">
        <f t="shared" si="34"/>
        <v>2680555.555555556</v>
      </c>
      <c r="CC100" s="1140">
        <f t="shared" si="35"/>
        <v>13888.888888888891</v>
      </c>
      <c r="CD100" s="1140">
        <f t="shared" si="36"/>
        <v>2694444.444444445</v>
      </c>
      <c r="CE100" s="1140">
        <f t="shared" si="37"/>
        <v>0</v>
      </c>
      <c r="CF100" s="1140">
        <f t="shared" si="38"/>
        <v>0</v>
      </c>
      <c r="CG100" s="1140">
        <f t="shared" si="39"/>
        <v>0</v>
      </c>
      <c r="CH100" s="1140">
        <f t="shared" si="40"/>
        <v>0</v>
      </c>
      <c r="CJ100" s="1069"/>
      <c r="CK100" s="1069"/>
      <c r="CL100" s="1069"/>
      <c r="CM100" s="1069"/>
      <c r="CN100" s="1069"/>
      <c r="CO100" s="1069"/>
      <c r="CP100" s="1069"/>
      <c r="CQ100" s="1069"/>
      <c r="CR100" s="1069"/>
      <c r="CS100" s="1069"/>
      <c r="CT100" s="1069"/>
      <c r="CU100" s="1069"/>
      <c r="CV100" s="1069"/>
      <c r="CW100" s="1069"/>
      <c r="CX100" s="1069"/>
      <c r="CY100" s="1069"/>
      <c r="CZ100" s="1069"/>
      <c r="DA100" s="1069"/>
      <c r="DB100" s="1069"/>
      <c r="DC100" s="1069"/>
      <c r="DD100" s="1069"/>
      <c r="DE100" s="1069"/>
      <c r="DF100" s="1069"/>
      <c r="DG100" s="1069"/>
      <c r="DH100" s="1069"/>
      <c r="DI100" s="1069"/>
      <c r="DJ100" s="1069"/>
      <c r="DK100" s="1069"/>
      <c r="DL100" s="1069"/>
      <c r="DM100" s="1069"/>
      <c r="DN100" s="1069"/>
      <c r="DO100" s="1069"/>
      <c r="DP100" s="1069"/>
      <c r="DQ100" s="1069"/>
      <c r="DR100" s="1069"/>
      <c r="DS100" s="1069"/>
      <c r="DT100" s="1069"/>
      <c r="DU100" s="1069"/>
      <c r="DV100" s="1069"/>
      <c r="DW100" s="1069"/>
      <c r="DX100" s="1069"/>
      <c r="DY100" s="1069"/>
      <c r="DZ100" s="1069"/>
      <c r="EA100" s="1069"/>
      <c r="EB100" s="1069"/>
      <c r="EC100" s="1069"/>
      <c r="ED100" s="1069"/>
      <c r="EE100" s="1069"/>
      <c r="EF100" s="1069"/>
      <c r="EG100" s="1069"/>
      <c r="EH100" s="1069"/>
      <c r="EI100" s="1069"/>
      <c r="EJ100" s="1069"/>
      <c r="EK100" s="1069"/>
      <c r="EL100" s="1069"/>
      <c r="EM100" s="1069"/>
      <c r="EN100" s="1069"/>
      <c r="EO100" s="1069"/>
      <c r="EP100" s="1069"/>
      <c r="EQ100" s="1069"/>
      <c r="ER100" s="1069"/>
      <c r="ES100" s="1069"/>
      <c r="ET100" s="1069"/>
      <c r="EU100" s="1069"/>
      <c r="EV100" s="1069"/>
      <c r="EW100" s="1069"/>
      <c r="EX100" s="1069"/>
      <c r="EY100" s="1069"/>
      <c r="EZ100" s="1069"/>
      <c r="FA100" s="1069"/>
      <c r="FB100" s="1069"/>
      <c r="FC100" s="1069"/>
      <c r="FD100" s="1069"/>
      <c r="FE100" s="1069"/>
      <c r="FF100" s="1069"/>
      <c r="FG100" s="1069"/>
      <c r="FH100" s="1069"/>
      <c r="FI100" s="1069"/>
      <c r="FJ100" s="1069"/>
      <c r="FK100" s="1069"/>
      <c r="FL100" s="1069"/>
      <c r="FM100" s="1069"/>
      <c r="FN100" s="1069"/>
      <c r="FO100" s="1069"/>
      <c r="FP100" s="1069"/>
      <c r="FQ100" s="1069"/>
      <c r="FR100" s="1069"/>
      <c r="FS100" s="1069"/>
      <c r="FT100" s="1069"/>
      <c r="FU100" s="1069"/>
      <c r="FV100" s="1069"/>
      <c r="FW100" s="1069"/>
      <c r="FX100" s="1069"/>
      <c r="FY100" s="1069"/>
      <c r="FZ100" s="1069"/>
      <c r="GA100" s="1069"/>
      <c r="GB100" s="1069"/>
      <c r="GC100" s="1069"/>
      <c r="GD100" s="1069"/>
      <c r="GE100" s="1069"/>
      <c r="GF100" s="1069"/>
      <c r="GG100" s="1069"/>
      <c r="GH100" s="1069"/>
      <c r="GI100" s="1069"/>
      <c r="GJ100" s="1069"/>
      <c r="GK100" s="1069"/>
      <c r="GL100" s="1069"/>
      <c r="GM100" s="1069"/>
      <c r="GN100" s="1069"/>
      <c r="GO100" s="1069"/>
      <c r="GP100" s="1069"/>
      <c r="GQ100" s="1069"/>
      <c r="GR100" s="1069"/>
      <c r="GS100" s="1069"/>
      <c r="GT100" s="1069"/>
      <c r="GU100" s="1069"/>
      <c r="GV100" s="1069"/>
      <c r="GW100" s="1069"/>
      <c r="GX100" s="1069"/>
    </row>
    <row r="101" spans="1:243" s="1082" customFormat="1" ht="15" customHeight="1" x14ac:dyDescent="0.2">
      <c r="A101" s="1052">
        <v>4512</v>
      </c>
      <c r="B101" s="1052"/>
      <c r="C101" s="1053" t="s">
        <v>174</v>
      </c>
      <c r="D101" s="1054" t="s">
        <v>174</v>
      </c>
      <c r="E101" s="1055">
        <f t="shared" si="24"/>
        <v>41785.0622</v>
      </c>
      <c r="F101" s="1055">
        <v>0</v>
      </c>
      <c r="G101" s="1056">
        <f t="shared" si="25"/>
        <v>41785.0622</v>
      </c>
      <c r="H101" s="1053" t="s">
        <v>10</v>
      </c>
      <c r="I101" s="1054" t="s">
        <v>1512</v>
      </c>
      <c r="J101" s="1054" t="s">
        <v>10</v>
      </c>
      <c r="K101" s="1054" t="s">
        <v>1545</v>
      </c>
      <c r="L101" s="1054" t="s">
        <v>10</v>
      </c>
      <c r="M101" s="1057">
        <v>15</v>
      </c>
      <c r="N101" s="1057">
        <v>0.98699999999999999</v>
      </c>
      <c r="O101" s="1057">
        <v>0.98399999999999999</v>
      </c>
      <c r="P101" s="1057">
        <v>1</v>
      </c>
      <c r="Q101" s="1057">
        <v>1</v>
      </c>
      <c r="R101" s="1057">
        <v>0</v>
      </c>
      <c r="S101" s="1057">
        <v>215498</v>
      </c>
      <c r="T101" s="1058">
        <f t="shared" si="26"/>
        <v>41785.0622</v>
      </c>
      <c r="U101" s="1057">
        <v>170789</v>
      </c>
      <c r="V101" s="1057">
        <v>44709</v>
      </c>
      <c r="W101" s="1057">
        <v>1075</v>
      </c>
      <c r="X101" s="1057">
        <v>0</v>
      </c>
      <c r="Y101" s="1057">
        <v>0</v>
      </c>
      <c r="Z101" s="1057">
        <v>0</v>
      </c>
      <c r="AA101" s="1057">
        <v>257283.06219999999</v>
      </c>
      <c r="AB101" s="1057">
        <v>41785.0622</v>
      </c>
      <c r="AC101" s="1057">
        <v>215498</v>
      </c>
      <c r="AD101" s="1057">
        <v>0</v>
      </c>
      <c r="AE101" s="1057">
        <v>0</v>
      </c>
      <c r="AF101" s="1057">
        <v>0</v>
      </c>
      <c r="AG101" s="1057">
        <v>215498</v>
      </c>
      <c r="AH101" s="1057">
        <v>0</v>
      </c>
      <c r="AI101" s="1057">
        <v>0</v>
      </c>
      <c r="AJ101" s="1053">
        <v>4</v>
      </c>
      <c r="AK101" s="1053" t="s">
        <v>899</v>
      </c>
      <c r="AL101" s="1054" t="s">
        <v>1512</v>
      </c>
      <c r="AM101" s="1053" t="s">
        <v>10</v>
      </c>
      <c r="AN101" s="1054" t="s">
        <v>174</v>
      </c>
      <c r="AO101" s="1054">
        <v>41785.0622</v>
      </c>
      <c r="AP101" s="1059">
        <f t="shared" si="45"/>
        <v>12</v>
      </c>
      <c r="AQ101" s="1059">
        <f t="shared" si="27"/>
        <v>12</v>
      </c>
      <c r="AR101" s="1081">
        <v>0</v>
      </c>
      <c r="AS101" s="1081">
        <v>0</v>
      </c>
      <c r="AT101" s="1081">
        <v>12</v>
      </c>
      <c r="AU101" s="1081">
        <v>0</v>
      </c>
      <c r="AV101" s="1052">
        <v>0</v>
      </c>
      <c r="AW101" s="1052">
        <v>0</v>
      </c>
      <c r="AX101" s="1052">
        <v>0</v>
      </c>
      <c r="AY101" s="1052">
        <v>0</v>
      </c>
      <c r="AZ101" s="1081">
        <v>0</v>
      </c>
      <c r="BA101" s="1081">
        <v>3</v>
      </c>
      <c r="BB101" s="1081">
        <v>0</v>
      </c>
      <c r="BC101" s="1081">
        <v>0</v>
      </c>
      <c r="BD101" s="1052">
        <v>0</v>
      </c>
      <c r="BE101" s="1052">
        <v>0</v>
      </c>
      <c r="BF101" s="1052">
        <v>0</v>
      </c>
      <c r="BG101" s="1052">
        <v>0</v>
      </c>
      <c r="BH101" s="1052">
        <v>0</v>
      </c>
      <c r="BI101" s="1052">
        <v>0</v>
      </c>
      <c r="BJ101" s="1052">
        <v>0</v>
      </c>
      <c r="BK101" s="1052">
        <v>0</v>
      </c>
      <c r="BL101" s="1081">
        <v>0</v>
      </c>
      <c r="BM101" s="1081">
        <v>0</v>
      </c>
      <c r="BN101" s="1081">
        <v>0</v>
      </c>
      <c r="BO101" s="1081">
        <v>0</v>
      </c>
      <c r="BP101" s="1085"/>
      <c r="BQ101" s="1136"/>
      <c r="BR101" s="1140">
        <f t="shared" si="28"/>
        <v>0</v>
      </c>
      <c r="BS101" s="1140">
        <f t="shared" si="29"/>
        <v>166666.66666666669</v>
      </c>
      <c r="BT101" s="1140">
        <f t="shared" si="30"/>
        <v>0</v>
      </c>
      <c r="BU101" s="1140">
        <f t="shared" si="31"/>
        <v>166666.66666666669</v>
      </c>
      <c r="BV101" s="1140">
        <f t="shared" si="41"/>
        <v>0</v>
      </c>
      <c r="BW101" s="1140">
        <f t="shared" si="42"/>
        <v>0</v>
      </c>
      <c r="BX101" s="1140">
        <f t="shared" si="43"/>
        <v>0</v>
      </c>
      <c r="BY101" s="1140">
        <f t="shared" si="32"/>
        <v>0</v>
      </c>
      <c r="BZ101" s="1136"/>
      <c r="CA101" s="1140">
        <f t="shared" si="33"/>
        <v>0</v>
      </c>
      <c r="CB101" s="1140">
        <f t="shared" si="34"/>
        <v>166666.66666666669</v>
      </c>
      <c r="CC101" s="1140">
        <f t="shared" si="35"/>
        <v>0</v>
      </c>
      <c r="CD101" s="1140">
        <f t="shared" si="36"/>
        <v>166666.66666666669</v>
      </c>
      <c r="CE101" s="1140">
        <f t="shared" si="37"/>
        <v>0</v>
      </c>
      <c r="CF101" s="1140">
        <f t="shared" si="38"/>
        <v>0</v>
      </c>
      <c r="CG101" s="1140">
        <f t="shared" si="39"/>
        <v>0</v>
      </c>
      <c r="CH101" s="1140">
        <f t="shared" si="40"/>
        <v>0</v>
      </c>
      <c r="CI101" s="1146"/>
      <c r="CJ101" s="1069"/>
      <c r="CK101" s="1069"/>
      <c r="CL101" s="1069"/>
      <c r="CM101" s="1069"/>
      <c r="CN101" s="1069"/>
      <c r="CO101" s="1069"/>
      <c r="CP101" s="1069"/>
      <c r="CQ101" s="1069"/>
      <c r="CR101" s="1069"/>
      <c r="CS101" s="1069"/>
      <c r="CT101" s="1069"/>
      <c r="CU101" s="1069"/>
      <c r="CV101" s="1069"/>
      <c r="CW101" s="1069"/>
      <c r="CX101" s="1069"/>
      <c r="CY101" s="1069"/>
      <c r="CZ101" s="1069"/>
      <c r="DA101" s="1069"/>
      <c r="DB101" s="1069"/>
      <c r="DC101" s="1069"/>
      <c r="DD101" s="1069"/>
      <c r="DE101" s="1069"/>
      <c r="DF101" s="1069"/>
      <c r="DG101" s="1069"/>
      <c r="DH101" s="1069"/>
      <c r="DI101" s="1069"/>
      <c r="DJ101" s="1069"/>
      <c r="DK101" s="1069"/>
      <c r="DL101" s="1069"/>
      <c r="DM101" s="1069"/>
      <c r="DN101" s="1069"/>
      <c r="DO101" s="1069"/>
      <c r="DP101" s="1069"/>
      <c r="DQ101" s="1069"/>
      <c r="DR101" s="1069"/>
      <c r="DS101" s="1069"/>
      <c r="DT101" s="1069"/>
      <c r="DU101" s="1069"/>
      <c r="DV101" s="1069"/>
      <c r="DW101" s="1069"/>
      <c r="DX101" s="1069"/>
      <c r="DY101" s="1069"/>
      <c r="DZ101" s="1069"/>
      <c r="EA101" s="1069"/>
      <c r="EB101" s="1069"/>
      <c r="EC101" s="1069"/>
      <c r="ED101" s="1069"/>
      <c r="EE101" s="1069"/>
      <c r="EF101" s="1069"/>
      <c r="EG101" s="1069"/>
      <c r="EH101" s="1069"/>
      <c r="EI101" s="1069"/>
      <c r="EJ101" s="1069"/>
      <c r="EK101" s="1069"/>
      <c r="EL101" s="1069"/>
      <c r="EM101" s="1069"/>
      <c r="EN101" s="1069"/>
      <c r="EO101" s="1069"/>
      <c r="EP101" s="1069"/>
      <c r="EQ101" s="1069"/>
      <c r="ER101" s="1069"/>
      <c r="ES101" s="1069"/>
      <c r="ET101" s="1069"/>
      <c r="EU101" s="1069"/>
      <c r="EV101" s="1069"/>
      <c r="EW101" s="1069"/>
      <c r="EX101" s="1069"/>
      <c r="EY101" s="1069"/>
      <c r="EZ101" s="1069"/>
      <c r="FA101" s="1069"/>
      <c r="FB101" s="1069"/>
      <c r="FC101" s="1069"/>
      <c r="FD101" s="1069"/>
      <c r="FE101" s="1069"/>
      <c r="FF101" s="1069"/>
      <c r="FG101" s="1069"/>
      <c r="FH101" s="1069"/>
      <c r="FI101" s="1069"/>
      <c r="FJ101" s="1069"/>
      <c r="FK101" s="1069"/>
      <c r="FL101" s="1069"/>
      <c r="FM101" s="1069"/>
      <c r="FN101" s="1069"/>
      <c r="FO101" s="1069"/>
      <c r="FP101" s="1069"/>
      <c r="FQ101" s="1069"/>
      <c r="FR101" s="1069"/>
      <c r="FS101" s="1069"/>
      <c r="FT101" s="1069"/>
      <c r="FU101" s="1069"/>
      <c r="FV101" s="1069"/>
      <c r="FW101" s="1069"/>
      <c r="FX101" s="1069"/>
      <c r="FY101" s="1069"/>
      <c r="FZ101" s="1069"/>
      <c r="GA101" s="1069"/>
      <c r="GB101" s="1069"/>
      <c r="GC101" s="1069"/>
      <c r="GD101" s="1069"/>
      <c r="GE101" s="1069"/>
      <c r="GF101" s="1069"/>
      <c r="GG101" s="1069"/>
      <c r="GH101" s="1069"/>
      <c r="GI101" s="1069"/>
      <c r="GJ101" s="1069"/>
      <c r="GK101" s="1069"/>
      <c r="GL101" s="1069"/>
      <c r="GM101" s="1069"/>
      <c r="GN101" s="1069"/>
      <c r="GO101" s="1069"/>
      <c r="GP101" s="1069"/>
      <c r="GQ101" s="1069"/>
      <c r="GR101" s="1069"/>
      <c r="GS101" s="1069"/>
      <c r="GT101" s="1069"/>
      <c r="GU101" s="1069"/>
      <c r="GV101" s="1069"/>
      <c r="GW101" s="1069"/>
      <c r="GX101" s="1069"/>
    </row>
    <row r="102" spans="1:243" ht="15" customHeight="1" x14ac:dyDescent="0.2">
      <c r="A102" s="1091">
        <v>4774</v>
      </c>
      <c r="B102" s="1091"/>
      <c r="C102" s="1097" t="s">
        <v>928</v>
      </c>
      <c r="D102" s="1054" t="s">
        <v>928</v>
      </c>
      <c r="E102" s="1055" t="e">
        <f t="shared" si="24"/>
        <v>#VALUE!</v>
      </c>
      <c r="F102" s="1055" t="s">
        <v>10</v>
      </c>
      <c r="G102" s="1056" t="e">
        <f t="shared" si="25"/>
        <v>#VALUE!</v>
      </c>
      <c r="H102" s="1053" t="s">
        <v>1417</v>
      </c>
      <c r="I102" s="1054" t="s">
        <v>1416</v>
      </c>
      <c r="J102" s="1054" t="s">
        <v>10</v>
      </c>
      <c r="K102" s="1054" t="s">
        <v>10</v>
      </c>
      <c r="L102" s="1054" t="s">
        <v>10</v>
      </c>
      <c r="M102" s="1057" t="s">
        <v>10</v>
      </c>
      <c r="N102" s="1057" t="s">
        <v>10</v>
      </c>
      <c r="O102" s="1057" t="s">
        <v>10</v>
      </c>
      <c r="P102" s="1057" t="s">
        <v>10</v>
      </c>
      <c r="Q102" s="1057" t="s">
        <v>10</v>
      </c>
      <c r="R102" s="1057">
        <v>645028</v>
      </c>
      <c r="S102" s="1057" t="s">
        <v>10</v>
      </c>
      <c r="T102" s="1058">
        <f t="shared" si="26"/>
        <v>191895.83</v>
      </c>
      <c r="U102" s="1057" t="s">
        <v>10</v>
      </c>
      <c r="V102" s="1057" t="s">
        <v>10</v>
      </c>
      <c r="W102" s="1057" t="s">
        <v>10</v>
      </c>
      <c r="X102" s="1057" t="s">
        <v>10</v>
      </c>
      <c r="Y102" s="1057" t="s">
        <v>10</v>
      </c>
      <c r="Z102" s="1057" t="s">
        <v>10</v>
      </c>
      <c r="AA102" s="1057" t="s">
        <v>10</v>
      </c>
      <c r="AB102" s="1057" t="s">
        <v>10</v>
      </c>
      <c r="AC102" s="1057" t="s">
        <v>10</v>
      </c>
      <c r="AD102" s="1057" t="s">
        <v>10</v>
      </c>
      <c r="AE102" s="1057" t="s">
        <v>10</v>
      </c>
      <c r="AF102" s="1057" t="s">
        <v>10</v>
      </c>
      <c r="AG102" s="1057" t="s">
        <v>10</v>
      </c>
      <c r="AH102" s="1057" t="s">
        <v>10</v>
      </c>
      <c r="AI102" s="1057" t="s">
        <v>10</v>
      </c>
      <c r="AJ102" s="1053" t="s">
        <v>900</v>
      </c>
      <c r="AK102" s="1053" t="s">
        <v>907</v>
      </c>
      <c r="AL102" s="1054" t="s">
        <v>1578</v>
      </c>
      <c r="AM102" s="1053" t="s">
        <v>1417</v>
      </c>
      <c r="AN102" s="1098" t="s">
        <v>928</v>
      </c>
      <c r="AO102" s="1099">
        <v>0</v>
      </c>
      <c r="AP102" s="1100">
        <v>0</v>
      </c>
      <c r="AQ102" s="1059">
        <f t="shared" si="27"/>
        <v>397</v>
      </c>
      <c r="AR102" s="753">
        <v>18</v>
      </c>
      <c r="AS102" s="753">
        <v>0</v>
      </c>
      <c r="AT102" s="753">
        <v>177</v>
      </c>
      <c r="AU102" s="753">
        <v>45</v>
      </c>
      <c r="AV102" s="1101">
        <v>0</v>
      </c>
      <c r="AW102" s="1101">
        <v>0</v>
      </c>
      <c r="AX102" s="1101">
        <v>0</v>
      </c>
      <c r="AY102" s="1101">
        <v>0</v>
      </c>
      <c r="AZ102" s="783">
        <v>0</v>
      </c>
      <c r="BA102" s="783">
        <v>63</v>
      </c>
      <c r="BB102" s="783">
        <v>57</v>
      </c>
      <c r="BC102" s="783">
        <v>0</v>
      </c>
      <c r="BD102" s="783">
        <v>0</v>
      </c>
      <c r="BE102" s="783">
        <v>0</v>
      </c>
      <c r="BF102" s="783">
        <v>0</v>
      </c>
      <c r="BG102" s="783">
        <v>0</v>
      </c>
      <c r="BH102" s="783">
        <v>0</v>
      </c>
      <c r="BI102" s="783">
        <v>0</v>
      </c>
      <c r="BJ102" s="783">
        <v>0</v>
      </c>
      <c r="BK102" s="783">
        <v>0</v>
      </c>
      <c r="BL102" s="753">
        <v>0</v>
      </c>
      <c r="BM102" s="753">
        <v>0</v>
      </c>
      <c r="BN102" s="753">
        <v>100000</v>
      </c>
      <c r="BO102" s="753">
        <v>0</v>
      </c>
      <c r="BR102" s="1140">
        <f t="shared" si="28"/>
        <v>250000.00000000003</v>
      </c>
      <c r="BS102" s="1140">
        <f t="shared" si="29"/>
        <v>2458333.3333333335</v>
      </c>
      <c r="BT102" s="1140">
        <f t="shared" si="30"/>
        <v>625000</v>
      </c>
      <c r="BU102" s="1140">
        <f t="shared" si="31"/>
        <v>3333333.3333333335</v>
      </c>
      <c r="BV102" s="1140">
        <f t="shared" si="41"/>
        <v>0</v>
      </c>
      <c r="BW102" s="1140">
        <f t="shared" si="42"/>
        <v>0</v>
      </c>
      <c r="BX102" s="1140">
        <f t="shared" si="43"/>
        <v>0</v>
      </c>
      <c r="BY102" s="1140">
        <f t="shared" si="32"/>
        <v>0</v>
      </c>
      <c r="CA102" s="1140">
        <f t="shared" si="33"/>
        <v>0</v>
      </c>
      <c r="CB102" s="1140">
        <f t="shared" si="34"/>
        <v>0</v>
      </c>
      <c r="CC102" s="1140">
        <f t="shared" si="35"/>
        <v>0</v>
      </c>
      <c r="CD102" s="1140">
        <f t="shared" si="36"/>
        <v>0</v>
      </c>
      <c r="CE102" s="1140">
        <f t="shared" si="37"/>
        <v>0</v>
      </c>
      <c r="CF102" s="1140">
        <f t="shared" si="38"/>
        <v>0</v>
      </c>
      <c r="CG102" s="1140">
        <f t="shared" si="39"/>
        <v>0</v>
      </c>
      <c r="CH102" s="1140">
        <f t="shared" si="40"/>
        <v>0</v>
      </c>
      <c r="CJ102" s="1069"/>
      <c r="CK102" s="1069"/>
      <c r="CL102" s="1069"/>
      <c r="CM102" s="1069"/>
      <c r="CN102" s="1069"/>
      <c r="CO102" s="1069"/>
      <c r="CP102" s="1069"/>
      <c r="CQ102" s="1069"/>
      <c r="CR102" s="1069"/>
      <c r="CS102" s="1069"/>
      <c r="CT102" s="1069"/>
      <c r="CU102" s="1069"/>
      <c r="CV102" s="1069"/>
      <c r="CW102" s="1069"/>
      <c r="CX102" s="1069"/>
      <c r="CY102" s="1069"/>
      <c r="CZ102" s="1069"/>
      <c r="DA102" s="1069"/>
      <c r="DB102" s="1069"/>
      <c r="DC102" s="1069"/>
      <c r="DD102" s="1069"/>
      <c r="DE102" s="1069"/>
      <c r="DF102" s="1069"/>
      <c r="DG102" s="1069"/>
      <c r="DH102" s="1069"/>
      <c r="DI102" s="1069"/>
      <c r="DJ102" s="1069"/>
      <c r="DK102" s="1069"/>
      <c r="DL102" s="1069"/>
      <c r="DM102" s="1069"/>
      <c r="DN102" s="1069"/>
      <c r="DO102" s="1069"/>
      <c r="DP102" s="1069"/>
      <c r="DQ102" s="1069"/>
      <c r="DR102" s="1069"/>
      <c r="DS102" s="1069"/>
      <c r="DT102" s="1069"/>
      <c r="DU102" s="1069"/>
      <c r="DV102" s="1069"/>
      <c r="DW102" s="1069"/>
      <c r="DX102" s="1069"/>
      <c r="DY102" s="1069"/>
      <c r="DZ102" s="1069"/>
      <c r="EA102" s="1069"/>
      <c r="EB102" s="1069"/>
      <c r="EC102" s="1069"/>
      <c r="ED102" s="1069"/>
      <c r="EE102" s="1069"/>
      <c r="EF102" s="1069"/>
      <c r="EG102" s="1069"/>
      <c r="EH102" s="1069"/>
      <c r="EI102" s="1069"/>
      <c r="EJ102" s="1069"/>
      <c r="EK102" s="1069"/>
      <c r="EL102" s="1069"/>
      <c r="EM102" s="1069"/>
      <c r="EN102" s="1069"/>
      <c r="EO102" s="1069"/>
      <c r="EP102" s="1069"/>
      <c r="EQ102" s="1069"/>
      <c r="ER102" s="1069"/>
      <c r="ES102" s="1069"/>
      <c r="ET102" s="1069"/>
      <c r="EU102" s="1069"/>
      <c r="EV102" s="1069"/>
      <c r="EW102" s="1069"/>
      <c r="EX102" s="1069"/>
      <c r="EY102" s="1069"/>
      <c r="EZ102" s="1069"/>
      <c r="FA102" s="1069"/>
      <c r="FB102" s="1069"/>
      <c r="FC102" s="1069"/>
      <c r="FD102" s="1069"/>
      <c r="FE102" s="1069"/>
      <c r="FF102" s="1069"/>
      <c r="FG102" s="1069"/>
      <c r="FH102" s="1069"/>
      <c r="FI102" s="1069"/>
      <c r="FJ102" s="1069"/>
      <c r="FK102" s="1069"/>
      <c r="FL102" s="1069"/>
      <c r="FM102" s="1069"/>
      <c r="FN102" s="1069"/>
      <c r="FO102" s="1069"/>
      <c r="FP102" s="1069"/>
      <c r="FQ102" s="1069"/>
      <c r="FR102" s="1069"/>
      <c r="FS102" s="1069"/>
      <c r="FT102" s="1069"/>
      <c r="FU102" s="1069"/>
      <c r="FV102" s="1069"/>
      <c r="FW102" s="1069"/>
      <c r="FX102" s="1069"/>
      <c r="FY102" s="1069"/>
      <c r="FZ102" s="1069"/>
      <c r="GA102" s="1069"/>
      <c r="GB102" s="1069"/>
      <c r="GC102" s="1069"/>
      <c r="GD102" s="1069"/>
      <c r="GE102" s="1069"/>
      <c r="GF102" s="1069"/>
      <c r="GG102" s="1069"/>
      <c r="GH102" s="1069"/>
      <c r="GI102" s="1069"/>
      <c r="GJ102" s="1069"/>
      <c r="GK102" s="1069"/>
      <c r="GL102" s="1069"/>
      <c r="GM102" s="1069"/>
      <c r="GN102" s="1069"/>
      <c r="GO102" s="1069"/>
      <c r="GP102" s="1069"/>
      <c r="GQ102" s="1069"/>
      <c r="GR102" s="1069"/>
      <c r="GS102" s="1069"/>
      <c r="GT102" s="1069"/>
      <c r="GU102" s="1069"/>
      <c r="GV102" s="1069"/>
      <c r="GW102" s="1069"/>
      <c r="GX102" s="1069"/>
    </row>
    <row r="103" spans="1:243" ht="15" customHeight="1" x14ac:dyDescent="0.2">
      <c r="A103" s="1052">
        <v>2952</v>
      </c>
      <c r="B103" s="1052"/>
      <c r="C103" s="1053" t="s">
        <v>176</v>
      </c>
      <c r="D103" s="1054" t="s">
        <v>176</v>
      </c>
      <c r="E103" s="1055">
        <f t="shared" si="24"/>
        <v>73876.869500000001</v>
      </c>
      <c r="F103" s="1055">
        <v>0</v>
      </c>
      <c r="G103" s="1056">
        <f t="shared" si="25"/>
        <v>73876.869500000001</v>
      </c>
      <c r="H103" s="1053" t="s">
        <v>10</v>
      </c>
      <c r="I103" s="1054" t="s">
        <v>1512</v>
      </c>
      <c r="J103" s="1054" t="s">
        <v>1417</v>
      </c>
      <c r="K103" s="1054" t="s">
        <v>1545</v>
      </c>
      <c r="L103" s="1054" t="s">
        <v>10</v>
      </c>
      <c r="M103" s="1057">
        <v>37</v>
      </c>
      <c r="N103" s="1057">
        <v>0.89300000000000002</v>
      </c>
      <c r="O103" s="1057">
        <v>0.89300000000000002</v>
      </c>
      <c r="P103" s="1057">
        <v>0.90900000000000003</v>
      </c>
      <c r="Q103" s="1057">
        <v>0.89700000000000002</v>
      </c>
      <c r="R103" s="1057">
        <v>0</v>
      </c>
      <c r="S103" s="1057">
        <v>381005</v>
      </c>
      <c r="T103" s="1058">
        <f t="shared" si="26"/>
        <v>73876.869500000001</v>
      </c>
      <c r="U103" s="1057">
        <v>287355</v>
      </c>
      <c r="V103" s="1057">
        <v>93650</v>
      </c>
      <c r="W103" s="1057">
        <v>2600</v>
      </c>
      <c r="X103" s="1057">
        <v>0</v>
      </c>
      <c r="Y103" s="1057">
        <v>0</v>
      </c>
      <c r="Z103" s="1057">
        <v>0</v>
      </c>
      <c r="AA103" s="1057">
        <v>454881.86949999997</v>
      </c>
      <c r="AB103" s="1057">
        <v>73876.869500000001</v>
      </c>
      <c r="AC103" s="1057">
        <v>381005</v>
      </c>
      <c r="AD103" s="1057">
        <v>0</v>
      </c>
      <c r="AE103" s="1057">
        <v>0</v>
      </c>
      <c r="AF103" s="1057">
        <v>0</v>
      </c>
      <c r="AG103" s="1057">
        <v>381005</v>
      </c>
      <c r="AH103" s="1057">
        <v>0</v>
      </c>
      <c r="AI103" s="1057">
        <v>0</v>
      </c>
      <c r="AJ103" s="1053">
        <v>4</v>
      </c>
      <c r="AK103" s="1053" t="s">
        <v>899</v>
      </c>
      <c r="AL103" s="1054" t="s">
        <v>1512</v>
      </c>
      <c r="AM103" s="1053" t="s">
        <v>10</v>
      </c>
      <c r="AN103" s="1054" t="s">
        <v>176</v>
      </c>
      <c r="AO103" s="1054">
        <v>73876.869500000001</v>
      </c>
      <c r="AP103" s="1059">
        <f>AR103+AT103+AU103+AV103+AX103+AY103+AZ103+BD103+BF103+BG103+BH103+BJ103+BK103+(BL103+BM103+BN103)/1000+(0.1*BO103)</f>
        <v>38</v>
      </c>
      <c r="AQ103" s="1059">
        <f t="shared" si="27"/>
        <v>39</v>
      </c>
      <c r="AR103" s="1052">
        <v>0</v>
      </c>
      <c r="AS103" s="1052">
        <v>0</v>
      </c>
      <c r="AT103" s="1052">
        <v>24</v>
      </c>
      <c r="AU103" s="1052">
        <v>13</v>
      </c>
      <c r="AV103" s="1052">
        <v>0</v>
      </c>
      <c r="AW103" s="1052">
        <v>0</v>
      </c>
      <c r="AX103" s="1052">
        <v>0</v>
      </c>
      <c r="AY103" s="1052">
        <v>1</v>
      </c>
      <c r="AZ103" s="1052">
        <v>0</v>
      </c>
      <c r="BA103" s="1052">
        <v>0</v>
      </c>
      <c r="BB103" s="1052">
        <v>0</v>
      </c>
      <c r="BC103" s="1052">
        <v>1</v>
      </c>
      <c r="BD103" s="1052">
        <v>0</v>
      </c>
      <c r="BE103" s="1052">
        <v>0</v>
      </c>
      <c r="BF103" s="1052">
        <v>0</v>
      </c>
      <c r="BG103" s="1052">
        <v>0</v>
      </c>
      <c r="BH103" s="1052">
        <v>0</v>
      </c>
      <c r="BI103" s="1052">
        <v>0</v>
      </c>
      <c r="BJ103" s="1052">
        <v>0</v>
      </c>
      <c r="BK103" s="1052">
        <v>0</v>
      </c>
      <c r="BL103" s="1052">
        <v>0</v>
      </c>
      <c r="BM103" s="1052">
        <v>0</v>
      </c>
      <c r="BN103" s="1052">
        <v>0</v>
      </c>
      <c r="BO103" s="1052">
        <v>0</v>
      </c>
      <c r="BR103" s="1140">
        <f t="shared" si="28"/>
        <v>0</v>
      </c>
      <c r="BS103" s="1140">
        <f t="shared" si="29"/>
        <v>333333.33333333337</v>
      </c>
      <c r="BT103" s="1140">
        <f t="shared" si="30"/>
        <v>180555.55555555556</v>
      </c>
      <c r="BU103" s="1140">
        <f t="shared" si="31"/>
        <v>513888.88888888893</v>
      </c>
      <c r="BV103" s="1140">
        <f t="shared" si="41"/>
        <v>0</v>
      </c>
      <c r="BW103" s="1140">
        <f t="shared" si="42"/>
        <v>0</v>
      </c>
      <c r="BX103" s="1140">
        <f t="shared" si="43"/>
        <v>200</v>
      </c>
      <c r="BY103" s="1140">
        <f t="shared" si="32"/>
        <v>200</v>
      </c>
      <c r="CA103" s="1140">
        <f t="shared" si="33"/>
        <v>0</v>
      </c>
      <c r="CB103" s="1140">
        <f t="shared" si="34"/>
        <v>333333.33333333337</v>
      </c>
      <c r="CC103" s="1140">
        <f t="shared" si="35"/>
        <v>180555.55555555556</v>
      </c>
      <c r="CD103" s="1140">
        <f t="shared" si="36"/>
        <v>513888.88888888893</v>
      </c>
      <c r="CE103" s="1140">
        <f t="shared" si="37"/>
        <v>0</v>
      </c>
      <c r="CF103" s="1140">
        <f t="shared" si="38"/>
        <v>0</v>
      </c>
      <c r="CG103" s="1140">
        <f t="shared" si="39"/>
        <v>200</v>
      </c>
      <c r="CH103" s="1140">
        <f t="shared" si="40"/>
        <v>200</v>
      </c>
    </row>
    <row r="104" spans="1:243" ht="15" customHeight="1" x14ac:dyDescent="0.2">
      <c r="A104" s="1052">
        <v>9894</v>
      </c>
      <c r="B104" s="1052"/>
      <c r="C104" s="1053" t="s">
        <v>178</v>
      </c>
      <c r="D104" s="1054" t="s">
        <v>178</v>
      </c>
      <c r="E104" s="1055">
        <f t="shared" si="24"/>
        <v>314315.67959999997</v>
      </c>
      <c r="F104" s="1055">
        <v>0</v>
      </c>
      <c r="G104" s="1056">
        <f t="shared" si="25"/>
        <v>314315.67959999997</v>
      </c>
      <c r="H104" s="1053" t="s">
        <v>1417</v>
      </c>
      <c r="I104" s="1054" t="s">
        <v>1416</v>
      </c>
      <c r="J104" s="1054" t="s">
        <v>1417</v>
      </c>
      <c r="K104" s="1054" t="s">
        <v>120</v>
      </c>
      <c r="L104" s="1054" t="s">
        <v>10</v>
      </c>
      <c r="M104" s="1057">
        <v>143</v>
      </c>
      <c r="N104" s="1057">
        <v>0.77500000000000002</v>
      </c>
      <c r="O104" s="1057">
        <v>0.84599999999999997</v>
      </c>
      <c r="P104" s="1057">
        <v>0.81899999999999995</v>
      </c>
      <c r="Q104" s="1057">
        <v>0.82</v>
      </c>
      <c r="R104" s="1057">
        <v>1061914</v>
      </c>
      <c r="S104" s="1057">
        <v>902169</v>
      </c>
      <c r="T104" s="1058">
        <f t="shared" si="26"/>
        <v>315919.41499999998</v>
      </c>
      <c r="U104" s="1057">
        <v>610038</v>
      </c>
      <c r="V104" s="1057">
        <v>292131</v>
      </c>
      <c r="W104" s="1057">
        <v>4476</v>
      </c>
      <c r="X104" s="1057">
        <v>0</v>
      </c>
      <c r="Y104" s="1057">
        <v>0</v>
      </c>
      <c r="Z104" s="1057">
        <v>0</v>
      </c>
      <c r="AA104" s="1057">
        <v>1218088.415</v>
      </c>
      <c r="AB104" s="1057">
        <v>315919.41499999998</v>
      </c>
      <c r="AC104" s="1057">
        <v>902169</v>
      </c>
      <c r="AD104" s="1057">
        <v>0</v>
      </c>
      <c r="AE104" s="1057">
        <v>0</v>
      </c>
      <c r="AF104" s="1057">
        <v>0</v>
      </c>
      <c r="AG104" s="1057">
        <v>902169</v>
      </c>
      <c r="AH104" s="1057">
        <v>0</v>
      </c>
      <c r="AI104" s="1057">
        <v>0</v>
      </c>
      <c r="AJ104" s="1053" t="s">
        <v>900</v>
      </c>
      <c r="AK104" s="1053" t="s">
        <v>907</v>
      </c>
      <c r="AL104" s="1054" t="s">
        <v>1416</v>
      </c>
      <c r="AM104" s="1053" t="s">
        <v>1417</v>
      </c>
      <c r="AN104" s="1054" t="s">
        <v>178</v>
      </c>
      <c r="AO104" s="1054">
        <v>315919.41499999998</v>
      </c>
      <c r="AP104" s="1059">
        <f>AR104+AT104+AU104+AV104+AX104+AY104+AZ104+BD104+BF104+BG104+BH104+BJ104+BK104+(BL104+BM104+BN104)/1000+(0.1*BO104)</f>
        <v>296.27629999999999</v>
      </c>
      <c r="AQ104" s="1059">
        <f t="shared" si="27"/>
        <v>317.27629999999999</v>
      </c>
      <c r="AR104" s="1052">
        <v>0</v>
      </c>
      <c r="AS104" s="1052">
        <v>0</v>
      </c>
      <c r="AT104" s="1052">
        <v>250</v>
      </c>
      <c r="AU104" s="1052">
        <v>4</v>
      </c>
      <c r="AV104" s="1052">
        <v>0</v>
      </c>
      <c r="AW104" s="1052">
        <v>0</v>
      </c>
      <c r="AX104" s="1052">
        <v>2</v>
      </c>
      <c r="AY104" s="1052">
        <v>0</v>
      </c>
      <c r="AZ104" s="1052">
        <v>0</v>
      </c>
      <c r="BA104" s="1052">
        <v>0</v>
      </c>
      <c r="BB104" s="1052">
        <v>20</v>
      </c>
      <c r="BC104" s="1052">
        <v>1</v>
      </c>
      <c r="BD104" s="1052">
        <v>0</v>
      </c>
      <c r="BE104" s="1052">
        <v>0</v>
      </c>
      <c r="BF104" s="1052">
        <v>0</v>
      </c>
      <c r="BG104" s="1052">
        <v>0</v>
      </c>
      <c r="BH104" s="1052">
        <v>0</v>
      </c>
      <c r="BI104" s="1052">
        <v>0</v>
      </c>
      <c r="BJ104" s="1052">
        <v>0</v>
      </c>
      <c r="BK104" s="1052">
        <v>0</v>
      </c>
      <c r="BL104" s="1052">
        <v>0</v>
      </c>
      <c r="BM104" s="1052">
        <v>0</v>
      </c>
      <c r="BN104" s="1052">
        <v>0</v>
      </c>
      <c r="BO104" s="1052">
        <v>402.76299999999998</v>
      </c>
      <c r="BR104" s="1140">
        <f t="shared" si="28"/>
        <v>0</v>
      </c>
      <c r="BS104" s="1140">
        <f t="shared" si="29"/>
        <v>3472222.2222222225</v>
      </c>
      <c r="BT104" s="1140">
        <f t="shared" si="30"/>
        <v>55555.555555555562</v>
      </c>
      <c r="BU104" s="1140">
        <f t="shared" si="31"/>
        <v>3527777.777777778</v>
      </c>
      <c r="BV104" s="1140">
        <f t="shared" si="41"/>
        <v>0</v>
      </c>
      <c r="BW104" s="1140">
        <f t="shared" si="42"/>
        <v>400</v>
      </c>
      <c r="BX104" s="1140">
        <f t="shared" si="43"/>
        <v>0</v>
      </c>
      <c r="BY104" s="1140">
        <f t="shared" si="32"/>
        <v>400</v>
      </c>
      <c r="CA104" s="1140">
        <f t="shared" si="33"/>
        <v>0</v>
      </c>
      <c r="CB104" s="1140">
        <f t="shared" si="34"/>
        <v>0</v>
      </c>
      <c r="CC104" s="1140">
        <f t="shared" si="35"/>
        <v>0</v>
      </c>
      <c r="CD104" s="1140">
        <f t="shared" si="36"/>
        <v>0</v>
      </c>
      <c r="CE104" s="1140">
        <f t="shared" si="37"/>
        <v>0</v>
      </c>
      <c r="CF104" s="1140">
        <f t="shared" si="38"/>
        <v>400</v>
      </c>
      <c r="CG104" s="1140">
        <f t="shared" si="39"/>
        <v>0</v>
      </c>
      <c r="CH104" s="1140">
        <f t="shared" si="40"/>
        <v>400</v>
      </c>
    </row>
    <row r="105" spans="1:243" ht="15" customHeight="1" x14ac:dyDescent="0.2">
      <c r="A105" s="1052">
        <v>2324</v>
      </c>
      <c r="B105" s="1052" t="s">
        <v>1412</v>
      </c>
      <c r="C105" s="1053" t="s">
        <v>180</v>
      </c>
      <c r="D105" s="1054" t="s">
        <v>180</v>
      </c>
      <c r="E105" s="1055">
        <f t="shared" si="24"/>
        <v>384259.76679999998</v>
      </c>
      <c r="F105" s="1055">
        <v>0</v>
      </c>
      <c r="G105" s="1056">
        <f t="shared" si="25"/>
        <v>384259.76679999998</v>
      </c>
      <c r="H105" s="1053" t="s">
        <v>1412</v>
      </c>
      <c r="I105" s="1054" t="s">
        <v>1416</v>
      </c>
      <c r="J105" s="1054" t="s">
        <v>1412</v>
      </c>
      <c r="K105" s="1054" t="s">
        <v>182</v>
      </c>
      <c r="L105" s="1054" t="s">
        <v>10</v>
      </c>
      <c r="M105" s="1057">
        <v>120</v>
      </c>
      <c r="N105" s="1057">
        <v>0.95699999999999996</v>
      </c>
      <c r="O105" s="1057">
        <v>0.94899999999999995</v>
      </c>
      <c r="P105" s="1057">
        <v>0.90200000000000002</v>
      </c>
      <c r="Q105" s="1057">
        <v>0.89100000000000001</v>
      </c>
      <c r="R105" s="1057">
        <v>1427795</v>
      </c>
      <c r="S105" s="1057">
        <v>1102927</v>
      </c>
      <c r="T105" s="1058">
        <f t="shared" si="26"/>
        <v>424769.01249999995</v>
      </c>
      <c r="U105" s="1057">
        <v>745179</v>
      </c>
      <c r="V105" s="1057">
        <v>357748</v>
      </c>
      <c r="W105" s="1057">
        <v>5420</v>
      </c>
      <c r="X105" s="1057">
        <v>0</v>
      </c>
      <c r="Y105" s="1057">
        <v>0</v>
      </c>
      <c r="Z105" s="1057">
        <v>0</v>
      </c>
      <c r="AA105" s="1057">
        <v>1527696.013</v>
      </c>
      <c r="AB105" s="1057">
        <v>424769.01250000001</v>
      </c>
      <c r="AC105" s="1057">
        <v>1102927</v>
      </c>
      <c r="AD105" s="1057">
        <v>0</v>
      </c>
      <c r="AE105" s="1057">
        <v>0</v>
      </c>
      <c r="AF105" s="1057">
        <v>1102927</v>
      </c>
      <c r="AG105" s="1057">
        <v>0</v>
      </c>
      <c r="AH105" s="1057">
        <v>1075000</v>
      </c>
      <c r="AI105" s="1057">
        <v>1022000</v>
      </c>
      <c r="AJ105" s="1053" t="s">
        <v>900</v>
      </c>
      <c r="AK105" s="1053" t="s">
        <v>901</v>
      </c>
      <c r="AL105" s="1054" t="s">
        <v>1416</v>
      </c>
      <c r="AM105" s="1053"/>
      <c r="AN105" s="1054" t="s">
        <v>180</v>
      </c>
      <c r="AO105" s="1054">
        <v>424769.01250000001</v>
      </c>
      <c r="AP105" s="1059">
        <f>AR105+AT105+AU105+AV105+AX105+AY105+AZ105+BD105+BF105+BG105+BH105+BJ105+BK105+(BL105+BM105+BN105)/1000+(0.1*BO105)</f>
        <v>751.07830000000001</v>
      </c>
      <c r="AQ105" s="1059">
        <f t="shared" si="27"/>
        <v>816.07830000000001</v>
      </c>
      <c r="AR105" s="1052">
        <v>310</v>
      </c>
      <c r="AS105" s="1052">
        <v>1022</v>
      </c>
      <c r="AT105" s="1052">
        <v>97</v>
      </c>
      <c r="AU105" s="1052">
        <v>50</v>
      </c>
      <c r="AV105" s="1052">
        <v>0</v>
      </c>
      <c r="AW105" s="1052">
        <v>0</v>
      </c>
      <c r="AX105" s="1052">
        <v>0</v>
      </c>
      <c r="AY105" s="1052">
        <v>0</v>
      </c>
      <c r="AZ105" s="1052">
        <v>62</v>
      </c>
      <c r="BA105" s="1052">
        <v>62</v>
      </c>
      <c r="BB105" s="1052">
        <v>65</v>
      </c>
      <c r="BC105" s="1052">
        <v>0</v>
      </c>
      <c r="BD105" s="1052">
        <v>43</v>
      </c>
      <c r="BE105" s="1052">
        <v>0</v>
      </c>
      <c r="BF105" s="1052">
        <v>0</v>
      </c>
      <c r="BG105" s="1052">
        <v>0</v>
      </c>
      <c r="BH105" s="1052">
        <v>86</v>
      </c>
      <c r="BI105" s="1052">
        <v>0</v>
      </c>
      <c r="BJ105" s="1052">
        <v>0</v>
      </c>
      <c r="BK105" s="1052">
        <v>0</v>
      </c>
      <c r="BL105" s="1052">
        <v>0</v>
      </c>
      <c r="BM105" s="1052">
        <v>0</v>
      </c>
      <c r="BN105" s="1052">
        <v>0</v>
      </c>
      <c r="BO105" s="1052">
        <v>1030.7829999999999</v>
      </c>
      <c r="BR105" s="1140">
        <f t="shared" si="28"/>
        <v>4305555.555555556</v>
      </c>
      <c r="BS105" s="1140">
        <f t="shared" si="29"/>
        <v>1347222.2222222222</v>
      </c>
      <c r="BT105" s="1140">
        <f t="shared" si="30"/>
        <v>694444.4444444445</v>
      </c>
      <c r="BU105" s="1140">
        <f t="shared" si="31"/>
        <v>6347222.222222222</v>
      </c>
      <c r="BV105" s="1140">
        <f t="shared" si="41"/>
        <v>0</v>
      </c>
      <c r="BW105" s="1140">
        <f t="shared" si="42"/>
        <v>0</v>
      </c>
      <c r="BX105" s="1140">
        <f t="shared" si="43"/>
        <v>0</v>
      </c>
      <c r="BY105" s="1140">
        <f t="shared" si="32"/>
        <v>0</v>
      </c>
      <c r="CA105" s="1140">
        <f t="shared" si="33"/>
        <v>4305555.555555556</v>
      </c>
      <c r="CB105" s="1140">
        <f t="shared" si="34"/>
        <v>1347222.2222222222</v>
      </c>
      <c r="CC105" s="1140">
        <f t="shared" si="35"/>
        <v>694444.4444444445</v>
      </c>
      <c r="CD105" s="1140">
        <f t="shared" si="36"/>
        <v>6347222.222222222</v>
      </c>
      <c r="CE105" s="1140">
        <f t="shared" si="37"/>
        <v>0</v>
      </c>
      <c r="CF105" s="1140">
        <f t="shared" si="38"/>
        <v>0</v>
      </c>
      <c r="CG105" s="1140">
        <f t="shared" si="39"/>
        <v>0</v>
      </c>
      <c r="CH105" s="1140">
        <f t="shared" si="40"/>
        <v>0</v>
      </c>
    </row>
    <row r="106" spans="1:243" s="1103" customFormat="1" ht="15" customHeight="1" x14ac:dyDescent="0.2">
      <c r="A106" s="1052">
        <v>2325</v>
      </c>
      <c r="B106" s="1052"/>
      <c r="C106" s="1053" t="s">
        <v>183</v>
      </c>
      <c r="D106" s="1054" t="s">
        <v>183</v>
      </c>
      <c r="E106" s="1055">
        <f t="shared" si="24"/>
        <v>73875.899999999994</v>
      </c>
      <c r="F106" s="1055">
        <v>376250</v>
      </c>
      <c r="G106" s="1056">
        <f t="shared" si="25"/>
        <v>450125.9</v>
      </c>
      <c r="H106" s="1053" t="s">
        <v>10</v>
      </c>
      <c r="I106" s="1054" t="s">
        <v>1512</v>
      </c>
      <c r="J106" s="1054" t="s">
        <v>10</v>
      </c>
      <c r="K106" s="1054" t="s">
        <v>182</v>
      </c>
      <c r="L106" s="1054" t="s">
        <v>1412</v>
      </c>
      <c r="M106" s="1057">
        <v>0</v>
      </c>
      <c r="N106" s="1057">
        <v>0.83699999999999997</v>
      </c>
      <c r="O106" s="1057">
        <v>0.84</v>
      </c>
      <c r="P106" s="1057">
        <v>0.90200000000000002</v>
      </c>
      <c r="Q106" s="1057">
        <v>0.89100000000000001</v>
      </c>
      <c r="R106" s="1057">
        <v>0</v>
      </c>
      <c r="S106" s="1057">
        <v>381000</v>
      </c>
      <c r="T106" s="1058">
        <f t="shared" si="26"/>
        <v>73875.899999999994</v>
      </c>
      <c r="U106" s="1057">
        <v>293855</v>
      </c>
      <c r="V106" s="1057">
        <v>87145</v>
      </c>
      <c r="W106" s="1057">
        <v>0</v>
      </c>
      <c r="X106" s="1057">
        <v>450125.9</v>
      </c>
      <c r="Y106" s="1057">
        <v>73875.899999999994</v>
      </c>
      <c r="Z106" s="1057">
        <v>376250</v>
      </c>
      <c r="AA106" s="1057">
        <v>4750</v>
      </c>
      <c r="AB106" s="1057">
        <v>0</v>
      </c>
      <c r="AC106" s="1057">
        <v>4750</v>
      </c>
      <c r="AD106" s="1057">
        <v>0</v>
      </c>
      <c r="AE106" s="1057">
        <v>376250</v>
      </c>
      <c r="AF106" s="1057">
        <v>0</v>
      </c>
      <c r="AG106" s="1057">
        <v>4750</v>
      </c>
      <c r="AH106" s="1057">
        <v>0</v>
      </c>
      <c r="AI106" s="1057">
        <v>0</v>
      </c>
      <c r="AJ106" s="1053" t="s">
        <v>900</v>
      </c>
      <c r="AK106" s="1053" t="s">
        <v>901</v>
      </c>
      <c r="AL106" s="1054" t="s">
        <v>1512</v>
      </c>
      <c r="AM106" s="1053" t="s">
        <v>10</v>
      </c>
      <c r="AN106" s="1054" t="s">
        <v>183</v>
      </c>
      <c r="AO106" s="1054">
        <v>450125.9</v>
      </c>
      <c r="AP106" s="1059">
        <f>AR106+AT106+AU106+AV106+AX106+AY106+AZ106+BD106+BF106+BG106+BH106+BJ106+BK106+(BL106+BM106+BN106)/1000+(0.1*BO106)</f>
        <v>16.487696</v>
      </c>
      <c r="AQ106" s="1059">
        <f t="shared" si="27"/>
        <v>32.487696</v>
      </c>
      <c r="AR106" s="1081">
        <v>0</v>
      </c>
      <c r="AS106" s="1081">
        <v>0</v>
      </c>
      <c r="AT106" s="1081">
        <v>8</v>
      </c>
      <c r="AU106" s="1081">
        <v>4</v>
      </c>
      <c r="AV106" s="1052">
        <v>0</v>
      </c>
      <c r="AW106" s="1052">
        <v>0</v>
      </c>
      <c r="AX106" s="1052">
        <v>0</v>
      </c>
      <c r="AY106" s="1052">
        <v>0</v>
      </c>
      <c r="AZ106" s="1081">
        <v>0</v>
      </c>
      <c r="BA106" s="1081">
        <v>0</v>
      </c>
      <c r="BB106" s="1081">
        <v>13</v>
      </c>
      <c r="BC106" s="1081">
        <v>3</v>
      </c>
      <c r="BD106" s="1081">
        <v>0</v>
      </c>
      <c r="BE106" s="1081">
        <v>0</v>
      </c>
      <c r="BF106" s="1081">
        <v>0</v>
      </c>
      <c r="BG106" s="1081">
        <v>0</v>
      </c>
      <c r="BH106" s="1081">
        <v>0</v>
      </c>
      <c r="BI106" s="1081">
        <v>0</v>
      </c>
      <c r="BJ106" s="1081">
        <v>0</v>
      </c>
      <c r="BK106" s="1081">
        <v>0</v>
      </c>
      <c r="BL106" s="1052">
        <v>0</v>
      </c>
      <c r="BM106" s="1052">
        <v>0</v>
      </c>
      <c r="BN106" s="1052">
        <v>0</v>
      </c>
      <c r="BO106" s="1052">
        <v>44.876959999999997</v>
      </c>
      <c r="BP106" s="1069"/>
      <c r="BQ106" s="1136"/>
      <c r="BR106" s="1140">
        <f t="shared" si="28"/>
        <v>0</v>
      </c>
      <c r="BS106" s="1140">
        <f t="shared" si="29"/>
        <v>111111.11111111112</v>
      </c>
      <c r="BT106" s="1140">
        <f t="shared" si="30"/>
        <v>55555.555555555562</v>
      </c>
      <c r="BU106" s="1140">
        <f t="shared" si="31"/>
        <v>166666.66666666669</v>
      </c>
      <c r="BV106" s="1140">
        <f t="shared" si="41"/>
        <v>0</v>
      </c>
      <c r="BW106" s="1140">
        <f t="shared" si="42"/>
        <v>0</v>
      </c>
      <c r="BX106" s="1140">
        <f t="shared" si="43"/>
        <v>0</v>
      </c>
      <c r="BY106" s="1140">
        <f t="shared" si="32"/>
        <v>0</v>
      </c>
      <c r="BZ106" s="1136"/>
      <c r="CA106" s="1140">
        <f t="shared" si="33"/>
        <v>0</v>
      </c>
      <c r="CB106" s="1140">
        <f t="shared" si="34"/>
        <v>111111.11111111112</v>
      </c>
      <c r="CC106" s="1140">
        <f t="shared" si="35"/>
        <v>55555.555555555562</v>
      </c>
      <c r="CD106" s="1140">
        <f t="shared" si="36"/>
        <v>166666.66666666669</v>
      </c>
      <c r="CE106" s="1140">
        <f t="shared" si="37"/>
        <v>0</v>
      </c>
      <c r="CF106" s="1140">
        <f t="shared" si="38"/>
        <v>0</v>
      </c>
      <c r="CG106" s="1140">
        <f t="shared" si="39"/>
        <v>0</v>
      </c>
      <c r="CH106" s="1140">
        <f t="shared" si="40"/>
        <v>0</v>
      </c>
      <c r="CI106" s="1146"/>
      <c r="CJ106" s="1069"/>
      <c r="CK106" s="1069"/>
      <c r="CL106" s="1069"/>
      <c r="CM106" s="1069"/>
      <c r="CN106" s="1069"/>
      <c r="CO106" s="1069"/>
      <c r="CP106" s="1069"/>
      <c r="CQ106" s="1069"/>
      <c r="CR106" s="1069"/>
      <c r="CS106" s="1069"/>
      <c r="CT106" s="1069"/>
      <c r="CU106" s="1069"/>
      <c r="CV106" s="1069"/>
      <c r="CW106" s="1069"/>
      <c r="CX106" s="1069"/>
      <c r="CY106" s="1069"/>
      <c r="CZ106" s="1069"/>
      <c r="DA106" s="1069"/>
      <c r="DB106" s="1069"/>
      <c r="DC106" s="1069"/>
      <c r="DD106" s="1069"/>
      <c r="DE106" s="1102"/>
      <c r="DF106" s="1102"/>
      <c r="DG106" s="1102"/>
      <c r="DH106" s="1102"/>
      <c r="DI106" s="1102"/>
      <c r="DJ106" s="1102"/>
      <c r="DK106" s="1102"/>
      <c r="DL106" s="1102"/>
      <c r="DM106" s="1102"/>
      <c r="DN106" s="1102"/>
      <c r="DO106" s="1102"/>
      <c r="DP106" s="1102"/>
      <c r="DQ106" s="1102"/>
      <c r="DR106" s="1102"/>
      <c r="DS106" s="1102"/>
      <c r="DT106" s="1102"/>
      <c r="DU106" s="1102"/>
      <c r="DV106" s="1102"/>
      <c r="DW106" s="1102"/>
      <c r="DX106" s="1102"/>
      <c r="DY106" s="1102"/>
      <c r="DZ106" s="1102"/>
      <c r="EA106" s="1102"/>
      <c r="EB106" s="1102"/>
      <c r="EC106" s="1102"/>
      <c r="ED106" s="1102"/>
      <c r="EE106" s="1102"/>
      <c r="EF106" s="1102"/>
      <c r="EG106" s="1102"/>
      <c r="EH106" s="1102"/>
      <c r="EI106" s="1102"/>
      <c r="EJ106" s="1102"/>
      <c r="EK106" s="1102"/>
      <c r="EL106" s="1102"/>
      <c r="EM106" s="1102"/>
      <c r="EN106" s="1102"/>
      <c r="EO106" s="1102"/>
      <c r="EP106" s="1102"/>
      <c r="EQ106" s="1102"/>
      <c r="ER106" s="1102"/>
      <c r="ES106" s="1102"/>
      <c r="ET106" s="1102"/>
      <c r="EU106" s="1102"/>
      <c r="EV106" s="1102"/>
      <c r="EW106" s="1102"/>
      <c r="EX106" s="1102"/>
      <c r="EY106" s="1102"/>
      <c r="EZ106" s="1102"/>
      <c r="FA106" s="1102"/>
      <c r="FB106" s="1102"/>
      <c r="FC106" s="1102"/>
      <c r="FD106" s="1102"/>
      <c r="FE106" s="1102"/>
      <c r="FF106" s="1102"/>
      <c r="FG106" s="1102"/>
      <c r="FH106" s="1102"/>
      <c r="FI106" s="1102"/>
      <c r="FJ106" s="1102"/>
      <c r="FK106" s="1102"/>
      <c r="FL106" s="1102"/>
      <c r="FM106" s="1102"/>
      <c r="FN106" s="1102"/>
      <c r="FO106" s="1102"/>
      <c r="FP106" s="1102"/>
      <c r="FQ106" s="1102"/>
      <c r="FR106" s="1102"/>
      <c r="FS106" s="1102"/>
      <c r="FT106" s="1102"/>
      <c r="FU106" s="1102"/>
      <c r="FV106" s="1102"/>
      <c r="FW106" s="1102"/>
      <c r="FX106" s="1102"/>
      <c r="FY106" s="1102"/>
      <c r="FZ106" s="1102"/>
      <c r="GA106" s="1102"/>
      <c r="GB106" s="1102"/>
      <c r="GC106" s="1102"/>
      <c r="GD106" s="1102"/>
      <c r="GE106" s="1102"/>
      <c r="GF106" s="1102"/>
      <c r="GG106" s="1102"/>
      <c r="GH106" s="1102"/>
      <c r="GI106" s="1102"/>
      <c r="GJ106" s="1102"/>
      <c r="GK106" s="1102"/>
      <c r="GL106" s="1102"/>
      <c r="GM106" s="1102"/>
      <c r="GN106" s="1102"/>
      <c r="GO106" s="1102"/>
      <c r="GP106" s="1102"/>
      <c r="GQ106" s="1102"/>
      <c r="GR106" s="1102"/>
      <c r="GS106" s="1102"/>
      <c r="GT106" s="1102"/>
      <c r="GU106" s="1102"/>
      <c r="GV106" s="1102"/>
      <c r="GW106" s="1102"/>
      <c r="GX106" s="1102"/>
      <c r="GY106" s="1102"/>
      <c r="GZ106" s="1102"/>
      <c r="HA106" s="1102"/>
      <c r="HB106" s="1102"/>
      <c r="HC106" s="1102"/>
      <c r="HD106" s="1102"/>
      <c r="HE106" s="1102"/>
      <c r="HF106" s="1102"/>
      <c r="HG106" s="1102"/>
      <c r="HH106" s="1102"/>
      <c r="HI106" s="1102"/>
      <c r="HJ106" s="1102"/>
      <c r="HK106" s="1102"/>
      <c r="HL106" s="1102"/>
      <c r="HM106" s="1102"/>
      <c r="HN106" s="1102"/>
      <c r="HO106" s="1102"/>
      <c r="HP106" s="1102"/>
      <c r="HQ106" s="1102"/>
      <c r="HR106" s="1102"/>
      <c r="HS106" s="1102"/>
      <c r="HT106" s="1102"/>
      <c r="HU106" s="1102"/>
      <c r="HV106" s="1102"/>
      <c r="HW106" s="1102"/>
      <c r="HX106" s="1102"/>
      <c r="HY106" s="1102"/>
      <c r="HZ106" s="1102"/>
      <c r="IA106" s="1102"/>
      <c r="IB106" s="1102"/>
      <c r="IC106" s="1102"/>
      <c r="ID106" s="1102"/>
      <c r="IE106" s="1102"/>
      <c r="IF106" s="1102"/>
      <c r="IG106" s="1102"/>
      <c r="IH106" s="1102"/>
      <c r="II106" s="1102"/>
    </row>
    <row r="107" spans="1:243" ht="15" customHeight="1" x14ac:dyDescent="0.2">
      <c r="A107" s="1075">
        <v>4848</v>
      </c>
      <c r="B107" s="1075"/>
      <c r="C107" s="1076" t="s">
        <v>929</v>
      </c>
      <c r="D107" s="1063" t="s">
        <v>929</v>
      </c>
      <c r="E107" s="1055">
        <f t="shared" si="24"/>
        <v>67506.6728</v>
      </c>
      <c r="F107" s="1064" t="s">
        <v>10</v>
      </c>
      <c r="G107" s="1056" t="e">
        <f t="shared" si="25"/>
        <v>#VALUE!</v>
      </c>
      <c r="H107" s="1062" t="s">
        <v>10</v>
      </c>
      <c r="I107" s="1063" t="s">
        <v>911</v>
      </c>
      <c r="J107" s="1063" t="s">
        <v>10</v>
      </c>
      <c r="K107" s="1063" t="s">
        <v>10</v>
      </c>
      <c r="L107" s="1063" t="s">
        <v>10</v>
      </c>
      <c r="M107" s="1065" t="s">
        <v>10</v>
      </c>
      <c r="N107" s="1065" t="s">
        <v>10</v>
      </c>
      <c r="O107" s="1065" t="s">
        <v>10</v>
      </c>
      <c r="P107" s="1065" t="s">
        <v>10</v>
      </c>
      <c r="Q107" s="1065" t="s">
        <v>10</v>
      </c>
      <c r="R107" s="1065" t="s">
        <v>10</v>
      </c>
      <c r="S107" s="1065">
        <v>348152</v>
      </c>
      <c r="T107" s="1058">
        <f t="shared" si="26"/>
        <v>67506.6728</v>
      </c>
      <c r="U107" s="1065" t="s">
        <v>10</v>
      </c>
      <c r="V107" s="1065" t="s">
        <v>10</v>
      </c>
      <c r="W107" s="1065" t="s">
        <v>10</v>
      </c>
      <c r="X107" s="1065" t="s">
        <v>10</v>
      </c>
      <c r="Y107" s="1065" t="s">
        <v>10</v>
      </c>
      <c r="Z107" s="1065" t="s">
        <v>10</v>
      </c>
      <c r="AA107" s="1065" t="s">
        <v>10</v>
      </c>
      <c r="AB107" s="1065" t="s">
        <v>10</v>
      </c>
      <c r="AC107" s="1065" t="s">
        <v>10</v>
      </c>
      <c r="AD107" s="1065" t="s">
        <v>10</v>
      </c>
      <c r="AE107" s="1065" t="s">
        <v>10</v>
      </c>
      <c r="AF107" s="1065" t="s">
        <v>10</v>
      </c>
      <c r="AG107" s="1065" t="s">
        <v>10</v>
      </c>
      <c r="AH107" s="1065" t="s">
        <v>10</v>
      </c>
      <c r="AI107" s="1065" t="s">
        <v>10</v>
      </c>
      <c r="AJ107" s="1062" t="s">
        <v>900</v>
      </c>
      <c r="AK107" s="1062" t="s">
        <v>905</v>
      </c>
      <c r="AL107" s="1066" t="s">
        <v>930</v>
      </c>
      <c r="AM107" s="1062" t="s">
        <v>10</v>
      </c>
      <c r="AN107" s="1084" t="s">
        <v>929</v>
      </c>
      <c r="AO107" s="1084">
        <v>0</v>
      </c>
      <c r="AP107" s="1104">
        <v>0</v>
      </c>
      <c r="AQ107" s="1059">
        <f t="shared" si="27"/>
        <v>593</v>
      </c>
      <c r="AR107" s="753">
        <v>0</v>
      </c>
      <c r="AS107" s="753">
        <v>0</v>
      </c>
      <c r="AT107" s="753">
        <v>502</v>
      </c>
      <c r="AU107" s="753">
        <v>0</v>
      </c>
      <c r="AV107" s="1052">
        <v>0</v>
      </c>
      <c r="AW107" s="1052">
        <v>0</v>
      </c>
      <c r="AX107" s="1052">
        <v>0</v>
      </c>
      <c r="AY107" s="1052">
        <v>0</v>
      </c>
      <c r="AZ107" s="753">
        <v>0</v>
      </c>
      <c r="BA107" s="753">
        <v>0</v>
      </c>
      <c r="BB107" s="753">
        <v>70</v>
      </c>
      <c r="BC107" s="753">
        <v>0</v>
      </c>
      <c r="BD107" s="1105">
        <v>0</v>
      </c>
      <c r="BE107" s="1105">
        <v>0</v>
      </c>
      <c r="BF107" s="1105">
        <v>0</v>
      </c>
      <c r="BG107" s="1105">
        <v>0</v>
      </c>
      <c r="BH107" s="753">
        <v>21</v>
      </c>
      <c r="BI107" s="753">
        <v>0</v>
      </c>
      <c r="BJ107" s="753">
        <v>0</v>
      </c>
      <c r="BK107" s="753">
        <v>0</v>
      </c>
      <c r="BL107" s="1061">
        <v>0</v>
      </c>
      <c r="BM107" s="1061">
        <v>0</v>
      </c>
      <c r="BN107" s="1061">
        <v>0</v>
      </c>
      <c r="BO107" s="1075">
        <v>0</v>
      </c>
      <c r="BR107" s="1140">
        <f t="shared" si="28"/>
        <v>0</v>
      </c>
      <c r="BS107" s="1140">
        <f t="shared" si="29"/>
        <v>6972222.2222222229</v>
      </c>
      <c r="BT107" s="1140">
        <f t="shared" si="30"/>
        <v>0</v>
      </c>
      <c r="BU107" s="1140">
        <f t="shared" si="31"/>
        <v>6972222.2222222229</v>
      </c>
      <c r="BV107" s="1140">
        <f t="shared" si="41"/>
        <v>0</v>
      </c>
      <c r="BW107" s="1140">
        <f t="shared" si="42"/>
        <v>0</v>
      </c>
      <c r="BX107" s="1140">
        <f t="shared" si="43"/>
        <v>0</v>
      </c>
      <c r="BY107" s="1140">
        <f t="shared" si="32"/>
        <v>0</v>
      </c>
      <c r="CA107" s="1140">
        <f t="shared" si="33"/>
        <v>0</v>
      </c>
      <c r="CB107" s="1140">
        <f t="shared" si="34"/>
        <v>6972222.2222222229</v>
      </c>
      <c r="CC107" s="1140">
        <f t="shared" si="35"/>
        <v>0</v>
      </c>
      <c r="CD107" s="1140">
        <f t="shared" si="36"/>
        <v>6972222.2222222229</v>
      </c>
      <c r="CE107" s="1140">
        <f t="shared" si="37"/>
        <v>0</v>
      </c>
      <c r="CF107" s="1140">
        <f t="shared" si="38"/>
        <v>0</v>
      </c>
      <c r="CG107" s="1140">
        <f t="shared" si="39"/>
        <v>0</v>
      </c>
      <c r="CH107" s="1140">
        <f t="shared" si="40"/>
        <v>0</v>
      </c>
    </row>
    <row r="108" spans="1:243" ht="15" customHeight="1" x14ac:dyDescent="0.2">
      <c r="A108" s="1052">
        <v>4827</v>
      </c>
      <c r="B108" s="1052"/>
      <c r="C108" s="1053" t="s">
        <v>931</v>
      </c>
      <c r="D108" s="1054" t="s">
        <v>660</v>
      </c>
      <c r="E108" s="1055">
        <f t="shared" si="24"/>
        <v>505180</v>
      </c>
      <c r="F108" s="1055">
        <v>841000</v>
      </c>
      <c r="G108" s="1056">
        <f t="shared" si="25"/>
        <v>1346180</v>
      </c>
      <c r="H108" s="1053" t="s">
        <v>10</v>
      </c>
      <c r="I108" s="1054" t="s">
        <v>1416</v>
      </c>
      <c r="J108" s="1054" t="s">
        <v>1417</v>
      </c>
      <c r="K108" s="1054" t="s">
        <v>126</v>
      </c>
      <c r="L108" s="1054" t="s">
        <v>1412</v>
      </c>
      <c r="M108" s="1057">
        <v>260</v>
      </c>
      <c r="N108" s="1057">
        <v>0.95399999999999996</v>
      </c>
      <c r="O108" s="1057">
        <v>0.96199999999999997</v>
      </c>
      <c r="P108" s="1057">
        <v>0.92500000000000004</v>
      </c>
      <c r="Q108" s="1057">
        <v>0.95199999999999996</v>
      </c>
      <c r="R108" s="1057">
        <v>2062167</v>
      </c>
      <c r="S108" s="1057">
        <v>1450000</v>
      </c>
      <c r="T108" s="1058">
        <f t="shared" si="26"/>
        <v>613494.6825</v>
      </c>
      <c r="U108" s="1057">
        <v>777000</v>
      </c>
      <c r="V108" s="1057">
        <v>673000</v>
      </c>
      <c r="W108" s="1057">
        <v>7000</v>
      </c>
      <c r="X108" s="1057">
        <v>1454494.683</v>
      </c>
      <c r="Y108" s="1057">
        <v>613494.6825</v>
      </c>
      <c r="Z108" s="1057">
        <v>841000</v>
      </c>
      <c r="AA108" s="1057">
        <v>609000</v>
      </c>
      <c r="AB108" s="1057">
        <v>0</v>
      </c>
      <c r="AC108" s="1057">
        <v>609000</v>
      </c>
      <c r="AD108" s="1057">
        <v>0</v>
      </c>
      <c r="AE108" s="1057">
        <v>841000</v>
      </c>
      <c r="AF108" s="1057">
        <v>0</v>
      </c>
      <c r="AG108" s="1057">
        <v>609000</v>
      </c>
      <c r="AH108" s="1057">
        <v>0</v>
      </c>
      <c r="AI108" s="1057">
        <v>0</v>
      </c>
      <c r="AJ108" s="1053" t="s">
        <v>900</v>
      </c>
      <c r="AK108" s="1053" t="s">
        <v>905</v>
      </c>
      <c r="AL108" s="1054" t="s">
        <v>1416</v>
      </c>
      <c r="AM108" s="1053" t="s">
        <v>10</v>
      </c>
      <c r="AN108" s="1054" t="s">
        <v>660</v>
      </c>
      <c r="AO108" s="1054">
        <v>1454494.6825000001</v>
      </c>
      <c r="AP108" s="1059">
        <f t="shared" ref="AP108:AP118" si="46">AR108+AT108+AU108+AV108+AX108+AY108+AZ108+BD108+BF108+BG108+BH108+BJ108+BK108+(BL108+BM108+BN108)/1000+(0.1*BO108)</f>
        <v>909.06550000000004</v>
      </c>
      <c r="AQ108" s="1059">
        <f t="shared" si="27"/>
        <v>1020.0655</v>
      </c>
      <c r="AR108" s="1052">
        <v>272</v>
      </c>
      <c r="AS108" s="1052">
        <v>43</v>
      </c>
      <c r="AT108" s="1052">
        <v>471</v>
      </c>
      <c r="AU108" s="1052">
        <v>16</v>
      </c>
      <c r="AV108" s="1052">
        <v>0</v>
      </c>
      <c r="AW108" s="1052">
        <v>0</v>
      </c>
      <c r="AX108" s="1052">
        <v>2</v>
      </c>
      <c r="AY108" s="1052">
        <v>0</v>
      </c>
      <c r="AZ108" s="1052">
        <v>50</v>
      </c>
      <c r="BA108" s="1052">
        <v>320</v>
      </c>
      <c r="BB108" s="1052">
        <v>111</v>
      </c>
      <c r="BC108" s="1052">
        <v>0</v>
      </c>
      <c r="BD108" s="1052">
        <v>46</v>
      </c>
      <c r="BE108" s="1052">
        <v>2</v>
      </c>
      <c r="BF108" s="1052">
        <v>0</v>
      </c>
      <c r="BG108" s="1052">
        <v>0</v>
      </c>
      <c r="BH108" s="1052">
        <v>46</v>
      </c>
      <c r="BI108" s="1052">
        <v>0</v>
      </c>
      <c r="BJ108" s="1052">
        <v>0</v>
      </c>
      <c r="BK108" s="1052">
        <v>0</v>
      </c>
      <c r="BL108" s="1052">
        <v>0</v>
      </c>
      <c r="BM108" s="1052">
        <v>0</v>
      </c>
      <c r="BN108" s="1052">
        <v>0</v>
      </c>
      <c r="BO108" s="1052">
        <v>60.655000000000001</v>
      </c>
      <c r="BR108" s="1140">
        <f t="shared" si="28"/>
        <v>3777777.777777778</v>
      </c>
      <c r="BS108" s="1140">
        <f t="shared" si="29"/>
        <v>6541666.666666667</v>
      </c>
      <c r="BT108" s="1140">
        <f t="shared" si="30"/>
        <v>222222.22222222225</v>
      </c>
      <c r="BU108" s="1140">
        <f t="shared" si="31"/>
        <v>10541666.666666666</v>
      </c>
      <c r="BV108" s="1140">
        <f t="shared" si="41"/>
        <v>0</v>
      </c>
      <c r="BW108" s="1140">
        <f t="shared" si="42"/>
        <v>400</v>
      </c>
      <c r="BX108" s="1140">
        <f t="shared" si="43"/>
        <v>0</v>
      </c>
      <c r="BY108" s="1140">
        <f t="shared" si="32"/>
        <v>400</v>
      </c>
      <c r="CA108" s="1140">
        <f t="shared" si="33"/>
        <v>3777777.777777778</v>
      </c>
      <c r="CB108" s="1140">
        <f t="shared" si="34"/>
        <v>6541666.666666667</v>
      </c>
      <c r="CC108" s="1140">
        <f t="shared" si="35"/>
        <v>222222.22222222225</v>
      </c>
      <c r="CD108" s="1140">
        <f t="shared" si="36"/>
        <v>10541666.666666666</v>
      </c>
      <c r="CE108" s="1140">
        <f t="shared" si="37"/>
        <v>0</v>
      </c>
      <c r="CF108" s="1140">
        <f t="shared" si="38"/>
        <v>400</v>
      </c>
      <c r="CG108" s="1140">
        <f t="shared" si="39"/>
        <v>0</v>
      </c>
      <c r="CH108" s="1140">
        <f t="shared" si="40"/>
        <v>400</v>
      </c>
    </row>
    <row r="109" spans="1:243" ht="15" customHeight="1" x14ac:dyDescent="0.2">
      <c r="A109" s="1052">
        <v>9080</v>
      </c>
      <c r="B109" s="1052"/>
      <c r="C109" s="1053" t="s">
        <v>186</v>
      </c>
      <c r="D109" s="1054" t="s">
        <v>186</v>
      </c>
      <c r="E109" s="1055">
        <f t="shared" si="24"/>
        <v>39003.760599999994</v>
      </c>
      <c r="F109" s="1055">
        <v>0</v>
      </c>
      <c r="G109" s="1056">
        <f t="shared" si="25"/>
        <v>39003.760599999994</v>
      </c>
      <c r="H109" s="1053" t="s">
        <v>10</v>
      </c>
      <c r="I109" s="1054" t="s">
        <v>1512</v>
      </c>
      <c r="J109" s="1054" t="s">
        <v>1417</v>
      </c>
      <c r="K109" s="1054" t="s">
        <v>188</v>
      </c>
      <c r="L109" s="1054" t="s">
        <v>10</v>
      </c>
      <c r="M109" s="1057">
        <v>9</v>
      </c>
      <c r="N109" s="1057">
        <v>0.98599999999999999</v>
      </c>
      <c r="O109" s="1057">
        <v>0.98599999999999999</v>
      </c>
      <c r="P109" s="1057">
        <v>0.95599999999999996</v>
      </c>
      <c r="Q109" s="1057">
        <v>0.86799999999999999</v>
      </c>
      <c r="R109" s="1057">
        <v>0</v>
      </c>
      <c r="S109" s="1057">
        <v>201154</v>
      </c>
      <c r="T109" s="1058">
        <f t="shared" si="26"/>
        <v>39003.760599999994</v>
      </c>
      <c r="U109" s="1057">
        <v>140860</v>
      </c>
      <c r="V109" s="1057">
        <v>60294</v>
      </c>
      <c r="W109" s="1057">
        <v>1000</v>
      </c>
      <c r="X109" s="1057">
        <v>0</v>
      </c>
      <c r="Y109" s="1057">
        <v>0</v>
      </c>
      <c r="Z109" s="1057">
        <v>0</v>
      </c>
      <c r="AA109" s="1057">
        <v>240157.76060000001</v>
      </c>
      <c r="AB109" s="1057">
        <v>39003.760600000001</v>
      </c>
      <c r="AC109" s="1057">
        <v>201154</v>
      </c>
      <c r="AD109" s="1057">
        <v>0</v>
      </c>
      <c r="AE109" s="1057">
        <v>0</v>
      </c>
      <c r="AF109" s="1057">
        <v>0</v>
      </c>
      <c r="AG109" s="1057">
        <v>201154</v>
      </c>
      <c r="AH109" s="1057">
        <v>0</v>
      </c>
      <c r="AI109" s="1057">
        <v>0</v>
      </c>
      <c r="AJ109" s="1053">
        <v>4</v>
      </c>
      <c r="AK109" s="1053" t="s">
        <v>913</v>
      </c>
      <c r="AL109" s="1054" t="s">
        <v>1512</v>
      </c>
      <c r="AM109" s="1053" t="s">
        <v>10</v>
      </c>
      <c r="AN109" s="1054" t="s">
        <v>186</v>
      </c>
      <c r="AO109" s="1054">
        <v>39003.760600000001</v>
      </c>
      <c r="AP109" s="1059">
        <f t="shared" si="46"/>
        <v>7</v>
      </c>
      <c r="AQ109" s="1059">
        <f t="shared" si="27"/>
        <v>-9</v>
      </c>
      <c r="AR109" s="1052">
        <v>0</v>
      </c>
      <c r="AS109" s="1052">
        <v>0</v>
      </c>
      <c r="AT109" s="1052">
        <v>6</v>
      </c>
      <c r="AU109" s="1052">
        <v>1</v>
      </c>
      <c r="AV109" s="1052">
        <v>0</v>
      </c>
      <c r="AW109" s="1052">
        <v>0</v>
      </c>
      <c r="AX109" s="1052">
        <v>0</v>
      </c>
      <c r="AY109" s="1052">
        <v>0</v>
      </c>
      <c r="AZ109" s="1052">
        <v>0</v>
      </c>
      <c r="BA109" s="1052">
        <v>0</v>
      </c>
      <c r="BB109" s="1052">
        <v>3</v>
      </c>
      <c r="BC109" s="1052">
        <v>-19</v>
      </c>
      <c r="BD109" s="1052">
        <v>0</v>
      </c>
      <c r="BE109" s="1052">
        <v>0</v>
      </c>
      <c r="BF109" s="1052">
        <v>0</v>
      </c>
      <c r="BG109" s="1052">
        <v>0</v>
      </c>
      <c r="BH109" s="1052">
        <v>0</v>
      </c>
      <c r="BI109" s="1052">
        <v>0</v>
      </c>
      <c r="BJ109" s="1052">
        <v>0</v>
      </c>
      <c r="BK109" s="1052">
        <v>0</v>
      </c>
      <c r="BL109" s="1052">
        <v>0</v>
      </c>
      <c r="BM109" s="1052">
        <v>0</v>
      </c>
      <c r="BN109" s="1052">
        <v>0</v>
      </c>
      <c r="BO109" s="1052">
        <v>0</v>
      </c>
      <c r="BR109" s="1140">
        <f t="shared" si="28"/>
        <v>0</v>
      </c>
      <c r="BS109" s="1140">
        <f t="shared" si="29"/>
        <v>83333.333333333343</v>
      </c>
      <c r="BT109" s="1140">
        <f t="shared" si="30"/>
        <v>13888.888888888891</v>
      </c>
      <c r="BU109" s="1140">
        <f t="shared" si="31"/>
        <v>97222.222222222234</v>
      </c>
      <c r="BV109" s="1140">
        <f t="shared" si="41"/>
        <v>0</v>
      </c>
      <c r="BW109" s="1140">
        <f t="shared" si="42"/>
        <v>0</v>
      </c>
      <c r="BX109" s="1140">
        <f t="shared" si="43"/>
        <v>0</v>
      </c>
      <c r="BY109" s="1140">
        <f t="shared" si="32"/>
        <v>0</v>
      </c>
      <c r="CA109" s="1140">
        <f t="shared" si="33"/>
        <v>0</v>
      </c>
      <c r="CB109" s="1140">
        <f t="shared" si="34"/>
        <v>83333.333333333343</v>
      </c>
      <c r="CC109" s="1140">
        <f t="shared" si="35"/>
        <v>13888.888888888891</v>
      </c>
      <c r="CD109" s="1140">
        <f t="shared" si="36"/>
        <v>97222.222222222234</v>
      </c>
      <c r="CE109" s="1140">
        <f t="shared" si="37"/>
        <v>0</v>
      </c>
      <c r="CF109" s="1140">
        <f t="shared" si="38"/>
        <v>0</v>
      </c>
      <c r="CG109" s="1140">
        <f t="shared" si="39"/>
        <v>0</v>
      </c>
      <c r="CH109" s="1140">
        <f t="shared" si="40"/>
        <v>0</v>
      </c>
    </row>
    <row r="110" spans="1:243" ht="15" customHeight="1" x14ac:dyDescent="0.2">
      <c r="A110" s="1052">
        <v>9075</v>
      </c>
      <c r="B110" s="1052"/>
      <c r="C110" s="1053" t="s">
        <v>189</v>
      </c>
      <c r="D110" s="1054" t="s">
        <v>189</v>
      </c>
      <c r="E110" s="1055">
        <f t="shared" si="24"/>
        <v>260656.1568</v>
      </c>
      <c r="F110" s="1055">
        <v>0</v>
      </c>
      <c r="G110" s="1056">
        <f t="shared" si="25"/>
        <v>260656.1568</v>
      </c>
      <c r="H110" s="1053" t="s">
        <v>10</v>
      </c>
      <c r="I110" s="1054" t="s">
        <v>1416</v>
      </c>
      <c r="J110" s="1054" t="s">
        <v>1417</v>
      </c>
      <c r="K110" s="1054" t="s">
        <v>188</v>
      </c>
      <c r="L110" s="1054" t="s">
        <v>10</v>
      </c>
      <c r="M110" s="1057">
        <v>65</v>
      </c>
      <c r="N110" s="1057">
        <v>0.97099999999999997</v>
      </c>
      <c r="O110" s="1057">
        <v>0.96899999999999997</v>
      </c>
      <c r="P110" s="1057">
        <v>0.93799999999999994</v>
      </c>
      <c r="Q110" s="1057">
        <v>0.86799999999999999</v>
      </c>
      <c r="R110" s="1057">
        <v>878870</v>
      </c>
      <c r="S110" s="1057">
        <v>748152</v>
      </c>
      <c r="T110" s="1058">
        <f t="shared" si="26"/>
        <v>261463.82499999998</v>
      </c>
      <c r="U110" s="1057">
        <v>748421</v>
      </c>
      <c r="V110" s="1057">
        <v>-269</v>
      </c>
      <c r="W110" s="1057">
        <v>4477</v>
      </c>
      <c r="X110" s="1057">
        <v>0</v>
      </c>
      <c r="Y110" s="1057">
        <v>0</v>
      </c>
      <c r="Z110" s="1057">
        <v>0</v>
      </c>
      <c r="AA110" s="1057">
        <v>1009615.825</v>
      </c>
      <c r="AB110" s="1057">
        <v>261463.82500000001</v>
      </c>
      <c r="AC110" s="1057">
        <v>748152</v>
      </c>
      <c r="AD110" s="1057">
        <v>0</v>
      </c>
      <c r="AE110" s="1057">
        <v>0</v>
      </c>
      <c r="AF110" s="1057">
        <v>0</v>
      </c>
      <c r="AG110" s="1057">
        <v>748152</v>
      </c>
      <c r="AH110" s="1057">
        <v>0</v>
      </c>
      <c r="AI110" s="1057">
        <v>0</v>
      </c>
      <c r="AJ110" s="1053">
        <v>4</v>
      </c>
      <c r="AK110" s="1053" t="s">
        <v>913</v>
      </c>
      <c r="AL110" s="1054" t="s">
        <v>1416</v>
      </c>
      <c r="AM110" s="1053" t="s">
        <v>10</v>
      </c>
      <c r="AN110" s="1054" t="s">
        <v>189</v>
      </c>
      <c r="AO110" s="1054">
        <v>261463.82500000001</v>
      </c>
      <c r="AP110" s="1059">
        <f t="shared" si="46"/>
        <v>126.74199999999999</v>
      </c>
      <c r="AQ110" s="1059">
        <f t="shared" si="27"/>
        <v>214.74199999999999</v>
      </c>
      <c r="AR110" s="1052">
        <v>0</v>
      </c>
      <c r="AS110" s="1052">
        <v>0</v>
      </c>
      <c r="AT110" s="1052">
        <v>50</v>
      </c>
      <c r="AU110" s="1052">
        <v>19</v>
      </c>
      <c r="AV110" s="1052">
        <v>0</v>
      </c>
      <c r="AW110" s="1052">
        <v>0</v>
      </c>
      <c r="AX110" s="1052">
        <v>10</v>
      </c>
      <c r="AY110" s="1052">
        <v>1</v>
      </c>
      <c r="AZ110" s="1052">
        <v>0</v>
      </c>
      <c r="BA110" s="1052">
        <v>0</v>
      </c>
      <c r="BB110" s="1052">
        <v>56</v>
      </c>
      <c r="BC110" s="1052">
        <v>32</v>
      </c>
      <c r="BD110" s="1052">
        <v>0</v>
      </c>
      <c r="BE110" s="1052">
        <v>0</v>
      </c>
      <c r="BF110" s="1052">
        <v>0</v>
      </c>
      <c r="BG110" s="1052">
        <v>0</v>
      </c>
      <c r="BH110" s="1052">
        <v>0</v>
      </c>
      <c r="BI110" s="1052">
        <v>0</v>
      </c>
      <c r="BJ110" s="1052">
        <v>0</v>
      </c>
      <c r="BK110" s="1052">
        <v>0</v>
      </c>
      <c r="BL110" s="1052">
        <v>0</v>
      </c>
      <c r="BM110" s="1052">
        <v>0</v>
      </c>
      <c r="BN110" s="1052">
        <v>46742</v>
      </c>
      <c r="BO110" s="1052">
        <v>0</v>
      </c>
      <c r="BR110" s="1140">
        <f t="shared" si="28"/>
        <v>0</v>
      </c>
      <c r="BS110" s="1140">
        <f t="shared" si="29"/>
        <v>694444.4444444445</v>
      </c>
      <c r="BT110" s="1140">
        <f t="shared" si="30"/>
        <v>263888.88888888893</v>
      </c>
      <c r="BU110" s="1140">
        <f t="shared" si="31"/>
        <v>958333.33333333349</v>
      </c>
      <c r="BV110" s="1140">
        <f t="shared" si="41"/>
        <v>0</v>
      </c>
      <c r="BW110" s="1140">
        <f t="shared" si="42"/>
        <v>2000</v>
      </c>
      <c r="BX110" s="1140">
        <f t="shared" si="43"/>
        <v>200</v>
      </c>
      <c r="BY110" s="1140">
        <f t="shared" si="32"/>
        <v>2200</v>
      </c>
      <c r="CA110" s="1140">
        <f t="shared" si="33"/>
        <v>0</v>
      </c>
      <c r="CB110" s="1140">
        <f t="shared" si="34"/>
        <v>694444.4444444445</v>
      </c>
      <c r="CC110" s="1140">
        <f t="shared" si="35"/>
        <v>263888.88888888893</v>
      </c>
      <c r="CD110" s="1140">
        <f t="shared" si="36"/>
        <v>958333.33333333349</v>
      </c>
      <c r="CE110" s="1140">
        <f t="shared" si="37"/>
        <v>0</v>
      </c>
      <c r="CF110" s="1140">
        <f t="shared" si="38"/>
        <v>2000</v>
      </c>
      <c r="CG110" s="1140">
        <f t="shared" si="39"/>
        <v>200</v>
      </c>
      <c r="CH110" s="1140">
        <f t="shared" si="40"/>
        <v>2200</v>
      </c>
    </row>
    <row r="111" spans="1:243" ht="15" customHeight="1" x14ac:dyDescent="0.2">
      <c r="A111" s="1052">
        <v>2912</v>
      </c>
      <c r="B111" s="1052"/>
      <c r="C111" s="1053" t="s">
        <v>190</v>
      </c>
      <c r="D111" s="1054" t="s">
        <v>190</v>
      </c>
      <c r="E111" s="1055">
        <f t="shared" si="24"/>
        <v>31285.377199999999</v>
      </c>
      <c r="F111" s="1055">
        <v>0</v>
      </c>
      <c r="G111" s="1056">
        <f t="shared" si="25"/>
        <v>31285.377199999999</v>
      </c>
      <c r="H111" s="1053" t="s">
        <v>10</v>
      </c>
      <c r="I111" s="1054" t="s">
        <v>1512</v>
      </c>
      <c r="J111" s="1054" t="s">
        <v>1417</v>
      </c>
      <c r="K111" s="1054" t="s">
        <v>192</v>
      </c>
      <c r="L111" s="1054" t="s">
        <v>10</v>
      </c>
      <c r="M111" s="1057">
        <v>10</v>
      </c>
      <c r="N111" s="1057">
        <v>0.85099999999999998</v>
      </c>
      <c r="O111" s="1057">
        <v>1</v>
      </c>
      <c r="P111" s="1057">
        <v>1</v>
      </c>
      <c r="Q111" s="1057">
        <v>0.80500000000000005</v>
      </c>
      <c r="R111" s="1057">
        <v>0</v>
      </c>
      <c r="S111" s="1057">
        <v>161348</v>
      </c>
      <c r="T111" s="1058">
        <f t="shared" si="26"/>
        <v>31285.377199999999</v>
      </c>
      <c r="U111" s="1057">
        <v>134935</v>
      </c>
      <c r="V111" s="1057">
        <v>26413</v>
      </c>
      <c r="W111" s="1057">
        <v>685</v>
      </c>
      <c r="X111" s="1057">
        <v>0</v>
      </c>
      <c r="Y111" s="1057">
        <v>0</v>
      </c>
      <c r="Z111" s="1057">
        <v>0</v>
      </c>
      <c r="AA111" s="1057">
        <v>192633.37719999999</v>
      </c>
      <c r="AB111" s="1057">
        <v>31285.377199999999</v>
      </c>
      <c r="AC111" s="1057">
        <v>161348</v>
      </c>
      <c r="AD111" s="1057">
        <v>0</v>
      </c>
      <c r="AE111" s="1057">
        <v>0</v>
      </c>
      <c r="AF111" s="1057">
        <v>0</v>
      </c>
      <c r="AG111" s="1057">
        <v>161348</v>
      </c>
      <c r="AH111" s="1057">
        <v>0</v>
      </c>
      <c r="AI111" s="1057">
        <v>0</v>
      </c>
      <c r="AJ111" s="1053">
        <v>4</v>
      </c>
      <c r="AK111" s="1053" t="s">
        <v>899</v>
      </c>
      <c r="AL111" s="1054" t="s">
        <v>1512</v>
      </c>
      <c r="AM111" s="1053" t="s">
        <v>10</v>
      </c>
      <c r="AN111" s="1054" t="s">
        <v>190</v>
      </c>
      <c r="AO111" s="1054">
        <v>31285.377199999999</v>
      </c>
      <c r="AP111" s="1059">
        <f t="shared" si="46"/>
        <v>19.638500000000001</v>
      </c>
      <c r="AQ111" s="1059">
        <f t="shared" si="27"/>
        <v>20.638500000000001</v>
      </c>
      <c r="AR111" s="1052">
        <v>0</v>
      </c>
      <c r="AS111" s="1052">
        <v>0</v>
      </c>
      <c r="AT111" s="1052">
        <v>12</v>
      </c>
      <c r="AU111" s="1052">
        <v>1</v>
      </c>
      <c r="AV111" s="1052">
        <v>0</v>
      </c>
      <c r="AW111" s="1052">
        <v>0</v>
      </c>
      <c r="AX111" s="1052">
        <v>0</v>
      </c>
      <c r="AY111" s="1052">
        <v>0</v>
      </c>
      <c r="AZ111" s="1052">
        <v>0</v>
      </c>
      <c r="BA111" s="1052">
        <v>0</v>
      </c>
      <c r="BB111" s="1052">
        <v>1</v>
      </c>
      <c r="BC111" s="1052">
        <v>0</v>
      </c>
      <c r="BD111" s="1052">
        <v>0</v>
      </c>
      <c r="BE111" s="1052">
        <v>0</v>
      </c>
      <c r="BF111" s="1052">
        <v>0</v>
      </c>
      <c r="BG111" s="1052">
        <v>0</v>
      </c>
      <c r="BH111" s="1052">
        <v>0</v>
      </c>
      <c r="BI111" s="1052">
        <v>0</v>
      </c>
      <c r="BJ111" s="1052">
        <v>0</v>
      </c>
      <c r="BK111" s="1052">
        <v>0</v>
      </c>
      <c r="BL111" s="1052">
        <v>0</v>
      </c>
      <c r="BM111" s="1052">
        <v>0</v>
      </c>
      <c r="BN111" s="1052">
        <v>0</v>
      </c>
      <c r="BO111" s="1052">
        <v>66.385000000000005</v>
      </c>
      <c r="BR111" s="1140">
        <f t="shared" si="28"/>
        <v>0</v>
      </c>
      <c r="BS111" s="1140">
        <f t="shared" si="29"/>
        <v>166666.66666666669</v>
      </c>
      <c r="BT111" s="1140">
        <f t="shared" si="30"/>
        <v>13888.888888888891</v>
      </c>
      <c r="BU111" s="1140">
        <f t="shared" si="31"/>
        <v>180555.55555555556</v>
      </c>
      <c r="BV111" s="1140">
        <f t="shared" si="41"/>
        <v>0</v>
      </c>
      <c r="BW111" s="1140">
        <f t="shared" si="42"/>
        <v>0</v>
      </c>
      <c r="BX111" s="1140">
        <f t="shared" si="43"/>
        <v>0</v>
      </c>
      <c r="BY111" s="1140">
        <f t="shared" si="32"/>
        <v>0</v>
      </c>
      <c r="CA111" s="1140">
        <f t="shared" si="33"/>
        <v>0</v>
      </c>
      <c r="CB111" s="1140">
        <f t="shared" si="34"/>
        <v>166666.66666666669</v>
      </c>
      <c r="CC111" s="1140">
        <f t="shared" si="35"/>
        <v>13888.888888888891</v>
      </c>
      <c r="CD111" s="1140">
        <f t="shared" si="36"/>
        <v>180555.55555555556</v>
      </c>
      <c r="CE111" s="1140">
        <f t="shared" si="37"/>
        <v>0</v>
      </c>
      <c r="CF111" s="1140">
        <f t="shared" si="38"/>
        <v>0</v>
      </c>
      <c r="CG111" s="1140">
        <f t="shared" si="39"/>
        <v>0</v>
      </c>
      <c r="CH111" s="1140">
        <f t="shared" si="40"/>
        <v>0</v>
      </c>
    </row>
    <row r="112" spans="1:243" ht="15" customHeight="1" x14ac:dyDescent="0.2">
      <c r="A112" s="1052">
        <v>2340</v>
      </c>
      <c r="B112" s="1052"/>
      <c r="C112" s="1053" t="s">
        <v>193</v>
      </c>
      <c r="D112" s="1054" t="s">
        <v>193</v>
      </c>
      <c r="E112" s="1055">
        <f t="shared" si="24"/>
        <v>149337.82759999999</v>
      </c>
      <c r="F112" s="1055">
        <v>548228</v>
      </c>
      <c r="G112" s="1056">
        <f t="shared" si="25"/>
        <v>697565.82759999996</v>
      </c>
      <c r="H112" s="1053" t="s">
        <v>10</v>
      </c>
      <c r="I112" s="1054" t="s">
        <v>1416</v>
      </c>
      <c r="J112" s="1054" t="s">
        <v>1417</v>
      </c>
      <c r="K112" s="1054" t="s">
        <v>195</v>
      </c>
      <c r="L112" s="1054" t="s">
        <v>1412</v>
      </c>
      <c r="M112" s="1057">
        <v>68</v>
      </c>
      <c r="N112" s="1057">
        <v>0.93</v>
      </c>
      <c r="O112" s="1057">
        <v>0.93</v>
      </c>
      <c r="P112" s="1057">
        <v>0.93899999999999995</v>
      </c>
      <c r="Q112" s="1057">
        <v>0.94599999999999995</v>
      </c>
      <c r="R112" s="1057">
        <v>591387</v>
      </c>
      <c r="S112" s="1057">
        <v>428639</v>
      </c>
      <c r="T112" s="1058">
        <f t="shared" si="26"/>
        <v>175937.63249999998</v>
      </c>
      <c r="U112" s="1057">
        <v>220830</v>
      </c>
      <c r="V112" s="1057">
        <v>207809</v>
      </c>
      <c r="W112" s="1057">
        <v>2000</v>
      </c>
      <c r="X112" s="1057">
        <v>724165.63249999995</v>
      </c>
      <c r="Y112" s="1057">
        <v>175937.63250000001</v>
      </c>
      <c r="Z112" s="1057">
        <v>548228</v>
      </c>
      <c r="AA112" s="1057">
        <v>-119589</v>
      </c>
      <c r="AB112" s="1057">
        <v>0</v>
      </c>
      <c r="AC112" s="1057">
        <v>-119589</v>
      </c>
      <c r="AD112" s="1057">
        <v>0</v>
      </c>
      <c r="AE112" s="1057">
        <v>548228</v>
      </c>
      <c r="AF112" s="1057">
        <v>0</v>
      </c>
      <c r="AG112" s="1057">
        <v>-119589</v>
      </c>
      <c r="AH112" s="1057">
        <v>0</v>
      </c>
      <c r="AI112" s="1057">
        <v>0</v>
      </c>
      <c r="AJ112" s="1053">
        <v>4</v>
      </c>
      <c r="AK112" s="1053" t="s">
        <v>899</v>
      </c>
      <c r="AL112" s="1054" t="s">
        <v>1416</v>
      </c>
      <c r="AM112" s="1053" t="s">
        <v>10</v>
      </c>
      <c r="AN112" s="1054" t="s">
        <v>193</v>
      </c>
      <c r="AO112" s="1054">
        <v>724165.63250000007</v>
      </c>
      <c r="AP112" s="1059">
        <f t="shared" si="46"/>
        <v>681.72610000000009</v>
      </c>
      <c r="AQ112" s="1059">
        <f t="shared" si="27"/>
        <v>716.72610000000009</v>
      </c>
      <c r="AR112" s="1052">
        <v>277</v>
      </c>
      <c r="AS112" s="1052">
        <v>0</v>
      </c>
      <c r="AT112" s="1052">
        <v>99</v>
      </c>
      <c r="AU112" s="1052">
        <v>8</v>
      </c>
      <c r="AV112" s="1052">
        <v>44</v>
      </c>
      <c r="AW112" s="1052">
        <v>5</v>
      </c>
      <c r="AX112" s="1052">
        <v>0</v>
      </c>
      <c r="AY112" s="1052">
        <v>0</v>
      </c>
      <c r="AZ112" s="1052">
        <v>10</v>
      </c>
      <c r="BA112" s="1052">
        <v>6</v>
      </c>
      <c r="BB112" s="1052">
        <v>35</v>
      </c>
      <c r="BC112" s="1052">
        <v>0</v>
      </c>
      <c r="BD112" s="1052">
        <v>45</v>
      </c>
      <c r="BE112" s="1052">
        <v>0</v>
      </c>
      <c r="BF112" s="1052">
        <v>0</v>
      </c>
      <c r="BG112" s="1052">
        <v>0</v>
      </c>
      <c r="BH112" s="1052">
        <v>92</v>
      </c>
      <c r="BI112" s="1052">
        <v>0</v>
      </c>
      <c r="BJ112" s="1052">
        <v>0</v>
      </c>
      <c r="BK112" s="1052">
        <v>0</v>
      </c>
      <c r="BL112" s="1052">
        <v>0</v>
      </c>
      <c r="BM112" s="1052">
        <v>0</v>
      </c>
      <c r="BN112" s="1052">
        <v>24041</v>
      </c>
      <c r="BO112" s="1052">
        <v>826.851</v>
      </c>
      <c r="BR112" s="1140">
        <f t="shared" si="28"/>
        <v>3847222.2222222225</v>
      </c>
      <c r="BS112" s="1140">
        <f t="shared" si="29"/>
        <v>1375000</v>
      </c>
      <c r="BT112" s="1140">
        <f t="shared" si="30"/>
        <v>111111.11111111112</v>
      </c>
      <c r="BU112" s="1140">
        <f t="shared" si="31"/>
        <v>5333333.333333333</v>
      </c>
      <c r="BV112" s="1140">
        <f t="shared" si="41"/>
        <v>8800</v>
      </c>
      <c r="BW112" s="1140">
        <f t="shared" si="42"/>
        <v>0</v>
      </c>
      <c r="BX112" s="1140">
        <f t="shared" si="43"/>
        <v>0</v>
      </c>
      <c r="BY112" s="1140">
        <f t="shared" si="32"/>
        <v>8800</v>
      </c>
      <c r="CA112" s="1140">
        <f t="shared" si="33"/>
        <v>3847222.2222222225</v>
      </c>
      <c r="CB112" s="1140">
        <f t="shared" si="34"/>
        <v>1375000</v>
      </c>
      <c r="CC112" s="1140">
        <f t="shared" si="35"/>
        <v>111111.11111111112</v>
      </c>
      <c r="CD112" s="1140">
        <f t="shared" si="36"/>
        <v>5333333.333333333</v>
      </c>
      <c r="CE112" s="1140">
        <f t="shared" si="37"/>
        <v>8800</v>
      </c>
      <c r="CF112" s="1140">
        <f t="shared" si="38"/>
        <v>0</v>
      </c>
      <c r="CG112" s="1140">
        <f t="shared" si="39"/>
        <v>0</v>
      </c>
      <c r="CH112" s="1140">
        <f t="shared" si="40"/>
        <v>8800</v>
      </c>
    </row>
    <row r="113" spans="1:98" ht="15" customHeight="1" x14ac:dyDescent="0.2">
      <c r="A113" s="1052">
        <v>4828</v>
      </c>
      <c r="B113" s="1052" t="s">
        <v>1412</v>
      </c>
      <c r="C113" s="1053" t="s">
        <v>932</v>
      </c>
      <c r="D113" s="1054" t="s">
        <v>661</v>
      </c>
      <c r="E113" s="1055">
        <f t="shared" si="24"/>
        <v>344916</v>
      </c>
      <c r="F113" s="1055">
        <v>513000</v>
      </c>
      <c r="G113" s="1056">
        <f t="shared" si="25"/>
        <v>857916</v>
      </c>
      <c r="H113" s="1053" t="s">
        <v>10</v>
      </c>
      <c r="I113" s="1054" t="s">
        <v>1416</v>
      </c>
      <c r="J113" s="1054" t="s">
        <v>1412</v>
      </c>
      <c r="K113" s="1054" t="s">
        <v>199</v>
      </c>
      <c r="L113" s="1054" t="s">
        <v>1412</v>
      </c>
      <c r="M113" s="1057">
        <v>131</v>
      </c>
      <c r="N113" s="1057">
        <v>0.92900000000000005</v>
      </c>
      <c r="O113" s="1057">
        <v>0.95199999999999996</v>
      </c>
      <c r="P113" s="1057">
        <v>0.92500000000000004</v>
      </c>
      <c r="Q113" s="1057">
        <v>0.95199999999999996</v>
      </c>
      <c r="R113" s="1057">
        <v>1110031</v>
      </c>
      <c r="S113" s="1057">
        <v>990000</v>
      </c>
      <c r="T113" s="1058">
        <f t="shared" si="26"/>
        <v>330234.22249999997</v>
      </c>
      <c r="U113" s="1057">
        <v>578100</v>
      </c>
      <c r="V113" s="1057">
        <v>411900</v>
      </c>
      <c r="W113" s="1057">
        <v>5774</v>
      </c>
      <c r="X113" s="1057">
        <v>843234.22250000003</v>
      </c>
      <c r="Y113" s="1057">
        <v>330234.22249999997</v>
      </c>
      <c r="Z113" s="1057">
        <v>513000</v>
      </c>
      <c r="AA113" s="1057">
        <v>477000</v>
      </c>
      <c r="AB113" s="1057">
        <v>0</v>
      </c>
      <c r="AC113" s="1057">
        <v>477000</v>
      </c>
      <c r="AD113" s="1057">
        <v>513000</v>
      </c>
      <c r="AE113" s="1057">
        <v>0</v>
      </c>
      <c r="AF113" s="1057">
        <v>477000</v>
      </c>
      <c r="AG113" s="1057">
        <v>0</v>
      </c>
      <c r="AH113" s="1057">
        <v>1474000</v>
      </c>
      <c r="AI113" s="1057">
        <v>779000</v>
      </c>
      <c r="AJ113" s="1053" t="s">
        <v>908</v>
      </c>
      <c r="AK113" s="1053" t="s">
        <v>909</v>
      </c>
      <c r="AL113" s="1054" t="s">
        <v>1416</v>
      </c>
      <c r="AM113" s="1053" t="s">
        <v>10</v>
      </c>
      <c r="AN113" s="1054" t="s">
        <v>661</v>
      </c>
      <c r="AO113" s="1054">
        <v>843234.22249999992</v>
      </c>
      <c r="AP113" s="1059">
        <f t="shared" si="46"/>
        <v>925.5018</v>
      </c>
      <c r="AQ113" s="1059">
        <f t="shared" si="27"/>
        <v>926.5018</v>
      </c>
      <c r="AR113" s="1052">
        <v>329</v>
      </c>
      <c r="AS113" s="1052">
        <v>779</v>
      </c>
      <c r="AT113" s="1052">
        <v>394</v>
      </c>
      <c r="AU113" s="1052">
        <v>0</v>
      </c>
      <c r="AV113" s="1052">
        <v>0</v>
      </c>
      <c r="AW113" s="1052">
        <v>0</v>
      </c>
      <c r="AX113" s="1052">
        <v>0</v>
      </c>
      <c r="AY113" s="1052">
        <v>0</v>
      </c>
      <c r="AZ113" s="1052">
        <v>25</v>
      </c>
      <c r="BA113" s="1052">
        <v>67</v>
      </c>
      <c r="BB113" s="1052">
        <v>1</v>
      </c>
      <c r="BC113" s="1052">
        <v>0</v>
      </c>
      <c r="BD113" s="1052">
        <v>36</v>
      </c>
      <c r="BE113" s="1052">
        <v>3</v>
      </c>
      <c r="BF113" s="1052">
        <v>0</v>
      </c>
      <c r="BG113" s="1052">
        <v>0</v>
      </c>
      <c r="BH113" s="1052">
        <v>110</v>
      </c>
      <c r="BI113" s="1052">
        <v>0</v>
      </c>
      <c r="BJ113" s="1052">
        <v>0</v>
      </c>
      <c r="BK113" s="1052">
        <v>0</v>
      </c>
      <c r="BL113" s="1052">
        <v>0</v>
      </c>
      <c r="BM113" s="1052">
        <v>0</v>
      </c>
      <c r="BN113" s="1052">
        <v>0</v>
      </c>
      <c r="BO113" s="1052">
        <v>315.01799999999997</v>
      </c>
      <c r="BR113" s="1140">
        <f t="shared" si="28"/>
        <v>4569444.444444445</v>
      </c>
      <c r="BS113" s="1140">
        <f t="shared" si="29"/>
        <v>5472222.2222222229</v>
      </c>
      <c r="BT113" s="1140">
        <f t="shared" si="30"/>
        <v>0</v>
      </c>
      <c r="BU113" s="1140">
        <f t="shared" si="31"/>
        <v>10041666.666666668</v>
      </c>
      <c r="BV113" s="1140">
        <f t="shared" si="41"/>
        <v>0</v>
      </c>
      <c r="BW113" s="1140">
        <f t="shared" si="42"/>
        <v>0</v>
      </c>
      <c r="BX113" s="1140">
        <f t="shared" si="43"/>
        <v>0</v>
      </c>
      <c r="BY113" s="1140">
        <f t="shared" si="32"/>
        <v>0</v>
      </c>
      <c r="CA113" s="1140">
        <f t="shared" si="33"/>
        <v>4569444.444444445</v>
      </c>
      <c r="CB113" s="1140">
        <f t="shared" si="34"/>
        <v>5472222.2222222229</v>
      </c>
      <c r="CC113" s="1140">
        <f t="shared" si="35"/>
        <v>0</v>
      </c>
      <c r="CD113" s="1140">
        <f t="shared" si="36"/>
        <v>10041666.666666668</v>
      </c>
      <c r="CE113" s="1140">
        <f t="shared" si="37"/>
        <v>0</v>
      </c>
      <c r="CF113" s="1140">
        <f t="shared" si="38"/>
        <v>0</v>
      </c>
      <c r="CG113" s="1140">
        <f t="shared" si="39"/>
        <v>0</v>
      </c>
      <c r="CH113" s="1140">
        <f t="shared" si="40"/>
        <v>0</v>
      </c>
    </row>
    <row r="114" spans="1:98" ht="15" customHeight="1" x14ac:dyDescent="0.2">
      <c r="A114" s="1052">
        <v>2356</v>
      </c>
      <c r="B114" s="1052" t="s">
        <v>1412</v>
      </c>
      <c r="C114" s="1053" t="s">
        <v>200</v>
      </c>
      <c r="D114" s="1054" t="s">
        <v>200</v>
      </c>
      <c r="E114" s="1055">
        <f t="shared" si="24"/>
        <v>225628.7176</v>
      </c>
      <c r="F114" s="1055">
        <v>0</v>
      </c>
      <c r="G114" s="1056">
        <f t="shared" si="25"/>
        <v>225628.7176</v>
      </c>
      <c r="H114" s="1053" t="s">
        <v>10</v>
      </c>
      <c r="I114" s="1054" t="s">
        <v>1416</v>
      </c>
      <c r="J114" s="1054" t="s">
        <v>1412</v>
      </c>
      <c r="K114" s="1054" t="s">
        <v>202</v>
      </c>
      <c r="L114" s="1054" t="s">
        <v>10</v>
      </c>
      <c r="M114" s="1057">
        <v>81</v>
      </c>
      <c r="N114" s="1057">
        <v>0.82499999999999996</v>
      </c>
      <c r="O114" s="1057">
        <v>0.88600000000000001</v>
      </c>
      <c r="P114" s="1057">
        <v>0.83499999999999996</v>
      </c>
      <c r="Q114" s="1057">
        <v>0.86</v>
      </c>
      <c r="R114" s="1057">
        <v>720389</v>
      </c>
      <c r="S114" s="1057">
        <v>647614</v>
      </c>
      <c r="T114" s="1058">
        <f t="shared" si="26"/>
        <v>214315.72749999998</v>
      </c>
      <c r="U114" s="1057">
        <v>437360</v>
      </c>
      <c r="V114" s="1057">
        <v>210254</v>
      </c>
      <c r="W114" s="1057">
        <v>3404</v>
      </c>
      <c r="X114" s="1057">
        <v>0</v>
      </c>
      <c r="Y114" s="1057">
        <v>0</v>
      </c>
      <c r="Z114" s="1057">
        <v>0</v>
      </c>
      <c r="AA114" s="1057">
        <v>861929.72750000004</v>
      </c>
      <c r="AB114" s="1057">
        <v>214315.72750000001</v>
      </c>
      <c r="AC114" s="1057">
        <v>647614</v>
      </c>
      <c r="AD114" s="1057">
        <v>0</v>
      </c>
      <c r="AE114" s="1057">
        <v>0</v>
      </c>
      <c r="AF114" s="1057">
        <v>647614</v>
      </c>
      <c r="AG114" s="1057">
        <v>0</v>
      </c>
      <c r="AH114" s="1057">
        <v>335000</v>
      </c>
      <c r="AI114" s="1057">
        <v>290000</v>
      </c>
      <c r="AJ114" s="1053" t="s">
        <v>900</v>
      </c>
      <c r="AK114" s="1053" t="s">
        <v>901</v>
      </c>
      <c r="AL114" s="1054" t="s">
        <v>1416</v>
      </c>
      <c r="AM114" s="1053" t="s">
        <v>10</v>
      </c>
      <c r="AN114" s="1054" t="s">
        <v>200</v>
      </c>
      <c r="AO114" s="1054">
        <v>214315.72750000001</v>
      </c>
      <c r="AP114" s="1059">
        <f t="shared" si="46"/>
        <v>192.48750000000001</v>
      </c>
      <c r="AQ114" s="1059">
        <f t="shared" si="27"/>
        <v>201.48750000000001</v>
      </c>
      <c r="AR114" s="1052">
        <v>66</v>
      </c>
      <c r="AS114" s="1052">
        <v>290</v>
      </c>
      <c r="AT114" s="1052">
        <v>78</v>
      </c>
      <c r="AU114" s="1052">
        <v>0</v>
      </c>
      <c r="AV114" s="1052">
        <v>0</v>
      </c>
      <c r="AW114" s="1052">
        <v>0</v>
      </c>
      <c r="AX114" s="1052">
        <v>0</v>
      </c>
      <c r="AY114" s="1052">
        <v>0</v>
      </c>
      <c r="AZ114" s="1052">
        <v>0</v>
      </c>
      <c r="BA114" s="1052">
        <v>22</v>
      </c>
      <c r="BB114" s="1052">
        <v>9</v>
      </c>
      <c r="BC114" s="1052">
        <v>0</v>
      </c>
      <c r="BD114" s="1052">
        <v>0</v>
      </c>
      <c r="BE114" s="1052">
        <v>0</v>
      </c>
      <c r="BF114" s="1052">
        <v>0</v>
      </c>
      <c r="BG114" s="1052">
        <v>0</v>
      </c>
      <c r="BH114" s="1052">
        <v>0</v>
      </c>
      <c r="BI114" s="1052">
        <v>0</v>
      </c>
      <c r="BJ114" s="1052">
        <v>0</v>
      </c>
      <c r="BK114" s="1052">
        <v>0</v>
      </c>
      <c r="BL114" s="1052">
        <v>0</v>
      </c>
      <c r="BM114" s="1052">
        <v>0</v>
      </c>
      <c r="BN114" s="1052">
        <v>3358</v>
      </c>
      <c r="BO114" s="1052">
        <v>451.29500000000002</v>
      </c>
      <c r="BR114" s="1140">
        <f t="shared" si="28"/>
        <v>916666.66666666674</v>
      </c>
      <c r="BS114" s="1140">
        <f t="shared" si="29"/>
        <v>1083333.3333333335</v>
      </c>
      <c r="BT114" s="1140">
        <f t="shared" si="30"/>
        <v>0</v>
      </c>
      <c r="BU114" s="1140">
        <f t="shared" si="31"/>
        <v>2000000.0000000002</v>
      </c>
      <c r="BV114" s="1140">
        <f t="shared" si="41"/>
        <v>0</v>
      </c>
      <c r="BW114" s="1140">
        <f t="shared" si="42"/>
        <v>0</v>
      </c>
      <c r="BX114" s="1140">
        <f t="shared" si="43"/>
        <v>0</v>
      </c>
      <c r="BY114" s="1140">
        <f t="shared" si="32"/>
        <v>0</v>
      </c>
      <c r="CA114" s="1140">
        <f t="shared" si="33"/>
        <v>916666.66666666674</v>
      </c>
      <c r="CB114" s="1140">
        <f t="shared" si="34"/>
        <v>1083333.3333333335</v>
      </c>
      <c r="CC114" s="1140">
        <f t="shared" si="35"/>
        <v>0</v>
      </c>
      <c r="CD114" s="1140">
        <f t="shared" si="36"/>
        <v>2000000.0000000002</v>
      </c>
      <c r="CE114" s="1140">
        <f t="shared" si="37"/>
        <v>0</v>
      </c>
      <c r="CF114" s="1140">
        <f t="shared" si="38"/>
        <v>0</v>
      </c>
      <c r="CG114" s="1140">
        <f t="shared" si="39"/>
        <v>0</v>
      </c>
      <c r="CH114" s="1140">
        <f t="shared" si="40"/>
        <v>0</v>
      </c>
    </row>
    <row r="115" spans="1:98" ht="15" customHeight="1" x14ac:dyDescent="0.2">
      <c r="A115" s="1052">
        <v>2380</v>
      </c>
      <c r="B115" s="1052" t="s">
        <v>1412</v>
      </c>
      <c r="C115" s="1053" t="s">
        <v>933</v>
      </c>
      <c r="D115" s="1054" t="s">
        <v>672</v>
      </c>
      <c r="E115" s="1055">
        <f t="shared" si="24"/>
        <v>384720.00319999998</v>
      </c>
      <c r="F115" s="1055">
        <v>637927</v>
      </c>
      <c r="G115" s="1056">
        <f t="shared" si="25"/>
        <v>1022647.0031999999</v>
      </c>
      <c r="H115" s="1053" t="s">
        <v>1417</v>
      </c>
      <c r="I115" s="1054" t="s">
        <v>1416</v>
      </c>
      <c r="J115" s="1054" t="s">
        <v>1412</v>
      </c>
      <c r="K115" s="1054" t="s">
        <v>205</v>
      </c>
      <c r="L115" s="1054" t="s">
        <v>1412</v>
      </c>
      <c r="M115" s="1057">
        <v>162</v>
      </c>
      <c r="N115" s="1057">
        <v>0.83499999999999996</v>
      </c>
      <c r="O115" s="1057">
        <v>0.86399999999999999</v>
      </c>
      <c r="P115" s="1057">
        <v>0.93400000000000005</v>
      </c>
      <c r="Q115" s="1057">
        <v>0.92600000000000005</v>
      </c>
      <c r="R115" s="1057">
        <v>1118115</v>
      </c>
      <c r="S115" s="1057">
        <v>1104248</v>
      </c>
      <c r="T115" s="1058">
        <f t="shared" si="26"/>
        <v>332639.21249999997</v>
      </c>
      <c r="U115" s="1057">
        <v>690636</v>
      </c>
      <c r="V115" s="1057">
        <v>413612</v>
      </c>
      <c r="W115" s="1057">
        <v>6500</v>
      </c>
      <c r="X115" s="1057">
        <v>970566.21250000002</v>
      </c>
      <c r="Y115" s="1057">
        <v>332639.21250000002</v>
      </c>
      <c r="Z115" s="1057">
        <v>637927</v>
      </c>
      <c r="AA115" s="1057">
        <v>466321</v>
      </c>
      <c r="AB115" s="1057">
        <v>0</v>
      </c>
      <c r="AC115" s="1057">
        <v>466321</v>
      </c>
      <c r="AD115" s="1057">
        <v>637927</v>
      </c>
      <c r="AE115" s="1057">
        <v>0</v>
      </c>
      <c r="AF115" s="1057">
        <v>466321</v>
      </c>
      <c r="AG115" s="1057">
        <v>0</v>
      </c>
      <c r="AH115" s="1057">
        <v>749000</v>
      </c>
      <c r="AI115" s="1057">
        <v>596000</v>
      </c>
      <c r="AJ115" s="1053" t="s">
        <v>900</v>
      </c>
      <c r="AK115" s="1053" t="s">
        <v>905</v>
      </c>
      <c r="AL115" s="1054" t="s">
        <v>1416</v>
      </c>
      <c r="AM115" s="1053" t="s">
        <v>1417</v>
      </c>
      <c r="AN115" s="1054" t="s">
        <v>672</v>
      </c>
      <c r="AO115" s="1054">
        <v>970566.21250000002</v>
      </c>
      <c r="AP115" s="1059">
        <f t="shared" si="46"/>
        <v>546.553</v>
      </c>
      <c r="AQ115" s="1059">
        <f t="shared" si="27"/>
        <v>627.553</v>
      </c>
      <c r="AR115" s="1052">
        <v>207</v>
      </c>
      <c r="AS115" s="1052">
        <v>596</v>
      </c>
      <c r="AT115" s="1052">
        <v>109</v>
      </c>
      <c r="AU115" s="1052">
        <v>1</v>
      </c>
      <c r="AV115" s="1052">
        <v>9</v>
      </c>
      <c r="AW115" s="1052">
        <v>23</v>
      </c>
      <c r="AX115" s="1052">
        <v>2</v>
      </c>
      <c r="AY115" s="1052">
        <v>0</v>
      </c>
      <c r="AZ115" s="1052">
        <v>31</v>
      </c>
      <c r="BA115" s="1052">
        <v>58</v>
      </c>
      <c r="BB115" s="1052">
        <v>70</v>
      </c>
      <c r="BC115" s="1052">
        <v>11</v>
      </c>
      <c r="BD115" s="1052">
        <v>77</v>
      </c>
      <c r="BE115" s="1052">
        <v>0</v>
      </c>
      <c r="BF115" s="1052">
        <v>0</v>
      </c>
      <c r="BG115" s="1052">
        <v>0</v>
      </c>
      <c r="BH115" s="1052">
        <v>61</v>
      </c>
      <c r="BI115" s="1052">
        <v>0</v>
      </c>
      <c r="BJ115" s="1052">
        <v>0</v>
      </c>
      <c r="BK115" s="1052">
        <v>0</v>
      </c>
      <c r="BL115" s="1052">
        <v>49553</v>
      </c>
      <c r="BM115" s="1052">
        <v>0</v>
      </c>
      <c r="BN115" s="1052">
        <v>0</v>
      </c>
      <c r="BO115" s="1052">
        <v>0</v>
      </c>
      <c r="BR115" s="1140">
        <f t="shared" si="28"/>
        <v>2875000</v>
      </c>
      <c r="BS115" s="1140">
        <f t="shared" si="29"/>
        <v>1513888.888888889</v>
      </c>
      <c r="BT115" s="1140">
        <f t="shared" si="30"/>
        <v>13888.888888888891</v>
      </c>
      <c r="BU115" s="1140">
        <f t="shared" si="31"/>
        <v>4402777.777777778</v>
      </c>
      <c r="BV115" s="1140">
        <f t="shared" si="41"/>
        <v>1800</v>
      </c>
      <c r="BW115" s="1140">
        <f t="shared" si="42"/>
        <v>400</v>
      </c>
      <c r="BX115" s="1140">
        <f t="shared" si="43"/>
        <v>0</v>
      </c>
      <c r="BY115" s="1140">
        <f t="shared" si="32"/>
        <v>2200</v>
      </c>
      <c r="CA115" s="1140">
        <f t="shared" si="33"/>
        <v>0</v>
      </c>
      <c r="CB115" s="1140">
        <f t="shared" si="34"/>
        <v>0</v>
      </c>
      <c r="CC115" s="1140">
        <f t="shared" si="35"/>
        <v>0</v>
      </c>
      <c r="CD115" s="1140">
        <f t="shared" si="36"/>
        <v>0</v>
      </c>
      <c r="CE115" s="1140">
        <f t="shared" si="37"/>
        <v>1800</v>
      </c>
      <c r="CF115" s="1140">
        <f t="shared" si="38"/>
        <v>400</v>
      </c>
      <c r="CG115" s="1140">
        <f t="shared" si="39"/>
        <v>0</v>
      </c>
      <c r="CH115" s="1140">
        <f t="shared" si="40"/>
        <v>2200</v>
      </c>
    </row>
    <row r="116" spans="1:98" ht="15" customHeight="1" x14ac:dyDescent="0.2">
      <c r="A116" s="1052">
        <v>2518</v>
      </c>
      <c r="B116" s="1052" t="s">
        <v>1412</v>
      </c>
      <c r="C116" s="1053" t="s">
        <v>206</v>
      </c>
      <c r="D116" s="1054" t="s">
        <v>206</v>
      </c>
      <c r="E116" s="1055">
        <f t="shared" si="24"/>
        <v>191745.424</v>
      </c>
      <c r="F116" s="1055">
        <v>0</v>
      </c>
      <c r="G116" s="1056">
        <f t="shared" si="25"/>
        <v>191745.424</v>
      </c>
      <c r="H116" s="1053" t="s">
        <v>10</v>
      </c>
      <c r="I116" s="1054" t="s">
        <v>1416</v>
      </c>
      <c r="J116" s="1054" t="s">
        <v>1412</v>
      </c>
      <c r="K116" s="1054" t="s">
        <v>1545</v>
      </c>
      <c r="L116" s="1054" t="s">
        <v>10</v>
      </c>
      <c r="M116" s="1057">
        <v>93</v>
      </c>
      <c r="N116" s="1057">
        <v>0.75600000000000001</v>
      </c>
      <c r="O116" s="1057">
        <v>0.748</v>
      </c>
      <c r="P116" s="1057">
        <v>0.76300000000000001</v>
      </c>
      <c r="Q116" s="1057">
        <v>0.81799999999999995</v>
      </c>
      <c r="R116" s="1057">
        <v>665063</v>
      </c>
      <c r="S116" s="1057">
        <v>550360</v>
      </c>
      <c r="T116" s="1058">
        <f t="shared" si="26"/>
        <v>197856.24249999999</v>
      </c>
      <c r="U116" s="1057">
        <v>312920</v>
      </c>
      <c r="V116" s="1057">
        <v>237440</v>
      </c>
      <c r="W116" s="1057">
        <v>3600</v>
      </c>
      <c r="X116" s="1057">
        <v>0</v>
      </c>
      <c r="Y116" s="1057">
        <v>0</v>
      </c>
      <c r="Z116" s="1057">
        <v>0</v>
      </c>
      <c r="AA116" s="1057">
        <v>748216.24250000005</v>
      </c>
      <c r="AB116" s="1057">
        <v>197856.24249999999</v>
      </c>
      <c r="AC116" s="1057">
        <v>550360</v>
      </c>
      <c r="AD116" s="1057">
        <v>0</v>
      </c>
      <c r="AE116" s="1057">
        <v>0</v>
      </c>
      <c r="AF116" s="1057">
        <v>550360</v>
      </c>
      <c r="AG116" s="1057">
        <v>0</v>
      </c>
      <c r="AH116" s="1057">
        <v>358000</v>
      </c>
      <c r="AI116" s="1057">
        <v>382000</v>
      </c>
      <c r="AJ116" s="1053">
        <v>4</v>
      </c>
      <c r="AK116" s="1053" t="s">
        <v>899</v>
      </c>
      <c r="AL116" s="1054" t="s">
        <v>1416</v>
      </c>
      <c r="AM116" s="1053" t="s">
        <v>10</v>
      </c>
      <c r="AN116" s="1054" t="s">
        <v>206</v>
      </c>
      <c r="AO116" s="1054">
        <v>197856.24249999999</v>
      </c>
      <c r="AP116" s="1059">
        <f t="shared" si="46"/>
        <v>216.03200000000001</v>
      </c>
      <c r="AQ116" s="1059">
        <f t="shared" si="27"/>
        <v>232.03200000000001</v>
      </c>
      <c r="AR116" s="1052">
        <v>84</v>
      </c>
      <c r="AS116" s="1052">
        <v>382</v>
      </c>
      <c r="AT116" s="1052">
        <v>80</v>
      </c>
      <c r="AU116" s="1052">
        <v>39</v>
      </c>
      <c r="AV116" s="1052">
        <v>0</v>
      </c>
      <c r="AW116" s="1052">
        <v>0</v>
      </c>
      <c r="AX116" s="1052">
        <v>0</v>
      </c>
      <c r="AY116" s="1052">
        <v>4</v>
      </c>
      <c r="AZ116" s="1052">
        <v>0</v>
      </c>
      <c r="BA116" s="1052">
        <v>9</v>
      </c>
      <c r="BB116" s="1052">
        <v>15</v>
      </c>
      <c r="BC116" s="1052">
        <v>1</v>
      </c>
      <c r="BD116" s="1052">
        <v>0</v>
      </c>
      <c r="BE116" s="1052">
        <v>0</v>
      </c>
      <c r="BF116" s="1052">
        <v>0</v>
      </c>
      <c r="BG116" s="1052">
        <v>0</v>
      </c>
      <c r="BH116" s="1052">
        <v>0</v>
      </c>
      <c r="BI116" s="1052">
        <v>0</v>
      </c>
      <c r="BJ116" s="1052">
        <v>0</v>
      </c>
      <c r="BK116" s="1052">
        <v>0</v>
      </c>
      <c r="BL116" s="1052">
        <v>9032</v>
      </c>
      <c r="BM116" s="1052">
        <v>0</v>
      </c>
      <c r="BN116" s="1052">
        <v>0</v>
      </c>
      <c r="BO116" s="1052">
        <v>0</v>
      </c>
      <c r="BR116" s="1140">
        <f t="shared" si="28"/>
        <v>1166666.6666666667</v>
      </c>
      <c r="BS116" s="1140">
        <f t="shared" si="29"/>
        <v>1111111.1111111112</v>
      </c>
      <c r="BT116" s="1140">
        <f t="shared" si="30"/>
        <v>541666.66666666674</v>
      </c>
      <c r="BU116" s="1140">
        <f t="shared" si="31"/>
        <v>2819444.444444445</v>
      </c>
      <c r="BV116" s="1140">
        <f t="shared" si="41"/>
        <v>0</v>
      </c>
      <c r="BW116" s="1140">
        <f t="shared" si="42"/>
        <v>0</v>
      </c>
      <c r="BX116" s="1140">
        <f t="shared" si="43"/>
        <v>800</v>
      </c>
      <c r="BY116" s="1140">
        <f t="shared" si="32"/>
        <v>800</v>
      </c>
      <c r="CA116" s="1140">
        <f t="shared" si="33"/>
        <v>1166666.6666666667</v>
      </c>
      <c r="CB116" s="1140">
        <f t="shared" si="34"/>
        <v>1111111.1111111112</v>
      </c>
      <c r="CC116" s="1140">
        <f t="shared" si="35"/>
        <v>541666.66666666674</v>
      </c>
      <c r="CD116" s="1140">
        <f t="shared" si="36"/>
        <v>2819444.444444445</v>
      </c>
      <c r="CE116" s="1140">
        <f t="shared" si="37"/>
        <v>0</v>
      </c>
      <c r="CF116" s="1140">
        <f t="shared" si="38"/>
        <v>0</v>
      </c>
      <c r="CG116" s="1140">
        <f t="shared" si="39"/>
        <v>800</v>
      </c>
      <c r="CH116" s="1140">
        <f t="shared" si="40"/>
        <v>800</v>
      </c>
    </row>
    <row r="117" spans="1:98" ht="15" customHeight="1" x14ac:dyDescent="0.2">
      <c r="A117" s="1052">
        <v>9605</v>
      </c>
      <c r="B117" s="1052" t="s">
        <v>1412</v>
      </c>
      <c r="C117" s="1053" t="s">
        <v>207</v>
      </c>
      <c r="D117" s="1054" t="s">
        <v>207</v>
      </c>
      <c r="E117" s="1055">
        <f t="shared" si="24"/>
        <v>75812.185400000002</v>
      </c>
      <c r="F117" s="1055">
        <v>0</v>
      </c>
      <c r="G117" s="1056">
        <f t="shared" si="25"/>
        <v>75812.185400000002</v>
      </c>
      <c r="H117" s="1053" t="s">
        <v>10</v>
      </c>
      <c r="I117" s="1054" t="s">
        <v>1512</v>
      </c>
      <c r="J117" s="1054" t="s">
        <v>1412</v>
      </c>
      <c r="K117" s="1054" t="s">
        <v>209</v>
      </c>
      <c r="L117" s="1054" t="s">
        <v>10</v>
      </c>
      <c r="M117" s="1057">
        <v>26</v>
      </c>
      <c r="N117" s="1057">
        <v>0.76500000000000001</v>
      </c>
      <c r="O117" s="1057">
        <v>0.76500000000000001</v>
      </c>
      <c r="P117" s="1057">
        <v>0.77200000000000002</v>
      </c>
      <c r="Q117" s="1057">
        <v>0.38800000000000001</v>
      </c>
      <c r="R117" s="1057">
        <v>0</v>
      </c>
      <c r="S117" s="1057">
        <v>390986</v>
      </c>
      <c r="T117" s="1058">
        <f t="shared" si="26"/>
        <v>75812.185400000002</v>
      </c>
      <c r="U117" s="1057">
        <v>306158</v>
      </c>
      <c r="V117" s="1057">
        <v>84828</v>
      </c>
      <c r="W117" s="1057">
        <v>2000</v>
      </c>
      <c r="X117" s="1057">
        <v>0</v>
      </c>
      <c r="Y117" s="1057">
        <v>0</v>
      </c>
      <c r="Z117" s="1057">
        <v>0</v>
      </c>
      <c r="AA117" s="1057">
        <v>466798.18540000002</v>
      </c>
      <c r="AB117" s="1057">
        <v>75812.185400000002</v>
      </c>
      <c r="AC117" s="1057">
        <v>390986</v>
      </c>
      <c r="AD117" s="1057">
        <v>0</v>
      </c>
      <c r="AE117" s="1057">
        <v>0</v>
      </c>
      <c r="AF117" s="1057">
        <v>390986</v>
      </c>
      <c r="AG117" s="1057">
        <v>0</v>
      </c>
      <c r="AH117" s="1057">
        <v>100000</v>
      </c>
      <c r="AI117" s="1057">
        <v>123000</v>
      </c>
      <c r="AJ117" s="1053" t="s">
        <v>900</v>
      </c>
      <c r="AK117" s="1053" t="s">
        <v>901</v>
      </c>
      <c r="AL117" s="1054" t="s">
        <v>1512</v>
      </c>
      <c r="AM117" s="1053" t="s">
        <v>10</v>
      </c>
      <c r="AN117" s="1054" t="s">
        <v>207</v>
      </c>
      <c r="AO117" s="1054">
        <v>75812.185400000002</v>
      </c>
      <c r="AP117" s="1059">
        <f t="shared" si="46"/>
        <v>10.320600000000001</v>
      </c>
      <c r="AQ117" s="1059">
        <f t="shared" si="27"/>
        <v>22.320599999999999</v>
      </c>
      <c r="AR117" s="1052">
        <v>0</v>
      </c>
      <c r="AS117" s="1052">
        <v>123</v>
      </c>
      <c r="AT117" s="1052">
        <v>7</v>
      </c>
      <c r="AU117" s="1052">
        <v>0</v>
      </c>
      <c r="AV117" s="1052">
        <v>0</v>
      </c>
      <c r="AW117" s="1052">
        <v>0</v>
      </c>
      <c r="AX117" s="1052">
        <v>0</v>
      </c>
      <c r="AY117" s="1052">
        <v>0</v>
      </c>
      <c r="AZ117" s="1052">
        <v>0</v>
      </c>
      <c r="BA117" s="1052">
        <v>0</v>
      </c>
      <c r="BB117" s="1052">
        <v>12</v>
      </c>
      <c r="BC117" s="1052">
        <v>0</v>
      </c>
      <c r="BD117" s="1052">
        <v>0</v>
      </c>
      <c r="BE117" s="1052">
        <v>0</v>
      </c>
      <c r="BF117" s="1052">
        <v>0</v>
      </c>
      <c r="BG117" s="1052">
        <v>0</v>
      </c>
      <c r="BH117" s="1052">
        <v>0</v>
      </c>
      <c r="BI117" s="1052">
        <v>0</v>
      </c>
      <c r="BJ117" s="1052">
        <v>0</v>
      </c>
      <c r="BK117" s="1052">
        <v>0</v>
      </c>
      <c r="BL117" s="1052">
        <v>0</v>
      </c>
      <c r="BM117" s="1052">
        <v>0</v>
      </c>
      <c r="BN117" s="1052">
        <v>0</v>
      </c>
      <c r="BO117" s="1052">
        <v>33.206000000000003</v>
      </c>
      <c r="BR117" s="1140">
        <f t="shared" si="28"/>
        <v>0</v>
      </c>
      <c r="BS117" s="1140">
        <f t="shared" si="29"/>
        <v>97222.222222222234</v>
      </c>
      <c r="BT117" s="1140">
        <f t="shared" si="30"/>
        <v>0</v>
      </c>
      <c r="BU117" s="1140">
        <f t="shared" si="31"/>
        <v>97222.222222222234</v>
      </c>
      <c r="BV117" s="1140">
        <f t="shared" si="41"/>
        <v>0</v>
      </c>
      <c r="BW117" s="1140">
        <f t="shared" si="42"/>
        <v>0</v>
      </c>
      <c r="BX117" s="1140">
        <f t="shared" si="43"/>
        <v>0</v>
      </c>
      <c r="BY117" s="1140">
        <f t="shared" si="32"/>
        <v>0</v>
      </c>
      <c r="CA117" s="1140">
        <f t="shared" si="33"/>
        <v>0</v>
      </c>
      <c r="CB117" s="1140">
        <f t="shared" si="34"/>
        <v>97222.222222222234</v>
      </c>
      <c r="CC117" s="1140">
        <f t="shared" si="35"/>
        <v>0</v>
      </c>
      <c r="CD117" s="1140">
        <f t="shared" si="36"/>
        <v>97222.222222222234</v>
      </c>
      <c r="CE117" s="1140">
        <f t="shared" si="37"/>
        <v>0</v>
      </c>
      <c r="CF117" s="1140">
        <f t="shared" si="38"/>
        <v>0</v>
      </c>
      <c r="CG117" s="1140">
        <f t="shared" si="39"/>
        <v>0</v>
      </c>
      <c r="CH117" s="1140">
        <f t="shared" si="40"/>
        <v>0</v>
      </c>
    </row>
    <row r="118" spans="1:98" ht="15" customHeight="1" x14ac:dyDescent="0.2">
      <c r="A118" s="1052">
        <v>2631</v>
      </c>
      <c r="B118" s="1052" t="s">
        <v>1412</v>
      </c>
      <c r="C118" s="1053" t="s">
        <v>934</v>
      </c>
      <c r="D118" s="1054" t="s">
        <v>934</v>
      </c>
      <c r="E118" s="1055" t="b">
        <f t="shared" si="24"/>
        <v>0</v>
      </c>
      <c r="F118" s="1055">
        <v>0</v>
      </c>
      <c r="G118" s="1056">
        <f t="shared" si="25"/>
        <v>0</v>
      </c>
      <c r="H118" s="1053" t="s">
        <v>1417</v>
      </c>
      <c r="I118" s="1054" t="s">
        <v>1416</v>
      </c>
      <c r="J118" s="1054" t="s">
        <v>1412</v>
      </c>
      <c r="K118" s="1054" t="s">
        <v>211</v>
      </c>
      <c r="L118" s="1054" t="s">
        <v>1412</v>
      </c>
      <c r="M118" s="1057">
        <v>333</v>
      </c>
      <c r="N118" s="1057">
        <v>0.94799999999999995</v>
      </c>
      <c r="O118" s="1057">
        <v>0.94899999999999995</v>
      </c>
      <c r="P118" s="1057">
        <v>0.92</v>
      </c>
      <c r="Q118" s="1057">
        <v>0.86799999999999999</v>
      </c>
      <c r="R118" s="1057">
        <v>0</v>
      </c>
      <c r="S118" s="1057">
        <v>2574525</v>
      </c>
      <c r="T118" s="1058">
        <f t="shared" si="26"/>
        <v>896964.51</v>
      </c>
      <c r="U118" s="1057">
        <v>884036</v>
      </c>
      <c r="V118" s="1057">
        <v>1690489</v>
      </c>
      <c r="W118" s="1057">
        <v>12500</v>
      </c>
      <c r="X118" s="1057">
        <v>2215000</v>
      </c>
      <c r="Y118" s="1057">
        <v>0</v>
      </c>
      <c r="Z118" s="1057">
        <v>0</v>
      </c>
      <c r="AA118" s="1057">
        <v>2587453.5099999998</v>
      </c>
      <c r="AB118" s="1057">
        <v>0</v>
      </c>
      <c r="AC118" s="1057">
        <v>0</v>
      </c>
      <c r="AD118" s="1057">
        <v>2215000</v>
      </c>
      <c r="AE118" s="1057">
        <v>0</v>
      </c>
      <c r="AF118" s="1057">
        <v>2587453.5099999998</v>
      </c>
      <c r="AG118" s="1057">
        <v>0</v>
      </c>
      <c r="AH118" s="1057">
        <v>0</v>
      </c>
      <c r="AI118" s="1057">
        <v>0</v>
      </c>
      <c r="AJ118" s="1053">
        <v>4</v>
      </c>
      <c r="AK118" s="1053" t="s">
        <v>921</v>
      </c>
      <c r="AL118" s="1054" t="s">
        <v>1416</v>
      </c>
      <c r="AM118" s="1053" t="s">
        <v>1417</v>
      </c>
      <c r="AN118" s="1054" t="s">
        <v>673</v>
      </c>
      <c r="AO118" s="1054">
        <v>0</v>
      </c>
      <c r="AP118" s="1059">
        <f t="shared" si="46"/>
        <v>0</v>
      </c>
      <c r="AQ118" s="1059">
        <f t="shared" si="27"/>
        <v>0</v>
      </c>
      <c r="AR118" s="1081">
        <v>0</v>
      </c>
      <c r="AS118" s="1081">
        <v>0</v>
      </c>
      <c r="AT118" s="1081">
        <v>0</v>
      </c>
      <c r="AU118" s="1081">
        <v>0</v>
      </c>
      <c r="AV118" s="1052">
        <v>0</v>
      </c>
      <c r="AW118" s="1052">
        <v>0</v>
      </c>
      <c r="AX118" s="1052">
        <v>0</v>
      </c>
      <c r="AY118" s="1052">
        <v>0</v>
      </c>
      <c r="AZ118" s="1081">
        <v>0</v>
      </c>
      <c r="BA118" s="1081">
        <v>0</v>
      </c>
      <c r="BB118" s="1081">
        <v>0</v>
      </c>
      <c r="BC118" s="1081">
        <v>0</v>
      </c>
      <c r="BD118" s="1052">
        <v>0</v>
      </c>
      <c r="BE118" s="1052">
        <v>0</v>
      </c>
      <c r="BF118" s="1052">
        <v>0</v>
      </c>
      <c r="BG118" s="1052">
        <v>0</v>
      </c>
      <c r="BH118" s="1052">
        <v>0</v>
      </c>
      <c r="BI118" s="1052">
        <v>0</v>
      </c>
      <c r="BJ118" s="1052">
        <v>0</v>
      </c>
      <c r="BK118" s="1052">
        <v>0</v>
      </c>
      <c r="BL118" s="1052">
        <v>0</v>
      </c>
      <c r="BM118" s="1052">
        <v>0</v>
      </c>
      <c r="BN118" s="1052">
        <v>0</v>
      </c>
      <c r="BO118" s="1052">
        <v>0</v>
      </c>
      <c r="BR118" s="1140">
        <f t="shared" si="28"/>
        <v>0</v>
      </c>
      <c r="BS118" s="1140">
        <f t="shared" si="29"/>
        <v>0</v>
      </c>
      <c r="BT118" s="1140">
        <f t="shared" si="30"/>
        <v>0</v>
      </c>
      <c r="BU118" s="1140">
        <f t="shared" si="31"/>
        <v>0</v>
      </c>
      <c r="BV118" s="1140">
        <f t="shared" si="41"/>
        <v>0</v>
      </c>
      <c r="BW118" s="1140">
        <f t="shared" si="42"/>
        <v>0</v>
      </c>
      <c r="BX118" s="1140">
        <f t="shared" si="43"/>
        <v>0</v>
      </c>
      <c r="BY118" s="1140">
        <f t="shared" si="32"/>
        <v>0</v>
      </c>
      <c r="CA118" s="1140">
        <f t="shared" si="33"/>
        <v>0</v>
      </c>
      <c r="CB118" s="1140">
        <f t="shared" si="34"/>
        <v>0</v>
      </c>
      <c r="CC118" s="1140">
        <f t="shared" si="35"/>
        <v>0</v>
      </c>
      <c r="CD118" s="1140">
        <f t="shared" si="36"/>
        <v>0</v>
      </c>
      <c r="CE118" s="1140">
        <f t="shared" si="37"/>
        <v>0</v>
      </c>
      <c r="CF118" s="1140">
        <f t="shared" si="38"/>
        <v>0</v>
      </c>
      <c r="CG118" s="1140">
        <f t="shared" si="39"/>
        <v>0</v>
      </c>
      <c r="CH118" s="1140">
        <f t="shared" si="40"/>
        <v>0</v>
      </c>
    </row>
    <row r="119" spans="1:98" s="1082" customFormat="1" ht="15" customHeight="1" x14ac:dyDescent="0.2">
      <c r="A119" s="1075">
        <v>4852</v>
      </c>
      <c r="B119" s="1075"/>
      <c r="C119" s="1076" t="s">
        <v>935</v>
      </c>
      <c r="D119" s="1063" t="s">
        <v>935</v>
      </c>
      <c r="E119" s="1055" t="e">
        <f t="shared" si="24"/>
        <v>#VALUE!</v>
      </c>
      <c r="F119" s="1064" t="s">
        <v>10</v>
      </c>
      <c r="G119" s="1056" t="e">
        <f t="shared" si="25"/>
        <v>#VALUE!</v>
      </c>
      <c r="H119" s="1062" t="s">
        <v>1417</v>
      </c>
      <c r="I119" s="1063" t="s">
        <v>1416</v>
      </c>
      <c r="J119" s="1063" t="s">
        <v>10</v>
      </c>
      <c r="K119" s="1063" t="s">
        <v>10</v>
      </c>
      <c r="L119" s="1063" t="s">
        <v>10</v>
      </c>
      <c r="M119" s="1065" t="s">
        <v>10</v>
      </c>
      <c r="N119" s="1065" t="s">
        <v>10</v>
      </c>
      <c r="O119" s="1065" t="s">
        <v>10</v>
      </c>
      <c r="P119" s="1065" t="s">
        <v>10</v>
      </c>
      <c r="Q119" s="1065" t="s">
        <v>10</v>
      </c>
      <c r="R119" s="1065" t="s">
        <v>10</v>
      </c>
      <c r="S119" s="1065">
        <v>129152</v>
      </c>
      <c r="T119" s="1058" t="e">
        <f t="shared" si="26"/>
        <v>#VALUE!</v>
      </c>
      <c r="U119" s="1065" t="s">
        <v>10</v>
      </c>
      <c r="V119" s="1065" t="s">
        <v>10</v>
      </c>
      <c r="W119" s="1065" t="s">
        <v>10</v>
      </c>
      <c r="X119" s="1065" t="s">
        <v>10</v>
      </c>
      <c r="Y119" s="1065" t="s">
        <v>10</v>
      </c>
      <c r="Z119" s="1065" t="s">
        <v>10</v>
      </c>
      <c r="AA119" s="1065" t="s">
        <v>10</v>
      </c>
      <c r="AB119" s="1065" t="s">
        <v>10</v>
      </c>
      <c r="AC119" s="1065" t="s">
        <v>10</v>
      </c>
      <c r="AD119" s="1065" t="s">
        <v>10</v>
      </c>
      <c r="AE119" s="1065" t="s">
        <v>10</v>
      </c>
      <c r="AF119" s="1065" t="s">
        <v>10</v>
      </c>
      <c r="AG119" s="1065" t="s">
        <v>10</v>
      </c>
      <c r="AH119" s="1065" t="s">
        <v>10</v>
      </c>
      <c r="AI119" s="1065" t="s">
        <v>10</v>
      </c>
      <c r="AJ119" s="1062" t="s">
        <v>900</v>
      </c>
      <c r="AK119" s="1062" t="s">
        <v>905</v>
      </c>
      <c r="AL119" s="1066" t="s">
        <v>1416</v>
      </c>
      <c r="AM119" s="1062" t="s">
        <v>1417</v>
      </c>
      <c r="AN119" s="1078" t="s">
        <v>935</v>
      </c>
      <c r="AO119" s="1078">
        <v>0</v>
      </c>
      <c r="AP119" s="1079">
        <v>0</v>
      </c>
      <c r="AQ119" s="1059">
        <f t="shared" si="27"/>
        <v>141</v>
      </c>
      <c r="AR119" s="1080">
        <v>0</v>
      </c>
      <c r="AS119" s="1080">
        <v>0</v>
      </c>
      <c r="AT119" s="1080">
        <v>0</v>
      </c>
      <c r="AU119" s="1080">
        <v>0</v>
      </c>
      <c r="AV119" s="1080">
        <v>0</v>
      </c>
      <c r="AW119" s="1080">
        <v>0</v>
      </c>
      <c r="AX119" s="1080">
        <v>0</v>
      </c>
      <c r="AY119" s="1080">
        <v>0</v>
      </c>
      <c r="AZ119" s="783">
        <v>0</v>
      </c>
      <c r="BA119" s="783">
        <v>0</v>
      </c>
      <c r="BB119" s="783">
        <v>21</v>
      </c>
      <c r="BC119" s="783">
        <v>0</v>
      </c>
      <c r="BD119" s="783">
        <v>60</v>
      </c>
      <c r="BE119" s="783">
        <v>0</v>
      </c>
      <c r="BF119" s="783">
        <v>0</v>
      </c>
      <c r="BG119" s="783">
        <v>0</v>
      </c>
      <c r="BH119" s="1106">
        <v>60</v>
      </c>
      <c r="BI119" s="1106">
        <v>0</v>
      </c>
      <c r="BJ119" s="1106">
        <v>0</v>
      </c>
      <c r="BK119" s="1106">
        <v>0</v>
      </c>
      <c r="BL119" s="1080">
        <v>0</v>
      </c>
      <c r="BM119" s="1080">
        <v>0</v>
      </c>
      <c r="BN119" s="1080">
        <v>0</v>
      </c>
      <c r="BO119" s="1080">
        <v>0</v>
      </c>
      <c r="BP119" s="1069"/>
      <c r="BQ119" s="1136"/>
      <c r="BR119" s="1140">
        <f t="shared" si="28"/>
        <v>0</v>
      </c>
      <c r="BS119" s="1140">
        <f t="shared" si="29"/>
        <v>0</v>
      </c>
      <c r="BT119" s="1140">
        <f t="shared" si="30"/>
        <v>0</v>
      </c>
      <c r="BU119" s="1140">
        <f t="shared" si="31"/>
        <v>0</v>
      </c>
      <c r="BV119" s="1140">
        <f t="shared" si="41"/>
        <v>0</v>
      </c>
      <c r="BW119" s="1140">
        <f t="shared" si="42"/>
        <v>0</v>
      </c>
      <c r="BX119" s="1140">
        <f t="shared" si="43"/>
        <v>0</v>
      </c>
      <c r="BY119" s="1140">
        <f t="shared" si="32"/>
        <v>0</v>
      </c>
      <c r="BZ119" s="1136"/>
      <c r="CA119" s="1140">
        <f t="shared" si="33"/>
        <v>0</v>
      </c>
      <c r="CB119" s="1140">
        <f t="shared" si="34"/>
        <v>0</v>
      </c>
      <c r="CC119" s="1140">
        <f t="shared" si="35"/>
        <v>0</v>
      </c>
      <c r="CD119" s="1140">
        <f t="shared" si="36"/>
        <v>0</v>
      </c>
      <c r="CE119" s="1140">
        <f t="shared" si="37"/>
        <v>0</v>
      </c>
      <c r="CF119" s="1140">
        <f t="shared" si="38"/>
        <v>0</v>
      </c>
      <c r="CG119" s="1140">
        <f t="shared" si="39"/>
        <v>0</v>
      </c>
      <c r="CH119" s="1140">
        <f t="shared" si="40"/>
        <v>0</v>
      </c>
      <c r="CI119" s="1146"/>
      <c r="CJ119" s="1069"/>
      <c r="CK119" s="1069"/>
      <c r="CL119" s="1069"/>
      <c r="CM119" s="1069"/>
      <c r="CN119" s="1069"/>
      <c r="CO119" s="1069"/>
      <c r="CP119" s="1069"/>
      <c r="CQ119" s="1069"/>
      <c r="CR119" s="1069"/>
      <c r="CS119" s="1069"/>
      <c r="CT119" s="1069"/>
    </row>
    <row r="120" spans="1:98" ht="15" customHeight="1" x14ac:dyDescent="0.2">
      <c r="A120" s="1061">
        <v>4855</v>
      </c>
      <c r="B120" s="1061"/>
      <c r="C120" s="1062" t="s">
        <v>936</v>
      </c>
      <c r="D120" s="1063" t="s">
        <v>935</v>
      </c>
      <c r="E120" s="1055" t="e">
        <f t="shared" si="24"/>
        <v>#VALUE!</v>
      </c>
      <c r="F120" s="1064" t="s">
        <v>10</v>
      </c>
      <c r="G120" s="1056" t="e">
        <f t="shared" si="25"/>
        <v>#VALUE!</v>
      </c>
      <c r="H120" s="1062" t="s">
        <v>1417</v>
      </c>
      <c r="I120" s="1063" t="s">
        <v>1512</v>
      </c>
      <c r="J120" s="1063" t="s">
        <v>10</v>
      </c>
      <c r="K120" s="1063" t="s">
        <v>10</v>
      </c>
      <c r="L120" s="1063" t="s">
        <v>10</v>
      </c>
      <c r="M120" s="1065" t="s">
        <v>10</v>
      </c>
      <c r="N120" s="1065" t="s">
        <v>10</v>
      </c>
      <c r="O120" s="1065" t="s">
        <v>10</v>
      </c>
      <c r="P120" s="1065" t="s">
        <v>10</v>
      </c>
      <c r="Q120" s="1065" t="s">
        <v>10</v>
      </c>
      <c r="R120" s="1065" t="s">
        <v>10</v>
      </c>
      <c r="S120" s="1065" t="s">
        <v>10</v>
      </c>
      <c r="T120" s="1058" t="e">
        <f t="shared" si="26"/>
        <v>#VALUE!</v>
      </c>
      <c r="U120" s="1065" t="s">
        <v>10</v>
      </c>
      <c r="V120" s="1065" t="s">
        <v>10</v>
      </c>
      <c r="W120" s="1065" t="s">
        <v>10</v>
      </c>
      <c r="X120" s="1065" t="s">
        <v>10</v>
      </c>
      <c r="Y120" s="1065" t="s">
        <v>10</v>
      </c>
      <c r="Z120" s="1065" t="s">
        <v>10</v>
      </c>
      <c r="AA120" s="1065" t="s">
        <v>10</v>
      </c>
      <c r="AB120" s="1065" t="s">
        <v>10</v>
      </c>
      <c r="AC120" s="1065" t="s">
        <v>10</v>
      </c>
      <c r="AD120" s="1065" t="s">
        <v>10</v>
      </c>
      <c r="AE120" s="1065" t="s">
        <v>10</v>
      </c>
      <c r="AF120" s="1065" t="s">
        <v>10</v>
      </c>
      <c r="AG120" s="1065" t="s">
        <v>10</v>
      </c>
      <c r="AH120" s="1065" t="s">
        <v>10</v>
      </c>
      <c r="AI120" s="1065" t="s">
        <v>10</v>
      </c>
      <c r="AJ120" s="1062" t="s">
        <v>900</v>
      </c>
      <c r="AK120" s="1062" t="s">
        <v>905</v>
      </c>
      <c r="AL120" s="1066" t="s">
        <v>1512</v>
      </c>
      <c r="AM120" s="1062" t="s">
        <v>1417</v>
      </c>
      <c r="AN120" s="1066" t="s">
        <v>935</v>
      </c>
      <c r="AO120" s="1066">
        <v>0</v>
      </c>
      <c r="AP120" s="1066">
        <v>0</v>
      </c>
      <c r="AQ120" s="1059">
        <f t="shared" si="27"/>
        <v>0</v>
      </c>
      <c r="AR120" s="1066">
        <v>0</v>
      </c>
      <c r="AS120" s="1066">
        <v>0</v>
      </c>
      <c r="AT120" s="1066">
        <v>0</v>
      </c>
      <c r="AU120" s="1066">
        <v>0</v>
      </c>
      <c r="AV120" s="1066">
        <v>0</v>
      </c>
      <c r="AW120" s="1066">
        <v>0</v>
      </c>
      <c r="AX120" s="1066">
        <v>0</v>
      </c>
      <c r="AY120" s="1066">
        <v>0</v>
      </c>
      <c r="AZ120" s="1066">
        <v>0</v>
      </c>
      <c r="BA120" s="1066">
        <v>0</v>
      </c>
      <c r="BB120" s="1066">
        <v>0</v>
      </c>
      <c r="BC120" s="1066">
        <v>0</v>
      </c>
      <c r="BD120" s="1066">
        <v>0</v>
      </c>
      <c r="BE120" s="1066">
        <v>0</v>
      </c>
      <c r="BF120" s="1066">
        <v>0</v>
      </c>
      <c r="BG120" s="1066">
        <v>0</v>
      </c>
      <c r="BH120" s="1066">
        <v>0</v>
      </c>
      <c r="BI120" s="1066">
        <v>0</v>
      </c>
      <c r="BJ120" s="1066">
        <v>0</v>
      </c>
      <c r="BK120" s="1066">
        <v>0</v>
      </c>
      <c r="BL120" s="1066">
        <v>0</v>
      </c>
      <c r="BM120" s="1066">
        <v>0</v>
      </c>
      <c r="BN120" s="1066">
        <v>0</v>
      </c>
      <c r="BO120" s="1066">
        <v>0</v>
      </c>
      <c r="BP120" s="1069"/>
      <c r="BR120" s="1140">
        <f t="shared" si="28"/>
        <v>0</v>
      </c>
      <c r="BS120" s="1140">
        <f t="shared" si="29"/>
        <v>0</v>
      </c>
      <c r="BT120" s="1140">
        <f t="shared" si="30"/>
        <v>0</v>
      </c>
      <c r="BU120" s="1140">
        <f t="shared" si="31"/>
        <v>0</v>
      </c>
      <c r="BV120" s="1140">
        <f t="shared" si="41"/>
        <v>0</v>
      </c>
      <c r="BW120" s="1140">
        <f t="shared" si="42"/>
        <v>0</v>
      </c>
      <c r="BX120" s="1140">
        <f t="shared" si="43"/>
        <v>0</v>
      </c>
      <c r="BY120" s="1140">
        <f t="shared" si="32"/>
        <v>0</v>
      </c>
      <c r="CA120" s="1140">
        <f t="shared" si="33"/>
        <v>0</v>
      </c>
      <c r="CB120" s="1140">
        <f t="shared" si="34"/>
        <v>0</v>
      </c>
      <c r="CC120" s="1140">
        <f t="shared" si="35"/>
        <v>0</v>
      </c>
      <c r="CD120" s="1140">
        <f t="shared" si="36"/>
        <v>0</v>
      </c>
      <c r="CE120" s="1140">
        <f t="shared" si="37"/>
        <v>0</v>
      </c>
      <c r="CF120" s="1140">
        <f t="shared" si="38"/>
        <v>0</v>
      </c>
      <c r="CG120" s="1140">
        <f t="shared" si="39"/>
        <v>0</v>
      </c>
      <c r="CH120" s="1140">
        <f t="shared" si="40"/>
        <v>0</v>
      </c>
      <c r="CJ120" s="1069"/>
      <c r="CK120" s="1069"/>
      <c r="CL120" s="1069"/>
      <c r="CM120" s="1069"/>
      <c r="CN120" s="1069"/>
      <c r="CO120" s="1069"/>
      <c r="CP120" s="1069"/>
      <c r="CQ120" s="1069"/>
      <c r="CR120" s="1069"/>
      <c r="CS120" s="1069"/>
      <c r="CT120" s="1069"/>
    </row>
    <row r="121" spans="1:98" ht="15" customHeight="1" x14ac:dyDescent="0.2">
      <c r="A121" s="1061">
        <v>3878</v>
      </c>
      <c r="B121" s="1061"/>
      <c r="C121" s="1062" t="s">
        <v>938</v>
      </c>
      <c r="D121" s="1063"/>
      <c r="E121" s="1055" t="b">
        <f t="shared" si="24"/>
        <v>0</v>
      </c>
      <c r="F121" s="1064"/>
      <c r="G121" s="1056"/>
      <c r="H121" s="1062"/>
      <c r="I121" s="1063" t="s">
        <v>1416</v>
      </c>
      <c r="J121" s="1063"/>
      <c r="K121" s="1063"/>
      <c r="L121" s="1063"/>
      <c r="M121" s="1065"/>
      <c r="N121" s="1065"/>
      <c r="O121" s="1065"/>
      <c r="P121" s="1065"/>
      <c r="Q121" s="1065"/>
      <c r="R121" s="1065"/>
      <c r="S121" s="1065"/>
      <c r="T121" s="1058">
        <f t="shared" si="26"/>
        <v>0</v>
      </c>
      <c r="U121" s="1065"/>
      <c r="V121" s="1065"/>
      <c r="W121" s="1065"/>
      <c r="X121" s="1065"/>
      <c r="Y121" s="1065"/>
      <c r="Z121" s="1065"/>
      <c r="AA121" s="1065"/>
      <c r="AB121" s="1065"/>
      <c r="AC121" s="1065"/>
      <c r="AD121" s="1065"/>
      <c r="AE121" s="1065"/>
      <c r="AF121" s="1065"/>
      <c r="AG121" s="1065"/>
      <c r="AH121" s="1065"/>
      <c r="AI121" s="1065"/>
      <c r="AJ121" s="1062"/>
      <c r="AK121" s="1062"/>
      <c r="AL121" s="1066" t="s">
        <v>1416</v>
      </c>
      <c r="AM121" s="1062"/>
      <c r="AN121" s="1066"/>
      <c r="AO121" s="1066"/>
      <c r="AP121" s="1066"/>
      <c r="AQ121" s="1059">
        <f t="shared" si="27"/>
        <v>1986</v>
      </c>
      <c r="AR121" s="783">
        <v>800</v>
      </c>
      <c r="AS121" s="783">
        <v>1262</v>
      </c>
      <c r="AT121" s="783">
        <v>460</v>
      </c>
      <c r="AU121" s="783">
        <v>50</v>
      </c>
      <c r="AV121" s="753">
        <v>0</v>
      </c>
      <c r="AW121" s="753">
        <v>34</v>
      </c>
      <c r="AX121" s="753">
        <v>0</v>
      </c>
      <c r="AY121" s="753">
        <v>0</v>
      </c>
      <c r="AZ121" s="783">
        <v>-1</v>
      </c>
      <c r="BA121" s="783">
        <v>102</v>
      </c>
      <c r="BB121" s="783">
        <v>68</v>
      </c>
      <c r="BC121" s="783">
        <v>0</v>
      </c>
      <c r="BD121" s="753">
        <v>536</v>
      </c>
      <c r="BE121" s="753">
        <v>0</v>
      </c>
      <c r="BF121" s="753">
        <v>0</v>
      </c>
      <c r="BG121" s="753">
        <v>0</v>
      </c>
      <c r="BH121" s="753">
        <v>73</v>
      </c>
      <c r="BI121" s="753">
        <v>22</v>
      </c>
      <c r="BJ121" s="753">
        <v>0</v>
      </c>
      <c r="BK121" s="753">
        <v>0</v>
      </c>
      <c r="BL121" s="1080"/>
      <c r="BM121" s="1080"/>
      <c r="BN121" s="1080"/>
      <c r="BO121" s="1080"/>
      <c r="BP121" s="1069"/>
      <c r="BR121" s="1140">
        <f t="shared" si="28"/>
        <v>11111111.111111112</v>
      </c>
      <c r="BS121" s="1140">
        <f t="shared" si="29"/>
        <v>6388888.888888889</v>
      </c>
      <c r="BT121" s="1140">
        <f t="shared" si="30"/>
        <v>694444.4444444445</v>
      </c>
      <c r="BU121" s="1140">
        <f t="shared" si="31"/>
        <v>18194444.444444444</v>
      </c>
      <c r="BV121" s="1140">
        <f t="shared" si="41"/>
        <v>0</v>
      </c>
      <c r="BW121" s="1140">
        <f t="shared" si="42"/>
        <v>0</v>
      </c>
      <c r="BX121" s="1140">
        <f t="shared" si="43"/>
        <v>0</v>
      </c>
      <c r="BY121" s="1140">
        <f t="shared" si="32"/>
        <v>0</v>
      </c>
      <c r="CA121" s="1140">
        <f t="shared" si="33"/>
        <v>11111111.111111112</v>
      </c>
      <c r="CB121" s="1140">
        <f t="shared" si="34"/>
        <v>6388888.888888889</v>
      </c>
      <c r="CC121" s="1140">
        <f t="shared" si="35"/>
        <v>694444.4444444445</v>
      </c>
      <c r="CD121" s="1140">
        <f t="shared" si="36"/>
        <v>18194444.444444444</v>
      </c>
      <c r="CE121" s="1140">
        <f t="shared" si="37"/>
        <v>0</v>
      </c>
      <c r="CF121" s="1140">
        <f t="shared" si="38"/>
        <v>0</v>
      </c>
      <c r="CG121" s="1140">
        <f t="shared" si="39"/>
        <v>0</v>
      </c>
      <c r="CH121" s="1140">
        <f t="shared" si="40"/>
        <v>0</v>
      </c>
      <c r="CJ121" s="1069"/>
      <c r="CK121" s="1069"/>
      <c r="CL121" s="1069"/>
      <c r="CM121" s="1069"/>
      <c r="CN121" s="1069"/>
      <c r="CO121" s="1069"/>
      <c r="CP121" s="1069"/>
      <c r="CQ121" s="1069"/>
      <c r="CR121" s="1069"/>
      <c r="CS121" s="1069"/>
      <c r="CT121" s="1069"/>
    </row>
    <row r="122" spans="1:98" ht="15" customHeight="1" x14ac:dyDescent="0.2">
      <c r="A122" s="1061">
        <v>3621</v>
      </c>
      <c r="B122" s="1061"/>
      <c r="C122" s="1062" t="s">
        <v>937</v>
      </c>
      <c r="D122" s="1063"/>
      <c r="E122" s="1055">
        <f t="shared" si="24"/>
        <v>0</v>
      </c>
      <c r="F122" s="1064"/>
      <c r="G122" s="1056"/>
      <c r="H122" s="1062"/>
      <c r="I122" s="1063" t="s">
        <v>911</v>
      </c>
      <c r="J122" s="1063"/>
      <c r="K122" s="1063"/>
      <c r="L122" s="1063"/>
      <c r="M122" s="1065"/>
      <c r="N122" s="1065"/>
      <c r="O122" s="1065"/>
      <c r="P122" s="1065"/>
      <c r="Q122" s="1065"/>
      <c r="R122" s="1065"/>
      <c r="S122" s="1065"/>
      <c r="T122" s="1058">
        <f t="shared" si="26"/>
        <v>0</v>
      </c>
      <c r="U122" s="1065"/>
      <c r="V122" s="1065"/>
      <c r="W122" s="1065"/>
      <c r="X122" s="1065"/>
      <c r="Y122" s="1065"/>
      <c r="Z122" s="1065"/>
      <c r="AA122" s="1065"/>
      <c r="AB122" s="1065"/>
      <c r="AC122" s="1065"/>
      <c r="AD122" s="1065"/>
      <c r="AE122" s="1065"/>
      <c r="AF122" s="1065"/>
      <c r="AG122" s="1065"/>
      <c r="AH122" s="1065"/>
      <c r="AI122" s="1065"/>
      <c r="AJ122" s="1062"/>
      <c r="AK122" s="1062"/>
      <c r="AL122" s="1066" t="s">
        <v>1512</v>
      </c>
      <c r="AM122" s="1062"/>
      <c r="AN122" s="1066"/>
      <c r="AO122" s="1066"/>
      <c r="AP122" s="1066"/>
      <c r="AQ122" s="1059">
        <f t="shared" si="27"/>
        <v>159</v>
      </c>
      <c r="AR122" s="1107">
        <v>0</v>
      </c>
      <c r="AS122" s="1107">
        <v>293</v>
      </c>
      <c r="AT122" s="1107">
        <v>0</v>
      </c>
      <c r="AU122" s="1107">
        <v>130</v>
      </c>
      <c r="AV122" s="1108"/>
      <c r="AW122" s="1108"/>
      <c r="AX122" s="1108"/>
      <c r="AY122" s="1108"/>
      <c r="AZ122" s="783">
        <v>0</v>
      </c>
      <c r="BA122" s="783">
        <v>0</v>
      </c>
      <c r="BB122" s="783">
        <v>0</v>
      </c>
      <c r="BC122" s="783">
        <v>29</v>
      </c>
      <c r="BD122" s="1109"/>
      <c r="BE122" s="1109"/>
      <c r="BF122" s="1109"/>
      <c r="BG122" s="1109"/>
      <c r="BH122" s="1109"/>
      <c r="BI122" s="1109"/>
      <c r="BJ122" s="1109"/>
      <c r="BK122" s="1109"/>
      <c r="BL122" s="1061"/>
      <c r="BM122" s="1061"/>
      <c r="BN122" s="1061"/>
      <c r="BO122" s="1061"/>
      <c r="BP122" s="1069"/>
      <c r="BR122" s="1140">
        <f t="shared" si="28"/>
        <v>0</v>
      </c>
      <c r="BS122" s="1140">
        <f t="shared" si="29"/>
        <v>0</v>
      </c>
      <c r="BT122" s="1140">
        <f t="shared" si="30"/>
        <v>1805555.5555555557</v>
      </c>
      <c r="BU122" s="1140">
        <f t="shared" si="31"/>
        <v>1805555.5555555557</v>
      </c>
      <c r="BV122" s="1140">
        <f t="shared" si="41"/>
        <v>0</v>
      </c>
      <c r="BW122" s="1140">
        <f t="shared" si="42"/>
        <v>0</v>
      </c>
      <c r="BX122" s="1140">
        <f t="shared" si="43"/>
        <v>0</v>
      </c>
      <c r="BY122" s="1140">
        <f t="shared" si="32"/>
        <v>0</v>
      </c>
      <c r="CA122" s="1140">
        <f t="shared" si="33"/>
        <v>0</v>
      </c>
      <c r="CB122" s="1140">
        <f t="shared" si="34"/>
        <v>0</v>
      </c>
      <c r="CC122" s="1140">
        <f t="shared" si="35"/>
        <v>1805555.5555555557</v>
      </c>
      <c r="CD122" s="1140">
        <f t="shared" si="36"/>
        <v>1805555.5555555557</v>
      </c>
      <c r="CE122" s="1140">
        <f t="shared" si="37"/>
        <v>0</v>
      </c>
      <c r="CF122" s="1140">
        <f t="shared" si="38"/>
        <v>0</v>
      </c>
      <c r="CG122" s="1140">
        <f t="shared" si="39"/>
        <v>0</v>
      </c>
      <c r="CH122" s="1140">
        <f t="shared" si="40"/>
        <v>0</v>
      </c>
      <c r="CJ122" s="1069"/>
      <c r="CK122" s="1069"/>
      <c r="CL122" s="1069"/>
      <c r="CM122" s="1069"/>
      <c r="CN122" s="1069"/>
      <c r="CO122" s="1069"/>
      <c r="CP122" s="1069"/>
      <c r="CQ122" s="1069"/>
      <c r="CR122" s="1069"/>
      <c r="CS122" s="1069"/>
      <c r="CT122" s="1069"/>
    </row>
    <row r="123" spans="1:98" ht="15" customHeight="1" x14ac:dyDescent="0.2">
      <c r="A123" s="1052">
        <v>2530</v>
      </c>
      <c r="B123" s="1052"/>
      <c r="C123" s="1053" t="s">
        <v>214</v>
      </c>
      <c r="D123" s="1054" t="s">
        <v>214</v>
      </c>
      <c r="E123" s="1055">
        <f t="shared" si="24"/>
        <v>24002.687099999999</v>
      </c>
      <c r="F123" s="1055">
        <v>0</v>
      </c>
      <c r="G123" s="1056">
        <f t="shared" ref="G123:G186" si="47">E123+F123</f>
        <v>24002.687099999999</v>
      </c>
      <c r="H123" s="1053" t="s">
        <v>10</v>
      </c>
      <c r="I123" s="1054" t="s">
        <v>1512</v>
      </c>
      <c r="J123" s="1054" t="s">
        <v>10</v>
      </c>
      <c r="K123" s="1054" t="s">
        <v>40</v>
      </c>
      <c r="L123" s="1054" t="s">
        <v>10</v>
      </c>
      <c r="M123" s="1057">
        <v>12</v>
      </c>
      <c r="N123" s="1057">
        <v>0.94099999999999995</v>
      </c>
      <c r="O123" s="1057">
        <v>0.94099999999999995</v>
      </c>
      <c r="P123" s="1057">
        <v>0.94099999999999995</v>
      </c>
      <c r="Q123" s="1057">
        <v>0.80800000000000005</v>
      </c>
      <c r="R123" s="1057">
        <v>0</v>
      </c>
      <c r="S123" s="1057">
        <v>123789</v>
      </c>
      <c r="T123" s="1058">
        <f t="shared" si="26"/>
        <v>24002.687099999999</v>
      </c>
      <c r="U123" s="1057">
        <v>112714</v>
      </c>
      <c r="V123" s="1057">
        <v>11075</v>
      </c>
      <c r="W123" s="1057">
        <v>751</v>
      </c>
      <c r="X123" s="1057">
        <v>0</v>
      </c>
      <c r="Y123" s="1057">
        <v>0</v>
      </c>
      <c r="Z123" s="1057">
        <v>0</v>
      </c>
      <c r="AA123" s="1057">
        <v>147791.68710000001</v>
      </c>
      <c r="AB123" s="1057">
        <v>24002.687099999999</v>
      </c>
      <c r="AC123" s="1057">
        <v>123789</v>
      </c>
      <c r="AD123" s="1057">
        <v>0</v>
      </c>
      <c r="AE123" s="1057">
        <v>0</v>
      </c>
      <c r="AF123" s="1057">
        <v>0</v>
      </c>
      <c r="AG123" s="1057">
        <v>123789</v>
      </c>
      <c r="AH123" s="1057">
        <v>0</v>
      </c>
      <c r="AI123" s="1057">
        <v>0</v>
      </c>
      <c r="AJ123" s="1053">
        <v>4</v>
      </c>
      <c r="AK123" s="1053" t="s">
        <v>921</v>
      </c>
      <c r="AL123" s="1054" t="s">
        <v>1512</v>
      </c>
      <c r="AM123" s="1053" t="s">
        <v>10</v>
      </c>
      <c r="AN123" s="1054" t="s">
        <v>214</v>
      </c>
      <c r="AO123" s="1054">
        <v>24002.687099999999</v>
      </c>
      <c r="AP123" s="1059">
        <f t="shared" ref="AP123:AP133" si="48">AR123+AT123+AU123+AV123+AX123+AY123+AZ123+BD123+BF123+BG123+BH123+BJ123+BK123+(BL123+BM123+BN123)/1000+(0.1*BO123)</f>
        <v>8</v>
      </c>
      <c r="AQ123" s="1059">
        <f t="shared" si="27"/>
        <v>9</v>
      </c>
      <c r="AR123" s="1052">
        <v>0</v>
      </c>
      <c r="AS123" s="1052">
        <v>0</v>
      </c>
      <c r="AT123" s="1052">
        <v>4</v>
      </c>
      <c r="AU123" s="1052">
        <v>3</v>
      </c>
      <c r="AV123" s="1052">
        <v>0</v>
      </c>
      <c r="AW123" s="1052">
        <v>0</v>
      </c>
      <c r="AX123" s="1052">
        <v>0</v>
      </c>
      <c r="AY123" s="1052">
        <v>1</v>
      </c>
      <c r="AZ123" s="1052">
        <v>0</v>
      </c>
      <c r="BA123" s="1052">
        <v>0</v>
      </c>
      <c r="BB123" s="1052">
        <v>0</v>
      </c>
      <c r="BC123" s="1052">
        <v>1</v>
      </c>
      <c r="BD123" s="1052">
        <v>0</v>
      </c>
      <c r="BE123" s="1052">
        <v>0</v>
      </c>
      <c r="BF123" s="1052">
        <v>0</v>
      </c>
      <c r="BG123" s="1052">
        <v>0</v>
      </c>
      <c r="BH123" s="1052">
        <v>0</v>
      </c>
      <c r="BI123" s="1052">
        <v>0</v>
      </c>
      <c r="BJ123" s="1052">
        <v>0</v>
      </c>
      <c r="BK123" s="1052">
        <v>0</v>
      </c>
      <c r="BL123" s="1052">
        <v>0</v>
      </c>
      <c r="BM123" s="1052">
        <v>0</v>
      </c>
      <c r="BN123" s="1052">
        <v>0</v>
      </c>
      <c r="BO123" s="1052">
        <v>0</v>
      </c>
      <c r="BR123" s="1140">
        <f t="shared" si="28"/>
        <v>0</v>
      </c>
      <c r="BS123" s="1140">
        <f t="shared" si="29"/>
        <v>55555.555555555562</v>
      </c>
      <c r="BT123" s="1140">
        <f t="shared" si="30"/>
        <v>41666.666666666672</v>
      </c>
      <c r="BU123" s="1140">
        <f t="shared" si="31"/>
        <v>97222.222222222234</v>
      </c>
      <c r="BV123" s="1140">
        <f t="shared" si="41"/>
        <v>0</v>
      </c>
      <c r="BW123" s="1140">
        <f t="shared" si="42"/>
        <v>0</v>
      </c>
      <c r="BX123" s="1140">
        <f t="shared" si="43"/>
        <v>200</v>
      </c>
      <c r="BY123" s="1140">
        <f t="shared" si="32"/>
        <v>200</v>
      </c>
      <c r="CA123" s="1140">
        <f t="shared" si="33"/>
        <v>0</v>
      </c>
      <c r="CB123" s="1140">
        <f t="shared" si="34"/>
        <v>55555.555555555562</v>
      </c>
      <c r="CC123" s="1140">
        <f t="shared" si="35"/>
        <v>41666.666666666672</v>
      </c>
      <c r="CD123" s="1140">
        <f t="shared" si="36"/>
        <v>97222.222222222234</v>
      </c>
      <c r="CE123" s="1140">
        <f t="shared" si="37"/>
        <v>0</v>
      </c>
      <c r="CF123" s="1140">
        <f t="shared" si="38"/>
        <v>0</v>
      </c>
      <c r="CG123" s="1140">
        <f t="shared" si="39"/>
        <v>200</v>
      </c>
      <c r="CH123" s="1140">
        <f t="shared" si="40"/>
        <v>200</v>
      </c>
    </row>
    <row r="124" spans="1:98" ht="15" customHeight="1" x14ac:dyDescent="0.2">
      <c r="A124" s="1052">
        <v>1506</v>
      </c>
      <c r="B124" s="1052"/>
      <c r="C124" s="1053" t="s">
        <v>215</v>
      </c>
      <c r="D124" s="1054" t="s">
        <v>215</v>
      </c>
      <c r="E124" s="1055">
        <f t="shared" si="24"/>
        <v>134223.53880000001</v>
      </c>
      <c r="F124" s="1055">
        <v>428123</v>
      </c>
      <c r="G124" s="1056">
        <f t="shared" si="47"/>
        <v>562346.53879999998</v>
      </c>
      <c r="H124" s="1053" t="s">
        <v>10</v>
      </c>
      <c r="I124" s="1054" t="s">
        <v>1416</v>
      </c>
      <c r="J124" s="1054" t="s">
        <v>1417</v>
      </c>
      <c r="K124" s="1054" t="s">
        <v>19</v>
      </c>
      <c r="L124" s="1054" t="s">
        <v>1412</v>
      </c>
      <c r="M124" s="1057">
        <v>50</v>
      </c>
      <c r="N124" s="1057">
        <v>0.77900000000000003</v>
      </c>
      <c r="O124" s="1057">
        <v>0.77900000000000003</v>
      </c>
      <c r="P124" s="1057">
        <v>0.86</v>
      </c>
      <c r="Q124" s="1057">
        <v>0.88200000000000001</v>
      </c>
      <c r="R124" s="1057">
        <v>442056</v>
      </c>
      <c r="S124" s="1057">
        <v>385257</v>
      </c>
      <c r="T124" s="1058">
        <f t="shared" si="26"/>
        <v>131511.66</v>
      </c>
      <c r="U124" s="1057">
        <v>252444</v>
      </c>
      <c r="V124" s="1057">
        <v>132813</v>
      </c>
      <c r="W124" s="1057">
        <v>1926</v>
      </c>
      <c r="X124" s="1057">
        <v>559634.66</v>
      </c>
      <c r="Y124" s="1057">
        <v>131511.66</v>
      </c>
      <c r="Z124" s="1057">
        <v>428123</v>
      </c>
      <c r="AA124" s="1057">
        <v>-42866</v>
      </c>
      <c r="AB124" s="1057">
        <v>0</v>
      </c>
      <c r="AC124" s="1057">
        <v>-42866</v>
      </c>
      <c r="AD124" s="1057">
        <v>0</v>
      </c>
      <c r="AE124" s="1057">
        <v>428123</v>
      </c>
      <c r="AF124" s="1057">
        <v>0</v>
      </c>
      <c r="AG124" s="1057">
        <v>-42866</v>
      </c>
      <c r="AH124" s="1057">
        <v>0</v>
      </c>
      <c r="AI124" s="1057">
        <v>0</v>
      </c>
      <c r="AJ124" s="1053">
        <v>4</v>
      </c>
      <c r="AK124" s="1053" t="s">
        <v>899</v>
      </c>
      <c r="AL124" s="1054" t="s">
        <v>1416</v>
      </c>
      <c r="AM124" s="1053" t="s">
        <v>10</v>
      </c>
      <c r="AN124" s="1054" t="s">
        <v>215</v>
      </c>
      <c r="AO124" s="1054">
        <v>559634.66</v>
      </c>
      <c r="AP124" s="1059">
        <f t="shared" si="48"/>
        <v>48.385300000000001</v>
      </c>
      <c r="AQ124" s="1059">
        <f t="shared" si="27"/>
        <v>50.385300000000001</v>
      </c>
      <c r="AR124" s="1052">
        <v>20</v>
      </c>
      <c r="AS124" s="1052">
        <v>0</v>
      </c>
      <c r="AT124" s="1052">
        <v>13</v>
      </c>
      <c r="AU124" s="1052">
        <v>5</v>
      </c>
      <c r="AV124" s="1052">
        <v>0</v>
      </c>
      <c r="AW124" s="1052">
        <v>0</v>
      </c>
      <c r="AX124" s="1052">
        <v>1</v>
      </c>
      <c r="AY124" s="1052">
        <v>2</v>
      </c>
      <c r="AZ124" s="1052">
        <v>0</v>
      </c>
      <c r="BA124" s="1052">
        <v>0</v>
      </c>
      <c r="BB124" s="1052">
        <v>2</v>
      </c>
      <c r="BC124" s="1052">
        <v>0</v>
      </c>
      <c r="BD124" s="1052">
        <v>0</v>
      </c>
      <c r="BE124" s="1052">
        <v>0</v>
      </c>
      <c r="BF124" s="1052">
        <v>0</v>
      </c>
      <c r="BG124" s="1052">
        <v>0</v>
      </c>
      <c r="BH124" s="1052">
        <v>0</v>
      </c>
      <c r="BI124" s="1052">
        <v>0</v>
      </c>
      <c r="BJ124" s="1052">
        <v>0</v>
      </c>
      <c r="BK124" s="1052">
        <v>0</v>
      </c>
      <c r="BL124" s="1052">
        <v>0</v>
      </c>
      <c r="BM124" s="1052">
        <v>0</v>
      </c>
      <c r="BN124" s="1052">
        <v>0</v>
      </c>
      <c r="BO124" s="1052">
        <v>73.852999999999994</v>
      </c>
      <c r="BR124" s="1140">
        <f t="shared" si="28"/>
        <v>277777.77777777781</v>
      </c>
      <c r="BS124" s="1140">
        <f t="shared" si="29"/>
        <v>180555.55555555556</v>
      </c>
      <c r="BT124" s="1140">
        <f t="shared" si="30"/>
        <v>69444.444444444453</v>
      </c>
      <c r="BU124" s="1140">
        <f t="shared" si="31"/>
        <v>527777.77777777787</v>
      </c>
      <c r="BV124" s="1140">
        <f t="shared" si="41"/>
        <v>0</v>
      </c>
      <c r="BW124" s="1140">
        <f t="shared" si="42"/>
        <v>200</v>
      </c>
      <c r="BX124" s="1140">
        <f t="shared" si="43"/>
        <v>400</v>
      </c>
      <c r="BY124" s="1140">
        <f t="shared" si="32"/>
        <v>600</v>
      </c>
      <c r="CA124" s="1140">
        <f t="shared" si="33"/>
        <v>277777.77777777781</v>
      </c>
      <c r="CB124" s="1140">
        <f t="shared" si="34"/>
        <v>180555.55555555556</v>
      </c>
      <c r="CC124" s="1140">
        <f t="shared" si="35"/>
        <v>69444.444444444453</v>
      </c>
      <c r="CD124" s="1140">
        <f t="shared" si="36"/>
        <v>527777.77777777787</v>
      </c>
      <c r="CE124" s="1140">
        <f t="shared" si="37"/>
        <v>0</v>
      </c>
      <c r="CF124" s="1140">
        <f t="shared" si="38"/>
        <v>200</v>
      </c>
      <c r="CG124" s="1140">
        <f t="shared" si="39"/>
        <v>400</v>
      </c>
      <c r="CH124" s="1140">
        <f t="shared" si="40"/>
        <v>600</v>
      </c>
    </row>
    <row r="125" spans="1:98" ht="15" customHeight="1" x14ac:dyDescent="0.2">
      <c r="A125" s="1052">
        <v>2531</v>
      </c>
      <c r="B125" s="1052"/>
      <c r="C125" s="1053" t="s">
        <v>217</v>
      </c>
      <c r="D125" s="1054" t="s">
        <v>217</v>
      </c>
      <c r="E125" s="1055">
        <f t="shared" si="24"/>
        <v>19201.723099999999</v>
      </c>
      <c r="F125" s="1055">
        <v>0</v>
      </c>
      <c r="G125" s="1056">
        <f t="shared" si="47"/>
        <v>19201.723099999999</v>
      </c>
      <c r="H125" s="1053" t="s">
        <v>10</v>
      </c>
      <c r="I125" s="1054" t="s">
        <v>1512</v>
      </c>
      <c r="J125" s="1054" t="s">
        <v>10</v>
      </c>
      <c r="K125" s="1054" t="s">
        <v>19</v>
      </c>
      <c r="L125" s="1054" t="s">
        <v>10</v>
      </c>
      <c r="M125" s="1057">
        <v>9</v>
      </c>
      <c r="N125" s="1057">
        <v>1</v>
      </c>
      <c r="O125" s="1057">
        <v>1</v>
      </c>
      <c r="P125" s="1057">
        <v>1</v>
      </c>
      <c r="Q125" s="1057">
        <v>1</v>
      </c>
      <c r="R125" s="1057">
        <v>0</v>
      </c>
      <c r="S125" s="1057">
        <v>99029</v>
      </c>
      <c r="T125" s="1058">
        <f t="shared" si="26"/>
        <v>19201.723099999999</v>
      </c>
      <c r="U125" s="1057">
        <v>72104</v>
      </c>
      <c r="V125" s="1057">
        <v>26925</v>
      </c>
      <c r="W125" s="1057">
        <v>600</v>
      </c>
      <c r="X125" s="1057">
        <v>0</v>
      </c>
      <c r="Y125" s="1057">
        <v>0</v>
      </c>
      <c r="Z125" s="1057">
        <v>0</v>
      </c>
      <c r="AA125" s="1057">
        <v>118230.7231</v>
      </c>
      <c r="AB125" s="1057">
        <v>19201.723099999999</v>
      </c>
      <c r="AC125" s="1057">
        <v>99029</v>
      </c>
      <c r="AD125" s="1057">
        <v>0</v>
      </c>
      <c r="AE125" s="1057">
        <v>0</v>
      </c>
      <c r="AF125" s="1057">
        <v>0</v>
      </c>
      <c r="AG125" s="1057">
        <v>99029</v>
      </c>
      <c r="AH125" s="1057">
        <v>0</v>
      </c>
      <c r="AI125" s="1057">
        <v>0</v>
      </c>
      <c r="AJ125" s="1053">
        <v>4</v>
      </c>
      <c r="AK125" s="1053" t="s">
        <v>913</v>
      </c>
      <c r="AL125" s="1054" t="s">
        <v>1512</v>
      </c>
      <c r="AM125" s="1053" t="s">
        <v>10</v>
      </c>
      <c r="AN125" s="1054" t="s">
        <v>217</v>
      </c>
      <c r="AO125" s="1054">
        <v>19201.723099999999</v>
      </c>
      <c r="AP125" s="1059">
        <f t="shared" si="48"/>
        <v>5.7869960000000003</v>
      </c>
      <c r="AQ125" s="1059">
        <f t="shared" si="27"/>
        <v>5.7869960000000003</v>
      </c>
      <c r="AR125" s="1052">
        <v>0</v>
      </c>
      <c r="AS125" s="1052">
        <v>0</v>
      </c>
      <c r="AT125" s="1052">
        <v>4</v>
      </c>
      <c r="AU125" s="1052">
        <v>0</v>
      </c>
      <c r="AV125" s="1052">
        <v>0</v>
      </c>
      <c r="AW125" s="1052">
        <v>0</v>
      </c>
      <c r="AX125" s="1052">
        <v>0</v>
      </c>
      <c r="AY125" s="1052">
        <v>0</v>
      </c>
      <c r="AZ125" s="1052">
        <v>0</v>
      </c>
      <c r="BA125" s="1052">
        <v>0</v>
      </c>
      <c r="BB125" s="1052">
        <v>0</v>
      </c>
      <c r="BC125" s="1052">
        <v>0</v>
      </c>
      <c r="BD125" s="1052">
        <v>0</v>
      </c>
      <c r="BE125" s="1052">
        <v>0</v>
      </c>
      <c r="BF125" s="1052">
        <v>0</v>
      </c>
      <c r="BG125" s="1052">
        <v>0</v>
      </c>
      <c r="BH125" s="1052">
        <v>0</v>
      </c>
      <c r="BI125" s="1052">
        <v>0</v>
      </c>
      <c r="BJ125" s="1052">
        <v>0</v>
      </c>
      <c r="BK125" s="1052">
        <v>0</v>
      </c>
      <c r="BL125" s="1052">
        <v>0</v>
      </c>
      <c r="BM125" s="1052">
        <v>0</v>
      </c>
      <c r="BN125" s="1052">
        <v>0</v>
      </c>
      <c r="BO125" s="1052">
        <v>17.869959999999999</v>
      </c>
      <c r="BR125" s="1140">
        <f t="shared" si="28"/>
        <v>0</v>
      </c>
      <c r="BS125" s="1140">
        <f t="shared" si="29"/>
        <v>55555.555555555562</v>
      </c>
      <c r="BT125" s="1140">
        <f t="shared" si="30"/>
        <v>0</v>
      </c>
      <c r="BU125" s="1140">
        <f t="shared" si="31"/>
        <v>55555.555555555562</v>
      </c>
      <c r="BV125" s="1140">
        <f t="shared" si="41"/>
        <v>0</v>
      </c>
      <c r="BW125" s="1140">
        <f t="shared" si="42"/>
        <v>0</v>
      </c>
      <c r="BX125" s="1140">
        <f t="shared" si="43"/>
        <v>0</v>
      </c>
      <c r="BY125" s="1140">
        <f t="shared" si="32"/>
        <v>0</v>
      </c>
      <c r="CA125" s="1140">
        <f t="shared" si="33"/>
        <v>0</v>
      </c>
      <c r="CB125" s="1140">
        <f t="shared" si="34"/>
        <v>55555.555555555562</v>
      </c>
      <c r="CC125" s="1140">
        <f t="shared" si="35"/>
        <v>0</v>
      </c>
      <c r="CD125" s="1140">
        <f t="shared" si="36"/>
        <v>55555.555555555562</v>
      </c>
      <c r="CE125" s="1140">
        <f t="shared" si="37"/>
        <v>0</v>
      </c>
      <c r="CF125" s="1140">
        <f t="shared" si="38"/>
        <v>0</v>
      </c>
      <c r="CG125" s="1140">
        <f t="shared" si="39"/>
        <v>0</v>
      </c>
      <c r="CH125" s="1140">
        <f t="shared" si="40"/>
        <v>0</v>
      </c>
    </row>
    <row r="126" spans="1:98" ht="15" customHeight="1" x14ac:dyDescent="0.2">
      <c r="A126" s="1052">
        <v>2544</v>
      </c>
      <c r="B126" s="1052"/>
      <c r="C126" s="1053" t="s">
        <v>218</v>
      </c>
      <c r="D126" s="1054" t="s">
        <v>218</v>
      </c>
      <c r="E126" s="1055">
        <f t="shared" si="24"/>
        <v>18373.770099999998</v>
      </c>
      <c r="F126" s="1055">
        <v>0</v>
      </c>
      <c r="G126" s="1056">
        <f t="shared" si="47"/>
        <v>18373.770099999998</v>
      </c>
      <c r="H126" s="1053" t="s">
        <v>10</v>
      </c>
      <c r="I126" s="1054" t="s">
        <v>1512</v>
      </c>
      <c r="J126" s="1054" t="s">
        <v>10</v>
      </c>
      <c r="K126" s="1054" t="s">
        <v>188</v>
      </c>
      <c r="L126" s="1054" t="s">
        <v>10</v>
      </c>
      <c r="M126" s="1057">
        <v>3</v>
      </c>
      <c r="N126" s="1057">
        <v>0.97099999999999997</v>
      </c>
      <c r="O126" s="1057">
        <v>0.97099999999999997</v>
      </c>
      <c r="P126" s="1057">
        <v>0.97099999999999997</v>
      </c>
      <c r="Q126" s="1057">
        <v>0.97099999999999997</v>
      </c>
      <c r="R126" s="1057">
        <v>0</v>
      </c>
      <c r="S126" s="1057">
        <v>94759</v>
      </c>
      <c r="T126" s="1058">
        <f t="shared" si="26"/>
        <v>18373.770099999998</v>
      </c>
      <c r="U126" s="1057">
        <v>88470</v>
      </c>
      <c r="V126" s="1057">
        <v>6289</v>
      </c>
      <c r="W126" s="1057">
        <v>584</v>
      </c>
      <c r="X126" s="1057">
        <v>0</v>
      </c>
      <c r="Y126" s="1057">
        <v>0</v>
      </c>
      <c r="Z126" s="1057">
        <v>0</v>
      </c>
      <c r="AA126" s="1057">
        <v>113132.77009999999</v>
      </c>
      <c r="AB126" s="1057">
        <v>18373.770100000002</v>
      </c>
      <c r="AC126" s="1057">
        <v>94759</v>
      </c>
      <c r="AD126" s="1057">
        <v>0</v>
      </c>
      <c r="AE126" s="1057">
        <v>0</v>
      </c>
      <c r="AF126" s="1057">
        <v>0</v>
      </c>
      <c r="AG126" s="1057">
        <v>94759</v>
      </c>
      <c r="AH126" s="1057">
        <v>0</v>
      </c>
      <c r="AI126" s="1057">
        <v>0</v>
      </c>
      <c r="AJ126" s="1053" t="s">
        <v>900</v>
      </c>
      <c r="AK126" s="1053" t="s">
        <v>905</v>
      </c>
      <c r="AL126" s="1054" t="s">
        <v>1512</v>
      </c>
      <c r="AM126" s="1053" t="s">
        <v>10</v>
      </c>
      <c r="AN126" s="1054" t="s">
        <v>218</v>
      </c>
      <c r="AO126" s="1054">
        <v>18373.770100000002</v>
      </c>
      <c r="AP126" s="1059">
        <f t="shared" si="48"/>
        <v>0</v>
      </c>
      <c r="AQ126" s="1059">
        <f t="shared" si="27"/>
        <v>0</v>
      </c>
      <c r="AR126" s="1052">
        <v>0</v>
      </c>
      <c r="AS126" s="1052">
        <v>0</v>
      </c>
      <c r="AT126" s="1052">
        <v>0</v>
      </c>
      <c r="AU126" s="1052">
        <v>0</v>
      </c>
      <c r="AV126" s="1052">
        <v>0</v>
      </c>
      <c r="AW126" s="1052">
        <v>0</v>
      </c>
      <c r="AX126" s="1052">
        <v>0</v>
      </c>
      <c r="AY126" s="1052">
        <v>0</v>
      </c>
      <c r="AZ126" s="1052">
        <v>0</v>
      </c>
      <c r="BA126" s="1052">
        <v>0</v>
      </c>
      <c r="BB126" s="1052">
        <v>0</v>
      </c>
      <c r="BC126" s="1052">
        <v>0</v>
      </c>
      <c r="BD126" s="1052">
        <v>0</v>
      </c>
      <c r="BE126" s="1052">
        <v>0</v>
      </c>
      <c r="BF126" s="1052">
        <v>0</v>
      </c>
      <c r="BG126" s="1052">
        <v>0</v>
      </c>
      <c r="BH126" s="1052">
        <v>0</v>
      </c>
      <c r="BI126" s="1052">
        <v>0</v>
      </c>
      <c r="BJ126" s="1052">
        <v>0</v>
      </c>
      <c r="BK126" s="1052">
        <v>0</v>
      </c>
      <c r="BL126" s="1052">
        <v>0</v>
      </c>
      <c r="BM126" s="1052">
        <v>0</v>
      </c>
      <c r="BN126" s="1052">
        <v>0</v>
      </c>
      <c r="BO126" s="1052">
        <v>0</v>
      </c>
      <c r="BR126" s="1140">
        <f t="shared" si="28"/>
        <v>0</v>
      </c>
      <c r="BS126" s="1140">
        <f t="shared" si="29"/>
        <v>0</v>
      </c>
      <c r="BT126" s="1140">
        <f t="shared" si="30"/>
        <v>0</v>
      </c>
      <c r="BU126" s="1140">
        <f t="shared" si="31"/>
        <v>0</v>
      </c>
      <c r="BV126" s="1140">
        <f t="shared" si="41"/>
        <v>0</v>
      </c>
      <c r="BW126" s="1140">
        <f t="shared" si="42"/>
        <v>0</v>
      </c>
      <c r="BX126" s="1140">
        <f t="shared" si="43"/>
        <v>0</v>
      </c>
      <c r="BY126" s="1140">
        <f t="shared" si="32"/>
        <v>0</v>
      </c>
      <c r="CA126" s="1140">
        <f t="shared" si="33"/>
        <v>0</v>
      </c>
      <c r="CB126" s="1140">
        <f t="shared" si="34"/>
        <v>0</v>
      </c>
      <c r="CC126" s="1140">
        <f t="shared" si="35"/>
        <v>0</v>
      </c>
      <c r="CD126" s="1140">
        <f t="shared" si="36"/>
        <v>0</v>
      </c>
      <c r="CE126" s="1140">
        <f t="shared" si="37"/>
        <v>0</v>
      </c>
      <c r="CF126" s="1140">
        <f t="shared" si="38"/>
        <v>0</v>
      </c>
      <c r="CG126" s="1140">
        <f t="shared" si="39"/>
        <v>0</v>
      </c>
      <c r="CH126" s="1140">
        <f t="shared" si="40"/>
        <v>0</v>
      </c>
    </row>
    <row r="127" spans="1:98" ht="15" customHeight="1" x14ac:dyDescent="0.2">
      <c r="A127" s="1052">
        <v>1583</v>
      </c>
      <c r="B127" s="1052"/>
      <c r="C127" s="1053" t="s">
        <v>234</v>
      </c>
      <c r="D127" s="1054" t="s">
        <v>234</v>
      </c>
      <c r="E127" s="1055">
        <f t="shared" si="24"/>
        <v>19865.248899999999</v>
      </c>
      <c r="F127" s="1055">
        <v>0</v>
      </c>
      <c r="G127" s="1056">
        <f t="shared" si="47"/>
        <v>19865.248899999999</v>
      </c>
      <c r="H127" s="1053" t="s">
        <v>10</v>
      </c>
      <c r="I127" s="1054" t="s">
        <v>1512</v>
      </c>
      <c r="J127" s="1054" t="s">
        <v>10</v>
      </c>
      <c r="K127" s="1054" t="s">
        <v>1565</v>
      </c>
      <c r="L127" s="1054" t="s">
        <v>10</v>
      </c>
      <c r="M127" s="1057">
        <v>11</v>
      </c>
      <c r="N127" s="1057">
        <v>0.876</v>
      </c>
      <c r="O127" s="1057">
        <v>0.876</v>
      </c>
      <c r="P127" s="1057">
        <v>0.876</v>
      </c>
      <c r="Q127" s="1057">
        <v>1</v>
      </c>
      <c r="R127" s="1057">
        <v>0</v>
      </c>
      <c r="S127" s="1057">
        <v>102451</v>
      </c>
      <c r="T127" s="1058">
        <f t="shared" si="26"/>
        <v>19865.248899999999</v>
      </c>
      <c r="U127" s="1057">
        <v>45427</v>
      </c>
      <c r="V127" s="1057">
        <v>57024</v>
      </c>
      <c r="W127" s="1057">
        <v>590</v>
      </c>
      <c r="X127" s="1057">
        <v>0</v>
      </c>
      <c r="Y127" s="1057">
        <v>0</v>
      </c>
      <c r="Z127" s="1057">
        <v>0</v>
      </c>
      <c r="AA127" s="1057">
        <v>122316.24890000001</v>
      </c>
      <c r="AB127" s="1057">
        <v>19865.248899999999</v>
      </c>
      <c r="AC127" s="1057">
        <v>102451</v>
      </c>
      <c r="AD127" s="1057">
        <v>0</v>
      </c>
      <c r="AE127" s="1057">
        <v>0</v>
      </c>
      <c r="AF127" s="1057">
        <v>0</v>
      </c>
      <c r="AG127" s="1057">
        <v>102451</v>
      </c>
      <c r="AH127" s="1057">
        <v>0</v>
      </c>
      <c r="AI127" s="1057">
        <v>0</v>
      </c>
      <c r="AJ127" s="1053">
        <v>4</v>
      </c>
      <c r="AK127" s="1053" t="s">
        <v>913</v>
      </c>
      <c r="AL127" s="1054" t="s">
        <v>1512</v>
      </c>
      <c r="AM127" s="1053" t="s">
        <v>10</v>
      </c>
      <c r="AN127" s="1054" t="s">
        <v>234</v>
      </c>
      <c r="AO127" s="1054">
        <v>19865.248899999999</v>
      </c>
      <c r="AP127" s="1059">
        <f t="shared" si="48"/>
        <v>14</v>
      </c>
      <c r="AQ127" s="1059">
        <f t="shared" si="27"/>
        <v>14</v>
      </c>
      <c r="AR127" s="1052">
        <v>0</v>
      </c>
      <c r="AS127" s="1052">
        <v>0</v>
      </c>
      <c r="AT127" s="1052">
        <v>7</v>
      </c>
      <c r="AU127" s="1052">
        <v>5</v>
      </c>
      <c r="AV127" s="1052">
        <v>0</v>
      </c>
      <c r="AW127" s="1052">
        <v>0</v>
      </c>
      <c r="AX127" s="1052">
        <v>0</v>
      </c>
      <c r="AY127" s="1052">
        <v>2</v>
      </c>
      <c r="AZ127" s="1052">
        <v>0</v>
      </c>
      <c r="BA127" s="1052">
        <v>0</v>
      </c>
      <c r="BB127" s="1052">
        <v>0</v>
      </c>
      <c r="BC127" s="1052">
        <v>0</v>
      </c>
      <c r="BD127" s="1052">
        <v>0</v>
      </c>
      <c r="BE127" s="1052">
        <v>0</v>
      </c>
      <c r="BF127" s="1052">
        <v>0</v>
      </c>
      <c r="BG127" s="1052">
        <v>0</v>
      </c>
      <c r="BH127" s="1052">
        <v>0</v>
      </c>
      <c r="BI127" s="1052">
        <v>0</v>
      </c>
      <c r="BJ127" s="1052">
        <v>0</v>
      </c>
      <c r="BK127" s="1052">
        <v>0</v>
      </c>
      <c r="BL127" s="1052">
        <v>0</v>
      </c>
      <c r="BM127" s="1052">
        <v>0</v>
      </c>
      <c r="BN127" s="1052">
        <v>0</v>
      </c>
      <c r="BO127" s="1052">
        <v>0</v>
      </c>
      <c r="BR127" s="1140">
        <f t="shared" si="28"/>
        <v>0</v>
      </c>
      <c r="BS127" s="1140">
        <f t="shared" si="29"/>
        <v>97222.222222222234</v>
      </c>
      <c r="BT127" s="1140">
        <f t="shared" si="30"/>
        <v>69444.444444444453</v>
      </c>
      <c r="BU127" s="1140">
        <f t="shared" si="31"/>
        <v>166666.66666666669</v>
      </c>
      <c r="BV127" s="1140">
        <f t="shared" si="41"/>
        <v>0</v>
      </c>
      <c r="BW127" s="1140">
        <f t="shared" si="42"/>
        <v>0</v>
      </c>
      <c r="BX127" s="1140">
        <f t="shared" si="43"/>
        <v>400</v>
      </c>
      <c r="BY127" s="1140">
        <f t="shared" si="32"/>
        <v>400</v>
      </c>
      <c r="CA127" s="1140">
        <f t="shared" si="33"/>
        <v>0</v>
      </c>
      <c r="CB127" s="1140">
        <f t="shared" si="34"/>
        <v>97222.222222222234</v>
      </c>
      <c r="CC127" s="1140">
        <f t="shared" si="35"/>
        <v>69444.444444444453</v>
      </c>
      <c r="CD127" s="1140">
        <f t="shared" si="36"/>
        <v>166666.66666666669</v>
      </c>
      <c r="CE127" s="1140">
        <f t="shared" si="37"/>
        <v>0</v>
      </c>
      <c r="CF127" s="1140">
        <f t="shared" si="38"/>
        <v>0</v>
      </c>
      <c r="CG127" s="1140">
        <f t="shared" si="39"/>
        <v>400</v>
      </c>
      <c r="CH127" s="1140">
        <f t="shared" si="40"/>
        <v>400</v>
      </c>
    </row>
    <row r="128" spans="1:98" ht="15" customHeight="1" x14ac:dyDescent="0.2">
      <c r="A128" s="1052">
        <v>2614</v>
      </c>
      <c r="B128" s="1052"/>
      <c r="C128" s="1053" t="s">
        <v>235</v>
      </c>
      <c r="D128" s="1054" t="s">
        <v>235</v>
      </c>
      <c r="E128" s="1055">
        <f t="shared" si="24"/>
        <v>51859.5245</v>
      </c>
      <c r="F128" s="1055">
        <v>0</v>
      </c>
      <c r="G128" s="1056">
        <f t="shared" si="47"/>
        <v>51859.5245</v>
      </c>
      <c r="H128" s="1053" t="s">
        <v>10</v>
      </c>
      <c r="I128" s="1054" t="s">
        <v>1512</v>
      </c>
      <c r="J128" s="1054" t="s">
        <v>10</v>
      </c>
      <c r="K128" s="1054" t="s">
        <v>1545</v>
      </c>
      <c r="L128" s="1054" t="s">
        <v>10</v>
      </c>
      <c r="M128" s="1057">
        <v>14</v>
      </c>
      <c r="N128" s="1057">
        <v>0.88600000000000001</v>
      </c>
      <c r="O128" s="1057">
        <v>0.86</v>
      </c>
      <c r="P128" s="1057">
        <v>0.86</v>
      </c>
      <c r="Q128" s="1057">
        <v>0.86399999999999999</v>
      </c>
      <c r="R128" s="1057">
        <v>0</v>
      </c>
      <c r="S128" s="1057">
        <v>267455</v>
      </c>
      <c r="T128" s="1058">
        <f t="shared" si="26"/>
        <v>51859.5245</v>
      </c>
      <c r="U128" s="1057">
        <v>230855</v>
      </c>
      <c r="V128" s="1057">
        <v>36600</v>
      </c>
      <c r="W128" s="1057">
        <v>1232</v>
      </c>
      <c r="X128" s="1057">
        <v>0</v>
      </c>
      <c r="Y128" s="1057">
        <v>0</v>
      </c>
      <c r="Z128" s="1057">
        <v>0</v>
      </c>
      <c r="AA128" s="1057">
        <v>319314.5245</v>
      </c>
      <c r="AB128" s="1057">
        <v>51859.5245</v>
      </c>
      <c r="AC128" s="1057">
        <v>267455</v>
      </c>
      <c r="AD128" s="1057">
        <v>0</v>
      </c>
      <c r="AE128" s="1057">
        <v>0</v>
      </c>
      <c r="AF128" s="1057">
        <v>0</v>
      </c>
      <c r="AG128" s="1057">
        <v>267455</v>
      </c>
      <c r="AH128" s="1057">
        <v>0</v>
      </c>
      <c r="AI128" s="1057">
        <v>0</v>
      </c>
      <c r="AJ128" s="1053">
        <v>4</v>
      </c>
      <c r="AK128" s="1053" t="s">
        <v>899</v>
      </c>
      <c r="AL128" s="1054" t="s">
        <v>1512</v>
      </c>
      <c r="AM128" s="1053" t="s">
        <v>10</v>
      </c>
      <c r="AN128" s="1054" t="s">
        <v>235</v>
      </c>
      <c r="AO128" s="1054">
        <v>51859.5245</v>
      </c>
      <c r="AP128" s="1059">
        <f t="shared" si="48"/>
        <v>16</v>
      </c>
      <c r="AQ128" s="1059">
        <f t="shared" si="27"/>
        <v>19</v>
      </c>
      <c r="AR128" s="1052">
        <v>0</v>
      </c>
      <c r="AS128" s="1052">
        <v>0</v>
      </c>
      <c r="AT128" s="1052">
        <v>12</v>
      </c>
      <c r="AU128" s="1052">
        <v>4</v>
      </c>
      <c r="AV128" s="1052">
        <v>0</v>
      </c>
      <c r="AW128" s="1052">
        <v>0</v>
      </c>
      <c r="AX128" s="1052">
        <v>0</v>
      </c>
      <c r="AY128" s="1052">
        <v>0</v>
      </c>
      <c r="AZ128" s="1052">
        <v>0</v>
      </c>
      <c r="BA128" s="1052">
        <v>2</v>
      </c>
      <c r="BB128" s="1052">
        <v>3</v>
      </c>
      <c r="BC128" s="1052">
        <v>0</v>
      </c>
      <c r="BD128" s="1052">
        <v>0</v>
      </c>
      <c r="BE128" s="1052">
        <v>0</v>
      </c>
      <c r="BF128" s="1052">
        <v>0</v>
      </c>
      <c r="BG128" s="1052">
        <v>0</v>
      </c>
      <c r="BH128" s="1052">
        <v>0</v>
      </c>
      <c r="BI128" s="1052">
        <v>0</v>
      </c>
      <c r="BJ128" s="1052">
        <v>0</v>
      </c>
      <c r="BK128" s="1052">
        <v>0</v>
      </c>
      <c r="BL128" s="1052">
        <v>0</v>
      </c>
      <c r="BM128" s="1052">
        <v>0</v>
      </c>
      <c r="BN128" s="1052">
        <v>0</v>
      </c>
      <c r="BO128" s="1052">
        <v>0</v>
      </c>
      <c r="BR128" s="1140">
        <f t="shared" si="28"/>
        <v>0</v>
      </c>
      <c r="BS128" s="1140">
        <f t="shared" si="29"/>
        <v>166666.66666666669</v>
      </c>
      <c r="BT128" s="1140">
        <f t="shared" si="30"/>
        <v>55555.555555555562</v>
      </c>
      <c r="BU128" s="1140">
        <f t="shared" si="31"/>
        <v>222222.22222222225</v>
      </c>
      <c r="BV128" s="1140">
        <f t="shared" si="41"/>
        <v>0</v>
      </c>
      <c r="BW128" s="1140">
        <f t="shared" si="42"/>
        <v>0</v>
      </c>
      <c r="BX128" s="1140">
        <f t="shared" si="43"/>
        <v>0</v>
      </c>
      <c r="BY128" s="1140">
        <f t="shared" si="32"/>
        <v>0</v>
      </c>
      <c r="CA128" s="1140">
        <f t="shared" si="33"/>
        <v>0</v>
      </c>
      <c r="CB128" s="1140">
        <f t="shared" si="34"/>
        <v>166666.66666666669</v>
      </c>
      <c r="CC128" s="1140">
        <f t="shared" si="35"/>
        <v>55555.555555555562</v>
      </c>
      <c r="CD128" s="1140">
        <f t="shared" si="36"/>
        <v>222222.22222222225</v>
      </c>
      <c r="CE128" s="1140">
        <f t="shared" si="37"/>
        <v>0</v>
      </c>
      <c r="CF128" s="1140">
        <f t="shared" si="38"/>
        <v>0</v>
      </c>
      <c r="CG128" s="1140">
        <f t="shared" si="39"/>
        <v>0</v>
      </c>
      <c r="CH128" s="1140">
        <f t="shared" si="40"/>
        <v>0</v>
      </c>
    </row>
    <row r="129" spans="1:119" ht="15" customHeight="1" x14ac:dyDescent="0.2">
      <c r="A129" s="1052">
        <v>2547</v>
      </c>
      <c r="B129" s="1052"/>
      <c r="C129" s="1053" t="s">
        <v>237</v>
      </c>
      <c r="D129" s="1054" t="s">
        <v>237</v>
      </c>
      <c r="E129" s="1055">
        <f t="shared" si="24"/>
        <v>265371.054</v>
      </c>
      <c r="F129" s="1055">
        <v>276347</v>
      </c>
      <c r="G129" s="1056">
        <f t="shared" si="47"/>
        <v>541718.054</v>
      </c>
      <c r="H129" s="1053" t="s">
        <v>10</v>
      </c>
      <c r="I129" s="1054" t="s">
        <v>1416</v>
      </c>
      <c r="J129" s="1054" t="s">
        <v>1417</v>
      </c>
      <c r="K129" s="1054" t="s">
        <v>240</v>
      </c>
      <c r="L129" s="1054" t="s">
        <v>1412</v>
      </c>
      <c r="M129" s="1057">
        <v>83</v>
      </c>
      <c r="N129" s="1057">
        <v>0.86399999999999999</v>
      </c>
      <c r="O129" s="1057">
        <v>0.96399999999999997</v>
      </c>
      <c r="P129" s="1057">
        <v>0.95099999999999996</v>
      </c>
      <c r="Q129" s="1057">
        <v>0.95399999999999996</v>
      </c>
      <c r="R129" s="1057">
        <v>862393</v>
      </c>
      <c r="S129" s="1057">
        <v>761685</v>
      </c>
      <c r="T129" s="1058">
        <f t="shared" si="26"/>
        <v>256561.91749999998</v>
      </c>
      <c r="U129" s="1057">
        <v>554156</v>
      </c>
      <c r="V129" s="1057">
        <v>207529</v>
      </c>
      <c r="W129" s="1057">
        <v>3815</v>
      </c>
      <c r="X129" s="1057">
        <v>532908.91749999998</v>
      </c>
      <c r="Y129" s="1057">
        <v>256561.91750000001</v>
      </c>
      <c r="Z129" s="1057">
        <v>276347</v>
      </c>
      <c r="AA129" s="1057">
        <v>485338</v>
      </c>
      <c r="AB129" s="1057">
        <v>0</v>
      </c>
      <c r="AC129" s="1057">
        <v>485338</v>
      </c>
      <c r="AD129" s="1057">
        <v>0</v>
      </c>
      <c r="AE129" s="1057">
        <v>276347</v>
      </c>
      <c r="AF129" s="1057">
        <v>0</v>
      </c>
      <c r="AG129" s="1057">
        <v>485338</v>
      </c>
      <c r="AH129" s="1057">
        <v>0</v>
      </c>
      <c r="AI129" s="1057">
        <v>0</v>
      </c>
      <c r="AJ129" s="1053" t="s">
        <v>900</v>
      </c>
      <c r="AK129" s="1053" t="s">
        <v>922</v>
      </c>
      <c r="AL129" s="1054" t="s">
        <v>1416</v>
      </c>
      <c r="AM129" s="1053" t="s">
        <v>10</v>
      </c>
      <c r="AN129" s="1054" t="s">
        <v>237</v>
      </c>
      <c r="AO129" s="1054">
        <v>532908.91749999998</v>
      </c>
      <c r="AP129" s="1059">
        <f t="shared" si="48"/>
        <v>669.21280000000002</v>
      </c>
      <c r="AQ129" s="1059">
        <f t="shared" si="27"/>
        <v>691.21280000000002</v>
      </c>
      <c r="AR129" s="1052">
        <v>199</v>
      </c>
      <c r="AS129" s="1052">
        <v>0</v>
      </c>
      <c r="AT129" s="1052">
        <v>72</v>
      </c>
      <c r="AU129" s="1052">
        <v>7</v>
      </c>
      <c r="AV129" s="1052">
        <v>0</v>
      </c>
      <c r="AW129" s="1052">
        <v>0</v>
      </c>
      <c r="AX129" s="1052">
        <v>0</v>
      </c>
      <c r="AY129" s="1052">
        <v>0</v>
      </c>
      <c r="AZ129" s="1052">
        <v>14</v>
      </c>
      <c r="BA129" s="1052">
        <v>7</v>
      </c>
      <c r="BB129" s="1052">
        <v>21</v>
      </c>
      <c r="BC129" s="1052">
        <v>1</v>
      </c>
      <c r="BD129" s="1052">
        <v>21</v>
      </c>
      <c r="BE129" s="1052">
        <v>0</v>
      </c>
      <c r="BF129" s="1052">
        <v>0</v>
      </c>
      <c r="BG129" s="1052">
        <v>0</v>
      </c>
      <c r="BH129" s="1052">
        <v>59</v>
      </c>
      <c r="BI129" s="1052">
        <v>0</v>
      </c>
      <c r="BJ129" s="1052">
        <v>0</v>
      </c>
      <c r="BK129" s="1052">
        <v>0</v>
      </c>
      <c r="BL129" s="1052">
        <v>0</v>
      </c>
      <c r="BM129" s="1052">
        <v>0</v>
      </c>
      <c r="BN129" s="1052">
        <v>250209</v>
      </c>
      <c r="BO129" s="1052">
        <v>470.03800000000001</v>
      </c>
      <c r="BR129" s="1140">
        <f t="shared" si="28"/>
        <v>2763888.888888889</v>
      </c>
      <c r="BS129" s="1140">
        <f t="shared" si="29"/>
        <v>1000000.0000000001</v>
      </c>
      <c r="BT129" s="1140">
        <f t="shared" si="30"/>
        <v>97222.222222222234</v>
      </c>
      <c r="BU129" s="1140">
        <f t="shared" si="31"/>
        <v>3861111.111111111</v>
      </c>
      <c r="BV129" s="1140">
        <f t="shared" si="41"/>
        <v>0</v>
      </c>
      <c r="BW129" s="1140">
        <f t="shared" si="42"/>
        <v>0</v>
      </c>
      <c r="BX129" s="1140">
        <f t="shared" si="43"/>
        <v>0</v>
      </c>
      <c r="BY129" s="1140">
        <f t="shared" si="32"/>
        <v>0</v>
      </c>
      <c r="CA129" s="1140">
        <f t="shared" si="33"/>
        <v>2763888.888888889</v>
      </c>
      <c r="CB129" s="1140">
        <f t="shared" si="34"/>
        <v>1000000.0000000001</v>
      </c>
      <c r="CC129" s="1140">
        <f t="shared" si="35"/>
        <v>97222.222222222234</v>
      </c>
      <c r="CD129" s="1140">
        <f t="shared" si="36"/>
        <v>3861111.111111111</v>
      </c>
      <c r="CE129" s="1140">
        <f t="shared" si="37"/>
        <v>0</v>
      </c>
      <c r="CF129" s="1140">
        <f t="shared" si="38"/>
        <v>0</v>
      </c>
      <c r="CG129" s="1140">
        <f t="shared" si="39"/>
        <v>0</v>
      </c>
      <c r="CH129" s="1140">
        <f t="shared" si="40"/>
        <v>0</v>
      </c>
    </row>
    <row r="130" spans="1:119" ht="15" customHeight="1" x14ac:dyDescent="0.2">
      <c r="A130" s="1052">
        <v>9133</v>
      </c>
      <c r="B130" s="1052"/>
      <c r="C130" s="1053" t="s">
        <v>241</v>
      </c>
      <c r="D130" s="1054" t="s">
        <v>241</v>
      </c>
      <c r="E130" s="1055">
        <f t="shared" ref="E130:E193" si="49">IF(I130="regional",IF(R130*0.2975,S130*0.3484),S130*0.1939)</f>
        <v>257892.2996</v>
      </c>
      <c r="F130" s="1055">
        <v>0</v>
      </c>
      <c r="G130" s="1056">
        <f t="shared" si="47"/>
        <v>257892.2996</v>
      </c>
      <c r="H130" s="1053" t="s">
        <v>10</v>
      </c>
      <c r="I130" s="1054" t="s">
        <v>1416</v>
      </c>
      <c r="J130" s="1054" t="s">
        <v>10</v>
      </c>
      <c r="K130" s="1054" t="s">
        <v>1552</v>
      </c>
      <c r="L130" s="1054" t="s">
        <v>10</v>
      </c>
      <c r="M130" s="1057">
        <v>141</v>
      </c>
      <c r="N130" s="1057">
        <v>0.85099999999999998</v>
      </c>
      <c r="O130" s="1057">
        <v>0.85599999999999998</v>
      </c>
      <c r="P130" s="1057">
        <v>0.80600000000000005</v>
      </c>
      <c r="Q130" s="1057">
        <v>0.81499999999999995</v>
      </c>
      <c r="R130" s="1057">
        <v>771233</v>
      </c>
      <c r="S130" s="1057">
        <v>740219</v>
      </c>
      <c r="T130" s="1058">
        <f t="shared" si="26"/>
        <v>229441.81749999998</v>
      </c>
      <c r="U130" s="1057">
        <v>472605</v>
      </c>
      <c r="V130" s="1057">
        <v>267614</v>
      </c>
      <c r="W130" s="1057">
        <v>3892</v>
      </c>
      <c r="X130" s="1057">
        <v>0</v>
      </c>
      <c r="Y130" s="1057">
        <v>0</v>
      </c>
      <c r="Z130" s="1057">
        <v>0</v>
      </c>
      <c r="AA130" s="1057">
        <v>969660.8175</v>
      </c>
      <c r="AB130" s="1057">
        <v>229441.8175</v>
      </c>
      <c r="AC130" s="1057">
        <v>740219</v>
      </c>
      <c r="AD130" s="1057">
        <v>0</v>
      </c>
      <c r="AE130" s="1057">
        <v>0</v>
      </c>
      <c r="AF130" s="1057">
        <v>0</v>
      </c>
      <c r="AG130" s="1057">
        <v>740219</v>
      </c>
      <c r="AH130" s="1057">
        <v>0</v>
      </c>
      <c r="AI130" s="1057">
        <v>0</v>
      </c>
      <c r="AJ130" s="1053" t="s">
        <v>900</v>
      </c>
      <c r="AK130" s="1053" t="s">
        <v>907</v>
      </c>
      <c r="AL130" s="1054" t="s">
        <v>1416</v>
      </c>
      <c r="AM130" s="1053" t="s">
        <v>10</v>
      </c>
      <c r="AN130" s="1054" t="s">
        <v>241</v>
      </c>
      <c r="AO130" s="1054">
        <v>229441.8175</v>
      </c>
      <c r="AP130" s="1059">
        <f t="shared" si="48"/>
        <v>227.90770000000003</v>
      </c>
      <c r="AQ130" s="1059">
        <f t="shared" si="27"/>
        <v>239.90770000000003</v>
      </c>
      <c r="AR130" s="1052">
        <v>0</v>
      </c>
      <c r="AS130" s="1052">
        <v>0</v>
      </c>
      <c r="AT130" s="1052">
        <v>103</v>
      </c>
      <c r="AU130" s="1052">
        <v>9</v>
      </c>
      <c r="AV130" s="1052">
        <v>0</v>
      </c>
      <c r="AW130" s="1052">
        <v>0</v>
      </c>
      <c r="AX130" s="1052">
        <v>2</v>
      </c>
      <c r="AY130" s="1052">
        <v>0</v>
      </c>
      <c r="AZ130" s="1052">
        <v>0</v>
      </c>
      <c r="BA130" s="1052">
        <v>0</v>
      </c>
      <c r="BB130" s="1052">
        <v>11</v>
      </c>
      <c r="BC130" s="1052">
        <v>1</v>
      </c>
      <c r="BD130" s="1052">
        <v>0</v>
      </c>
      <c r="BE130" s="1052">
        <v>0</v>
      </c>
      <c r="BF130" s="1052">
        <v>0</v>
      </c>
      <c r="BG130" s="1052">
        <v>0</v>
      </c>
      <c r="BH130" s="1052">
        <v>0</v>
      </c>
      <c r="BI130" s="1052">
        <v>0</v>
      </c>
      <c r="BJ130" s="1052">
        <v>0</v>
      </c>
      <c r="BK130" s="1052">
        <v>0</v>
      </c>
      <c r="BL130" s="1052">
        <v>31780</v>
      </c>
      <c r="BM130" s="1052">
        <v>0</v>
      </c>
      <c r="BN130" s="1052">
        <v>9128</v>
      </c>
      <c r="BO130" s="1052">
        <v>729.99699999999996</v>
      </c>
      <c r="BR130" s="1140">
        <f t="shared" si="28"/>
        <v>0</v>
      </c>
      <c r="BS130" s="1140">
        <f t="shared" si="29"/>
        <v>1430555.5555555557</v>
      </c>
      <c r="BT130" s="1140">
        <f t="shared" si="30"/>
        <v>125000.00000000001</v>
      </c>
      <c r="BU130" s="1140">
        <f t="shared" si="31"/>
        <v>1555555.5555555557</v>
      </c>
      <c r="BV130" s="1140">
        <f t="shared" si="41"/>
        <v>0</v>
      </c>
      <c r="BW130" s="1140">
        <f t="shared" si="42"/>
        <v>400</v>
      </c>
      <c r="BX130" s="1140">
        <f t="shared" si="43"/>
        <v>0</v>
      </c>
      <c r="BY130" s="1140">
        <f t="shared" si="32"/>
        <v>400</v>
      </c>
      <c r="CA130" s="1140">
        <f t="shared" si="33"/>
        <v>0</v>
      </c>
      <c r="CB130" s="1140">
        <f t="shared" si="34"/>
        <v>1430555.5555555557</v>
      </c>
      <c r="CC130" s="1140">
        <f t="shared" si="35"/>
        <v>125000.00000000001</v>
      </c>
      <c r="CD130" s="1140">
        <f t="shared" si="36"/>
        <v>1555555.5555555557</v>
      </c>
      <c r="CE130" s="1140">
        <f t="shared" si="37"/>
        <v>0</v>
      </c>
      <c r="CF130" s="1140">
        <f t="shared" si="38"/>
        <v>400</v>
      </c>
      <c r="CG130" s="1140">
        <f t="shared" si="39"/>
        <v>0</v>
      </c>
      <c r="CH130" s="1140">
        <f t="shared" si="40"/>
        <v>400</v>
      </c>
    </row>
    <row r="131" spans="1:119" ht="15" customHeight="1" x14ac:dyDescent="0.2">
      <c r="A131" s="1052">
        <v>1509</v>
      </c>
      <c r="B131" s="1052"/>
      <c r="C131" s="1053" t="s">
        <v>243</v>
      </c>
      <c r="D131" s="1054" t="s">
        <v>243</v>
      </c>
      <c r="E131" s="1055">
        <f t="shared" si="49"/>
        <v>147240.11119999998</v>
      </c>
      <c r="F131" s="1055">
        <v>0</v>
      </c>
      <c r="G131" s="1056">
        <f t="shared" si="47"/>
        <v>147240.11119999998</v>
      </c>
      <c r="H131" s="1053" t="s">
        <v>10</v>
      </c>
      <c r="I131" s="1054" t="s">
        <v>1416</v>
      </c>
      <c r="J131" s="1054" t="s">
        <v>1417</v>
      </c>
      <c r="K131" s="1054" t="s">
        <v>81</v>
      </c>
      <c r="L131" s="1054" t="s">
        <v>10</v>
      </c>
      <c r="M131" s="1057">
        <v>43</v>
      </c>
      <c r="N131" s="1057">
        <v>0.999</v>
      </c>
      <c r="O131" s="1057">
        <v>1</v>
      </c>
      <c r="P131" s="1057">
        <v>1</v>
      </c>
      <c r="Q131" s="1057">
        <v>0.89700000000000002</v>
      </c>
      <c r="R131" s="1057">
        <v>458455</v>
      </c>
      <c r="S131" s="1057">
        <v>422618</v>
      </c>
      <c r="T131" s="1058">
        <f t="shared" ref="T131:T194" si="50">IF(I131="regional",IF(R131&gt;0,R131*0.2975,S131*0.3484),S131*0.1939)</f>
        <v>136390.36249999999</v>
      </c>
      <c r="U131" s="1057">
        <v>307884</v>
      </c>
      <c r="V131" s="1057">
        <v>114734</v>
      </c>
      <c r="W131" s="1057">
        <v>1868</v>
      </c>
      <c r="X131" s="1057">
        <v>0</v>
      </c>
      <c r="Y131" s="1057">
        <v>0</v>
      </c>
      <c r="Z131" s="1057">
        <v>0</v>
      </c>
      <c r="AA131" s="1057">
        <v>559008.36250000005</v>
      </c>
      <c r="AB131" s="1057">
        <v>136390.36249999999</v>
      </c>
      <c r="AC131" s="1057">
        <v>422618</v>
      </c>
      <c r="AD131" s="1057">
        <v>0</v>
      </c>
      <c r="AE131" s="1057">
        <v>0</v>
      </c>
      <c r="AF131" s="1057">
        <v>0</v>
      </c>
      <c r="AG131" s="1057">
        <v>422618</v>
      </c>
      <c r="AH131" s="1057">
        <v>0</v>
      </c>
      <c r="AI131" s="1057">
        <v>0</v>
      </c>
      <c r="AJ131" s="1053">
        <v>4</v>
      </c>
      <c r="AK131" s="1053" t="s">
        <v>899</v>
      </c>
      <c r="AL131" s="1054" t="s">
        <v>1416</v>
      </c>
      <c r="AM131" s="1053" t="s">
        <v>10</v>
      </c>
      <c r="AN131" s="1054" t="s">
        <v>243</v>
      </c>
      <c r="AO131" s="1054">
        <v>136390.36249999999</v>
      </c>
      <c r="AP131" s="1059">
        <f t="shared" si="48"/>
        <v>44.572394000000003</v>
      </c>
      <c r="AQ131" s="1059">
        <f t="shared" ref="AQ131:AQ194" si="51">AR131+AT131+AU131+AV131+AX131+AY131+AZ131+BB131+BC131+BD131+BF131+BG131+BH131+BJ131+BK131+(BL131+BM131+BN131)/1000+(0.1*BO131)</f>
        <v>45.572394000000003</v>
      </c>
      <c r="AR131" s="1052">
        <v>14</v>
      </c>
      <c r="AS131" s="1052">
        <v>0</v>
      </c>
      <c r="AT131" s="1052">
        <v>19</v>
      </c>
      <c r="AU131" s="1052">
        <v>3</v>
      </c>
      <c r="AV131" s="1052">
        <v>0</v>
      </c>
      <c r="AW131" s="1052">
        <v>0</v>
      </c>
      <c r="AX131" s="1052">
        <v>1</v>
      </c>
      <c r="AY131" s="1052">
        <v>1</v>
      </c>
      <c r="AZ131" s="1052">
        <v>0</v>
      </c>
      <c r="BA131" s="1052">
        <v>0</v>
      </c>
      <c r="BB131" s="1052">
        <v>1</v>
      </c>
      <c r="BC131" s="1052">
        <v>0</v>
      </c>
      <c r="BD131" s="1052">
        <v>0</v>
      </c>
      <c r="BE131" s="1052">
        <v>0</v>
      </c>
      <c r="BF131" s="1052">
        <v>0</v>
      </c>
      <c r="BG131" s="1052">
        <v>0</v>
      </c>
      <c r="BH131" s="1052">
        <v>0</v>
      </c>
      <c r="BI131" s="1052">
        <v>0</v>
      </c>
      <c r="BJ131" s="1052">
        <v>0</v>
      </c>
      <c r="BK131" s="1052">
        <v>0</v>
      </c>
      <c r="BL131" s="1052">
        <v>0</v>
      </c>
      <c r="BM131" s="1052">
        <v>0</v>
      </c>
      <c r="BN131" s="1052">
        <v>0</v>
      </c>
      <c r="BO131" s="1052">
        <v>65.723939999999999</v>
      </c>
      <c r="BR131" s="1140">
        <f t="shared" ref="BR131:BR194" si="52">AR131*1000/0.072</f>
        <v>194444.44444444447</v>
      </c>
      <c r="BS131" s="1140">
        <f t="shared" ref="BS131:BS194" si="53">AT131*1000/0.072</f>
        <v>263888.88888888893</v>
      </c>
      <c r="BT131" s="1140">
        <f t="shared" ref="BT131:BT194" si="54">AU131*1000/0.072</f>
        <v>41666.666666666672</v>
      </c>
      <c r="BU131" s="1140">
        <f t="shared" ref="BU131:BU194" si="55">SUM(BR131:BT131)</f>
        <v>500000.00000000006</v>
      </c>
      <c r="BV131" s="1140">
        <f t="shared" si="41"/>
        <v>0</v>
      </c>
      <c r="BW131" s="1140">
        <f t="shared" si="42"/>
        <v>200</v>
      </c>
      <c r="BX131" s="1140">
        <f t="shared" si="43"/>
        <v>200</v>
      </c>
      <c r="BY131" s="1140">
        <f t="shared" ref="BY131:BY194" si="56">SUM(BV131:BX131)</f>
        <v>400</v>
      </c>
      <c r="CA131" s="1140">
        <f t="shared" ref="CA131:CA194" si="57">IF($AM131="n",0,BR131)</f>
        <v>194444.44444444447</v>
      </c>
      <c r="CB131" s="1140">
        <f t="shared" ref="CB131:CB194" si="58">IF($AM131="n",0,BS131)</f>
        <v>263888.88888888893</v>
      </c>
      <c r="CC131" s="1140">
        <f t="shared" ref="CC131:CC194" si="59">IF($AM131="n",0,BT131)</f>
        <v>41666.666666666672</v>
      </c>
      <c r="CD131" s="1140">
        <f t="shared" ref="CD131:CD194" si="60">SUM(CA131:CC131)</f>
        <v>500000.00000000006</v>
      </c>
      <c r="CE131" s="1140">
        <f t="shared" ref="CE131:CE194" si="61">IF($AM$2="n",0,BV131)</f>
        <v>0</v>
      </c>
      <c r="CF131" s="1140">
        <f t="shared" ref="CF131:CF194" si="62">IF($AM$2="n",0,BW131)</f>
        <v>200</v>
      </c>
      <c r="CG131" s="1140">
        <f t="shared" ref="CG131:CG194" si="63">IF($AM$2="n",0,BX131)</f>
        <v>200</v>
      </c>
      <c r="CH131" s="1140">
        <f t="shared" ref="CH131:CH194" si="64">SUM(CE131:CG131)</f>
        <v>400</v>
      </c>
    </row>
    <row r="132" spans="1:119" s="1069" customFormat="1" ht="15" customHeight="1" x14ac:dyDescent="0.2">
      <c r="A132" s="1052">
        <v>3724</v>
      </c>
      <c r="B132" s="1052"/>
      <c r="C132" s="1053" t="s">
        <v>245</v>
      </c>
      <c r="D132" s="1054" t="s">
        <v>245</v>
      </c>
      <c r="E132" s="1055">
        <f t="shared" si="49"/>
        <v>17152.975699999999</v>
      </c>
      <c r="F132" s="1055">
        <v>0</v>
      </c>
      <c r="G132" s="1056">
        <f t="shared" si="47"/>
        <v>17152.975699999999</v>
      </c>
      <c r="H132" s="1053" t="s">
        <v>10</v>
      </c>
      <c r="I132" s="1054" t="s">
        <v>1512</v>
      </c>
      <c r="J132" s="1054" t="s">
        <v>10</v>
      </c>
      <c r="K132" s="1054" t="s">
        <v>81</v>
      </c>
      <c r="L132" s="1054" t="s">
        <v>10</v>
      </c>
      <c r="M132" s="1057">
        <v>2</v>
      </c>
      <c r="N132" s="1057">
        <v>0.48199999999999998</v>
      </c>
      <c r="O132" s="1057">
        <v>0.49199999999999999</v>
      </c>
      <c r="P132" s="1057">
        <v>0.49199999999999999</v>
      </c>
      <c r="Q132" s="1057">
        <v>0.24</v>
      </c>
      <c r="R132" s="1057">
        <v>0</v>
      </c>
      <c r="S132" s="1057">
        <v>88463</v>
      </c>
      <c r="T132" s="1058">
        <f t="shared" si="50"/>
        <v>17152.975699999999</v>
      </c>
      <c r="U132" s="1057">
        <v>58820</v>
      </c>
      <c r="V132" s="1057">
        <v>29643</v>
      </c>
      <c r="W132" s="1057">
        <v>460</v>
      </c>
      <c r="X132" s="1057">
        <v>0</v>
      </c>
      <c r="Y132" s="1057">
        <v>0</v>
      </c>
      <c r="Z132" s="1057">
        <v>0</v>
      </c>
      <c r="AA132" s="1057">
        <v>105615.9757</v>
      </c>
      <c r="AB132" s="1057">
        <v>17152.975699999999</v>
      </c>
      <c r="AC132" s="1057">
        <v>88463</v>
      </c>
      <c r="AD132" s="1057">
        <v>0</v>
      </c>
      <c r="AE132" s="1057">
        <v>0</v>
      </c>
      <c r="AF132" s="1057">
        <v>0</v>
      </c>
      <c r="AG132" s="1057">
        <v>88463</v>
      </c>
      <c r="AH132" s="1057">
        <v>0</v>
      </c>
      <c r="AI132" s="1057">
        <v>0</v>
      </c>
      <c r="AJ132" s="1053">
        <v>4</v>
      </c>
      <c r="AK132" s="1053" t="s">
        <v>899</v>
      </c>
      <c r="AL132" s="1054" t="s">
        <v>1512</v>
      </c>
      <c r="AM132" s="1053" t="s">
        <v>10</v>
      </c>
      <c r="AN132" s="1054" t="s">
        <v>245</v>
      </c>
      <c r="AO132" s="1054">
        <v>17152.975699999999</v>
      </c>
      <c r="AP132" s="1059">
        <f t="shared" si="48"/>
        <v>5.3751420000000003</v>
      </c>
      <c r="AQ132" s="1059">
        <f t="shared" si="51"/>
        <v>5.3751420000000003</v>
      </c>
      <c r="AR132" s="1052">
        <v>0</v>
      </c>
      <c r="AS132" s="1052">
        <v>0</v>
      </c>
      <c r="AT132" s="1052">
        <v>1</v>
      </c>
      <c r="AU132" s="1052">
        <v>0</v>
      </c>
      <c r="AV132" s="1052">
        <v>0</v>
      </c>
      <c r="AW132" s="1052">
        <v>0</v>
      </c>
      <c r="AX132" s="1052">
        <v>0</v>
      </c>
      <c r="AY132" s="1052">
        <v>4</v>
      </c>
      <c r="AZ132" s="1052">
        <v>0</v>
      </c>
      <c r="BA132" s="1052">
        <v>0</v>
      </c>
      <c r="BB132" s="1052">
        <v>0</v>
      </c>
      <c r="BC132" s="1052">
        <v>0</v>
      </c>
      <c r="BD132" s="1052">
        <v>0</v>
      </c>
      <c r="BE132" s="1052">
        <v>0</v>
      </c>
      <c r="BF132" s="1052">
        <v>0</v>
      </c>
      <c r="BG132" s="1052">
        <v>0</v>
      </c>
      <c r="BH132" s="1052">
        <v>0</v>
      </c>
      <c r="BI132" s="1052">
        <v>0</v>
      </c>
      <c r="BJ132" s="1052">
        <v>0</v>
      </c>
      <c r="BK132" s="1052">
        <v>0</v>
      </c>
      <c r="BL132" s="1052">
        <v>0</v>
      </c>
      <c r="BM132" s="1052">
        <v>0</v>
      </c>
      <c r="BN132" s="1052">
        <v>0</v>
      </c>
      <c r="BO132" s="1052">
        <v>3.75142</v>
      </c>
      <c r="BQ132" s="1136"/>
      <c r="BR132" s="1140">
        <f t="shared" si="52"/>
        <v>0</v>
      </c>
      <c r="BS132" s="1140">
        <f t="shared" si="53"/>
        <v>13888.888888888891</v>
      </c>
      <c r="BT132" s="1140">
        <f t="shared" si="54"/>
        <v>0</v>
      </c>
      <c r="BU132" s="1140">
        <f t="shared" si="55"/>
        <v>13888.888888888891</v>
      </c>
      <c r="BV132" s="1140">
        <f t="shared" si="41"/>
        <v>0</v>
      </c>
      <c r="BW132" s="1140">
        <f t="shared" si="42"/>
        <v>0</v>
      </c>
      <c r="BX132" s="1140">
        <f t="shared" si="43"/>
        <v>800</v>
      </c>
      <c r="BY132" s="1140">
        <f t="shared" si="56"/>
        <v>800</v>
      </c>
      <c r="BZ132" s="1136"/>
      <c r="CA132" s="1140">
        <f t="shared" si="57"/>
        <v>0</v>
      </c>
      <c r="CB132" s="1140">
        <f t="shared" si="58"/>
        <v>13888.888888888891</v>
      </c>
      <c r="CC132" s="1140">
        <f t="shared" si="59"/>
        <v>0</v>
      </c>
      <c r="CD132" s="1140">
        <f t="shared" si="60"/>
        <v>13888.888888888891</v>
      </c>
      <c r="CE132" s="1140">
        <f t="shared" si="61"/>
        <v>0</v>
      </c>
      <c r="CF132" s="1140">
        <f t="shared" si="62"/>
        <v>0</v>
      </c>
      <c r="CG132" s="1140">
        <f t="shared" si="63"/>
        <v>800</v>
      </c>
      <c r="CH132" s="1140">
        <f t="shared" si="64"/>
        <v>800</v>
      </c>
      <c r="CI132" s="1146"/>
    </row>
    <row r="133" spans="1:119" s="1082" customFormat="1" ht="15" customHeight="1" x14ac:dyDescent="0.2">
      <c r="A133" s="1091">
        <v>4666</v>
      </c>
      <c r="B133" s="1091"/>
      <c r="C133" s="1097" t="s">
        <v>246</v>
      </c>
      <c r="D133" s="1054" t="s">
        <v>246</v>
      </c>
      <c r="E133" s="1055">
        <f t="shared" si="49"/>
        <v>425807.51199999999</v>
      </c>
      <c r="F133" s="1055">
        <v>0</v>
      </c>
      <c r="G133" s="1056">
        <f t="shared" si="47"/>
        <v>425807.51199999999</v>
      </c>
      <c r="H133" s="1053" t="s">
        <v>10</v>
      </c>
      <c r="I133" s="1054" t="s">
        <v>1416</v>
      </c>
      <c r="J133" s="1054" t="s">
        <v>1417</v>
      </c>
      <c r="K133" s="1054" t="s">
        <v>248</v>
      </c>
      <c r="L133" s="1054" t="s">
        <v>10</v>
      </c>
      <c r="M133" s="1057">
        <v>170</v>
      </c>
      <c r="N133" s="1057">
        <v>0.92700000000000005</v>
      </c>
      <c r="O133" s="1057">
        <v>0.96499999999999997</v>
      </c>
      <c r="P133" s="1057">
        <v>0.93200000000000005</v>
      </c>
      <c r="Q133" s="1057">
        <v>0.95199999999999996</v>
      </c>
      <c r="R133" s="1057">
        <v>1421049</v>
      </c>
      <c r="S133" s="1057">
        <v>1222180</v>
      </c>
      <c r="T133" s="1058">
        <f t="shared" si="50"/>
        <v>422762.07749999996</v>
      </c>
      <c r="U133" s="1057">
        <v>587591</v>
      </c>
      <c r="V133" s="1057">
        <v>634589</v>
      </c>
      <c r="W133" s="1057">
        <v>6700</v>
      </c>
      <c r="X133" s="1057">
        <v>0</v>
      </c>
      <c r="Y133" s="1057">
        <v>0</v>
      </c>
      <c r="Z133" s="1057">
        <v>0</v>
      </c>
      <c r="AA133" s="1057">
        <v>1644942.078</v>
      </c>
      <c r="AB133" s="1057">
        <v>422762.07750000001</v>
      </c>
      <c r="AC133" s="1057">
        <v>1222180</v>
      </c>
      <c r="AD133" s="1057">
        <v>0</v>
      </c>
      <c r="AE133" s="1057">
        <v>0</v>
      </c>
      <c r="AF133" s="1057">
        <v>0</v>
      </c>
      <c r="AG133" s="1057">
        <v>1222180</v>
      </c>
      <c r="AH133" s="1057">
        <v>0</v>
      </c>
      <c r="AI133" s="1057">
        <v>0</v>
      </c>
      <c r="AJ133" s="1053" t="s">
        <v>908</v>
      </c>
      <c r="AK133" s="1053" t="s">
        <v>909</v>
      </c>
      <c r="AL133" s="1054" t="s">
        <v>1416</v>
      </c>
      <c r="AM133" s="1053" t="s">
        <v>10</v>
      </c>
      <c r="AN133" s="1054" t="s">
        <v>246</v>
      </c>
      <c r="AO133" s="1054">
        <v>422762.07750000001</v>
      </c>
      <c r="AP133" s="1059">
        <f t="shared" si="48"/>
        <v>1573</v>
      </c>
      <c r="AQ133" s="1059">
        <f t="shared" si="51"/>
        <v>1666</v>
      </c>
      <c r="AR133" s="1081">
        <v>967</v>
      </c>
      <c r="AS133" s="1081">
        <v>0</v>
      </c>
      <c r="AT133" s="1081">
        <v>553</v>
      </c>
      <c r="AU133" s="1081">
        <v>0</v>
      </c>
      <c r="AV133" s="1081">
        <v>0</v>
      </c>
      <c r="AW133" s="1081">
        <v>0</v>
      </c>
      <c r="AX133" s="1081">
        <v>0</v>
      </c>
      <c r="AY133" s="1081">
        <v>0</v>
      </c>
      <c r="AZ133" s="1081">
        <v>0</v>
      </c>
      <c r="BA133" s="1081">
        <v>165</v>
      </c>
      <c r="BB133" s="1081">
        <v>93</v>
      </c>
      <c r="BC133" s="1081">
        <v>0</v>
      </c>
      <c r="BD133" s="1052">
        <v>11</v>
      </c>
      <c r="BE133" s="1052">
        <v>0</v>
      </c>
      <c r="BF133" s="1052">
        <v>0</v>
      </c>
      <c r="BG133" s="1052">
        <v>0</v>
      </c>
      <c r="BH133" s="1052">
        <v>42</v>
      </c>
      <c r="BI133" s="1052">
        <v>0</v>
      </c>
      <c r="BJ133" s="1052">
        <v>0</v>
      </c>
      <c r="BK133" s="1052">
        <v>0</v>
      </c>
      <c r="BL133" s="1081">
        <v>0</v>
      </c>
      <c r="BM133" s="1081">
        <v>0</v>
      </c>
      <c r="BN133" s="1081">
        <v>0</v>
      </c>
      <c r="BO133" s="1052">
        <v>0</v>
      </c>
      <c r="BP133" s="1069"/>
      <c r="BQ133" s="1136"/>
      <c r="BR133" s="1140">
        <f t="shared" si="52"/>
        <v>13430555.555555556</v>
      </c>
      <c r="BS133" s="1140">
        <f t="shared" si="53"/>
        <v>7680555.555555556</v>
      </c>
      <c r="BT133" s="1140">
        <f t="shared" si="54"/>
        <v>0</v>
      </c>
      <c r="BU133" s="1140">
        <f t="shared" si="55"/>
        <v>21111111.111111112</v>
      </c>
      <c r="BV133" s="1140">
        <f t="shared" ref="BV133:BV196" si="65">AV133*1000/5</f>
        <v>0</v>
      </c>
      <c r="BW133" s="1140">
        <f t="shared" ref="BW133:BW196" si="66">AX133*1000/5</f>
        <v>0</v>
      </c>
      <c r="BX133" s="1140">
        <f t="shared" ref="BX133:BX196" si="67">AY133*1000/5</f>
        <v>0</v>
      </c>
      <c r="BY133" s="1140">
        <f t="shared" si="56"/>
        <v>0</v>
      </c>
      <c r="BZ133" s="1136"/>
      <c r="CA133" s="1140">
        <f t="shared" si="57"/>
        <v>13430555.555555556</v>
      </c>
      <c r="CB133" s="1140">
        <f t="shared" si="58"/>
        <v>7680555.555555556</v>
      </c>
      <c r="CC133" s="1140">
        <f t="shared" si="59"/>
        <v>0</v>
      </c>
      <c r="CD133" s="1140">
        <f t="shared" si="60"/>
        <v>21111111.111111112</v>
      </c>
      <c r="CE133" s="1140">
        <f t="shared" si="61"/>
        <v>0</v>
      </c>
      <c r="CF133" s="1140">
        <f t="shared" si="62"/>
        <v>0</v>
      </c>
      <c r="CG133" s="1140">
        <f t="shared" si="63"/>
        <v>0</v>
      </c>
      <c r="CH133" s="1140">
        <f t="shared" si="64"/>
        <v>0</v>
      </c>
      <c r="CI133" s="1146"/>
      <c r="CJ133" s="1069"/>
      <c r="CK133" s="1069"/>
      <c r="CL133" s="1069"/>
      <c r="CM133" s="1069"/>
      <c r="CN133" s="1069"/>
      <c r="CO133" s="1069"/>
      <c r="CP133" s="1069"/>
      <c r="CQ133" s="1069"/>
      <c r="CR133" s="1069"/>
      <c r="CS133" s="1069"/>
      <c r="CT133" s="1069"/>
      <c r="CU133" s="1069"/>
      <c r="CV133" s="1069"/>
      <c r="CW133" s="1069"/>
      <c r="CX133" s="1069"/>
      <c r="CY133" s="1069"/>
      <c r="CZ133" s="1069"/>
      <c r="DA133" s="1069"/>
      <c r="DB133" s="1069"/>
      <c r="DC133" s="1069"/>
      <c r="DD133" s="1069"/>
      <c r="DE133" s="1069"/>
      <c r="DF133" s="1069"/>
      <c r="DG133" s="1069"/>
      <c r="DH133" s="1069"/>
      <c r="DI133" s="1069"/>
      <c r="DJ133" s="1069"/>
      <c r="DK133" s="1069"/>
      <c r="DL133" s="1069"/>
      <c r="DM133" s="1069"/>
      <c r="DN133" s="1069"/>
      <c r="DO133" s="1069"/>
    </row>
    <row r="134" spans="1:119" ht="15" customHeight="1" x14ac:dyDescent="0.2">
      <c r="A134" s="1080">
        <v>4667</v>
      </c>
      <c r="B134" s="1080" t="s">
        <v>1412</v>
      </c>
      <c r="C134" s="1083" t="s">
        <v>939</v>
      </c>
      <c r="D134" s="1063" t="s">
        <v>939</v>
      </c>
      <c r="E134" s="1055">
        <f t="shared" si="49"/>
        <v>7849.4597999999996</v>
      </c>
      <c r="F134" s="1064" t="s">
        <v>10</v>
      </c>
      <c r="G134" s="1056" t="e">
        <f t="shared" si="47"/>
        <v>#VALUE!</v>
      </c>
      <c r="H134" s="1083" t="s">
        <v>10</v>
      </c>
      <c r="I134" s="1063" t="s">
        <v>911</v>
      </c>
      <c r="J134" s="1063" t="s">
        <v>10</v>
      </c>
      <c r="K134" s="1063" t="s">
        <v>10</v>
      </c>
      <c r="L134" s="1063" t="s">
        <v>10</v>
      </c>
      <c r="M134" s="1065" t="s">
        <v>10</v>
      </c>
      <c r="N134" s="1065" t="s">
        <v>10</v>
      </c>
      <c r="O134" s="1065" t="s">
        <v>10</v>
      </c>
      <c r="P134" s="1065" t="s">
        <v>10</v>
      </c>
      <c r="Q134" s="1065" t="s">
        <v>10</v>
      </c>
      <c r="R134" s="1065" t="s">
        <v>10</v>
      </c>
      <c r="S134" s="1065">
        <v>40482</v>
      </c>
      <c r="T134" s="1058">
        <f t="shared" si="50"/>
        <v>7849.4597999999996</v>
      </c>
      <c r="U134" s="1065" t="s">
        <v>10</v>
      </c>
      <c r="V134" s="1065" t="s">
        <v>10</v>
      </c>
      <c r="W134" s="1065" t="s">
        <v>10</v>
      </c>
      <c r="X134" s="1065" t="s">
        <v>10</v>
      </c>
      <c r="Y134" s="1065" t="s">
        <v>10</v>
      </c>
      <c r="Z134" s="1065" t="s">
        <v>10</v>
      </c>
      <c r="AA134" s="1065" t="s">
        <v>10</v>
      </c>
      <c r="AB134" s="1065" t="s">
        <v>10</v>
      </c>
      <c r="AC134" s="1065" t="s">
        <v>10</v>
      </c>
      <c r="AD134" s="1065" t="s">
        <v>10</v>
      </c>
      <c r="AE134" s="1065" t="s">
        <v>10</v>
      </c>
      <c r="AF134" s="1065" t="s">
        <v>10</v>
      </c>
      <c r="AG134" s="1065" t="s">
        <v>10</v>
      </c>
      <c r="AH134" s="1065" t="s">
        <v>10</v>
      </c>
      <c r="AI134" s="1065" t="s">
        <v>10</v>
      </c>
      <c r="AJ134" s="1083" t="s">
        <v>908</v>
      </c>
      <c r="AK134" s="1083" t="s">
        <v>909</v>
      </c>
      <c r="AL134" s="1078" t="s">
        <v>911</v>
      </c>
      <c r="AM134" s="1083" t="s">
        <v>10</v>
      </c>
      <c r="AN134" s="1078" t="s">
        <v>939</v>
      </c>
      <c r="AO134" s="1078">
        <v>0</v>
      </c>
      <c r="AP134" s="1079">
        <v>0</v>
      </c>
      <c r="AQ134" s="1059">
        <f t="shared" si="51"/>
        <v>159</v>
      </c>
      <c r="AR134" s="753">
        <v>0</v>
      </c>
      <c r="AS134" s="753">
        <v>0</v>
      </c>
      <c r="AT134" s="753">
        <v>136</v>
      </c>
      <c r="AU134" s="753">
        <v>0</v>
      </c>
      <c r="AV134" s="753">
        <v>0</v>
      </c>
      <c r="AW134" s="753">
        <v>0</v>
      </c>
      <c r="AX134" s="753">
        <v>15</v>
      </c>
      <c r="AY134" s="753">
        <v>0</v>
      </c>
      <c r="AZ134" s="753">
        <v>0</v>
      </c>
      <c r="BA134" s="753">
        <v>0</v>
      </c>
      <c r="BB134" s="753">
        <v>2</v>
      </c>
      <c r="BC134" s="753">
        <v>0</v>
      </c>
      <c r="BD134" s="1061">
        <v>0</v>
      </c>
      <c r="BE134" s="1061">
        <v>0</v>
      </c>
      <c r="BF134" s="1061">
        <v>0</v>
      </c>
      <c r="BG134" s="1061">
        <v>0</v>
      </c>
      <c r="BH134" s="1061">
        <v>0</v>
      </c>
      <c r="BI134" s="1061">
        <v>0</v>
      </c>
      <c r="BJ134" s="1061">
        <v>0</v>
      </c>
      <c r="BK134" s="1061">
        <v>0</v>
      </c>
      <c r="BL134" s="1061">
        <v>0</v>
      </c>
      <c r="BM134" s="1088">
        <v>6000</v>
      </c>
      <c r="BN134" s="1088">
        <v>0</v>
      </c>
      <c r="BO134" s="1080">
        <v>0</v>
      </c>
      <c r="BP134" s="1069"/>
      <c r="BR134" s="1140">
        <f t="shared" si="52"/>
        <v>0</v>
      </c>
      <c r="BS134" s="1140">
        <f t="shared" si="53"/>
        <v>1888888.888888889</v>
      </c>
      <c r="BT134" s="1140">
        <f t="shared" si="54"/>
        <v>0</v>
      </c>
      <c r="BU134" s="1140">
        <f t="shared" si="55"/>
        <v>1888888.888888889</v>
      </c>
      <c r="BV134" s="1140">
        <f t="shared" si="65"/>
        <v>0</v>
      </c>
      <c r="BW134" s="1140">
        <f t="shared" si="66"/>
        <v>3000</v>
      </c>
      <c r="BX134" s="1140">
        <f t="shared" si="67"/>
        <v>0</v>
      </c>
      <c r="BY134" s="1140">
        <f t="shared" si="56"/>
        <v>3000</v>
      </c>
      <c r="CA134" s="1140">
        <f t="shared" si="57"/>
        <v>0</v>
      </c>
      <c r="CB134" s="1140">
        <f t="shared" si="58"/>
        <v>1888888.888888889</v>
      </c>
      <c r="CC134" s="1140">
        <f t="shared" si="59"/>
        <v>0</v>
      </c>
      <c r="CD134" s="1140">
        <f t="shared" si="60"/>
        <v>1888888.888888889</v>
      </c>
      <c r="CE134" s="1140">
        <f t="shared" si="61"/>
        <v>0</v>
      </c>
      <c r="CF134" s="1140">
        <f t="shared" si="62"/>
        <v>3000</v>
      </c>
      <c r="CG134" s="1140">
        <f t="shared" si="63"/>
        <v>0</v>
      </c>
      <c r="CH134" s="1140">
        <f t="shared" si="64"/>
        <v>3000</v>
      </c>
      <c r="CJ134" s="1069"/>
      <c r="CK134" s="1069"/>
      <c r="CL134" s="1069"/>
      <c r="CM134" s="1069"/>
      <c r="CN134" s="1069"/>
      <c r="CO134" s="1069"/>
      <c r="CP134" s="1069"/>
      <c r="CQ134" s="1069"/>
      <c r="CR134" s="1069"/>
      <c r="CS134" s="1069"/>
      <c r="CT134" s="1069"/>
      <c r="CU134" s="1069"/>
      <c r="CV134" s="1069"/>
      <c r="CW134" s="1069"/>
      <c r="CX134" s="1069"/>
      <c r="CY134" s="1069"/>
      <c r="CZ134" s="1069"/>
      <c r="DA134" s="1069"/>
      <c r="DB134" s="1069"/>
      <c r="DC134" s="1069"/>
      <c r="DD134" s="1069"/>
      <c r="DE134" s="1069"/>
      <c r="DF134" s="1069"/>
      <c r="DG134" s="1069"/>
      <c r="DH134" s="1069"/>
      <c r="DI134" s="1069"/>
      <c r="DJ134" s="1069"/>
      <c r="DK134" s="1069"/>
      <c r="DL134" s="1069"/>
      <c r="DM134" s="1069"/>
      <c r="DN134" s="1069"/>
      <c r="DO134" s="1069"/>
    </row>
    <row r="135" spans="1:119" ht="15" customHeight="1" x14ac:dyDescent="0.2">
      <c r="A135" s="1061">
        <v>9780</v>
      </c>
      <c r="B135" s="1061"/>
      <c r="C135" s="1062" t="s">
        <v>250</v>
      </c>
      <c r="D135" s="1054" t="s">
        <v>250</v>
      </c>
      <c r="E135" s="1055">
        <f t="shared" si="49"/>
        <v>303954.26360000001</v>
      </c>
      <c r="F135" s="1055">
        <v>0</v>
      </c>
      <c r="G135" s="1056">
        <f t="shared" si="47"/>
        <v>303954.26360000001</v>
      </c>
      <c r="H135" s="1062" t="s">
        <v>1417</v>
      </c>
      <c r="I135" s="1054" t="s">
        <v>1416</v>
      </c>
      <c r="J135" s="1054" t="s">
        <v>1417</v>
      </c>
      <c r="K135" s="1054" t="s">
        <v>1552</v>
      </c>
      <c r="L135" s="1054" t="s">
        <v>10</v>
      </c>
      <c r="M135" s="1057">
        <v>141</v>
      </c>
      <c r="N135" s="1057">
        <v>0.91800000000000004</v>
      </c>
      <c r="O135" s="1057">
        <v>0.91900000000000004</v>
      </c>
      <c r="P135" s="1057">
        <v>0.95699999999999996</v>
      </c>
      <c r="Q135" s="1057">
        <v>0.94499999999999995</v>
      </c>
      <c r="R135" s="1057">
        <v>1030690</v>
      </c>
      <c r="S135" s="1057">
        <v>872429</v>
      </c>
      <c r="T135" s="1058">
        <f t="shared" si="50"/>
        <v>306630.27499999997</v>
      </c>
      <c r="U135" s="1057">
        <v>683308</v>
      </c>
      <c r="V135" s="1057">
        <v>189121</v>
      </c>
      <c r="W135" s="1057">
        <v>4984</v>
      </c>
      <c r="X135" s="1057">
        <v>0</v>
      </c>
      <c r="Y135" s="1057">
        <v>0</v>
      </c>
      <c r="Z135" s="1057">
        <v>0</v>
      </c>
      <c r="AA135" s="1057">
        <v>1179059.2749999999</v>
      </c>
      <c r="AB135" s="1057">
        <v>306630.27500000002</v>
      </c>
      <c r="AC135" s="1057">
        <v>872429</v>
      </c>
      <c r="AD135" s="1057">
        <v>0</v>
      </c>
      <c r="AE135" s="1057">
        <v>0</v>
      </c>
      <c r="AF135" s="1057">
        <v>0</v>
      </c>
      <c r="AG135" s="1057">
        <v>872429</v>
      </c>
      <c r="AH135" s="1057">
        <v>0</v>
      </c>
      <c r="AI135" s="1057">
        <v>0</v>
      </c>
      <c r="AJ135" s="1062" t="s">
        <v>900</v>
      </c>
      <c r="AK135" s="1062" t="s">
        <v>907</v>
      </c>
      <c r="AL135" s="1066" t="s">
        <v>1416</v>
      </c>
      <c r="AM135" s="1062" t="s">
        <v>1417</v>
      </c>
      <c r="AN135" s="1066" t="s">
        <v>250</v>
      </c>
      <c r="AO135" s="1066">
        <v>306630.27500000002</v>
      </c>
      <c r="AP135" s="1067">
        <f>AR135+AT135+AU135+AV135+AX135+AY135+AZ135+BD135+BF135+BG135+BH135+BJ135+BK135+(BL135+BM135+BN135)/1000+(0.1*BO135)</f>
        <v>460.12</v>
      </c>
      <c r="AQ135" s="1059">
        <f t="shared" si="51"/>
        <v>496.12</v>
      </c>
      <c r="AR135" s="1061">
        <v>0</v>
      </c>
      <c r="AS135" s="1061">
        <v>0</v>
      </c>
      <c r="AT135" s="1061">
        <v>251</v>
      </c>
      <c r="AU135" s="1061">
        <v>3</v>
      </c>
      <c r="AV135" s="1061">
        <v>0</v>
      </c>
      <c r="AW135" s="1061">
        <v>0</v>
      </c>
      <c r="AX135" s="1061">
        <v>1</v>
      </c>
      <c r="AY135" s="1061">
        <v>0</v>
      </c>
      <c r="AZ135" s="1061">
        <v>0</v>
      </c>
      <c r="BA135" s="1061">
        <v>0</v>
      </c>
      <c r="BB135" s="1061">
        <v>36</v>
      </c>
      <c r="BC135" s="1061">
        <v>0</v>
      </c>
      <c r="BD135" s="1061">
        <v>0</v>
      </c>
      <c r="BE135" s="1061">
        <v>0</v>
      </c>
      <c r="BF135" s="1061">
        <v>0</v>
      </c>
      <c r="BG135" s="1061">
        <v>0</v>
      </c>
      <c r="BH135" s="1061">
        <v>0</v>
      </c>
      <c r="BI135" s="1061">
        <v>0</v>
      </c>
      <c r="BJ135" s="1061">
        <v>0</v>
      </c>
      <c r="BK135" s="1061">
        <v>0</v>
      </c>
      <c r="BL135" s="1061">
        <v>0</v>
      </c>
      <c r="BM135" s="1061">
        <v>81652</v>
      </c>
      <c r="BN135" s="1061">
        <v>0</v>
      </c>
      <c r="BO135" s="1061">
        <v>1234.68</v>
      </c>
      <c r="BP135" s="1069"/>
      <c r="BR135" s="1140">
        <f t="shared" si="52"/>
        <v>0</v>
      </c>
      <c r="BS135" s="1140">
        <f t="shared" si="53"/>
        <v>3486111.1111111115</v>
      </c>
      <c r="BT135" s="1140">
        <f t="shared" si="54"/>
        <v>41666.666666666672</v>
      </c>
      <c r="BU135" s="1140">
        <f t="shared" si="55"/>
        <v>3527777.777777778</v>
      </c>
      <c r="BV135" s="1140">
        <f t="shared" si="65"/>
        <v>0</v>
      </c>
      <c r="BW135" s="1140">
        <f t="shared" si="66"/>
        <v>200</v>
      </c>
      <c r="BX135" s="1140">
        <f t="shared" si="67"/>
        <v>0</v>
      </c>
      <c r="BY135" s="1140">
        <f t="shared" si="56"/>
        <v>200</v>
      </c>
      <c r="CA135" s="1140">
        <f t="shared" si="57"/>
        <v>0</v>
      </c>
      <c r="CB135" s="1140">
        <f t="shared" si="58"/>
        <v>0</v>
      </c>
      <c r="CC135" s="1140">
        <f t="shared" si="59"/>
        <v>0</v>
      </c>
      <c r="CD135" s="1140">
        <f t="shared" si="60"/>
        <v>0</v>
      </c>
      <c r="CE135" s="1140">
        <f t="shared" si="61"/>
        <v>0</v>
      </c>
      <c r="CF135" s="1140">
        <f t="shared" si="62"/>
        <v>200</v>
      </c>
      <c r="CG135" s="1140">
        <f t="shared" si="63"/>
        <v>0</v>
      </c>
      <c r="CH135" s="1140">
        <f t="shared" si="64"/>
        <v>200</v>
      </c>
      <c r="CJ135" s="1069"/>
      <c r="CK135" s="1069"/>
      <c r="CL135" s="1069"/>
      <c r="CM135" s="1069"/>
      <c r="CN135" s="1069"/>
      <c r="CO135" s="1069"/>
      <c r="CP135" s="1069"/>
      <c r="CQ135" s="1069"/>
      <c r="CR135" s="1069"/>
      <c r="CS135" s="1069"/>
      <c r="CT135" s="1069"/>
      <c r="CU135" s="1069"/>
      <c r="CV135" s="1069"/>
      <c r="CW135" s="1069"/>
      <c r="CX135" s="1069"/>
      <c r="CY135" s="1069"/>
      <c r="CZ135" s="1069"/>
      <c r="DA135" s="1069"/>
      <c r="DB135" s="1069"/>
      <c r="DC135" s="1069"/>
      <c r="DD135" s="1069"/>
      <c r="DE135" s="1069"/>
      <c r="DF135" s="1069"/>
      <c r="DG135" s="1069"/>
      <c r="DH135" s="1069"/>
      <c r="DI135" s="1069"/>
      <c r="DJ135" s="1069"/>
      <c r="DK135" s="1069"/>
      <c r="DL135" s="1069"/>
      <c r="DM135" s="1069"/>
      <c r="DN135" s="1069"/>
      <c r="DO135" s="1069"/>
    </row>
    <row r="136" spans="1:119" s="1082" customFormat="1" ht="15" customHeight="1" x14ac:dyDescent="0.2">
      <c r="A136" s="1061">
        <v>2580</v>
      </c>
      <c r="B136" s="1061" t="s">
        <v>1412</v>
      </c>
      <c r="C136" s="1062" t="s">
        <v>251</v>
      </c>
      <c r="D136" s="1054" t="s">
        <v>251</v>
      </c>
      <c r="E136" s="1055">
        <f t="shared" si="49"/>
        <v>219659.92879999999</v>
      </c>
      <c r="F136" s="1055">
        <v>0</v>
      </c>
      <c r="G136" s="1056">
        <f t="shared" si="47"/>
        <v>219659.92879999999</v>
      </c>
      <c r="H136" s="1062" t="s">
        <v>10</v>
      </c>
      <c r="I136" s="1054" t="s">
        <v>1416</v>
      </c>
      <c r="J136" s="1054" t="s">
        <v>1412</v>
      </c>
      <c r="K136" s="1054" t="s">
        <v>1568</v>
      </c>
      <c r="L136" s="1054" t="s">
        <v>10</v>
      </c>
      <c r="M136" s="1057">
        <v>104</v>
      </c>
      <c r="N136" s="1057">
        <v>0.82899999999999996</v>
      </c>
      <c r="O136" s="1057">
        <v>0.83199999999999996</v>
      </c>
      <c r="P136" s="1057">
        <v>0.89</v>
      </c>
      <c r="Q136" s="1057">
        <v>0.78700000000000003</v>
      </c>
      <c r="R136" s="1057">
        <v>767081</v>
      </c>
      <c r="S136" s="1057">
        <v>630482</v>
      </c>
      <c r="T136" s="1058">
        <f t="shared" si="50"/>
        <v>228206.5975</v>
      </c>
      <c r="U136" s="1057">
        <v>376198</v>
      </c>
      <c r="V136" s="1057">
        <v>254284</v>
      </c>
      <c r="W136" s="1057">
        <v>3600</v>
      </c>
      <c r="X136" s="1057">
        <v>0</v>
      </c>
      <c r="Y136" s="1057">
        <v>0</v>
      </c>
      <c r="Z136" s="1057">
        <v>0</v>
      </c>
      <c r="AA136" s="1057">
        <v>858688.59750000003</v>
      </c>
      <c r="AB136" s="1057">
        <v>228206.5975</v>
      </c>
      <c r="AC136" s="1057">
        <v>630482</v>
      </c>
      <c r="AD136" s="1057">
        <v>0</v>
      </c>
      <c r="AE136" s="1057">
        <v>0</v>
      </c>
      <c r="AF136" s="1057">
        <v>630482</v>
      </c>
      <c r="AG136" s="1057">
        <v>0</v>
      </c>
      <c r="AH136" s="1057">
        <v>586000</v>
      </c>
      <c r="AI136" s="1057">
        <v>484000</v>
      </c>
      <c r="AJ136" s="1062" t="s">
        <v>900</v>
      </c>
      <c r="AK136" s="1062" t="s">
        <v>901</v>
      </c>
      <c r="AL136" s="1066" t="s">
        <v>1416</v>
      </c>
      <c r="AM136" s="1062" t="s">
        <v>10</v>
      </c>
      <c r="AN136" s="1066" t="s">
        <v>251</v>
      </c>
      <c r="AO136" s="1066">
        <v>228206.5975</v>
      </c>
      <c r="AP136" s="1067">
        <f>AR136+AT136+AU136+AV136+AX136+AY136+AZ136+BD136+BF136+BG136+BH136+BJ136+BK136+(BL136+BM136+BN136)/1000+(0.1*BO136)</f>
        <v>238.64669999999998</v>
      </c>
      <c r="AQ136" s="1059">
        <f t="shared" si="51"/>
        <v>268.64670000000001</v>
      </c>
      <c r="AR136" s="1109">
        <v>35</v>
      </c>
      <c r="AS136" s="1109">
        <v>484</v>
      </c>
      <c r="AT136" s="1109">
        <v>85</v>
      </c>
      <c r="AU136" s="1109">
        <v>40</v>
      </c>
      <c r="AV136" s="1061">
        <v>0</v>
      </c>
      <c r="AW136" s="1061">
        <v>0</v>
      </c>
      <c r="AX136" s="1061">
        <v>0</v>
      </c>
      <c r="AY136" s="1061">
        <v>0</v>
      </c>
      <c r="AZ136" s="1109">
        <v>0</v>
      </c>
      <c r="BA136" s="1109">
        <v>17</v>
      </c>
      <c r="BB136" s="1109">
        <v>30</v>
      </c>
      <c r="BC136" s="1109">
        <v>0</v>
      </c>
      <c r="BD136" s="1109">
        <v>22</v>
      </c>
      <c r="BE136" s="1109">
        <v>0</v>
      </c>
      <c r="BF136" s="1109">
        <v>0</v>
      </c>
      <c r="BG136" s="1109">
        <v>0</v>
      </c>
      <c r="BH136" s="1109">
        <v>0</v>
      </c>
      <c r="BI136" s="1109">
        <v>0</v>
      </c>
      <c r="BJ136" s="1109">
        <v>0</v>
      </c>
      <c r="BK136" s="1109">
        <v>0</v>
      </c>
      <c r="BL136" s="1109">
        <v>8534</v>
      </c>
      <c r="BM136" s="1109">
        <v>0</v>
      </c>
      <c r="BN136" s="1109">
        <v>10755</v>
      </c>
      <c r="BO136" s="1061">
        <v>373.577</v>
      </c>
      <c r="BP136" s="1069"/>
      <c r="BQ136" s="1136"/>
      <c r="BR136" s="1140">
        <f t="shared" si="52"/>
        <v>486111.11111111112</v>
      </c>
      <c r="BS136" s="1140">
        <f t="shared" si="53"/>
        <v>1180555.5555555557</v>
      </c>
      <c r="BT136" s="1140">
        <f t="shared" si="54"/>
        <v>555555.55555555562</v>
      </c>
      <c r="BU136" s="1140">
        <f t="shared" si="55"/>
        <v>2222222.2222222225</v>
      </c>
      <c r="BV136" s="1140">
        <f t="shared" si="65"/>
        <v>0</v>
      </c>
      <c r="BW136" s="1140">
        <f t="shared" si="66"/>
        <v>0</v>
      </c>
      <c r="BX136" s="1140">
        <f t="shared" si="67"/>
        <v>0</v>
      </c>
      <c r="BY136" s="1140">
        <f t="shared" si="56"/>
        <v>0</v>
      </c>
      <c r="BZ136" s="1136"/>
      <c r="CA136" s="1140">
        <f t="shared" si="57"/>
        <v>486111.11111111112</v>
      </c>
      <c r="CB136" s="1140">
        <f t="shared" si="58"/>
        <v>1180555.5555555557</v>
      </c>
      <c r="CC136" s="1140">
        <f t="shared" si="59"/>
        <v>555555.55555555562</v>
      </c>
      <c r="CD136" s="1140">
        <f t="shared" si="60"/>
        <v>2222222.2222222225</v>
      </c>
      <c r="CE136" s="1140">
        <f t="shared" si="61"/>
        <v>0</v>
      </c>
      <c r="CF136" s="1140">
        <f t="shared" si="62"/>
        <v>0</v>
      </c>
      <c r="CG136" s="1140">
        <f t="shared" si="63"/>
        <v>0</v>
      </c>
      <c r="CH136" s="1140">
        <f t="shared" si="64"/>
        <v>0</v>
      </c>
      <c r="CI136" s="1146"/>
      <c r="CJ136" s="1069"/>
      <c r="CK136" s="1069"/>
      <c r="CL136" s="1069"/>
      <c r="CM136" s="1069"/>
      <c r="CN136" s="1069"/>
      <c r="CO136" s="1069"/>
      <c r="CP136" s="1069"/>
      <c r="CQ136" s="1069"/>
      <c r="CR136" s="1069"/>
      <c r="CS136" s="1069"/>
      <c r="CT136" s="1069"/>
      <c r="CU136" s="1069"/>
      <c r="CV136" s="1069"/>
      <c r="CW136" s="1069"/>
      <c r="CX136" s="1069"/>
      <c r="CY136" s="1069"/>
      <c r="CZ136" s="1069"/>
      <c r="DA136" s="1069"/>
      <c r="DB136" s="1069"/>
      <c r="DC136" s="1069"/>
      <c r="DD136" s="1069"/>
      <c r="DE136" s="1069"/>
      <c r="DF136" s="1069"/>
      <c r="DG136" s="1069"/>
      <c r="DH136" s="1069"/>
      <c r="DI136" s="1069"/>
      <c r="DJ136" s="1069"/>
      <c r="DK136" s="1069"/>
      <c r="DL136" s="1069"/>
      <c r="DM136" s="1069"/>
      <c r="DN136" s="1069"/>
      <c r="DO136" s="1069"/>
    </row>
    <row r="137" spans="1:119" ht="15" customHeight="1" x14ac:dyDescent="0.2">
      <c r="A137" s="1080">
        <v>3854</v>
      </c>
      <c r="B137" s="1080" t="s">
        <v>1412</v>
      </c>
      <c r="C137" s="1083" t="s">
        <v>253</v>
      </c>
      <c r="D137" s="1054" t="s">
        <v>253</v>
      </c>
      <c r="E137" s="1055">
        <f t="shared" si="49"/>
        <v>0</v>
      </c>
      <c r="F137" s="1055">
        <v>0</v>
      </c>
      <c r="G137" s="1056">
        <f t="shared" si="47"/>
        <v>0</v>
      </c>
      <c r="H137" s="1083" t="s">
        <v>1417</v>
      </c>
      <c r="I137" s="1063" t="s">
        <v>1416</v>
      </c>
      <c r="J137" s="1054" t="s">
        <v>10</v>
      </c>
      <c r="K137" s="1054" t="s">
        <v>10</v>
      </c>
      <c r="L137" s="1054" t="s">
        <v>1412</v>
      </c>
      <c r="M137" s="1057">
        <v>0</v>
      </c>
      <c r="N137" s="1057">
        <v>0</v>
      </c>
      <c r="O137" s="1057">
        <v>0</v>
      </c>
      <c r="P137" s="1057">
        <v>0</v>
      </c>
      <c r="Q137" s="1057">
        <v>0</v>
      </c>
      <c r="R137" s="1057">
        <v>727381</v>
      </c>
      <c r="S137" s="1057">
        <v>0</v>
      </c>
      <c r="T137" s="1058">
        <f t="shared" si="50"/>
        <v>216395.8475</v>
      </c>
      <c r="U137" s="1057">
        <v>0</v>
      </c>
      <c r="V137" s="1057">
        <v>0</v>
      </c>
      <c r="W137" s="1057">
        <v>0</v>
      </c>
      <c r="X137" s="1057">
        <v>0</v>
      </c>
      <c r="Y137" s="1057">
        <v>0</v>
      </c>
      <c r="Z137" s="1057">
        <v>0</v>
      </c>
      <c r="AA137" s="1057">
        <v>0</v>
      </c>
      <c r="AB137" s="1057">
        <v>0</v>
      </c>
      <c r="AC137" s="1057">
        <v>0</v>
      </c>
      <c r="AD137" s="1057">
        <v>0</v>
      </c>
      <c r="AE137" s="1057">
        <v>0</v>
      </c>
      <c r="AF137" s="1057">
        <v>0</v>
      </c>
      <c r="AG137" s="1057">
        <v>0</v>
      </c>
      <c r="AH137" s="1057">
        <v>364000</v>
      </c>
      <c r="AI137" s="1057">
        <v>360000</v>
      </c>
      <c r="AJ137" s="1083" t="s">
        <v>900</v>
      </c>
      <c r="AK137" s="1083" t="s">
        <v>901</v>
      </c>
      <c r="AL137" s="1078" t="s">
        <v>911</v>
      </c>
      <c r="AM137" s="1062" t="s">
        <v>1417</v>
      </c>
      <c r="AN137" s="1078" t="s">
        <v>253</v>
      </c>
      <c r="AO137" s="1078">
        <v>0</v>
      </c>
      <c r="AP137" s="1079">
        <v>0</v>
      </c>
      <c r="AQ137" s="1059">
        <f t="shared" si="51"/>
        <v>237</v>
      </c>
      <c r="AR137" s="753">
        <v>113</v>
      </c>
      <c r="AS137" s="753">
        <v>360</v>
      </c>
      <c r="AT137" s="753">
        <v>83</v>
      </c>
      <c r="AU137" s="753">
        <v>-2</v>
      </c>
      <c r="AV137" s="1061">
        <v>0</v>
      </c>
      <c r="AW137" s="1061">
        <v>0</v>
      </c>
      <c r="AX137" s="1061">
        <v>0</v>
      </c>
      <c r="AY137" s="1061">
        <v>0</v>
      </c>
      <c r="AZ137" s="753">
        <v>0</v>
      </c>
      <c r="BA137" s="753">
        <v>25</v>
      </c>
      <c r="BB137" s="753">
        <v>29</v>
      </c>
      <c r="BC137" s="753">
        <v>0</v>
      </c>
      <c r="BD137" s="753">
        <v>0</v>
      </c>
      <c r="BE137" s="753">
        <v>0</v>
      </c>
      <c r="BF137" s="753">
        <v>0</v>
      </c>
      <c r="BG137" s="753">
        <v>0</v>
      </c>
      <c r="BH137" s="753">
        <v>0</v>
      </c>
      <c r="BI137" s="753">
        <v>3</v>
      </c>
      <c r="BJ137" s="753">
        <v>0</v>
      </c>
      <c r="BK137" s="753">
        <v>0</v>
      </c>
      <c r="BL137" s="753">
        <v>0</v>
      </c>
      <c r="BM137" s="753">
        <v>9000</v>
      </c>
      <c r="BN137" s="753">
        <v>5000</v>
      </c>
      <c r="BO137" s="1080">
        <v>0</v>
      </c>
      <c r="BR137" s="1140">
        <f t="shared" si="52"/>
        <v>1569444.4444444445</v>
      </c>
      <c r="BS137" s="1140">
        <f t="shared" si="53"/>
        <v>1152777.7777777778</v>
      </c>
      <c r="BT137" s="1140">
        <f t="shared" si="54"/>
        <v>-27777.777777777781</v>
      </c>
      <c r="BU137" s="1140">
        <f t="shared" si="55"/>
        <v>2694444.444444444</v>
      </c>
      <c r="BV137" s="1140">
        <f t="shared" si="65"/>
        <v>0</v>
      </c>
      <c r="BW137" s="1140">
        <f t="shared" si="66"/>
        <v>0</v>
      </c>
      <c r="BX137" s="1140">
        <f t="shared" si="67"/>
        <v>0</v>
      </c>
      <c r="BY137" s="1140">
        <f t="shared" si="56"/>
        <v>0</v>
      </c>
      <c r="CA137" s="1140">
        <f t="shared" si="57"/>
        <v>0</v>
      </c>
      <c r="CB137" s="1140">
        <f t="shared" si="58"/>
        <v>0</v>
      </c>
      <c r="CC137" s="1140">
        <f t="shared" si="59"/>
        <v>0</v>
      </c>
      <c r="CD137" s="1140">
        <f t="shared" si="60"/>
        <v>0</v>
      </c>
      <c r="CE137" s="1140">
        <f t="shared" si="61"/>
        <v>0</v>
      </c>
      <c r="CF137" s="1140">
        <f t="shared" si="62"/>
        <v>0</v>
      </c>
      <c r="CG137" s="1140">
        <f t="shared" si="63"/>
        <v>0</v>
      </c>
      <c r="CH137" s="1140">
        <f t="shared" si="64"/>
        <v>0</v>
      </c>
    </row>
    <row r="138" spans="1:119" ht="15" customHeight="1" x14ac:dyDescent="0.2">
      <c r="A138" s="1052">
        <v>732</v>
      </c>
      <c r="B138" s="1052" t="s">
        <v>1412</v>
      </c>
      <c r="C138" s="1053" t="s">
        <v>254</v>
      </c>
      <c r="D138" s="1054" t="s">
        <v>254</v>
      </c>
      <c r="E138" s="1055">
        <f t="shared" si="49"/>
        <v>205036.5356</v>
      </c>
      <c r="F138" s="1055">
        <v>0</v>
      </c>
      <c r="G138" s="1056">
        <f t="shared" si="47"/>
        <v>205036.5356</v>
      </c>
      <c r="H138" s="1053" t="s">
        <v>10</v>
      </c>
      <c r="I138" s="1054" t="s">
        <v>1416</v>
      </c>
      <c r="J138" s="1054" t="s">
        <v>1412</v>
      </c>
      <c r="K138" s="1054" t="s">
        <v>258</v>
      </c>
      <c r="L138" s="1054" t="s">
        <v>10</v>
      </c>
      <c r="M138" s="1057">
        <v>108</v>
      </c>
      <c r="N138" s="1057">
        <v>0.95499999999999996</v>
      </c>
      <c r="O138" s="1057">
        <v>0.96199999999999997</v>
      </c>
      <c r="P138" s="1057">
        <v>0.91300000000000003</v>
      </c>
      <c r="Q138" s="1057">
        <v>0.91</v>
      </c>
      <c r="R138" s="1057">
        <v>913969</v>
      </c>
      <c r="S138" s="1057">
        <v>588509</v>
      </c>
      <c r="T138" s="1058">
        <f t="shared" si="50"/>
        <v>271905.77749999997</v>
      </c>
      <c r="U138" s="1057">
        <v>545891</v>
      </c>
      <c r="V138" s="1057">
        <v>42618</v>
      </c>
      <c r="W138" s="1057">
        <v>3442</v>
      </c>
      <c r="X138" s="1057">
        <v>0</v>
      </c>
      <c r="Y138" s="1057">
        <v>0</v>
      </c>
      <c r="Z138" s="1057">
        <v>0</v>
      </c>
      <c r="AA138" s="1057">
        <v>860414.77749999997</v>
      </c>
      <c r="AB138" s="1057">
        <v>271905.77750000003</v>
      </c>
      <c r="AC138" s="1057">
        <v>588509</v>
      </c>
      <c r="AD138" s="1057">
        <v>0</v>
      </c>
      <c r="AE138" s="1057">
        <v>0</v>
      </c>
      <c r="AF138" s="1057">
        <v>588509</v>
      </c>
      <c r="AG138" s="1057">
        <v>0</v>
      </c>
      <c r="AH138" s="1057">
        <v>1079000</v>
      </c>
      <c r="AI138" s="1057">
        <v>876000</v>
      </c>
      <c r="AJ138" s="1053">
        <v>4</v>
      </c>
      <c r="AK138" s="1053" t="s">
        <v>921</v>
      </c>
      <c r="AL138" s="1054" t="s">
        <v>1416</v>
      </c>
      <c r="AM138" s="1053" t="s">
        <v>10</v>
      </c>
      <c r="AN138" s="1054" t="s">
        <v>254</v>
      </c>
      <c r="AO138" s="1054">
        <v>271905.77750000003</v>
      </c>
      <c r="AP138" s="1059">
        <f t="shared" ref="AP138:AP145" si="68">AR138+AT138+AU138+AV138+AX138+AY138+AZ138+BD138+BF138+BG138+BH138+BJ138+BK138+(BL138+BM138+BN138)/1000+(0.1*BO138)</f>
        <v>169.918924</v>
      </c>
      <c r="AQ138" s="1059">
        <f t="shared" si="51"/>
        <v>178.918924</v>
      </c>
      <c r="AR138" s="1052">
        <v>26</v>
      </c>
      <c r="AS138" s="1052">
        <v>876</v>
      </c>
      <c r="AT138" s="1052">
        <v>92</v>
      </c>
      <c r="AU138" s="1052">
        <v>19</v>
      </c>
      <c r="AV138" s="1052">
        <v>0</v>
      </c>
      <c r="AW138" s="1052">
        <v>9</v>
      </c>
      <c r="AX138" s="1052">
        <v>9</v>
      </c>
      <c r="AY138" s="1052">
        <v>3</v>
      </c>
      <c r="AZ138" s="1052">
        <v>0</v>
      </c>
      <c r="BA138" s="1052">
        <v>50</v>
      </c>
      <c r="BB138" s="1052">
        <v>9</v>
      </c>
      <c r="BC138" s="1052">
        <v>0</v>
      </c>
      <c r="BD138" s="1052">
        <v>0</v>
      </c>
      <c r="BE138" s="1052">
        <v>0</v>
      </c>
      <c r="BF138" s="1052">
        <v>0</v>
      </c>
      <c r="BG138" s="1052">
        <v>0</v>
      </c>
      <c r="BH138" s="1052">
        <v>0</v>
      </c>
      <c r="BI138" s="1052">
        <v>0</v>
      </c>
      <c r="BJ138" s="1052">
        <v>0</v>
      </c>
      <c r="BK138" s="1052">
        <v>0</v>
      </c>
      <c r="BL138" s="1052">
        <v>0</v>
      </c>
      <c r="BM138" s="1052">
        <v>0</v>
      </c>
      <c r="BN138" s="1052">
        <v>0</v>
      </c>
      <c r="BO138" s="1052">
        <v>209.18924000000001</v>
      </c>
      <c r="BR138" s="1140">
        <f t="shared" si="52"/>
        <v>361111.11111111112</v>
      </c>
      <c r="BS138" s="1140">
        <f t="shared" si="53"/>
        <v>1277777.777777778</v>
      </c>
      <c r="BT138" s="1140">
        <f t="shared" si="54"/>
        <v>263888.88888888893</v>
      </c>
      <c r="BU138" s="1140">
        <f t="shared" si="55"/>
        <v>1902777.777777778</v>
      </c>
      <c r="BV138" s="1140">
        <f t="shared" si="65"/>
        <v>0</v>
      </c>
      <c r="BW138" s="1140">
        <f t="shared" si="66"/>
        <v>1800</v>
      </c>
      <c r="BX138" s="1140">
        <f t="shared" si="67"/>
        <v>600</v>
      </c>
      <c r="BY138" s="1140">
        <f t="shared" si="56"/>
        <v>2400</v>
      </c>
      <c r="CA138" s="1140">
        <f t="shared" si="57"/>
        <v>361111.11111111112</v>
      </c>
      <c r="CB138" s="1140">
        <f t="shared" si="58"/>
        <v>1277777.777777778</v>
      </c>
      <c r="CC138" s="1140">
        <f t="shared" si="59"/>
        <v>263888.88888888893</v>
      </c>
      <c r="CD138" s="1140">
        <f t="shared" si="60"/>
        <v>1902777.777777778</v>
      </c>
      <c r="CE138" s="1140">
        <f t="shared" si="61"/>
        <v>0</v>
      </c>
      <c r="CF138" s="1140">
        <f t="shared" si="62"/>
        <v>1800</v>
      </c>
      <c r="CG138" s="1140">
        <f t="shared" si="63"/>
        <v>600</v>
      </c>
      <c r="CH138" s="1140">
        <f t="shared" si="64"/>
        <v>2400</v>
      </c>
    </row>
    <row r="139" spans="1:119" ht="15" customHeight="1" x14ac:dyDescent="0.2">
      <c r="A139" s="1052">
        <v>9180</v>
      </c>
      <c r="B139" s="1052"/>
      <c r="C139" s="1053" t="s">
        <v>259</v>
      </c>
      <c r="D139" s="1054" t="s">
        <v>259</v>
      </c>
      <c r="E139" s="1055">
        <f t="shared" si="49"/>
        <v>285050.0796</v>
      </c>
      <c r="F139" s="1055">
        <v>0</v>
      </c>
      <c r="G139" s="1056">
        <f t="shared" si="47"/>
        <v>285050.0796</v>
      </c>
      <c r="H139" s="1053" t="s">
        <v>10</v>
      </c>
      <c r="I139" s="1054" t="s">
        <v>1416</v>
      </c>
      <c r="J139" s="1054" t="s">
        <v>1417</v>
      </c>
      <c r="K139" s="1054" t="s">
        <v>261</v>
      </c>
      <c r="L139" s="1054" t="s">
        <v>10</v>
      </c>
      <c r="M139" s="1057">
        <v>137</v>
      </c>
      <c r="N139" s="1057">
        <v>0.35599999999999998</v>
      </c>
      <c r="O139" s="1057">
        <v>0.38600000000000001</v>
      </c>
      <c r="P139" s="1057">
        <v>0.48799999999999999</v>
      </c>
      <c r="Q139" s="1057">
        <v>0.63800000000000001</v>
      </c>
      <c r="R139" s="1057">
        <v>987234</v>
      </c>
      <c r="S139" s="1057">
        <v>818169</v>
      </c>
      <c r="T139" s="1058">
        <f t="shared" si="50"/>
        <v>293702.11499999999</v>
      </c>
      <c r="U139" s="1057">
        <v>519434</v>
      </c>
      <c r="V139" s="1057">
        <v>298735</v>
      </c>
      <c r="W139" s="1057">
        <v>5040</v>
      </c>
      <c r="X139" s="1057">
        <v>0</v>
      </c>
      <c r="Y139" s="1057">
        <v>0</v>
      </c>
      <c r="Z139" s="1057">
        <v>0</v>
      </c>
      <c r="AA139" s="1057">
        <v>1111871.115</v>
      </c>
      <c r="AB139" s="1057">
        <v>293702.11499999999</v>
      </c>
      <c r="AC139" s="1057">
        <v>818169</v>
      </c>
      <c r="AD139" s="1057">
        <v>0</v>
      </c>
      <c r="AE139" s="1057">
        <v>0</v>
      </c>
      <c r="AF139" s="1057">
        <v>0</v>
      </c>
      <c r="AG139" s="1057">
        <v>818169</v>
      </c>
      <c r="AH139" s="1057">
        <v>0</v>
      </c>
      <c r="AI139" s="1057">
        <v>0</v>
      </c>
      <c r="AJ139" s="1053" t="s">
        <v>914</v>
      </c>
      <c r="AK139" s="1053" t="s">
        <v>1555</v>
      </c>
      <c r="AL139" s="1054" t="s">
        <v>1416</v>
      </c>
      <c r="AM139" s="1053" t="s">
        <v>10</v>
      </c>
      <c r="AN139" s="1054" t="s">
        <v>259</v>
      </c>
      <c r="AO139" s="1054">
        <v>293702.11499999999</v>
      </c>
      <c r="AP139" s="1059">
        <f t="shared" si="68"/>
        <v>247.0497</v>
      </c>
      <c r="AQ139" s="1059">
        <f t="shared" si="51"/>
        <v>320.04970000000003</v>
      </c>
      <c r="AR139" s="1052">
        <v>0</v>
      </c>
      <c r="AS139" s="1052">
        <v>0</v>
      </c>
      <c r="AT139" s="1052">
        <v>174</v>
      </c>
      <c r="AU139" s="1052">
        <v>15</v>
      </c>
      <c r="AV139" s="1052">
        <v>0</v>
      </c>
      <c r="AW139" s="1052">
        <v>0</v>
      </c>
      <c r="AX139" s="1052">
        <v>0</v>
      </c>
      <c r="AY139" s="1052">
        <v>0</v>
      </c>
      <c r="AZ139" s="1052">
        <v>0</v>
      </c>
      <c r="BA139" s="1052">
        <v>0</v>
      </c>
      <c r="BB139" s="1052">
        <v>79</v>
      </c>
      <c r="BC139" s="1052">
        <v>-6</v>
      </c>
      <c r="BD139" s="1052">
        <v>0</v>
      </c>
      <c r="BE139" s="1052">
        <v>0</v>
      </c>
      <c r="BF139" s="1052">
        <v>0</v>
      </c>
      <c r="BG139" s="1052">
        <v>0</v>
      </c>
      <c r="BH139" s="1052">
        <v>0</v>
      </c>
      <c r="BI139" s="1052">
        <v>0</v>
      </c>
      <c r="BJ139" s="1052">
        <v>0</v>
      </c>
      <c r="BK139" s="1052">
        <v>0</v>
      </c>
      <c r="BL139" s="1052">
        <v>0</v>
      </c>
      <c r="BM139" s="1052">
        <v>0</v>
      </c>
      <c r="BN139" s="1052">
        <v>5000</v>
      </c>
      <c r="BO139" s="1052">
        <v>530.49699999999996</v>
      </c>
      <c r="BR139" s="1140">
        <f t="shared" si="52"/>
        <v>0</v>
      </c>
      <c r="BS139" s="1140">
        <f t="shared" si="53"/>
        <v>2416666.666666667</v>
      </c>
      <c r="BT139" s="1140">
        <f t="shared" si="54"/>
        <v>208333.33333333334</v>
      </c>
      <c r="BU139" s="1140">
        <f t="shared" si="55"/>
        <v>2625000.0000000005</v>
      </c>
      <c r="BV139" s="1140">
        <f t="shared" si="65"/>
        <v>0</v>
      </c>
      <c r="BW139" s="1140">
        <f t="shared" si="66"/>
        <v>0</v>
      </c>
      <c r="BX139" s="1140">
        <f t="shared" si="67"/>
        <v>0</v>
      </c>
      <c r="BY139" s="1140">
        <f t="shared" si="56"/>
        <v>0</v>
      </c>
      <c r="CA139" s="1140">
        <f t="shared" si="57"/>
        <v>0</v>
      </c>
      <c r="CB139" s="1140">
        <f t="shared" si="58"/>
        <v>2416666.666666667</v>
      </c>
      <c r="CC139" s="1140">
        <f t="shared" si="59"/>
        <v>208333.33333333334</v>
      </c>
      <c r="CD139" s="1140">
        <f t="shared" si="60"/>
        <v>2625000.0000000005</v>
      </c>
      <c r="CE139" s="1140">
        <f t="shared" si="61"/>
        <v>0</v>
      </c>
      <c r="CF139" s="1140">
        <f t="shared" si="62"/>
        <v>0</v>
      </c>
      <c r="CG139" s="1140">
        <f t="shared" si="63"/>
        <v>0</v>
      </c>
      <c r="CH139" s="1140">
        <f t="shared" si="64"/>
        <v>0</v>
      </c>
    </row>
    <row r="140" spans="1:119" ht="15" customHeight="1" x14ac:dyDescent="0.2">
      <c r="A140" s="1052">
        <v>2568</v>
      </c>
      <c r="B140" s="1052"/>
      <c r="C140" s="1053" t="s">
        <v>262</v>
      </c>
      <c r="D140" s="1054" t="s">
        <v>262</v>
      </c>
      <c r="E140" s="1055">
        <f t="shared" si="49"/>
        <v>137713.46159999998</v>
      </c>
      <c r="F140" s="1055">
        <v>0</v>
      </c>
      <c r="G140" s="1056">
        <f t="shared" si="47"/>
        <v>137713.46159999998</v>
      </c>
      <c r="H140" s="1053" t="s">
        <v>10</v>
      </c>
      <c r="I140" s="1054" t="s">
        <v>1416</v>
      </c>
      <c r="J140" s="1054" t="s">
        <v>1417</v>
      </c>
      <c r="K140" s="1054" t="s">
        <v>263</v>
      </c>
      <c r="L140" s="1054" t="s">
        <v>10</v>
      </c>
      <c r="M140" s="1057">
        <v>38</v>
      </c>
      <c r="N140" s="1057">
        <v>0.77100000000000002</v>
      </c>
      <c r="O140" s="1057">
        <v>0.77100000000000002</v>
      </c>
      <c r="P140" s="1057">
        <v>0.874</v>
      </c>
      <c r="Q140" s="1057">
        <v>0.84</v>
      </c>
      <c r="R140" s="1057">
        <v>447368</v>
      </c>
      <c r="S140" s="1057">
        <v>395274</v>
      </c>
      <c r="T140" s="1058">
        <f t="shared" si="50"/>
        <v>133091.97999999998</v>
      </c>
      <c r="U140" s="1057">
        <v>292256</v>
      </c>
      <c r="V140" s="1057">
        <v>103018</v>
      </c>
      <c r="W140" s="1057">
        <v>2565</v>
      </c>
      <c r="X140" s="1057">
        <v>0</v>
      </c>
      <c r="Y140" s="1057">
        <v>0</v>
      </c>
      <c r="Z140" s="1057">
        <v>0</v>
      </c>
      <c r="AA140" s="1057">
        <v>528365.98</v>
      </c>
      <c r="AB140" s="1057">
        <v>133091.98000000001</v>
      </c>
      <c r="AC140" s="1057">
        <v>395274</v>
      </c>
      <c r="AD140" s="1057">
        <v>0</v>
      </c>
      <c r="AE140" s="1057">
        <v>0</v>
      </c>
      <c r="AF140" s="1057">
        <v>0</v>
      </c>
      <c r="AG140" s="1057">
        <v>395274</v>
      </c>
      <c r="AH140" s="1057">
        <v>0</v>
      </c>
      <c r="AI140" s="1057">
        <v>0</v>
      </c>
      <c r="AJ140" s="1053">
        <v>4</v>
      </c>
      <c r="AK140" s="1053" t="s">
        <v>913</v>
      </c>
      <c r="AL140" s="1054" t="s">
        <v>1416</v>
      </c>
      <c r="AM140" s="1053" t="s">
        <v>10</v>
      </c>
      <c r="AN140" s="1054" t="s">
        <v>262</v>
      </c>
      <c r="AO140" s="1054">
        <v>133091.98000000001</v>
      </c>
      <c r="AP140" s="1059">
        <f t="shared" si="68"/>
        <v>238.226</v>
      </c>
      <c r="AQ140" s="1059">
        <f t="shared" si="51"/>
        <v>242.226</v>
      </c>
      <c r="AR140" s="1052">
        <v>10</v>
      </c>
      <c r="AS140" s="1052">
        <v>0</v>
      </c>
      <c r="AT140" s="1052">
        <v>33</v>
      </c>
      <c r="AU140" s="1052">
        <v>6</v>
      </c>
      <c r="AV140" s="1052">
        <v>0</v>
      </c>
      <c r="AW140" s="1052">
        <v>0</v>
      </c>
      <c r="AX140" s="1052">
        <v>13</v>
      </c>
      <c r="AY140" s="1052">
        <v>1</v>
      </c>
      <c r="AZ140" s="1052">
        <v>0</v>
      </c>
      <c r="BA140" s="1052">
        <v>2</v>
      </c>
      <c r="BB140" s="1052">
        <v>3</v>
      </c>
      <c r="BC140" s="1052">
        <v>1</v>
      </c>
      <c r="BD140" s="1052">
        <v>0</v>
      </c>
      <c r="BE140" s="1052">
        <v>0</v>
      </c>
      <c r="BF140" s="1052">
        <v>0</v>
      </c>
      <c r="BG140" s="1052">
        <v>0</v>
      </c>
      <c r="BH140" s="1052">
        <v>0</v>
      </c>
      <c r="BI140" s="1052">
        <v>0</v>
      </c>
      <c r="BJ140" s="1052">
        <v>0</v>
      </c>
      <c r="BK140" s="1052">
        <v>0</v>
      </c>
      <c r="BL140" s="1052">
        <v>0</v>
      </c>
      <c r="BM140" s="1052">
        <v>0</v>
      </c>
      <c r="BN140" s="1052">
        <v>175226</v>
      </c>
      <c r="BO140" s="1052">
        <v>0</v>
      </c>
      <c r="BR140" s="1140">
        <f t="shared" si="52"/>
        <v>138888.88888888891</v>
      </c>
      <c r="BS140" s="1140">
        <f t="shared" si="53"/>
        <v>458333.33333333337</v>
      </c>
      <c r="BT140" s="1140">
        <f t="shared" si="54"/>
        <v>83333.333333333343</v>
      </c>
      <c r="BU140" s="1140">
        <f t="shared" si="55"/>
        <v>680555.55555555562</v>
      </c>
      <c r="BV140" s="1140">
        <f t="shared" si="65"/>
        <v>0</v>
      </c>
      <c r="BW140" s="1140">
        <f t="shared" si="66"/>
        <v>2600</v>
      </c>
      <c r="BX140" s="1140">
        <f t="shared" si="67"/>
        <v>200</v>
      </c>
      <c r="BY140" s="1140">
        <f t="shared" si="56"/>
        <v>2800</v>
      </c>
      <c r="CA140" s="1140">
        <f t="shared" si="57"/>
        <v>138888.88888888891</v>
      </c>
      <c r="CB140" s="1140">
        <f t="shared" si="58"/>
        <v>458333.33333333337</v>
      </c>
      <c r="CC140" s="1140">
        <f t="shared" si="59"/>
        <v>83333.333333333343</v>
      </c>
      <c r="CD140" s="1140">
        <f t="shared" si="60"/>
        <v>680555.55555555562</v>
      </c>
      <c r="CE140" s="1140">
        <f t="shared" si="61"/>
        <v>0</v>
      </c>
      <c r="CF140" s="1140">
        <f t="shared" si="62"/>
        <v>2600</v>
      </c>
      <c r="CG140" s="1140">
        <f t="shared" si="63"/>
        <v>200</v>
      </c>
      <c r="CH140" s="1140">
        <f t="shared" si="64"/>
        <v>2800</v>
      </c>
    </row>
    <row r="141" spans="1:119" ht="15" customHeight="1" x14ac:dyDescent="0.2">
      <c r="A141" s="1052">
        <v>520</v>
      </c>
      <c r="B141" s="1052"/>
      <c r="C141" s="1053" t="s">
        <v>940</v>
      </c>
      <c r="D141" s="1054" t="s">
        <v>940</v>
      </c>
      <c r="E141" s="1055">
        <f t="shared" si="49"/>
        <v>1454.25</v>
      </c>
      <c r="F141" s="1055">
        <v>0</v>
      </c>
      <c r="G141" s="1056">
        <f t="shared" si="47"/>
        <v>1454.25</v>
      </c>
      <c r="H141" s="1053" t="s">
        <v>10</v>
      </c>
      <c r="I141" s="1054" t="s">
        <v>1512</v>
      </c>
      <c r="J141" s="1054" t="s">
        <v>10</v>
      </c>
      <c r="K141" s="1054" t="s">
        <v>263</v>
      </c>
      <c r="L141" s="1054" t="s">
        <v>10</v>
      </c>
      <c r="M141" s="1057">
        <v>1</v>
      </c>
      <c r="N141" s="1057">
        <v>1</v>
      </c>
      <c r="O141" s="1057">
        <v>1</v>
      </c>
      <c r="P141" s="1057">
        <v>1</v>
      </c>
      <c r="Q141" s="1057">
        <v>1</v>
      </c>
      <c r="R141" s="1057">
        <v>0</v>
      </c>
      <c r="S141" s="1057">
        <v>7500</v>
      </c>
      <c r="T141" s="1058">
        <f t="shared" si="50"/>
        <v>1454.25</v>
      </c>
      <c r="U141" s="1057">
        <v>7500</v>
      </c>
      <c r="V141" s="1057">
        <v>0</v>
      </c>
      <c r="W141" s="1057">
        <v>0</v>
      </c>
      <c r="X141" s="1057">
        <v>0</v>
      </c>
      <c r="Y141" s="1057">
        <v>0</v>
      </c>
      <c r="Z141" s="1057">
        <v>0</v>
      </c>
      <c r="AA141" s="1057">
        <v>8954.25</v>
      </c>
      <c r="AB141" s="1057">
        <v>1454.25</v>
      </c>
      <c r="AC141" s="1057">
        <v>7500</v>
      </c>
      <c r="AD141" s="1057">
        <v>0</v>
      </c>
      <c r="AE141" s="1057">
        <v>0</v>
      </c>
      <c r="AF141" s="1057">
        <v>0</v>
      </c>
      <c r="AG141" s="1057">
        <v>7500</v>
      </c>
      <c r="AH141" s="1057">
        <v>0</v>
      </c>
      <c r="AI141" s="1057">
        <v>0</v>
      </c>
      <c r="AJ141" s="1053">
        <v>4</v>
      </c>
      <c r="AK141" s="1053" t="s">
        <v>913</v>
      </c>
      <c r="AL141" s="1054" t="s">
        <v>1512</v>
      </c>
      <c r="AM141" s="1053" t="s">
        <v>10</v>
      </c>
      <c r="AN141" s="1054" t="s">
        <v>262</v>
      </c>
      <c r="AO141" s="1054">
        <v>1454.25</v>
      </c>
      <c r="AP141" s="1059">
        <f t="shared" si="68"/>
        <v>9.7268000000000008</v>
      </c>
      <c r="AQ141" s="1059">
        <f t="shared" si="51"/>
        <v>9.7268000000000008</v>
      </c>
      <c r="AR141" s="1052">
        <v>0</v>
      </c>
      <c r="AS141" s="1052">
        <v>0</v>
      </c>
      <c r="AT141" s="1052">
        <v>0</v>
      </c>
      <c r="AU141" s="1052">
        <v>0</v>
      </c>
      <c r="AV141" s="1052">
        <v>0</v>
      </c>
      <c r="AW141" s="1052">
        <v>0</v>
      </c>
      <c r="AX141" s="1052">
        <v>0</v>
      </c>
      <c r="AY141" s="1052">
        <v>0</v>
      </c>
      <c r="AZ141" s="1052">
        <v>0</v>
      </c>
      <c r="BA141" s="1052">
        <v>0</v>
      </c>
      <c r="BB141" s="1052">
        <v>0</v>
      </c>
      <c r="BC141" s="1052">
        <v>0</v>
      </c>
      <c r="BD141" s="1052">
        <v>0</v>
      </c>
      <c r="BE141" s="1052">
        <v>0</v>
      </c>
      <c r="BF141" s="1052">
        <v>0</v>
      </c>
      <c r="BG141" s="1052">
        <v>0</v>
      </c>
      <c r="BH141" s="1052">
        <v>0</v>
      </c>
      <c r="BI141" s="1052">
        <v>0</v>
      </c>
      <c r="BJ141" s="1052">
        <v>0</v>
      </c>
      <c r="BK141" s="1052">
        <v>0</v>
      </c>
      <c r="BL141" s="1052">
        <v>0</v>
      </c>
      <c r="BM141" s="1052">
        <v>0</v>
      </c>
      <c r="BN141" s="1052">
        <v>0</v>
      </c>
      <c r="BO141" s="1052">
        <v>97.268000000000001</v>
      </c>
      <c r="BR141" s="1140">
        <f t="shared" si="52"/>
        <v>0</v>
      </c>
      <c r="BS141" s="1140">
        <f t="shared" si="53"/>
        <v>0</v>
      </c>
      <c r="BT141" s="1140">
        <f t="shared" si="54"/>
        <v>0</v>
      </c>
      <c r="BU141" s="1140">
        <f t="shared" si="55"/>
        <v>0</v>
      </c>
      <c r="BV141" s="1140">
        <f t="shared" si="65"/>
        <v>0</v>
      </c>
      <c r="BW141" s="1140">
        <f t="shared" si="66"/>
        <v>0</v>
      </c>
      <c r="BX141" s="1140">
        <f t="shared" si="67"/>
        <v>0</v>
      </c>
      <c r="BY141" s="1140">
        <f t="shared" si="56"/>
        <v>0</v>
      </c>
      <c r="CA141" s="1140">
        <f t="shared" si="57"/>
        <v>0</v>
      </c>
      <c r="CB141" s="1140">
        <f t="shared" si="58"/>
        <v>0</v>
      </c>
      <c r="CC141" s="1140">
        <f t="shared" si="59"/>
        <v>0</v>
      </c>
      <c r="CD141" s="1140">
        <f t="shared" si="60"/>
        <v>0</v>
      </c>
      <c r="CE141" s="1140">
        <f t="shared" si="61"/>
        <v>0</v>
      </c>
      <c r="CF141" s="1140">
        <f t="shared" si="62"/>
        <v>0</v>
      </c>
      <c r="CG141" s="1140">
        <f t="shared" si="63"/>
        <v>0</v>
      </c>
      <c r="CH141" s="1140">
        <f t="shared" si="64"/>
        <v>0</v>
      </c>
    </row>
    <row r="142" spans="1:119" ht="15" customHeight="1" x14ac:dyDescent="0.2">
      <c r="A142" s="1052">
        <v>1584</v>
      </c>
      <c r="B142" s="1052"/>
      <c r="C142" s="1053" t="s">
        <v>264</v>
      </c>
      <c r="D142" s="1054" t="s">
        <v>264</v>
      </c>
      <c r="E142" s="1055">
        <f t="shared" si="49"/>
        <v>228399.5428</v>
      </c>
      <c r="F142" s="1055">
        <v>0</v>
      </c>
      <c r="G142" s="1056">
        <f t="shared" si="47"/>
        <v>228399.5428</v>
      </c>
      <c r="H142" s="1053" t="s">
        <v>10</v>
      </c>
      <c r="I142" s="1054" t="s">
        <v>1416</v>
      </c>
      <c r="J142" s="1054" t="s">
        <v>1417</v>
      </c>
      <c r="K142" s="1054" t="s">
        <v>188</v>
      </c>
      <c r="L142" s="1054" t="s">
        <v>10</v>
      </c>
      <c r="M142" s="1057">
        <v>61</v>
      </c>
      <c r="N142" s="1057">
        <v>0.90100000000000002</v>
      </c>
      <c r="O142" s="1057">
        <v>0.92</v>
      </c>
      <c r="P142" s="1057">
        <v>0.89800000000000002</v>
      </c>
      <c r="Q142" s="1057">
        <v>0.85399999999999998</v>
      </c>
      <c r="R142" s="1057">
        <v>705862</v>
      </c>
      <c r="S142" s="1057">
        <v>655567</v>
      </c>
      <c r="T142" s="1058">
        <f t="shared" si="50"/>
        <v>209993.94499999998</v>
      </c>
      <c r="U142" s="1057">
        <v>435956</v>
      </c>
      <c r="V142" s="1057">
        <v>219611</v>
      </c>
      <c r="W142" s="1057">
        <v>3222</v>
      </c>
      <c r="X142" s="1057">
        <v>0</v>
      </c>
      <c r="Y142" s="1057">
        <v>0</v>
      </c>
      <c r="Z142" s="1057">
        <v>0</v>
      </c>
      <c r="AA142" s="1057">
        <v>865560.94499999995</v>
      </c>
      <c r="AB142" s="1057">
        <v>209993.94500000001</v>
      </c>
      <c r="AC142" s="1057">
        <v>655567</v>
      </c>
      <c r="AD142" s="1057">
        <v>0</v>
      </c>
      <c r="AE142" s="1057">
        <v>0</v>
      </c>
      <c r="AF142" s="1057">
        <v>0</v>
      </c>
      <c r="AG142" s="1057">
        <v>655567</v>
      </c>
      <c r="AH142" s="1057">
        <v>0</v>
      </c>
      <c r="AI142" s="1057">
        <v>0</v>
      </c>
      <c r="AJ142" s="1053">
        <v>4</v>
      </c>
      <c r="AK142" s="1053" t="s">
        <v>913</v>
      </c>
      <c r="AL142" s="1054" t="s">
        <v>1416</v>
      </c>
      <c r="AM142" s="1053" t="s">
        <v>10</v>
      </c>
      <c r="AN142" s="1054" t="s">
        <v>264</v>
      </c>
      <c r="AO142" s="1054">
        <v>209993.94500000001</v>
      </c>
      <c r="AP142" s="1059">
        <f t="shared" si="68"/>
        <v>271.185</v>
      </c>
      <c r="AQ142" s="1059">
        <f t="shared" si="51"/>
        <v>285.185</v>
      </c>
      <c r="AR142" s="1052">
        <v>43</v>
      </c>
      <c r="AS142" s="1052">
        <v>0</v>
      </c>
      <c r="AT142" s="1052">
        <v>61</v>
      </c>
      <c r="AU142" s="1052">
        <v>17</v>
      </c>
      <c r="AV142" s="1052">
        <v>0</v>
      </c>
      <c r="AW142" s="1052">
        <v>0</v>
      </c>
      <c r="AX142" s="1052">
        <v>8</v>
      </c>
      <c r="AY142" s="1052">
        <v>1</v>
      </c>
      <c r="AZ142" s="1052">
        <v>0</v>
      </c>
      <c r="BA142" s="1052">
        <v>0</v>
      </c>
      <c r="BB142" s="1052">
        <v>12</v>
      </c>
      <c r="BC142" s="1052">
        <v>2</v>
      </c>
      <c r="BD142" s="1052">
        <v>0</v>
      </c>
      <c r="BE142" s="1052">
        <v>0</v>
      </c>
      <c r="BF142" s="1052">
        <v>0</v>
      </c>
      <c r="BG142" s="1052">
        <v>0</v>
      </c>
      <c r="BH142" s="1052">
        <v>0</v>
      </c>
      <c r="BI142" s="1052">
        <v>0</v>
      </c>
      <c r="BJ142" s="1052">
        <v>0</v>
      </c>
      <c r="BK142" s="1052">
        <v>0</v>
      </c>
      <c r="BL142" s="1052">
        <v>0</v>
      </c>
      <c r="BM142" s="1052">
        <v>0</v>
      </c>
      <c r="BN142" s="1052">
        <v>90213</v>
      </c>
      <c r="BO142" s="1052">
        <v>509.72</v>
      </c>
      <c r="BR142" s="1140">
        <f t="shared" si="52"/>
        <v>597222.22222222225</v>
      </c>
      <c r="BS142" s="1140">
        <f t="shared" si="53"/>
        <v>847222.22222222225</v>
      </c>
      <c r="BT142" s="1140">
        <f t="shared" si="54"/>
        <v>236111.11111111112</v>
      </c>
      <c r="BU142" s="1140">
        <f t="shared" si="55"/>
        <v>1680555.5555555555</v>
      </c>
      <c r="BV142" s="1140">
        <f t="shared" si="65"/>
        <v>0</v>
      </c>
      <c r="BW142" s="1140">
        <f t="shared" si="66"/>
        <v>1600</v>
      </c>
      <c r="BX142" s="1140">
        <f t="shared" si="67"/>
        <v>200</v>
      </c>
      <c r="BY142" s="1140">
        <f t="shared" si="56"/>
        <v>1800</v>
      </c>
      <c r="CA142" s="1140">
        <f t="shared" si="57"/>
        <v>597222.22222222225</v>
      </c>
      <c r="CB142" s="1140">
        <f t="shared" si="58"/>
        <v>847222.22222222225</v>
      </c>
      <c r="CC142" s="1140">
        <f t="shared" si="59"/>
        <v>236111.11111111112</v>
      </c>
      <c r="CD142" s="1140">
        <f t="shared" si="60"/>
        <v>1680555.5555555555</v>
      </c>
      <c r="CE142" s="1140">
        <f t="shared" si="61"/>
        <v>0</v>
      </c>
      <c r="CF142" s="1140">
        <f t="shared" si="62"/>
        <v>1600</v>
      </c>
      <c r="CG142" s="1140">
        <f t="shared" si="63"/>
        <v>200</v>
      </c>
      <c r="CH142" s="1140">
        <f t="shared" si="64"/>
        <v>1800</v>
      </c>
    </row>
    <row r="143" spans="1:119" ht="15" customHeight="1" x14ac:dyDescent="0.2">
      <c r="A143" s="1052">
        <v>2654</v>
      </c>
      <c r="B143" s="1052"/>
      <c r="C143" s="1053" t="s">
        <v>266</v>
      </c>
      <c r="D143" s="1054" t="s">
        <v>266</v>
      </c>
      <c r="E143" s="1055">
        <f t="shared" si="49"/>
        <v>29762.874399999997</v>
      </c>
      <c r="F143" s="1055">
        <v>0</v>
      </c>
      <c r="G143" s="1056">
        <f t="shared" si="47"/>
        <v>29762.874399999997</v>
      </c>
      <c r="H143" s="1053" t="s">
        <v>10</v>
      </c>
      <c r="I143" s="1054" t="s">
        <v>1512</v>
      </c>
      <c r="J143" s="1054" t="s">
        <v>10</v>
      </c>
      <c r="K143" s="1054" t="s">
        <v>188</v>
      </c>
      <c r="L143" s="1054" t="s">
        <v>10</v>
      </c>
      <c r="M143" s="1057">
        <v>0</v>
      </c>
      <c r="N143" s="1057">
        <v>0.94599999999999995</v>
      </c>
      <c r="O143" s="1057">
        <v>0.89900000000000002</v>
      </c>
      <c r="P143" s="1057">
        <v>1</v>
      </c>
      <c r="Q143" s="1057">
        <v>0.86799999999999999</v>
      </c>
      <c r="R143" s="1057">
        <v>0</v>
      </c>
      <c r="S143" s="1057">
        <v>153496</v>
      </c>
      <c r="T143" s="1058">
        <f t="shared" si="50"/>
        <v>29762.874399999997</v>
      </c>
      <c r="U143" s="1057">
        <v>153496</v>
      </c>
      <c r="V143" s="1057">
        <v>0</v>
      </c>
      <c r="W143" s="1057">
        <v>0</v>
      </c>
      <c r="X143" s="1057">
        <v>0</v>
      </c>
      <c r="Y143" s="1057">
        <v>0</v>
      </c>
      <c r="Z143" s="1057">
        <v>0</v>
      </c>
      <c r="AA143" s="1057">
        <v>183258.8744</v>
      </c>
      <c r="AB143" s="1057">
        <v>29762.874400000001</v>
      </c>
      <c r="AC143" s="1057">
        <v>153496</v>
      </c>
      <c r="AD143" s="1057">
        <v>0</v>
      </c>
      <c r="AE143" s="1057">
        <v>0</v>
      </c>
      <c r="AF143" s="1057">
        <v>0</v>
      </c>
      <c r="AG143" s="1057">
        <v>153496</v>
      </c>
      <c r="AH143" s="1057">
        <v>0</v>
      </c>
      <c r="AI143" s="1057">
        <v>0</v>
      </c>
      <c r="AJ143" s="1053">
        <v>4</v>
      </c>
      <c r="AK143" s="1053" t="s">
        <v>913</v>
      </c>
      <c r="AL143" s="1054" t="s">
        <v>1512</v>
      </c>
      <c r="AM143" s="1053" t="s">
        <v>10</v>
      </c>
      <c r="AN143" s="1054" t="s">
        <v>266</v>
      </c>
      <c r="AO143" s="1054">
        <v>29762.874400000001</v>
      </c>
      <c r="AP143" s="1059">
        <f t="shared" si="68"/>
        <v>23.870999999999999</v>
      </c>
      <c r="AQ143" s="1059">
        <f t="shared" si="51"/>
        <v>31.870999999999999</v>
      </c>
      <c r="AR143" s="1052">
        <v>0</v>
      </c>
      <c r="AS143" s="1052">
        <v>0</v>
      </c>
      <c r="AT143" s="1052">
        <v>11</v>
      </c>
      <c r="AU143" s="1052">
        <v>4</v>
      </c>
      <c r="AV143" s="1052">
        <v>0</v>
      </c>
      <c r="AW143" s="1052">
        <v>0</v>
      </c>
      <c r="AX143" s="1052">
        <v>0</v>
      </c>
      <c r="AY143" s="1052">
        <v>1</v>
      </c>
      <c r="AZ143" s="1052">
        <v>0</v>
      </c>
      <c r="BA143" s="1052">
        <v>0</v>
      </c>
      <c r="BB143" s="1052">
        <v>3</v>
      </c>
      <c r="BC143" s="1052">
        <v>5</v>
      </c>
      <c r="BD143" s="1052">
        <v>0</v>
      </c>
      <c r="BE143" s="1052">
        <v>0</v>
      </c>
      <c r="BF143" s="1052">
        <v>0</v>
      </c>
      <c r="BG143" s="1052">
        <v>0</v>
      </c>
      <c r="BH143" s="1052">
        <v>0</v>
      </c>
      <c r="BI143" s="1052">
        <v>0</v>
      </c>
      <c r="BJ143" s="1052">
        <v>0</v>
      </c>
      <c r="BK143" s="1052">
        <v>0</v>
      </c>
      <c r="BL143" s="1052">
        <v>0</v>
      </c>
      <c r="BM143" s="1052">
        <v>0</v>
      </c>
      <c r="BN143" s="1052">
        <v>0</v>
      </c>
      <c r="BO143" s="1052">
        <v>78.709999999999994</v>
      </c>
      <c r="BR143" s="1140">
        <f t="shared" si="52"/>
        <v>0</v>
      </c>
      <c r="BS143" s="1140">
        <f t="shared" si="53"/>
        <v>152777.77777777778</v>
      </c>
      <c r="BT143" s="1140">
        <f t="shared" si="54"/>
        <v>55555.555555555562</v>
      </c>
      <c r="BU143" s="1140">
        <f t="shared" si="55"/>
        <v>208333.33333333334</v>
      </c>
      <c r="BV143" s="1140">
        <f t="shared" si="65"/>
        <v>0</v>
      </c>
      <c r="BW143" s="1140">
        <f t="shared" si="66"/>
        <v>0</v>
      </c>
      <c r="BX143" s="1140">
        <f t="shared" si="67"/>
        <v>200</v>
      </c>
      <c r="BY143" s="1140">
        <f t="shared" si="56"/>
        <v>200</v>
      </c>
      <c r="CA143" s="1140">
        <f t="shared" si="57"/>
        <v>0</v>
      </c>
      <c r="CB143" s="1140">
        <f t="shared" si="58"/>
        <v>152777.77777777778</v>
      </c>
      <c r="CC143" s="1140">
        <f t="shared" si="59"/>
        <v>55555.555555555562</v>
      </c>
      <c r="CD143" s="1140">
        <f t="shared" si="60"/>
        <v>208333.33333333334</v>
      </c>
      <c r="CE143" s="1140">
        <f t="shared" si="61"/>
        <v>0</v>
      </c>
      <c r="CF143" s="1140">
        <f t="shared" si="62"/>
        <v>0</v>
      </c>
      <c r="CG143" s="1140">
        <f t="shared" si="63"/>
        <v>200</v>
      </c>
      <c r="CH143" s="1140">
        <f t="shared" si="64"/>
        <v>200</v>
      </c>
    </row>
    <row r="144" spans="1:119" ht="15" customHeight="1" x14ac:dyDescent="0.2">
      <c r="A144" s="1052">
        <v>4830</v>
      </c>
      <c r="B144" s="1052" t="s">
        <v>1412</v>
      </c>
      <c r="C144" s="1053" t="s">
        <v>941</v>
      </c>
      <c r="D144" s="1054" t="s">
        <v>662</v>
      </c>
      <c r="E144" s="1055">
        <f t="shared" si="49"/>
        <v>317044</v>
      </c>
      <c r="F144" s="1055">
        <v>396000</v>
      </c>
      <c r="G144" s="1056">
        <f t="shared" si="47"/>
        <v>713044</v>
      </c>
      <c r="H144" s="1053" t="s">
        <v>10</v>
      </c>
      <c r="I144" s="1054" t="s">
        <v>1416</v>
      </c>
      <c r="J144" s="1054" t="s">
        <v>1417</v>
      </c>
      <c r="K144" s="1054" t="s">
        <v>269</v>
      </c>
      <c r="L144" s="1054" t="s">
        <v>1412</v>
      </c>
      <c r="M144" s="1057">
        <v>24</v>
      </c>
      <c r="N144" s="1057">
        <v>0.90400000000000003</v>
      </c>
      <c r="O144" s="1057">
        <v>0.93100000000000005</v>
      </c>
      <c r="P144" s="1057">
        <v>0.92500000000000004</v>
      </c>
      <c r="Q144" s="1057">
        <v>0.95199999999999996</v>
      </c>
      <c r="R144" s="1057">
        <v>980009</v>
      </c>
      <c r="S144" s="1057">
        <v>910000</v>
      </c>
      <c r="T144" s="1058">
        <f t="shared" si="50"/>
        <v>291552.67749999999</v>
      </c>
      <c r="U144" s="1057">
        <v>592700</v>
      </c>
      <c r="V144" s="1057">
        <v>317300</v>
      </c>
      <c r="W144" s="1057">
        <v>4000</v>
      </c>
      <c r="X144" s="1057">
        <v>687552.67749999999</v>
      </c>
      <c r="Y144" s="1057">
        <v>291552.67749999999</v>
      </c>
      <c r="Z144" s="1057">
        <v>396000</v>
      </c>
      <c r="AA144" s="1057">
        <v>514000</v>
      </c>
      <c r="AB144" s="1057">
        <v>0</v>
      </c>
      <c r="AC144" s="1057">
        <v>514000</v>
      </c>
      <c r="AD144" s="1057">
        <v>0</v>
      </c>
      <c r="AE144" s="1057">
        <v>396000</v>
      </c>
      <c r="AF144" s="1057">
        <v>0</v>
      </c>
      <c r="AG144" s="1057">
        <v>514000</v>
      </c>
      <c r="AH144" s="1057">
        <v>275000</v>
      </c>
      <c r="AI144" s="1057">
        <v>593000</v>
      </c>
      <c r="AJ144" s="1053">
        <v>4</v>
      </c>
      <c r="AK144" s="1053" t="s">
        <v>917</v>
      </c>
      <c r="AL144" s="1054" t="s">
        <v>1416</v>
      </c>
      <c r="AM144" s="1053" t="s">
        <v>10</v>
      </c>
      <c r="AN144" s="1054" t="s">
        <v>662</v>
      </c>
      <c r="AO144" s="1054">
        <v>687552.67749999999</v>
      </c>
      <c r="AP144" s="1059">
        <f t="shared" si="68"/>
        <v>1267.9439</v>
      </c>
      <c r="AQ144" s="1059">
        <f t="shared" si="51"/>
        <v>1293.9439</v>
      </c>
      <c r="AR144" s="1052">
        <v>662</v>
      </c>
      <c r="AS144" s="1052">
        <v>593</v>
      </c>
      <c r="AT144" s="1052">
        <v>314</v>
      </c>
      <c r="AU144" s="1052">
        <v>6</v>
      </c>
      <c r="AV144" s="1052">
        <v>0</v>
      </c>
      <c r="AW144" s="1052">
        <v>0</v>
      </c>
      <c r="AX144" s="1052">
        <v>64</v>
      </c>
      <c r="AY144" s="1052">
        <v>1</v>
      </c>
      <c r="AZ144" s="1052">
        <v>13</v>
      </c>
      <c r="BA144" s="1052">
        <v>32</v>
      </c>
      <c r="BB144" s="1052">
        <v>25</v>
      </c>
      <c r="BC144" s="1052">
        <v>1</v>
      </c>
      <c r="BD144" s="1052">
        <v>25</v>
      </c>
      <c r="BE144" s="1052">
        <v>3</v>
      </c>
      <c r="BF144" s="1052">
        <v>0</v>
      </c>
      <c r="BG144" s="1052">
        <v>0</v>
      </c>
      <c r="BH144" s="1052">
        <v>175</v>
      </c>
      <c r="BI144" s="1052">
        <v>0</v>
      </c>
      <c r="BJ144" s="1052">
        <v>0</v>
      </c>
      <c r="BK144" s="1052">
        <v>0</v>
      </c>
      <c r="BL144" s="1052">
        <v>0</v>
      </c>
      <c r="BM144" s="1052">
        <v>0</v>
      </c>
      <c r="BN144" s="1052">
        <v>0</v>
      </c>
      <c r="BO144" s="1052">
        <v>79.438999999999993</v>
      </c>
      <c r="BR144" s="1140">
        <f t="shared" si="52"/>
        <v>9194444.4444444459</v>
      </c>
      <c r="BS144" s="1140">
        <f t="shared" si="53"/>
        <v>4361111.111111111</v>
      </c>
      <c r="BT144" s="1140">
        <f t="shared" si="54"/>
        <v>83333.333333333343</v>
      </c>
      <c r="BU144" s="1140">
        <f t="shared" si="55"/>
        <v>13638888.88888889</v>
      </c>
      <c r="BV144" s="1140">
        <f t="shared" si="65"/>
        <v>0</v>
      </c>
      <c r="BW144" s="1140">
        <f t="shared" si="66"/>
        <v>12800</v>
      </c>
      <c r="BX144" s="1140">
        <f t="shared" si="67"/>
        <v>200</v>
      </c>
      <c r="BY144" s="1140">
        <f t="shared" si="56"/>
        <v>13000</v>
      </c>
      <c r="CA144" s="1140">
        <f t="shared" si="57"/>
        <v>9194444.4444444459</v>
      </c>
      <c r="CB144" s="1140">
        <f t="shared" si="58"/>
        <v>4361111.111111111</v>
      </c>
      <c r="CC144" s="1140">
        <f t="shared" si="59"/>
        <v>83333.333333333343</v>
      </c>
      <c r="CD144" s="1140">
        <f t="shared" si="60"/>
        <v>13638888.88888889</v>
      </c>
      <c r="CE144" s="1140">
        <f t="shared" si="61"/>
        <v>0</v>
      </c>
      <c r="CF144" s="1140">
        <f t="shared" si="62"/>
        <v>12800</v>
      </c>
      <c r="CG144" s="1140">
        <f t="shared" si="63"/>
        <v>200</v>
      </c>
      <c r="CH144" s="1140">
        <f t="shared" si="64"/>
        <v>13000</v>
      </c>
    </row>
    <row r="145" spans="1:115" ht="15" customHeight="1" x14ac:dyDescent="0.2">
      <c r="A145" s="1052">
        <v>1585</v>
      </c>
      <c r="B145" s="1052"/>
      <c r="C145" s="1053" t="s">
        <v>270</v>
      </c>
      <c r="D145" s="1054" t="s">
        <v>270</v>
      </c>
      <c r="E145" s="1055">
        <f t="shared" si="49"/>
        <v>17770.934999999998</v>
      </c>
      <c r="F145" s="1055">
        <v>0</v>
      </c>
      <c r="G145" s="1056">
        <f t="shared" si="47"/>
        <v>17770.934999999998</v>
      </c>
      <c r="H145" s="1053" t="s">
        <v>10</v>
      </c>
      <c r="I145" s="1054" t="s">
        <v>1512</v>
      </c>
      <c r="J145" s="1054" t="s">
        <v>10</v>
      </c>
      <c r="K145" s="1054" t="s">
        <v>19</v>
      </c>
      <c r="L145" s="1054" t="s">
        <v>10</v>
      </c>
      <c r="M145" s="1057">
        <v>7</v>
      </c>
      <c r="N145" s="1057">
        <v>1</v>
      </c>
      <c r="O145" s="1057">
        <v>1</v>
      </c>
      <c r="P145" s="1057">
        <v>1</v>
      </c>
      <c r="Q145" s="1057">
        <v>1</v>
      </c>
      <c r="R145" s="1057">
        <v>0</v>
      </c>
      <c r="S145" s="1057">
        <v>91650</v>
      </c>
      <c r="T145" s="1058">
        <f t="shared" si="50"/>
        <v>17770.934999999998</v>
      </c>
      <c r="U145" s="1057">
        <v>24912</v>
      </c>
      <c r="V145" s="1057">
        <v>66738</v>
      </c>
      <c r="W145" s="1057">
        <v>502</v>
      </c>
      <c r="X145" s="1057">
        <v>0</v>
      </c>
      <c r="Y145" s="1057">
        <v>0</v>
      </c>
      <c r="Z145" s="1057">
        <v>0</v>
      </c>
      <c r="AA145" s="1057">
        <v>109420.935</v>
      </c>
      <c r="AB145" s="1057">
        <v>17770.935000000001</v>
      </c>
      <c r="AC145" s="1057">
        <v>91650</v>
      </c>
      <c r="AD145" s="1057">
        <v>0</v>
      </c>
      <c r="AE145" s="1057">
        <v>0</v>
      </c>
      <c r="AF145" s="1057">
        <v>0</v>
      </c>
      <c r="AG145" s="1057">
        <v>91650</v>
      </c>
      <c r="AH145" s="1057">
        <v>0</v>
      </c>
      <c r="AI145" s="1057">
        <v>0</v>
      </c>
      <c r="AJ145" s="1053">
        <v>4</v>
      </c>
      <c r="AK145" s="1053" t="s">
        <v>913</v>
      </c>
      <c r="AL145" s="1054" t="s">
        <v>1512</v>
      </c>
      <c r="AM145" s="1053" t="s">
        <v>10</v>
      </c>
      <c r="AN145" s="1054" t="s">
        <v>270</v>
      </c>
      <c r="AO145" s="1054">
        <v>17770.935000000001</v>
      </c>
      <c r="AP145" s="1059">
        <f t="shared" si="68"/>
        <v>13</v>
      </c>
      <c r="AQ145" s="1059">
        <f t="shared" si="51"/>
        <v>13</v>
      </c>
      <c r="AR145" s="1052">
        <v>0</v>
      </c>
      <c r="AS145" s="1052">
        <v>0</v>
      </c>
      <c r="AT145" s="1052">
        <v>8</v>
      </c>
      <c r="AU145" s="1052">
        <v>5</v>
      </c>
      <c r="AV145" s="1052">
        <v>0</v>
      </c>
      <c r="AW145" s="1052">
        <v>0</v>
      </c>
      <c r="AX145" s="1052">
        <v>0</v>
      </c>
      <c r="AY145" s="1052">
        <v>0</v>
      </c>
      <c r="AZ145" s="1052">
        <v>0</v>
      </c>
      <c r="BA145" s="1052">
        <v>0</v>
      </c>
      <c r="BB145" s="1052">
        <v>0</v>
      </c>
      <c r="BC145" s="1052">
        <v>0</v>
      </c>
      <c r="BD145" s="1052">
        <v>0</v>
      </c>
      <c r="BE145" s="1052">
        <v>0</v>
      </c>
      <c r="BF145" s="1052">
        <v>0</v>
      </c>
      <c r="BG145" s="1052">
        <v>0</v>
      </c>
      <c r="BH145" s="1052">
        <v>0</v>
      </c>
      <c r="BI145" s="1052">
        <v>0</v>
      </c>
      <c r="BJ145" s="1052">
        <v>0</v>
      </c>
      <c r="BK145" s="1052">
        <v>0</v>
      </c>
      <c r="BL145" s="1052">
        <v>0</v>
      </c>
      <c r="BM145" s="1052">
        <v>0</v>
      </c>
      <c r="BN145" s="1052">
        <v>0</v>
      </c>
      <c r="BO145" s="1052">
        <v>0</v>
      </c>
      <c r="BR145" s="1140">
        <f t="shared" si="52"/>
        <v>0</v>
      </c>
      <c r="BS145" s="1140">
        <f t="shared" si="53"/>
        <v>111111.11111111112</v>
      </c>
      <c r="BT145" s="1140">
        <f t="shared" si="54"/>
        <v>69444.444444444453</v>
      </c>
      <c r="BU145" s="1140">
        <f t="shared" si="55"/>
        <v>180555.55555555556</v>
      </c>
      <c r="BV145" s="1140">
        <f t="shared" si="65"/>
        <v>0</v>
      </c>
      <c r="BW145" s="1140">
        <f t="shared" si="66"/>
        <v>0</v>
      </c>
      <c r="BX145" s="1140">
        <f t="shared" si="67"/>
        <v>0</v>
      </c>
      <c r="BY145" s="1140">
        <f t="shared" si="56"/>
        <v>0</v>
      </c>
      <c r="CA145" s="1140">
        <f t="shared" si="57"/>
        <v>0</v>
      </c>
      <c r="CB145" s="1140">
        <f t="shared" si="58"/>
        <v>111111.11111111112</v>
      </c>
      <c r="CC145" s="1140">
        <f t="shared" si="59"/>
        <v>69444.444444444453</v>
      </c>
      <c r="CD145" s="1140">
        <f t="shared" si="60"/>
        <v>180555.55555555556</v>
      </c>
      <c r="CE145" s="1140">
        <f t="shared" si="61"/>
        <v>0</v>
      </c>
      <c r="CF145" s="1140">
        <f t="shared" si="62"/>
        <v>0</v>
      </c>
      <c r="CG145" s="1140">
        <f t="shared" si="63"/>
        <v>0</v>
      </c>
      <c r="CH145" s="1140">
        <f t="shared" si="64"/>
        <v>0</v>
      </c>
    </row>
    <row r="146" spans="1:115" s="1082" customFormat="1" ht="15" customHeight="1" x14ac:dyDescent="0.2">
      <c r="A146" s="1061">
        <v>9395</v>
      </c>
      <c r="B146" s="1061"/>
      <c r="C146" s="1062" t="s">
        <v>272</v>
      </c>
      <c r="D146" s="1054" t="s">
        <v>272</v>
      </c>
      <c r="E146" s="1055">
        <f t="shared" si="49"/>
        <v>94375.589699999997</v>
      </c>
      <c r="F146" s="1055">
        <v>0</v>
      </c>
      <c r="G146" s="1056">
        <f t="shared" si="47"/>
        <v>94375.589699999997</v>
      </c>
      <c r="H146" s="1062" t="s">
        <v>10</v>
      </c>
      <c r="I146" s="1054" t="s">
        <v>275</v>
      </c>
      <c r="J146" s="1054" t="s">
        <v>1417</v>
      </c>
      <c r="K146" s="1054" t="s">
        <v>276</v>
      </c>
      <c r="L146" s="1054" t="s">
        <v>10</v>
      </c>
      <c r="M146" s="1057">
        <v>115</v>
      </c>
      <c r="N146" s="1057">
        <v>0.63700000000000001</v>
      </c>
      <c r="O146" s="1057">
        <v>0.61899999999999999</v>
      </c>
      <c r="P146" s="1057">
        <v>0.55200000000000005</v>
      </c>
      <c r="Q146" s="1057">
        <v>0.53700000000000003</v>
      </c>
      <c r="R146" s="1057">
        <v>640416</v>
      </c>
      <c r="S146" s="1065">
        <v>486723</v>
      </c>
      <c r="T146" s="1058">
        <f t="shared" si="50"/>
        <v>94375.589699999997</v>
      </c>
      <c r="U146" s="1057">
        <v>331831</v>
      </c>
      <c r="V146" s="1057">
        <v>205099</v>
      </c>
      <c r="W146" s="1057">
        <v>3610</v>
      </c>
      <c r="X146" s="1057">
        <v>0</v>
      </c>
      <c r="Y146" s="1057">
        <v>0</v>
      </c>
      <c r="Z146" s="1057">
        <v>0</v>
      </c>
      <c r="AA146" s="1057">
        <v>641040.72699999996</v>
      </c>
      <c r="AB146" s="1057">
        <v>104110.727</v>
      </c>
      <c r="AC146" s="1057">
        <v>536930</v>
      </c>
      <c r="AD146" s="1057">
        <v>0</v>
      </c>
      <c r="AE146" s="1057">
        <v>0</v>
      </c>
      <c r="AF146" s="1057">
        <v>0</v>
      </c>
      <c r="AG146" s="1057">
        <v>536930</v>
      </c>
      <c r="AH146" s="1057">
        <v>0</v>
      </c>
      <c r="AI146" s="1057">
        <v>0</v>
      </c>
      <c r="AJ146" s="1062" t="s">
        <v>900</v>
      </c>
      <c r="AK146" s="1062" t="s">
        <v>922</v>
      </c>
      <c r="AL146" s="1066" t="s">
        <v>942</v>
      </c>
      <c r="AM146" s="1062" t="s">
        <v>10</v>
      </c>
      <c r="AN146" s="1078" t="s">
        <v>943</v>
      </c>
      <c r="AO146" s="1078">
        <v>0</v>
      </c>
      <c r="AP146" s="1079">
        <v>0</v>
      </c>
      <c r="AQ146" s="1059">
        <f t="shared" si="51"/>
        <v>846</v>
      </c>
      <c r="AR146" s="783">
        <v>0</v>
      </c>
      <c r="AS146" s="783">
        <v>0</v>
      </c>
      <c r="AT146" s="783">
        <v>762</v>
      </c>
      <c r="AU146" s="783">
        <v>0</v>
      </c>
      <c r="AV146" s="1061">
        <v>0</v>
      </c>
      <c r="AW146" s="1061">
        <v>0</v>
      </c>
      <c r="AX146" s="1061">
        <v>0</v>
      </c>
      <c r="AY146" s="1061">
        <v>0</v>
      </c>
      <c r="AZ146" s="783">
        <v>0</v>
      </c>
      <c r="BA146" s="783">
        <v>0</v>
      </c>
      <c r="BB146" s="783">
        <v>72</v>
      </c>
      <c r="BC146" s="783">
        <v>0</v>
      </c>
      <c r="BD146" s="1068">
        <v>0</v>
      </c>
      <c r="BE146" s="1068">
        <v>0</v>
      </c>
      <c r="BF146" s="1068">
        <v>0</v>
      </c>
      <c r="BG146" s="1068">
        <v>0</v>
      </c>
      <c r="BH146" s="783">
        <v>0</v>
      </c>
      <c r="BI146" s="783">
        <v>0</v>
      </c>
      <c r="BJ146" s="783">
        <v>0</v>
      </c>
      <c r="BK146" s="783">
        <v>0</v>
      </c>
      <c r="BL146" s="783">
        <v>0</v>
      </c>
      <c r="BM146" s="783">
        <v>12000</v>
      </c>
      <c r="BN146" s="783">
        <v>0</v>
      </c>
      <c r="BO146" s="785"/>
      <c r="BP146" s="1069"/>
      <c r="BQ146" s="1136"/>
      <c r="BR146" s="1140">
        <f t="shared" si="52"/>
        <v>0</v>
      </c>
      <c r="BS146" s="1140">
        <f t="shared" si="53"/>
        <v>10583333.333333334</v>
      </c>
      <c r="BT146" s="1140">
        <f t="shared" si="54"/>
        <v>0</v>
      </c>
      <c r="BU146" s="1140">
        <f t="shared" si="55"/>
        <v>10583333.333333334</v>
      </c>
      <c r="BV146" s="1140">
        <f t="shared" si="65"/>
        <v>0</v>
      </c>
      <c r="BW146" s="1140">
        <f t="shared" si="66"/>
        <v>0</v>
      </c>
      <c r="BX146" s="1140">
        <f t="shared" si="67"/>
        <v>0</v>
      </c>
      <c r="BY146" s="1140">
        <f t="shared" si="56"/>
        <v>0</v>
      </c>
      <c r="BZ146" s="1136"/>
      <c r="CA146" s="1140">
        <f t="shared" si="57"/>
        <v>0</v>
      </c>
      <c r="CB146" s="1140">
        <f t="shared" si="58"/>
        <v>10583333.333333334</v>
      </c>
      <c r="CC146" s="1140">
        <f t="shared" si="59"/>
        <v>0</v>
      </c>
      <c r="CD146" s="1140">
        <f t="shared" si="60"/>
        <v>10583333.333333334</v>
      </c>
      <c r="CE146" s="1140">
        <f t="shared" si="61"/>
        <v>0</v>
      </c>
      <c r="CF146" s="1140">
        <f t="shared" si="62"/>
        <v>0</v>
      </c>
      <c r="CG146" s="1140">
        <f t="shared" si="63"/>
        <v>0</v>
      </c>
      <c r="CH146" s="1140">
        <f t="shared" si="64"/>
        <v>0</v>
      </c>
      <c r="CI146" s="1146"/>
      <c r="CJ146" s="1069"/>
      <c r="CK146" s="1069"/>
      <c r="CL146" s="1069"/>
      <c r="CM146" s="1069"/>
      <c r="CN146" s="1069"/>
      <c r="CO146" s="1069"/>
      <c r="CP146" s="1069"/>
      <c r="CQ146" s="1069"/>
      <c r="CR146" s="1069"/>
      <c r="CS146" s="1069"/>
      <c r="CT146" s="1069"/>
      <c r="CU146" s="1069"/>
      <c r="CV146" s="1069"/>
      <c r="CW146" s="1069"/>
      <c r="CX146" s="1069"/>
      <c r="CY146" s="1069"/>
      <c r="CZ146" s="1069"/>
      <c r="DA146" s="1069"/>
      <c r="DB146" s="1069"/>
      <c r="DC146" s="1069"/>
      <c r="DD146" s="1069"/>
    </row>
    <row r="147" spans="1:115" ht="15" customHeight="1" x14ac:dyDescent="0.2">
      <c r="A147" s="1052">
        <v>9397</v>
      </c>
      <c r="B147" s="1052"/>
      <c r="C147" s="1053" t="s">
        <v>272</v>
      </c>
      <c r="D147" s="1063" t="s">
        <v>272</v>
      </c>
      <c r="E147" s="1055" t="e">
        <f t="shared" si="49"/>
        <v>#VALUE!</v>
      </c>
      <c r="F147" s="1064" t="s">
        <v>10</v>
      </c>
      <c r="G147" s="1056" t="e">
        <f t="shared" si="47"/>
        <v>#VALUE!</v>
      </c>
      <c r="H147" s="1053" t="s">
        <v>10</v>
      </c>
      <c r="I147" s="1063" t="s">
        <v>911</v>
      </c>
      <c r="J147" s="1063" t="s">
        <v>10</v>
      </c>
      <c r="K147" s="1063" t="s">
        <v>10</v>
      </c>
      <c r="L147" s="1063" t="s">
        <v>10</v>
      </c>
      <c r="M147" s="1065" t="s">
        <v>10</v>
      </c>
      <c r="N147" s="1065" t="s">
        <v>10</v>
      </c>
      <c r="O147" s="1065" t="s">
        <v>10</v>
      </c>
      <c r="P147" s="1065" t="s">
        <v>10</v>
      </c>
      <c r="Q147" s="1065" t="s">
        <v>10</v>
      </c>
      <c r="R147" s="1065" t="s">
        <v>10</v>
      </c>
      <c r="S147" s="1065" t="s">
        <v>10</v>
      </c>
      <c r="T147" s="1058" t="e">
        <f t="shared" si="50"/>
        <v>#VALUE!</v>
      </c>
      <c r="U147" s="1065" t="s">
        <v>10</v>
      </c>
      <c r="V147" s="1065" t="s">
        <v>10</v>
      </c>
      <c r="W147" s="1065" t="s">
        <v>10</v>
      </c>
      <c r="X147" s="1065" t="s">
        <v>10</v>
      </c>
      <c r="Y147" s="1065" t="s">
        <v>10</v>
      </c>
      <c r="Z147" s="1065" t="s">
        <v>10</v>
      </c>
      <c r="AA147" s="1065" t="s">
        <v>10</v>
      </c>
      <c r="AB147" s="1065" t="s">
        <v>10</v>
      </c>
      <c r="AC147" s="1065" t="s">
        <v>10</v>
      </c>
      <c r="AD147" s="1065" t="s">
        <v>10</v>
      </c>
      <c r="AE147" s="1065" t="s">
        <v>10</v>
      </c>
      <c r="AF147" s="1065" t="s">
        <v>10</v>
      </c>
      <c r="AG147" s="1065" t="s">
        <v>10</v>
      </c>
      <c r="AH147" s="1065" t="s">
        <v>10</v>
      </c>
      <c r="AI147" s="1065" t="s">
        <v>10</v>
      </c>
      <c r="AJ147" s="1053" t="s">
        <v>900</v>
      </c>
      <c r="AK147" s="1053" t="s">
        <v>922</v>
      </c>
      <c r="AL147" s="1054" t="s">
        <v>275</v>
      </c>
      <c r="AM147" s="1053" t="s">
        <v>10</v>
      </c>
      <c r="AN147" s="1054" t="s">
        <v>272</v>
      </c>
      <c r="AO147" s="1054">
        <v>104110.727</v>
      </c>
      <c r="AP147" s="1059">
        <f>AR147+AT147+AU147+AV147+AX147+AY147+AZ147+BD147+BF147+BG147+BH147+BJ147+BK147+(BL147+BM147+BN147)/1000+(0.1*BO147)</f>
        <v>397.38239999999996</v>
      </c>
      <c r="AQ147" s="1059">
        <f t="shared" si="51"/>
        <v>464.38239999999996</v>
      </c>
      <c r="AR147" s="1052">
        <v>199</v>
      </c>
      <c r="AS147" s="1052">
        <v>0</v>
      </c>
      <c r="AT147" s="1052">
        <v>116</v>
      </c>
      <c r="AU147" s="1052">
        <v>-49</v>
      </c>
      <c r="AV147" s="1052">
        <v>0</v>
      </c>
      <c r="AW147" s="1052">
        <v>0</v>
      </c>
      <c r="AX147" s="1052">
        <v>0</v>
      </c>
      <c r="AY147" s="1052">
        <v>0</v>
      </c>
      <c r="AZ147" s="1052">
        <v>0</v>
      </c>
      <c r="BA147" s="1052">
        <v>0</v>
      </c>
      <c r="BB147" s="1052">
        <v>67</v>
      </c>
      <c r="BC147" s="1052">
        <v>0</v>
      </c>
      <c r="BD147" s="1052">
        <v>12</v>
      </c>
      <c r="BE147" s="1052">
        <v>0</v>
      </c>
      <c r="BF147" s="1052">
        <v>0</v>
      </c>
      <c r="BG147" s="1052">
        <v>0</v>
      </c>
      <c r="BH147" s="1052">
        <v>27</v>
      </c>
      <c r="BI147" s="1052">
        <v>0</v>
      </c>
      <c r="BJ147" s="1052">
        <v>0</v>
      </c>
      <c r="BK147" s="1052">
        <v>0</v>
      </c>
      <c r="BL147" s="1052">
        <v>16458</v>
      </c>
      <c r="BM147" s="1052">
        <v>0</v>
      </c>
      <c r="BN147" s="1052">
        <v>0</v>
      </c>
      <c r="BO147" s="1052">
        <v>759.24400000000003</v>
      </c>
      <c r="BR147" s="1140">
        <f t="shared" si="52"/>
        <v>2763888.888888889</v>
      </c>
      <c r="BS147" s="1140">
        <f t="shared" si="53"/>
        <v>1611111.1111111112</v>
      </c>
      <c r="BT147" s="1140">
        <f t="shared" si="54"/>
        <v>-680555.55555555562</v>
      </c>
      <c r="BU147" s="1140">
        <f t="shared" si="55"/>
        <v>3694444.4444444445</v>
      </c>
      <c r="BV147" s="1140">
        <f t="shared" si="65"/>
        <v>0</v>
      </c>
      <c r="BW147" s="1140">
        <f t="shared" si="66"/>
        <v>0</v>
      </c>
      <c r="BX147" s="1140">
        <f t="shared" si="67"/>
        <v>0</v>
      </c>
      <c r="BY147" s="1140">
        <f t="shared" si="56"/>
        <v>0</v>
      </c>
      <c r="CA147" s="1140">
        <f t="shared" si="57"/>
        <v>2763888.888888889</v>
      </c>
      <c r="CB147" s="1140">
        <f t="shared" si="58"/>
        <v>1611111.1111111112</v>
      </c>
      <c r="CC147" s="1140">
        <f t="shared" si="59"/>
        <v>-680555.55555555562</v>
      </c>
      <c r="CD147" s="1140">
        <f t="shared" si="60"/>
        <v>3694444.4444444445</v>
      </c>
      <c r="CE147" s="1140">
        <f t="shared" si="61"/>
        <v>0</v>
      </c>
      <c r="CF147" s="1140">
        <f t="shared" si="62"/>
        <v>0</v>
      </c>
      <c r="CG147" s="1140">
        <f t="shared" si="63"/>
        <v>0</v>
      </c>
      <c r="CH147" s="1140">
        <f t="shared" si="64"/>
        <v>0</v>
      </c>
    </row>
    <row r="148" spans="1:115" ht="15" customHeight="1" x14ac:dyDescent="0.2">
      <c r="A148" s="1052">
        <v>2810</v>
      </c>
      <c r="B148" s="1052" t="s">
        <v>1412</v>
      </c>
      <c r="C148" s="1053" t="s">
        <v>277</v>
      </c>
      <c r="D148" s="1054" t="s">
        <v>277</v>
      </c>
      <c r="E148" s="1055">
        <f t="shared" si="49"/>
        <v>320775.01559999998</v>
      </c>
      <c r="F148" s="1055">
        <v>699163</v>
      </c>
      <c r="G148" s="1056">
        <f t="shared" si="47"/>
        <v>1019938.0156</v>
      </c>
      <c r="H148" s="1053" t="s">
        <v>1417</v>
      </c>
      <c r="I148" s="1054" t="s">
        <v>1416</v>
      </c>
      <c r="J148" s="1054" t="s">
        <v>1412</v>
      </c>
      <c r="K148" s="1054" t="s">
        <v>279</v>
      </c>
      <c r="L148" s="1054" t="s">
        <v>1412</v>
      </c>
      <c r="M148" s="1057">
        <v>126</v>
      </c>
      <c r="N148" s="1057">
        <v>0.93899999999999995</v>
      </c>
      <c r="O148" s="1057">
        <v>0.93200000000000005</v>
      </c>
      <c r="P148" s="1057">
        <v>0.92900000000000005</v>
      </c>
      <c r="Q148" s="1057">
        <v>0.92700000000000005</v>
      </c>
      <c r="R148" s="1057">
        <v>1400573</v>
      </c>
      <c r="S148" s="1057">
        <v>920709</v>
      </c>
      <c r="T148" s="1058">
        <f t="shared" si="50"/>
        <v>416670.46749999997</v>
      </c>
      <c r="U148" s="1057">
        <v>530971</v>
      </c>
      <c r="V148" s="1057">
        <v>389738</v>
      </c>
      <c r="W148" s="1057">
        <v>4500</v>
      </c>
      <c r="X148" s="1057">
        <v>1115833.4680000001</v>
      </c>
      <c r="Y148" s="1057">
        <v>416670.46750000003</v>
      </c>
      <c r="Z148" s="1057">
        <v>699163</v>
      </c>
      <c r="AA148" s="1057">
        <v>221546</v>
      </c>
      <c r="AB148" s="1057">
        <v>0</v>
      </c>
      <c r="AC148" s="1057">
        <v>221546</v>
      </c>
      <c r="AD148" s="1057">
        <v>699163</v>
      </c>
      <c r="AE148" s="1057">
        <v>0</v>
      </c>
      <c r="AF148" s="1057">
        <v>221546</v>
      </c>
      <c r="AG148" s="1057">
        <v>0</v>
      </c>
      <c r="AH148" s="1057">
        <v>1021000</v>
      </c>
      <c r="AI148" s="1057">
        <v>969000</v>
      </c>
      <c r="AJ148" s="1053" t="s">
        <v>908</v>
      </c>
      <c r="AK148" s="1053" t="s">
        <v>909</v>
      </c>
      <c r="AL148" s="1054" t="s">
        <v>1416</v>
      </c>
      <c r="AM148" s="1053" t="s">
        <v>1417</v>
      </c>
      <c r="AN148" s="1054" t="s">
        <v>277</v>
      </c>
      <c r="AO148" s="1054">
        <v>1115833.4675</v>
      </c>
      <c r="AP148" s="1059">
        <f>AR148+AT148+AU148+AV148+AX148+AY148+AZ148+BD148+BF148+BG148+BH148+BJ148+BK148+(BL148+BM148+BN148)/1000+(0.1*BO148)</f>
        <v>1100.0844000000002</v>
      </c>
      <c r="AQ148" s="1059">
        <f t="shared" si="51"/>
        <v>1268.0844000000002</v>
      </c>
      <c r="AR148" s="1052">
        <v>476</v>
      </c>
      <c r="AS148" s="1052">
        <v>969</v>
      </c>
      <c r="AT148" s="1052">
        <v>278</v>
      </c>
      <c r="AU148" s="1052">
        <v>0</v>
      </c>
      <c r="AV148" s="1052">
        <v>33</v>
      </c>
      <c r="AW148" s="1052">
        <v>17</v>
      </c>
      <c r="AX148" s="1052">
        <v>0</v>
      </c>
      <c r="AY148" s="1052">
        <v>0</v>
      </c>
      <c r="AZ148" s="1052">
        <v>29</v>
      </c>
      <c r="BA148" s="1052">
        <v>48</v>
      </c>
      <c r="BB148" s="1052">
        <v>168</v>
      </c>
      <c r="BC148" s="1052">
        <v>0</v>
      </c>
      <c r="BD148" s="1052">
        <v>69</v>
      </c>
      <c r="BE148" s="1052">
        <v>0</v>
      </c>
      <c r="BF148" s="1052">
        <v>0</v>
      </c>
      <c r="BG148" s="1052">
        <v>0</v>
      </c>
      <c r="BH148" s="1052">
        <v>152</v>
      </c>
      <c r="BI148" s="1052">
        <v>0</v>
      </c>
      <c r="BJ148" s="1052">
        <v>0</v>
      </c>
      <c r="BK148" s="1052">
        <v>0</v>
      </c>
      <c r="BL148" s="1052">
        <v>41063</v>
      </c>
      <c r="BM148" s="1052">
        <v>0</v>
      </c>
      <c r="BN148" s="1052">
        <v>0</v>
      </c>
      <c r="BO148" s="1052">
        <v>220.214</v>
      </c>
      <c r="BR148" s="1140">
        <f t="shared" si="52"/>
        <v>6611111.1111111119</v>
      </c>
      <c r="BS148" s="1140">
        <f t="shared" si="53"/>
        <v>3861111.1111111115</v>
      </c>
      <c r="BT148" s="1140">
        <f t="shared" si="54"/>
        <v>0</v>
      </c>
      <c r="BU148" s="1140">
        <f t="shared" si="55"/>
        <v>10472222.222222224</v>
      </c>
      <c r="BV148" s="1140">
        <f t="shared" si="65"/>
        <v>6600</v>
      </c>
      <c r="BW148" s="1140">
        <f t="shared" si="66"/>
        <v>0</v>
      </c>
      <c r="BX148" s="1140">
        <f t="shared" si="67"/>
        <v>0</v>
      </c>
      <c r="BY148" s="1140">
        <f t="shared" si="56"/>
        <v>6600</v>
      </c>
      <c r="CA148" s="1140">
        <f t="shared" si="57"/>
        <v>0</v>
      </c>
      <c r="CB148" s="1140">
        <f t="shared" si="58"/>
        <v>0</v>
      </c>
      <c r="CC148" s="1140">
        <f t="shared" si="59"/>
        <v>0</v>
      </c>
      <c r="CD148" s="1140">
        <f t="shared" si="60"/>
        <v>0</v>
      </c>
      <c r="CE148" s="1140">
        <f t="shared" si="61"/>
        <v>6600</v>
      </c>
      <c r="CF148" s="1140">
        <f t="shared" si="62"/>
        <v>0</v>
      </c>
      <c r="CG148" s="1140">
        <f t="shared" si="63"/>
        <v>0</v>
      </c>
      <c r="CH148" s="1140">
        <f t="shared" si="64"/>
        <v>6600</v>
      </c>
    </row>
    <row r="149" spans="1:115" ht="15" customHeight="1" x14ac:dyDescent="0.2">
      <c r="A149" s="1070">
        <v>2811</v>
      </c>
      <c r="B149" s="1070"/>
      <c r="C149" s="1070" t="s">
        <v>944</v>
      </c>
      <c r="D149" s="1071" t="s">
        <v>944</v>
      </c>
      <c r="E149" s="1055">
        <f t="shared" si="49"/>
        <v>0</v>
      </c>
      <c r="F149" s="1072"/>
      <c r="G149" s="1056">
        <f t="shared" si="47"/>
        <v>0</v>
      </c>
      <c r="H149" s="1070"/>
      <c r="I149" s="1071" t="s">
        <v>1512</v>
      </c>
      <c r="J149" s="1071"/>
      <c r="K149" s="1071"/>
      <c r="L149" s="1071"/>
      <c r="M149" s="1071"/>
      <c r="N149" s="1071"/>
      <c r="O149" s="1071"/>
      <c r="P149" s="1071"/>
      <c r="Q149" s="1071"/>
      <c r="R149" s="1071"/>
      <c r="S149" s="1071"/>
      <c r="T149" s="1058">
        <f t="shared" si="50"/>
        <v>0</v>
      </c>
      <c r="U149" s="1071"/>
      <c r="V149" s="1071"/>
      <c r="W149" s="1071"/>
      <c r="X149" s="1071"/>
      <c r="Y149" s="1071"/>
      <c r="Z149" s="1071"/>
      <c r="AA149" s="1071"/>
      <c r="AB149" s="1071"/>
      <c r="AC149" s="1071"/>
      <c r="AD149" s="1071"/>
      <c r="AE149" s="1071"/>
      <c r="AF149" s="1071"/>
      <c r="AG149" s="1071"/>
      <c r="AH149" s="1071"/>
      <c r="AI149" s="1071"/>
      <c r="AJ149" s="1070"/>
      <c r="AK149" s="1070"/>
      <c r="AL149" s="1070" t="s">
        <v>1512</v>
      </c>
      <c r="AM149" s="1070"/>
      <c r="AN149" s="1070"/>
      <c r="AO149" s="1070"/>
      <c r="AP149" s="1073"/>
      <c r="AQ149" s="1059">
        <f t="shared" si="51"/>
        <v>12</v>
      </c>
      <c r="AR149" s="753">
        <v>0</v>
      </c>
      <c r="AS149" s="753">
        <v>0</v>
      </c>
      <c r="AT149" s="753">
        <v>12</v>
      </c>
      <c r="AU149" s="753">
        <v>0</v>
      </c>
      <c r="AV149" s="753">
        <v>0</v>
      </c>
      <c r="AW149" s="753">
        <v>0</v>
      </c>
      <c r="AX149" s="753">
        <v>0</v>
      </c>
      <c r="AY149" s="753">
        <v>0</v>
      </c>
      <c r="AZ149" s="753">
        <v>0</v>
      </c>
      <c r="BA149" s="753">
        <v>6</v>
      </c>
      <c r="BB149" s="753">
        <v>0</v>
      </c>
      <c r="BC149" s="753">
        <v>0</v>
      </c>
      <c r="BD149" s="1070"/>
      <c r="BE149" s="1070"/>
      <c r="BF149" s="1070"/>
      <c r="BG149" s="1070"/>
      <c r="BH149" s="1070"/>
      <c r="BI149" s="1070"/>
      <c r="BJ149" s="1070"/>
      <c r="BK149" s="1070"/>
      <c r="BL149" s="1070"/>
      <c r="BM149" s="1070"/>
      <c r="BN149" s="1070"/>
      <c r="BO149" s="1070"/>
      <c r="BR149" s="1140">
        <f t="shared" si="52"/>
        <v>0</v>
      </c>
      <c r="BS149" s="1140">
        <f t="shared" si="53"/>
        <v>166666.66666666669</v>
      </c>
      <c r="BT149" s="1140">
        <f t="shared" si="54"/>
        <v>0</v>
      </c>
      <c r="BU149" s="1140">
        <f t="shared" si="55"/>
        <v>166666.66666666669</v>
      </c>
      <c r="BV149" s="1140">
        <f t="shared" si="65"/>
        <v>0</v>
      </c>
      <c r="BW149" s="1140">
        <f t="shared" si="66"/>
        <v>0</v>
      </c>
      <c r="BX149" s="1140">
        <f t="shared" si="67"/>
        <v>0</v>
      </c>
      <c r="BY149" s="1140">
        <f t="shared" si="56"/>
        <v>0</v>
      </c>
      <c r="CA149" s="1140">
        <f t="shared" si="57"/>
        <v>0</v>
      </c>
      <c r="CB149" s="1140">
        <f t="shared" si="58"/>
        <v>166666.66666666669</v>
      </c>
      <c r="CC149" s="1140">
        <f t="shared" si="59"/>
        <v>0</v>
      </c>
      <c r="CD149" s="1140">
        <f t="shared" si="60"/>
        <v>166666.66666666669</v>
      </c>
      <c r="CE149" s="1140">
        <f t="shared" si="61"/>
        <v>0</v>
      </c>
      <c r="CF149" s="1140">
        <f t="shared" si="62"/>
        <v>0</v>
      </c>
      <c r="CG149" s="1140">
        <f t="shared" si="63"/>
        <v>0</v>
      </c>
      <c r="CH149" s="1140">
        <f t="shared" si="64"/>
        <v>0</v>
      </c>
    </row>
    <row r="150" spans="1:115" ht="15" customHeight="1" x14ac:dyDescent="0.2">
      <c r="A150" s="1052">
        <v>1540</v>
      </c>
      <c r="B150" s="1052"/>
      <c r="C150" s="1053" t="s">
        <v>280</v>
      </c>
      <c r="D150" s="1054" t="s">
        <v>280</v>
      </c>
      <c r="E150" s="1055">
        <f t="shared" si="49"/>
        <v>397718.11040000001</v>
      </c>
      <c r="F150" s="1055">
        <v>0</v>
      </c>
      <c r="G150" s="1056">
        <f t="shared" si="47"/>
        <v>397718.11040000001</v>
      </c>
      <c r="H150" s="1053" t="s">
        <v>10</v>
      </c>
      <c r="I150" s="1054" t="s">
        <v>1416</v>
      </c>
      <c r="J150" s="1054" t="s">
        <v>1417</v>
      </c>
      <c r="K150" s="1054" t="s">
        <v>1568</v>
      </c>
      <c r="L150" s="1054" t="s">
        <v>10</v>
      </c>
      <c r="M150" s="1057">
        <v>113</v>
      </c>
      <c r="N150" s="1057">
        <v>0.74399999999999999</v>
      </c>
      <c r="O150" s="1057">
        <v>0.879</v>
      </c>
      <c r="P150" s="1057">
        <v>0.88400000000000001</v>
      </c>
      <c r="Q150" s="1057">
        <v>0.86499999999999999</v>
      </c>
      <c r="R150" s="1057">
        <v>1288322</v>
      </c>
      <c r="S150" s="1057">
        <v>1141556</v>
      </c>
      <c r="T150" s="1058">
        <f t="shared" si="50"/>
        <v>383275.79499999998</v>
      </c>
      <c r="U150" s="1057">
        <v>839873</v>
      </c>
      <c r="V150" s="1057">
        <v>301683</v>
      </c>
      <c r="W150" s="1057">
        <v>6055</v>
      </c>
      <c r="X150" s="1057">
        <v>0</v>
      </c>
      <c r="Y150" s="1057">
        <v>0</v>
      </c>
      <c r="Z150" s="1057">
        <v>0</v>
      </c>
      <c r="AA150" s="1057">
        <v>1524831.7949999999</v>
      </c>
      <c r="AB150" s="1057">
        <v>383275.79499999998</v>
      </c>
      <c r="AC150" s="1057">
        <v>1141556</v>
      </c>
      <c r="AD150" s="1057">
        <v>0</v>
      </c>
      <c r="AE150" s="1057">
        <v>0</v>
      </c>
      <c r="AF150" s="1057">
        <v>0</v>
      </c>
      <c r="AG150" s="1057">
        <v>1141556</v>
      </c>
      <c r="AH150" s="1057">
        <v>0</v>
      </c>
      <c r="AI150" s="1057">
        <v>0</v>
      </c>
      <c r="AJ150" s="1053" t="s">
        <v>900</v>
      </c>
      <c r="AK150" s="1053" t="s">
        <v>901</v>
      </c>
      <c r="AL150" s="1054" t="s">
        <v>1416</v>
      </c>
      <c r="AM150" s="1053" t="s">
        <v>10</v>
      </c>
      <c r="AN150" s="1054" t="s">
        <v>280</v>
      </c>
      <c r="AO150" s="1054">
        <v>383275.79499999998</v>
      </c>
      <c r="AP150" s="1059">
        <f t="shared" ref="AP150:AP161" si="69">AR150+AT150+AU150+AV150+AX150+AY150+AZ150+BD150+BF150+BG150+BH150+BJ150+BK150+(BL150+BM150+BN150)/1000+(0.1*BO150)</f>
        <v>320.13380000000001</v>
      </c>
      <c r="AQ150" s="1059">
        <f t="shared" si="51"/>
        <v>385.13380000000001</v>
      </c>
      <c r="AR150" s="1052">
        <v>116</v>
      </c>
      <c r="AS150" s="1052">
        <v>6</v>
      </c>
      <c r="AT150" s="1052">
        <v>113</v>
      </c>
      <c r="AU150" s="1052">
        <v>53</v>
      </c>
      <c r="AV150" s="1052">
        <v>0</v>
      </c>
      <c r="AW150" s="1052">
        <v>0</v>
      </c>
      <c r="AX150" s="1052">
        <v>1</v>
      </c>
      <c r="AY150" s="1052">
        <v>0</v>
      </c>
      <c r="AZ150" s="1052">
        <v>0</v>
      </c>
      <c r="BA150" s="1052">
        <v>4</v>
      </c>
      <c r="BB150" s="1052">
        <v>64</v>
      </c>
      <c r="BC150" s="1052">
        <v>1</v>
      </c>
      <c r="BD150" s="1052">
        <v>0</v>
      </c>
      <c r="BE150" s="1052">
        <v>0</v>
      </c>
      <c r="BF150" s="1052">
        <v>0</v>
      </c>
      <c r="BG150" s="1052">
        <v>0</v>
      </c>
      <c r="BH150" s="1052">
        <v>0</v>
      </c>
      <c r="BI150" s="1052">
        <v>0</v>
      </c>
      <c r="BJ150" s="1052">
        <v>0</v>
      </c>
      <c r="BK150" s="1052">
        <v>0</v>
      </c>
      <c r="BL150" s="1052">
        <v>0</v>
      </c>
      <c r="BM150" s="1052">
        <v>0</v>
      </c>
      <c r="BN150" s="1052">
        <v>0</v>
      </c>
      <c r="BO150" s="1052">
        <v>371.33800000000002</v>
      </c>
      <c r="BR150" s="1140">
        <f t="shared" si="52"/>
        <v>1611111.1111111112</v>
      </c>
      <c r="BS150" s="1140">
        <f t="shared" si="53"/>
        <v>1569444.4444444445</v>
      </c>
      <c r="BT150" s="1140">
        <f t="shared" si="54"/>
        <v>736111.11111111112</v>
      </c>
      <c r="BU150" s="1140">
        <f t="shared" si="55"/>
        <v>3916666.666666667</v>
      </c>
      <c r="BV150" s="1140">
        <f t="shared" si="65"/>
        <v>0</v>
      </c>
      <c r="BW150" s="1140">
        <f t="shared" si="66"/>
        <v>200</v>
      </c>
      <c r="BX150" s="1140">
        <f t="shared" si="67"/>
        <v>0</v>
      </c>
      <c r="BY150" s="1140">
        <f t="shared" si="56"/>
        <v>200</v>
      </c>
      <c r="CA150" s="1140">
        <f t="shared" si="57"/>
        <v>1611111.1111111112</v>
      </c>
      <c r="CB150" s="1140">
        <f t="shared" si="58"/>
        <v>1569444.4444444445</v>
      </c>
      <c r="CC150" s="1140">
        <f t="shared" si="59"/>
        <v>736111.11111111112</v>
      </c>
      <c r="CD150" s="1140">
        <f t="shared" si="60"/>
        <v>3916666.666666667</v>
      </c>
      <c r="CE150" s="1140">
        <f t="shared" si="61"/>
        <v>0</v>
      </c>
      <c r="CF150" s="1140">
        <f t="shared" si="62"/>
        <v>200</v>
      </c>
      <c r="CG150" s="1140">
        <f t="shared" si="63"/>
        <v>0</v>
      </c>
      <c r="CH150" s="1140">
        <f t="shared" si="64"/>
        <v>200</v>
      </c>
    </row>
    <row r="151" spans="1:115" ht="15" customHeight="1" x14ac:dyDescent="0.2">
      <c r="A151" s="1052">
        <v>4771</v>
      </c>
      <c r="B151" s="1052" t="s">
        <v>1412</v>
      </c>
      <c r="C151" s="1053" t="s">
        <v>674</v>
      </c>
      <c r="D151" s="1054" t="s">
        <v>674</v>
      </c>
      <c r="E151" s="1055">
        <f t="shared" si="49"/>
        <v>345946.91560000001</v>
      </c>
      <c r="F151" s="1055">
        <v>426000</v>
      </c>
      <c r="G151" s="1056">
        <f t="shared" si="47"/>
        <v>771946.91559999995</v>
      </c>
      <c r="H151" s="1053" t="s">
        <v>1417</v>
      </c>
      <c r="I151" s="1054" t="s">
        <v>1416</v>
      </c>
      <c r="J151" s="1054" t="s">
        <v>1412</v>
      </c>
      <c r="K151" s="1054" t="s">
        <v>290</v>
      </c>
      <c r="L151" s="1054" t="s">
        <v>1412</v>
      </c>
      <c r="M151" s="1057">
        <v>120</v>
      </c>
      <c r="N151" s="1057">
        <v>0.85</v>
      </c>
      <c r="O151" s="1057">
        <v>0.86599999999999999</v>
      </c>
      <c r="P151" s="1057">
        <v>0.92500000000000004</v>
      </c>
      <c r="Q151" s="1057">
        <v>0.95199999999999996</v>
      </c>
      <c r="R151" s="1057">
        <v>1133987</v>
      </c>
      <c r="S151" s="1057">
        <v>992959</v>
      </c>
      <c r="T151" s="1058">
        <f t="shared" si="50"/>
        <v>337361.13250000001</v>
      </c>
      <c r="U151" s="1057">
        <v>651533</v>
      </c>
      <c r="V151" s="1057">
        <v>341426</v>
      </c>
      <c r="W151" s="1057">
        <v>5829</v>
      </c>
      <c r="X151" s="1057">
        <v>763361.13249999995</v>
      </c>
      <c r="Y151" s="1057">
        <v>337361.13250000001</v>
      </c>
      <c r="Z151" s="1057">
        <v>426000</v>
      </c>
      <c r="AA151" s="1057">
        <v>566959</v>
      </c>
      <c r="AB151" s="1057">
        <v>0</v>
      </c>
      <c r="AC151" s="1057">
        <v>566959</v>
      </c>
      <c r="AD151" s="1057">
        <v>426000</v>
      </c>
      <c r="AE151" s="1057">
        <v>0</v>
      </c>
      <c r="AF151" s="1057">
        <v>566959</v>
      </c>
      <c r="AG151" s="1057">
        <v>0</v>
      </c>
      <c r="AH151" s="1057">
        <v>373000</v>
      </c>
      <c r="AI151" s="1057">
        <v>185000</v>
      </c>
      <c r="AJ151" s="1053">
        <v>4</v>
      </c>
      <c r="AK151" s="1053" t="s">
        <v>921</v>
      </c>
      <c r="AL151" s="1054" t="s">
        <v>1416</v>
      </c>
      <c r="AM151" s="1053" t="s">
        <v>1417</v>
      </c>
      <c r="AN151" s="1054" t="s">
        <v>674</v>
      </c>
      <c r="AO151" s="1054">
        <v>763361.13250000007</v>
      </c>
      <c r="AP151" s="1059">
        <f t="shared" si="69"/>
        <v>398.43189999999998</v>
      </c>
      <c r="AQ151" s="1059">
        <f t="shared" si="51"/>
        <v>422.43189999999998</v>
      </c>
      <c r="AR151" s="1052">
        <v>0</v>
      </c>
      <c r="AS151" s="1052">
        <v>185</v>
      </c>
      <c r="AT151" s="1052">
        <v>268</v>
      </c>
      <c r="AU151" s="1052">
        <v>48</v>
      </c>
      <c r="AV151" s="1052">
        <v>0</v>
      </c>
      <c r="AW151" s="1052">
        <v>6</v>
      </c>
      <c r="AX151" s="1052">
        <v>11</v>
      </c>
      <c r="AY151" s="1052">
        <v>11</v>
      </c>
      <c r="AZ151" s="1052">
        <v>0</v>
      </c>
      <c r="BA151" s="1052">
        <v>34</v>
      </c>
      <c r="BB151" s="1052">
        <v>24</v>
      </c>
      <c r="BC151" s="1052">
        <v>0</v>
      </c>
      <c r="BD151" s="1052">
        <v>0</v>
      </c>
      <c r="BE151" s="1052">
        <v>0</v>
      </c>
      <c r="BF151" s="1052">
        <v>0</v>
      </c>
      <c r="BG151" s="1052">
        <v>0</v>
      </c>
      <c r="BH151" s="1052">
        <v>0</v>
      </c>
      <c r="BI151" s="1052">
        <v>0</v>
      </c>
      <c r="BJ151" s="1052">
        <v>0</v>
      </c>
      <c r="BK151" s="1052">
        <v>0</v>
      </c>
      <c r="BL151" s="1052">
        <v>31510</v>
      </c>
      <c r="BM151" s="1052">
        <v>0</v>
      </c>
      <c r="BN151" s="1052">
        <v>0</v>
      </c>
      <c r="BO151" s="1052">
        <v>289.21899999999999</v>
      </c>
      <c r="BR151" s="1140">
        <f t="shared" si="52"/>
        <v>0</v>
      </c>
      <c r="BS151" s="1140">
        <f t="shared" si="53"/>
        <v>3722222.2222222225</v>
      </c>
      <c r="BT151" s="1140">
        <f t="shared" si="54"/>
        <v>666666.66666666674</v>
      </c>
      <c r="BU151" s="1140">
        <f t="shared" si="55"/>
        <v>4388888.888888889</v>
      </c>
      <c r="BV151" s="1140">
        <f t="shared" si="65"/>
        <v>0</v>
      </c>
      <c r="BW151" s="1140">
        <f t="shared" si="66"/>
        <v>2200</v>
      </c>
      <c r="BX151" s="1140">
        <f t="shared" si="67"/>
        <v>2200</v>
      </c>
      <c r="BY151" s="1140">
        <f t="shared" si="56"/>
        <v>4400</v>
      </c>
      <c r="CA151" s="1140">
        <f t="shared" si="57"/>
        <v>0</v>
      </c>
      <c r="CB151" s="1140">
        <f t="shared" si="58"/>
        <v>0</v>
      </c>
      <c r="CC151" s="1140">
        <f t="shared" si="59"/>
        <v>0</v>
      </c>
      <c r="CD151" s="1140">
        <f t="shared" si="60"/>
        <v>0</v>
      </c>
      <c r="CE151" s="1140">
        <f t="shared" si="61"/>
        <v>0</v>
      </c>
      <c r="CF151" s="1140">
        <f t="shared" si="62"/>
        <v>2200</v>
      </c>
      <c r="CG151" s="1140">
        <f t="shared" si="63"/>
        <v>2200</v>
      </c>
      <c r="CH151" s="1140">
        <f t="shared" si="64"/>
        <v>4400</v>
      </c>
    </row>
    <row r="152" spans="1:115" ht="15" customHeight="1" x14ac:dyDescent="0.2">
      <c r="A152" s="1052">
        <v>1926</v>
      </c>
      <c r="B152" s="1052"/>
      <c r="C152" s="1053" t="s">
        <v>291</v>
      </c>
      <c r="D152" s="1054" t="s">
        <v>291</v>
      </c>
      <c r="E152" s="1055">
        <f t="shared" si="49"/>
        <v>47662.171199999997</v>
      </c>
      <c r="F152" s="1055">
        <v>0</v>
      </c>
      <c r="G152" s="1056">
        <f t="shared" si="47"/>
        <v>47662.171199999997</v>
      </c>
      <c r="H152" s="1053" t="s">
        <v>10</v>
      </c>
      <c r="I152" s="1054" t="s">
        <v>1512</v>
      </c>
      <c r="J152" s="1054" t="s">
        <v>10</v>
      </c>
      <c r="K152" s="1054" t="s">
        <v>1545</v>
      </c>
      <c r="L152" s="1054" t="s">
        <v>10</v>
      </c>
      <c r="M152" s="1057">
        <v>11</v>
      </c>
      <c r="N152" s="1057">
        <v>0.98</v>
      </c>
      <c r="O152" s="1057">
        <v>0.98</v>
      </c>
      <c r="P152" s="1057">
        <v>1</v>
      </c>
      <c r="Q152" s="1057">
        <v>1</v>
      </c>
      <c r="R152" s="1057">
        <v>0</v>
      </c>
      <c r="S152" s="1057">
        <v>245808</v>
      </c>
      <c r="T152" s="1058">
        <f t="shared" si="50"/>
        <v>47662.171199999997</v>
      </c>
      <c r="U152" s="1057">
        <v>208925</v>
      </c>
      <c r="V152" s="1057">
        <v>36883</v>
      </c>
      <c r="W152" s="1057">
        <v>1600</v>
      </c>
      <c r="X152" s="1057">
        <v>0</v>
      </c>
      <c r="Y152" s="1057">
        <v>0</v>
      </c>
      <c r="Z152" s="1057">
        <v>0</v>
      </c>
      <c r="AA152" s="1057">
        <v>293470.17119999998</v>
      </c>
      <c r="AB152" s="1057">
        <v>47662.171199999997</v>
      </c>
      <c r="AC152" s="1057">
        <v>245808</v>
      </c>
      <c r="AD152" s="1057">
        <v>0</v>
      </c>
      <c r="AE152" s="1057">
        <v>0</v>
      </c>
      <c r="AF152" s="1057">
        <v>0</v>
      </c>
      <c r="AG152" s="1057">
        <v>245808</v>
      </c>
      <c r="AH152" s="1057">
        <v>0</v>
      </c>
      <c r="AI152" s="1057">
        <v>0</v>
      </c>
      <c r="AJ152" s="1053">
        <v>4</v>
      </c>
      <c r="AK152" s="1053" t="s">
        <v>899</v>
      </c>
      <c r="AL152" s="1054" t="s">
        <v>1512</v>
      </c>
      <c r="AM152" s="1053" t="s">
        <v>10</v>
      </c>
      <c r="AN152" s="1054" t="s">
        <v>291</v>
      </c>
      <c r="AO152" s="1054">
        <v>47662.171199999997</v>
      </c>
      <c r="AP152" s="1059">
        <f t="shared" si="69"/>
        <v>-11</v>
      </c>
      <c r="AQ152" s="1059">
        <f t="shared" si="51"/>
        <v>-10</v>
      </c>
      <c r="AR152" s="1052">
        <v>0</v>
      </c>
      <c r="AS152" s="1052">
        <v>0</v>
      </c>
      <c r="AT152" s="1052">
        <v>1</v>
      </c>
      <c r="AU152" s="1052">
        <v>-12</v>
      </c>
      <c r="AV152" s="1052">
        <v>0</v>
      </c>
      <c r="AW152" s="1052">
        <v>0</v>
      </c>
      <c r="AX152" s="1052">
        <v>0</v>
      </c>
      <c r="AY152" s="1052">
        <v>0</v>
      </c>
      <c r="AZ152" s="1052">
        <v>0</v>
      </c>
      <c r="BA152" s="1052">
        <v>0</v>
      </c>
      <c r="BB152" s="1052">
        <v>0</v>
      </c>
      <c r="BC152" s="1052">
        <v>1</v>
      </c>
      <c r="BD152" s="1052">
        <v>0</v>
      </c>
      <c r="BE152" s="1052">
        <v>0</v>
      </c>
      <c r="BF152" s="1052">
        <v>0</v>
      </c>
      <c r="BG152" s="1052">
        <v>0</v>
      </c>
      <c r="BH152" s="1052">
        <v>0</v>
      </c>
      <c r="BI152" s="1052">
        <v>0</v>
      </c>
      <c r="BJ152" s="1052">
        <v>0</v>
      </c>
      <c r="BK152" s="1052">
        <v>0</v>
      </c>
      <c r="BL152" s="1052">
        <v>0</v>
      </c>
      <c r="BM152" s="1052">
        <v>0</v>
      </c>
      <c r="BN152" s="1052">
        <v>0</v>
      </c>
      <c r="BO152" s="1052">
        <v>0</v>
      </c>
      <c r="BR152" s="1140">
        <f t="shared" si="52"/>
        <v>0</v>
      </c>
      <c r="BS152" s="1140">
        <f t="shared" si="53"/>
        <v>13888.888888888891</v>
      </c>
      <c r="BT152" s="1140">
        <f t="shared" si="54"/>
        <v>-166666.66666666669</v>
      </c>
      <c r="BU152" s="1140">
        <f t="shared" si="55"/>
        <v>-152777.77777777781</v>
      </c>
      <c r="BV152" s="1140">
        <f t="shared" si="65"/>
        <v>0</v>
      </c>
      <c r="BW152" s="1140">
        <f t="shared" si="66"/>
        <v>0</v>
      </c>
      <c r="BX152" s="1140">
        <f t="shared" si="67"/>
        <v>0</v>
      </c>
      <c r="BY152" s="1140">
        <f t="shared" si="56"/>
        <v>0</v>
      </c>
      <c r="CA152" s="1140">
        <f t="shared" si="57"/>
        <v>0</v>
      </c>
      <c r="CB152" s="1140">
        <f t="shared" si="58"/>
        <v>13888.888888888891</v>
      </c>
      <c r="CC152" s="1140">
        <f t="shared" si="59"/>
        <v>-166666.66666666669</v>
      </c>
      <c r="CD152" s="1140">
        <f t="shared" si="60"/>
        <v>-152777.77777777781</v>
      </c>
      <c r="CE152" s="1140">
        <f t="shared" si="61"/>
        <v>0</v>
      </c>
      <c r="CF152" s="1140">
        <f t="shared" si="62"/>
        <v>0</v>
      </c>
      <c r="CG152" s="1140">
        <f t="shared" si="63"/>
        <v>0</v>
      </c>
      <c r="CH152" s="1140">
        <f t="shared" si="64"/>
        <v>0</v>
      </c>
    </row>
    <row r="153" spans="1:115" ht="15" customHeight="1" x14ac:dyDescent="0.2">
      <c r="A153" s="1052">
        <v>3527</v>
      </c>
      <c r="B153" s="1052"/>
      <c r="C153" s="1053" t="s">
        <v>293</v>
      </c>
      <c r="D153" s="1054" t="s">
        <v>293</v>
      </c>
      <c r="E153" s="1055">
        <f t="shared" si="49"/>
        <v>22114.4889</v>
      </c>
      <c r="F153" s="1055">
        <v>0</v>
      </c>
      <c r="G153" s="1056">
        <f t="shared" si="47"/>
        <v>22114.4889</v>
      </c>
      <c r="H153" s="1053" t="s">
        <v>10</v>
      </c>
      <c r="I153" s="1054" t="s">
        <v>1512</v>
      </c>
      <c r="J153" s="1054" t="s">
        <v>1417</v>
      </c>
      <c r="K153" s="1054" t="s">
        <v>1545</v>
      </c>
      <c r="L153" s="1054" t="s">
        <v>10</v>
      </c>
      <c r="M153" s="1057">
        <v>20</v>
      </c>
      <c r="N153" s="1057">
        <v>0.95499999999999996</v>
      </c>
      <c r="O153" s="1057">
        <v>0.95499999999999996</v>
      </c>
      <c r="P153" s="1057">
        <v>0.91</v>
      </c>
      <c r="Q153" s="1057">
        <v>0.95499999999999996</v>
      </c>
      <c r="R153" s="1057">
        <v>0</v>
      </c>
      <c r="S153" s="1057">
        <v>114051</v>
      </c>
      <c r="T153" s="1058">
        <f t="shared" si="50"/>
        <v>22114.4889</v>
      </c>
      <c r="U153" s="1057">
        <v>78587</v>
      </c>
      <c r="V153" s="1057">
        <v>35464</v>
      </c>
      <c r="W153" s="1057">
        <v>548</v>
      </c>
      <c r="X153" s="1057">
        <v>0</v>
      </c>
      <c r="Y153" s="1057">
        <v>0</v>
      </c>
      <c r="Z153" s="1057">
        <v>0</v>
      </c>
      <c r="AA153" s="1057">
        <v>136165.4889</v>
      </c>
      <c r="AB153" s="1057">
        <v>22114.4889</v>
      </c>
      <c r="AC153" s="1057">
        <v>114051</v>
      </c>
      <c r="AD153" s="1057">
        <v>0</v>
      </c>
      <c r="AE153" s="1057">
        <v>0</v>
      </c>
      <c r="AF153" s="1057">
        <v>0</v>
      </c>
      <c r="AG153" s="1057">
        <v>114051</v>
      </c>
      <c r="AH153" s="1057">
        <v>0</v>
      </c>
      <c r="AI153" s="1057">
        <v>0</v>
      </c>
      <c r="AJ153" s="1053">
        <v>4</v>
      </c>
      <c r="AK153" s="1053" t="s">
        <v>899</v>
      </c>
      <c r="AL153" s="1054" t="s">
        <v>1512</v>
      </c>
      <c r="AM153" s="1053" t="s">
        <v>10</v>
      </c>
      <c r="AN153" s="1054" t="s">
        <v>293</v>
      </c>
      <c r="AO153" s="1054">
        <v>22114.4889</v>
      </c>
      <c r="AP153" s="1059">
        <f t="shared" si="69"/>
        <v>27</v>
      </c>
      <c r="AQ153" s="1059">
        <f t="shared" si="51"/>
        <v>27</v>
      </c>
      <c r="AR153" s="1052">
        <v>0</v>
      </c>
      <c r="AS153" s="1052">
        <v>0</v>
      </c>
      <c r="AT153" s="1052">
        <v>7</v>
      </c>
      <c r="AU153" s="1052">
        <v>19</v>
      </c>
      <c r="AV153" s="1052">
        <v>0</v>
      </c>
      <c r="AW153" s="1052">
        <v>0</v>
      </c>
      <c r="AX153" s="1052">
        <v>0</v>
      </c>
      <c r="AY153" s="1052">
        <v>1</v>
      </c>
      <c r="AZ153" s="1052">
        <v>0</v>
      </c>
      <c r="BA153" s="1052">
        <v>0</v>
      </c>
      <c r="BB153" s="1052">
        <v>0</v>
      </c>
      <c r="BC153" s="1052">
        <v>0</v>
      </c>
      <c r="BD153" s="1052">
        <v>0</v>
      </c>
      <c r="BE153" s="1052">
        <v>0</v>
      </c>
      <c r="BF153" s="1052">
        <v>0</v>
      </c>
      <c r="BG153" s="1052">
        <v>0</v>
      </c>
      <c r="BH153" s="1052">
        <v>0</v>
      </c>
      <c r="BI153" s="1052">
        <v>0</v>
      </c>
      <c r="BJ153" s="1052">
        <v>0</v>
      </c>
      <c r="BK153" s="1052">
        <v>0</v>
      </c>
      <c r="BL153" s="1052">
        <v>0</v>
      </c>
      <c r="BM153" s="1052">
        <v>0</v>
      </c>
      <c r="BN153" s="1052">
        <v>0</v>
      </c>
      <c r="BO153" s="1052">
        <v>0</v>
      </c>
      <c r="BR153" s="1140">
        <f t="shared" si="52"/>
        <v>0</v>
      </c>
      <c r="BS153" s="1140">
        <f t="shared" si="53"/>
        <v>97222.222222222234</v>
      </c>
      <c r="BT153" s="1140">
        <f t="shared" si="54"/>
        <v>263888.88888888893</v>
      </c>
      <c r="BU153" s="1140">
        <f t="shared" si="55"/>
        <v>361111.11111111118</v>
      </c>
      <c r="BV153" s="1140">
        <f t="shared" si="65"/>
        <v>0</v>
      </c>
      <c r="BW153" s="1140">
        <f t="shared" si="66"/>
        <v>0</v>
      </c>
      <c r="BX153" s="1140">
        <f t="shared" si="67"/>
        <v>200</v>
      </c>
      <c r="BY153" s="1140">
        <f t="shared" si="56"/>
        <v>200</v>
      </c>
      <c r="CA153" s="1140">
        <f t="shared" si="57"/>
        <v>0</v>
      </c>
      <c r="CB153" s="1140">
        <f t="shared" si="58"/>
        <v>97222.222222222234</v>
      </c>
      <c r="CC153" s="1140">
        <f t="shared" si="59"/>
        <v>263888.88888888893</v>
      </c>
      <c r="CD153" s="1140">
        <f t="shared" si="60"/>
        <v>361111.11111111118</v>
      </c>
      <c r="CE153" s="1140">
        <f t="shared" si="61"/>
        <v>0</v>
      </c>
      <c r="CF153" s="1140">
        <f t="shared" si="62"/>
        <v>0</v>
      </c>
      <c r="CG153" s="1140">
        <f t="shared" si="63"/>
        <v>200</v>
      </c>
      <c r="CH153" s="1140">
        <f t="shared" si="64"/>
        <v>200</v>
      </c>
    </row>
    <row r="154" spans="1:115" ht="15" customHeight="1" x14ac:dyDescent="0.2">
      <c r="A154" s="1052">
        <v>2717</v>
      </c>
      <c r="B154" s="1052" t="s">
        <v>1412</v>
      </c>
      <c r="C154" s="1053" t="s">
        <v>295</v>
      </c>
      <c r="D154" s="1054" t="s">
        <v>295</v>
      </c>
      <c r="E154" s="1055">
        <f t="shared" si="49"/>
        <v>264148.5184</v>
      </c>
      <c r="F154" s="1055">
        <v>0</v>
      </c>
      <c r="G154" s="1056">
        <f t="shared" si="47"/>
        <v>264148.5184</v>
      </c>
      <c r="H154" s="1053" t="s">
        <v>10</v>
      </c>
      <c r="I154" s="1054" t="s">
        <v>1416</v>
      </c>
      <c r="J154" s="1054" t="s">
        <v>1412</v>
      </c>
      <c r="K154" s="1054" t="s">
        <v>297</v>
      </c>
      <c r="L154" s="1054" t="s">
        <v>10</v>
      </c>
      <c r="M154" s="1057">
        <v>101</v>
      </c>
      <c r="N154" s="1057">
        <v>0.68500000000000005</v>
      </c>
      <c r="O154" s="1057">
        <v>0.70599999999999996</v>
      </c>
      <c r="P154" s="1057">
        <v>0.72799999999999998</v>
      </c>
      <c r="Q154" s="1057">
        <v>0.78600000000000003</v>
      </c>
      <c r="R154" s="1057">
        <v>861645</v>
      </c>
      <c r="S154" s="1057">
        <v>758176</v>
      </c>
      <c r="T154" s="1058">
        <f t="shared" si="50"/>
        <v>256339.38749999998</v>
      </c>
      <c r="U154" s="1057">
        <v>480230</v>
      </c>
      <c r="V154" s="1057">
        <v>277946</v>
      </c>
      <c r="W154" s="1057">
        <v>4200</v>
      </c>
      <c r="X154" s="1057">
        <v>0</v>
      </c>
      <c r="Y154" s="1057">
        <v>0</v>
      </c>
      <c r="Z154" s="1057">
        <v>0</v>
      </c>
      <c r="AA154" s="1057">
        <v>1014515.388</v>
      </c>
      <c r="AB154" s="1057">
        <v>256339.38750000001</v>
      </c>
      <c r="AC154" s="1057">
        <v>758176</v>
      </c>
      <c r="AD154" s="1057">
        <v>0</v>
      </c>
      <c r="AE154" s="1057">
        <v>0</v>
      </c>
      <c r="AF154" s="1057">
        <v>758176</v>
      </c>
      <c r="AG154" s="1057">
        <v>0</v>
      </c>
      <c r="AH154" s="1057">
        <v>593000</v>
      </c>
      <c r="AI154" s="1057">
        <v>683000</v>
      </c>
      <c r="AJ154" s="1053">
        <v>4</v>
      </c>
      <c r="AK154" s="1053" t="s">
        <v>913</v>
      </c>
      <c r="AL154" s="1054" t="s">
        <v>1416</v>
      </c>
      <c r="AM154" s="1053" t="s">
        <v>10</v>
      </c>
      <c r="AN154" s="1054" t="s">
        <v>295</v>
      </c>
      <c r="AO154" s="1054">
        <v>256339.38750000001</v>
      </c>
      <c r="AP154" s="1059">
        <f t="shared" si="69"/>
        <v>241.73830000000001</v>
      </c>
      <c r="AQ154" s="1059">
        <f t="shared" si="51"/>
        <v>274.73829999999998</v>
      </c>
      <c r="AR154" s="1052">
        <v>54</v>
      </c>
      <c r="AS154" s="1052">
        <v>683</v>
      </c>
      <c r="AT154" s="1052">
        <v>114</v>
      </c>
      <c r="AU154" s="1052">
        <v>0</v>
      </c>
      <c r="AV154" s="1052">
        <v>0</v>
      </c>
      <c r="AW154" s="1052">
        <v>0</v>
      </c>
      <c r="AX154" s="1052">
        <v>0</v>
      </c>
      <c r="AY154" s="1052">
        <v>0</v>
      </c>
      <c r="AZ154" s="1052">
        <v>0</v>
      </c>
      <c r="BA154" s="1052">
        <v>13</v>
      </c>
      <c r="BB154" s="1052">
        <v>33</v>
      </c>
      <c r="BC154" s="1052">
        <v>0</v>
      </c>
      <c r="BD154" s="1052">
        <v>0</v>
      </c>
      <c r="BE154" s="1052">
        <v>0</v>
      </c>
      <c r="BF154" s="1052">
        <v>0</v>
      </c>
      <c r="BG154" s="1052">
        <v>0</v>
      </c>
      <c r="BH154" s="1052">
        <v>0</v>
      </c>
      <c r="BI154" s="1052">
        <v>0</v>
      </c>
      <c r="BJ154" s="1052">
        <v>0</v>
      </c>
      <c r="BK154" s="1052">
        <v>0</v>
      </c>
      <c r="BL154" s="1052">
        <v>0</v>
      </c>
      <c r="BM154" s="1052">
        <v>0</v>
      </c>
      <c r="BN154" s="1052">
        <v>18095</v>
      </c>
      <c r="BO154" s="1052">
        <v>556.43299999999999</v>
      </c>
      <c r="BR154" s="1140">
        <f t="shared" si="52"/>
        <v>750000</v>
      </c>
      <c r="BS154" s="1140">
        <f t="shared" si="53"/>
        <v>1583333.3333333335</v>
      </c>
      <c r="BT154" s="1140">
        <f t="shared" si="54"/>
        <v>0</v>
      </c>
      <c r="BU154" s="1140">
        <f t="shared" si="55"/>
        <v>2333333.3333333335</v>
      </c>
      <c r="BV154" s="1140">
        <f t="shared" si="65"/>
        <v>0</v>
      </c>
      <c r="BW154" s="1140">
        <f t="shared" si="66"/>
        <v>0</v>
      </c>
      <c r="BX154" s="1140">
        <f t="shared" si="67"/>
        <v>0</v>
      </c>
      <c r="BY154" s="1140">
        <f t="shared" si="56"/>
        <v>0</v>
      </c>
      <c r="CA154" s="1140">
        <f t="shared" si="57"/>
        <v>750000</v>
      </c>
      <c r="CB154" s="1140">
        <f t="shared" si="58"/>
        <v>1583333.3333333335</v>
      </c>
      <c r="CC154" s="1140">
        <f t="shared" si="59"/>
        <v>0</v>
      </c>
      <c r="CD154" s="1140">
        <f t="shared" si="60"/>
        <v>2333333.3333333335</v>
      </c>
      <c r="CE154" s="1140">
        <f t="shared" si="61"/>
        <v>0</v>
      </c>
      <c r="CF154" s="1140">
        <f t="shared" si="62"/>
        <v>0</v>
      </c>
      <c r="CG154" s="1140">
        <f t="shared" si="63"/>
        <v>0</v>
      </c>
      <c r="CH154" s="1140">
        <f t="shared" si="64"/>
        <v>0</v>
      </c>
    </row>
    <row r="155" spans="1:115" ht="15" customHeight="1" x14ac:dyDescent="0.2">
      <c r="A155" s="1052">
        <v>9245</v>
      </c>
      <c r="B155" s="1052"/>
      <c r="C155" s="1053" t="s">
        <v>298</v>
      </c>
      <c r="D155" s="1054" t="s">
        <v>298</v>
      </c>
      <c r="E155" s="1055">
        <f t="shared" si="49"/>
        <v>194821.0992</v>
      </c>
      <c r="F155" s="1055">
        <v>0</v>
      </c>
      <c r="G155" s="1056">
        <f t="shared" si="47"/>
        <v>194821.0992</v>
      </c>
      <c r="H155" s="1053" t="s">
        <v>1417</v>
      </c>
      <c r="I155" s="1054" t="s">
        <v>1416</v>
      </c>
      <c r="J155" s="1054" t="s">
        <v>1417</v>
      </c>
      <c r="K155" s="1054" t="s">
        <v>1545</v>
      </c>
      <c r="L155" s="1054" t="s">
        <v>10</v>
      </c>
      <c r="M155" s="1057">
        <v>112</v>
      </c>
      <c r="N155" s="1057">
        <v>0.78600000000000003</v>
      </c>
      <c r="O155" s="1057">
        <v>0.78600000000000003</v>
      </c>
      <c r="P155" s="1057">
        <v>0.755</v>
      </c>
      <c r="Q155" s="1057">
        <v>0.70599999999999996</v>
      </c>
      <c r="R155" s="1057">
        <v>695498</v>
      </c>
      <c r="S155" s="1057">
        <v>559188</v>
      </c>
      <c r="T155" s="1058">
        <f t="shared" si="50"/>
        <v>206910.655</v>
      </c>
      <c r="U155" s="1057">
        <v>310994</v>
      </c>
      <c r="V155" s="1057">
        <v>248194</v>
      </c>
      <c r="W155" s="1057">
        <v>3155</v>
      </c>
      <c r="X155" s="1057">
        <v>0</v>
      </c>
      <c r="Y155" s="1057">
        <v>0</v>
      </c>
      <c r="Z155" s="1057">
        <v>0</v>
      </c>
      <c r="AA155" s="1057">
        <v>766098.65500000003</v>
      </c>
      <c r="AB155" s="1057">
        <v>206910.655</v>
      </c>
      <c r="AC155" s="1057">
        <v>559188</v>
      </c>
      <c r="AD155" s="1057">
        <v>0</v>
      </c>
      <c r="AE155" s="1057">
        <v>0</v>
      </c>
      <c r="AF155" s="1057">
        <v>0</v>
      </c>
      <c r="AG155" s="1057">
        <v>559188</v>
      </c>
      <c r="AH155" s="1057">
        <v>0</v>
      </c>
      <c r="AI155" s="1057">
        <v>0</v>
      </c>
      <c r="AJ155" s="1053">
        <v>4</v>
      </c>
      <c r="AK155" s="1053" t="s">
        <v>899</v>
      </c>
      <c r="AL155" s="1054" t="s">
        <v>1416</v>
      </c>
      <c r="AM155" s="1053" t="s">
        <v>1417</v>
      </c>
      <c r="AN155" s="1054" t="s">
        <v>298</v>
      </c>
      <c r="AO155" s="1054">
        <v>206910.655</v>
      </c>
      <c r="AP155" s="1059">
        <f t="shared" si="69"/>
        <v>161</v>
      </c>
      <c r="AQ155" s="1059">
        <f t="shared" si="51"/>
        <v>170</v>
      </c>
      <c r="AR155" s="1052">
        <v>0</v>
      </c>
      <c r="AS155" s="1052">
        <v>0</v>
      </c>
      <c r="AT155" s="1052">
        <v>145</v>
      </c>
      <c r="AU155" s="1052">
        <v>2</v>
      </c>
      <c r="AV155" s="1052">
        <v>0</v>
      </c>
      <c r="AW155" s="1052">
        <v>0</v>
      </c>
      <c r="AX155" s="1052">
        <v>14</v>
      </c>
      <c r="AY155" s="1052">
        <v>0</v>
      </c>
      <c r="AZ155" s="1052">
        <v>0</v>
      </c>
      <c r="BA155" s="1052">
        <v>0</v>
      </c>
      <c r="BB155" s="1052">
        <v>9</v>
      </c>
      <c r="BC155" s="1052">
        <v>0</v>
      </c>
      <c r="BD155" s="1052">
        <v>0</v>
      </c>
      <c r="BE155" s="1052">
        <v>0</v>
      </c>
      <c r="BF155" s="1052">
        <v>0</v>
      </c>
      <c r="BG155" s="1052">
        <v>0</v>
      </c>
      <c r="BH155" s="1052">
        <v>0</v>
      </c>
      <c r="BI155" s="1052">
        <v>0</v>
      </c>
      <c r="BJ155" s="1052">
        <v>0</v>
      </c>
      <c r="BK155" s="1052">
        <v>0</v>
      </c>
      <c r="BL155" s="1052">
        <v>0</v>
      </c>
      <c r="BM155" s="1052">
        <v>0</v>
      </c>
      <c r="BN155" s="1052">
        <v>0</v>
      </c>
      <c r="BO155" s="1052">
        <v>0</v>
      </c>
      <c r="BR155" s="1140">
        <f t="shared" si="52"/>
        <v>0</v>
      </c>
      <c r="BS155" s="1140">
        <f t="shared" si="53"/>
        <v>2013888.888888889</v>
      </c>
      <c r="BT155" s="1140">
        <f t="shared" si="54"/>
        <v>27777.777777777781</v>
      </c>
      <c r="BU155" s="1140">
        <f t="shared" si="55"/>
        <v>2041666.6666666667</v>
      </c>
      <c r="BV155" s="1140">
        <f t="shared" si="65"/>
        <v>0</v>
      </c>
      <c r="BW155" s="1140">
        <f t="shared" si="66"/>
        <v>2800</v>
      </c>
      <c r="BX155" s="1140">
        <f t="shared" si="67"/>
        <v>0</v>
      </c>
      <c r="BY155" s="1140">
        <f t="shared" si="56"/>
        <v>2800</v>
      </c>
      <c r="CA155" s="1140">
        <f t="shared" si="57"/>
        <v>0</v>
      </c>
      <c r="CB155" s="1140">
        <f t="shared" si="58"/>
        <v>0</v>
      </c>
      <c r="CC155" s="1140">
        <f t="shared" si="59"/>
        <v>0</v>
      </c>
      <c r="CD155" s="1140">
        <f t="shared" si="60"/>
        <v>0</v>
      </c>
      <c r="CE155" s="1140">
        <f t="shared" si="61"/>
        <v>0</v>
      </c>
      <c r="CF155" s="1140">
        <f t="shared" si="62"/>
        <v>2800</v>
      </c>
      <c r="CG155" s="1140">
        <f t="shared" si="63"/>
        <v>0</v>
      </c>
      <c r="CH155" s="1140">
        <f t="shared" si="64"/>
        <v>2800</v>
      </c>
    </row>
    <row r="156" spans="1:115" ht="15" customHeight="1" x14ac:dyDescent="0.2">
      <c r="A156" s="1052">
        <v>9250</v>
      </c>
      <c r="B156" s="1052"/>
      <c r="C156" s="1053" t="s">
        <v>300</v>
      </c>
      <c r="D156" s="1054" t="s">
        <v>300</v>
      </c>
      <c r="E156" s="1055">
        <f t="shared" si="49"/>
        <v>385258.978</v>
      </c>
      <c r="F156" s="1055">
        <v>0</v>
      </c>
      <c r="G156" s="1056">
        <f t="shared" si="47"/>
        <v>385258.978</v>
      </c>
      <c r="H156" s="1053" t="s">
        <v>10</v>
      </c>
      <c r="I156" s="1054" t="s">
        <v>1416</v>
      </c>
      <c r="J156" s="1054" t="s">
        <v>1417</v>
      </c>
      <c r="K156" s="1054" t="s">
        <v>302</v>
      </c>
      <c r="L156" s="1054" t="s">
        <v>10</v>
      </c>
      <c r="M156" s="1057">
        <v>112</v>
      </c>
      <c r="N156" s="1057">
        <v>0.90300000000000002</v>
      </c>
      <c r="O156" s="1057">
        <v>0.93100000000000005</v>
      </c>
      <c r="P156" s="1057">
        <v>0.86499999999999999</v>
      </c>
      <c r="Q156" s="1057">
        <v>0.91900000000000004</v>
      </c>
      <c r="R156" s="1057">
        <v>1197680</v>
      </c>
      <c r="S156" s="1057">
        <v>1105795</v>
      </c>
      <c r="T156" s="1058">
        <f t="shared" si="50"/>
        <v>356309.8</v>
      </c>
      <c r="U156" s="1057">
        <v>680555</v>
      </c>
      <c r="V156" s="1057">
        <v>425240</v>
      </c>
      <c r="W156" s="1057">
        <v>7000</v>
      </c>
      <c r="X156" s="1057">
        <v>0</v>
      </c>
      <c r="Y156" s="1057">
        <v>0</v>
      </c>
      <c r="Z156" s="1057">
        <v>0</v>
      </c>
      <c r="AA156" s="1057">
        <v>1462104.8</v>
      </c>
      <c r="AB156" s="1057">
        <v>356309.8</v>
      </c>
      <c r="AC156" s="1057">
        <v>1105795</v>
      </c>
      <c r="AD156" s="1057">
        <v>0</v>
      </c>
      <c r="AE156" s="1057">
        <v>0</v>
      </c>
      <c r="AF156" s="1057">
        <v>0</v>
      </c>
      <c r="AG156" s="1057">
        <v>1105795</v>
      </c>
      <c r="AH156" s="1057">
        <v>0</v>
      </c>
      <c r="AI156" s="1057">
        <v>0</v>
      </c>
      <c r="AJ156" s="1053">
        <v>4</v>
      </c>
      <c r="AK156" s="1053" t="s">
        <v>904</v>
      </c>
      <c r="AL156" s="1054" t="s">
        <v>1416</v>
      </c>
      <c r="AM156" s="1053" t="s">
        <v>10</v>
      </c>
      <c r="AN156" s="1054" t="s">
        <v>300</v>
      </c>
      <c r="AO156" s="1054">
        <v>356309.8</v>
      </c>
      <c r="AP156" s="1059">
        <f t="shared" si="69"/>
        <v>458.16929999999996</v>
      </c>
      <c r="AQ156" s="1059">
        <f t="shared" si="51"/>
        <v>741.16930000000002</v>
      </c>
      <c r="AR156" s="1052">
        <v>0</v>
      </c>
      <c r="AS156" s="1052">
        <v>0</v>
      </c>
      <c r="AT156" s="1052">
        <v>111</v>
      </c>
      <c r="AU156" s="1052">
        <v>2</v>
      </c>
      <c r="AV156" s="1052">
        <v>0</v>
      </c>
      <c r="AW156" s="1052">
        <v>0</v>
      </c>
      <c r="AX156" s="1052">
        <v>67</v>
      </c>
      <c r="AY156" s="1052">
        <v>1</v>
      </c>
      <c r="AZ156" s="1052">
        <v>0</v>
      </c>
      <c r="BA156" s="1052">
        <v>0</v>
      </c>
      <c r="BB156" s="1052">
        <v>107</v>
      </c>
      <c r="BC156" s="1052">
        <v>176</v>
      </c>
      <c r="BD156" s="1052">
        <v>0</v>
      </c>
      <c r="BE156" s="1052">
        <v>0</v>
      </c>
      <c r="BF156" s="1052">
        <v>0</v>
      </c>
      <c r="BG156" s="1052">
        <v>0</v>
      </c>
      <c r="BH156" s="1052">
        <v>67</v>
      </c>
      <c r="BI156" s="1052">
        <v>0</v>
      </c>
      <c r="BJ156" s="1052">
        <v>0</v>
      </c>
      <c r="BK156" s="1052">
        <v>0</v>
      </c>
      <c r="BL156" s="1052">
        <v>82314</v>
      </c>
      <c r="BM156" s="1052">
        <v>0</v>
      </c>
      <c r="BN156" s="1052">
        <v>45586</v>
      </c>
      <c r="BO156" s="1052">
        <v>822.69299999999998</v>
      </c>
      <c r="BR156" s="1140">
        <f t="shared" si="52"/>
        <v>0</v>
      </c>
      <c r="BS156" s="1140">
        <f t="shared" si="53"/>
        <v>1541666.6666666667</v>
      </c>
      <c r="BT156" s="1140">
        <f t="shared" si="54"/>
        <v>27777.777777777781</v>
      </c>
      <c r="BU156" s="1140">
        <f t="shared" si="55"/>
        <v>1569444.4444444445</v>
      </c>
      <c r="BV156" s="1140">
        <f t="shared" si="65"/>
        <v>0</v>
      </c>
      <c r="BW156" s="1140">
        <f t="shared" si="66"/>
        <v>13400</v>
      </c>
      <c r="BX156" s="1140">
        <f t="shared" si="67"/>
        <v>200</v>
      </c>
      <c r="BY156" s="1140">
        <f t="shared" si="56"/>
        <v>13600</v>
      </c>
      <c r="CA156" s="1140">
        <f t="shared" si="57"/>
        <v>0</v>
      </c>
      <c r="CB156" s="1140">
        <f t="shared" si="58"/>
        <v>1541666.6666666667</v>
      </c>
      <c r="CC156" s="1140">
        <f t="shared" si="59"/>
        <v>27777.777777777781</v>
      </c>
      <c r="CD156" s="1140">
        <f t="shared" si="60"/>
        <v>1569444.4444444445</v>
      </c>
      <c r="CE156" s="1140">
        <f t="shared" si="61"/>
        <v>0</v>
      </c>
      <c r="CF156" s="1140">
        <f t="shared" si="62"/>
        <v>13400</v>
      </c>
      <c r="CG156" s="1140">
        <f t="shared" si="63"/>
        <v>200</v>
      </c>
      <c r="CH156" s="1140">
        <f t="shared" si="64"/>
        <v>13600</v>
      </c>
    </row>
    <row r="157" spans="1:115" ht="15" customHeight="1" x14ac:dyDescent="0.2">
      <c r="A157" s="1052">
        <v>4831</v>
      </c>
      <c r="B157" s="1052"/>
      <c r="C157" s="1053" t="s">
        <v>945</v>
      </c>
      <c r="D157" s="1054" t="s">
        <v>303</v>
      </c>
      <c r="E157" s="1055">
        <f t="shared" si="49"/>
        <v>330980</v>
      </c>
      <c r="F157" s="1055">
        <v>356000</v>
      </c>
      <c r="G157" s="1056">
        <f t="shared" si="47"/>
        <v>686980</v>
      </c>
      <c r="H157" s="1053" t="s">
        <v>10</v>
      </c>
      <c r="I157" s="1054" t="s">
        <v>1416</v>
      </c>
      <c r="J157" s="1054" t="s">
        <v>1417</v>
      </c>
      <c r="K157" s="1054" t="s">
        <v>126</v>
      </c>
      <c r="L157" s="1054" t="s">
        <v>1412</v>
      </c>
      <c r="M157" s="1057">
        <v>126</v>
      </c>
      <c r="N157" s="1057">
        <v>0.92700000000000005</v>
      </c>
      <c r="O157" s="1057">
        <v>0.93799999999999994</v>
      </c>
      <c r="P157" s="1057">
        <v>0.92500000000000004</v>
      </c>
      <c r="Q157" s="1057">
        <v>0.95199999999999996</v>
      </c>
      <c r="R157" s="1057">
        <v>1151275</v>
      </c>
      <c r="S157" s="1057">
        <v>950000</v>
      </c>
      <c r="T157" s="1058">
        <f t="shared" si="50"/>
        <v>342504.3125</v>
      </c>
      <c r="U157" s="1057">
        <v>665100</v>
      </c>
      <c r="V157" s="1057">
        <v>284900</v>
      </c>
      <c r="W157" s="1057">
        <v>5000</v>
      </c>
      <c r="X157" s="1057">
        <v>698504.3125</v>
      </c>
      <c r="Y157" s="1057">
        <v>342504.3125</v>
      </c>
      <c r="Z157" s="1057">
        <v>356000</v>
      </c>
      <c r="AA157" s="1057">
        <v>594000</v>
      </c>
      <c r="AB157" s="1057">
        <v>0</v>
      </c>
      <c r="AC157" s="1057">
        <v>594000</v>
      </c>
      <c r="AD157" s="1057">
        <v>0</v>
      </c>
      <c r="AE157" s="1057">
        <v>356000</v>
      </c>
      <c r="AF157" s="1057">
        <v>0</v>
      </c>
      <c r="AG157" s="1057">
        <v>594000</v>
      </c>
      <c r="AH157" s="1057">
        <v>0</v>
      </c>
      <c r="AI157" s="1057">
        <v>0</v>
      </c>
      <c r="AJ157" s="1053" t="s">
        <v>900</v>
      </c>
      <c r="AK157" s="1053" t="s">
        <v>905</v>
      </c>
      <c r="AL157" s="1054" t="s">
        <v>1416</v>
      </c>
      <c r="AM157" s="1053" t="s">
        <v>10</v>
      </c>
      <c r="AN157" s="1054" t="s">
        <v>303</v>
      </c>
      <c r="AO157" s="1054">
        <v>698504.3125</v>
      </c>
      <c r="AP157" s="1059">
        <f t="shared" si="69"/>
        <v>491.80500000000001</v>
      </c>
      <c r="AQ157" s="1059">
        <f t="shared" si="51"/>
        <v>496.80500000000001</v>
      </c>
      <c r="AR157" s="1052">
        <v>259</v>
      </c>
      <c r="AS157" s="1052">
        <v>0</v>
      </c>
      <c r="AT157" s="1052">
        <v>204</v>
      </c>
      <c r="AU157" s="1052">
        <v>8</v>
      </c>
      <c r="AV157" s="1052">
        <v>0</v>
      </c>
      <c r="AW157" s="1052">
        <v>0</v>
      </c>
      <c r="AX157" s="1052">
        <v>0</v>
      </c>
      <c r="AY157" s="1052">
        <v>0</v>
      </c>
      <c r="AZ157" s="1052">
        <v>2</v>
      </c>
      <c r="BA157" s="1052">
        <v>26</v>
      </c>
      <c r="BB157" s="1052">
        <v>5</v>
      </c>
      <c r="BC157" s="1052">
        <v>0</v>
      </c>
      <c r="BD157" s="1052">
        <v>6</v>
      </c>
      <c r="BE157" s="1052">
        <v>0</v>
      </c>
      <c r="BF157" s="1052">
        <v>0</v>
      </c>
      <c r="BG157" s="1052">
        <v>0</v>
      </c>
      <c r="BH157" s="1052">
        <v>10</v>
      </c>
      <c r="BI157" s="1052">
        <v>0</v>
      </c>
      <c r="BJ157" s="1052">
        <v>0</v>
      </c>
      <c r="BK157" s="1052">
        <v>0</v>
      </c>
      <c r="BL157" s="1052">
        <v>0</v>
      </c>
      <c r="BM157" s="1052">
        <v>0</v>
      </c>
      <c r="BN157" s="1052">
        <v>0</v>
      </c>
      <c r="BO157" s="1052">
        <v>28.05</v>
      </c>
      <c r="BR157" s="1140">
        <f t="shared" si="52"/>
        <v>3597222.2222222225</v>
      </c>
      <c r="BS157" s="1140">
        <f t="shared" si="53"/>
        <v>2833333.3333333335</v>
      </c>
      <c r="BT157" s="1140">
        <f t="shared" si="54"/>
        <v>111111.11111111112</v>
      </c>
      <c r="BU157" s="1140">
        <f t="shared" si="55"/>
        <v>6541666.666666667</v>
      </c>
      <c r="BV157" s="1140">
        <f t="shared" si="65"/>
        <v>0</v>
      </c>
      <c r="BW157" s="1140">
        <f t="shared" si="66"/>
        <v>0</v>
      </c>
      <c r="BX157" s="1140">
        <f t="shared" si="67"/>
        <v>0</v>
      </c>
      <c r="BY157" s="1140">
        <f t="shared" si="56"/>
        <v>0</v>
      </c>
      <c r="CA157" s="1140">
        <f t="shared" si="57"/>
        <v>3597222.2222222225</v>
      </c>
      <c r="CB157" s="1140">
        <f t="shared" si="58"/>
        <v>2833333.3333333335</v>
      </c>
      <c r="CC157" s="1140">
        <f t="shared" si="59"/>
        <v>111111.11111111112</v>
      </c>
      <c r="CD157" s="1140">
        <f t="shared" si="60"/>
        <v>6541666.666666667</v>
      </c>
      <c r="CE157" s="1140">
        <f t="shared" si="61"/>
        <v>0</v>
      </c>
      <c r="CF157" s="1140">
        <f t="shared" si="62"/>
        <v>0</v>
      </c>
      <c r="CG157" s="1140">
        <f t="shared" si="63"/>
        <v>0</v>
      </c>
      <c r="CH157" s="1140">
        <f t="shared" si="64"/>
        <v>0</v>
      </c>
    </row>
    <row r="158" spans="1:115" ht="15" customHeight="1" x14ac:dyDescent="0.2">
      <c r="A158" s="1052">
        <v>544</v>
      </c>
      <c r="B158" s="1052"/>
      <c r="C158" s="1053" t="s">
        <v>304</v>
      </c>
      <c r="D158" s="1054" t="s">
        <v>304</v>
      </c>
      <c r="E158" s="1055">
        <f t="shared" si="49"/>
        <v>38417.988699999994</v>
      </c>
      <c r="F158" s="1055">
        <v>0</v>
      </c>
      <c r="G158" s="1056">
        <f t="shared" si="47"/>
        <v>38417.988699999994</v>
      </c>
      <c r="H158" s="1053" t="s">
        <v>10</v>
      </c>
      <c r="I158" s="1054" t="s">
        <v>1512</v>
      </c>
      <c r="J158" s="1054" t="s">
        <v>10</v>
      </c>
      <c r="K158" s="1054" t="s">
        <v>188</v>
      </c>
      <c r="L158" s="1054" t="s">
        <v>10</v>
      </c>
      <c r="M158" s="1057">
        <v>22</v>
      </c>
      <c r="N158" s="1057">
        <v>0.91500000000000004</v>
      </c>
      <c r="O158" s="1057">
        <v>0.91500000000000004</v>
      </c>
      <c r="P158" s="1057">
        <v>0.97899999999999998</v>
      </c>
      <c r="Q158" s="1057">
        <v>0.92100000000000004</v>
      </c>
      <c r="R158" s="1057">
        <v>0</v>
      </c>
      <c r="S158" s="1057">
        <v>198133</v>
      </c>
      <c r="T158" s="1058">
        <f t="shared" si="50"/>
        <v>38417.988699999994</v>
      </c>
      <c r="U158" s="1057">
        <v>118304</v>
      </c>
      <c r="V158" s="1057">
        <v>79829</v>
      </c>
      <c r="W158" s="1057">
        <v>991</v>
      </c>
      <c r="X158" s="1057">
        <v>0</v>
      </c>
      <c r="Y158" s="1057">
        <v>0</v>
      </c>
      <c r="Z158" s="1057">
        <v>0</v>
      </c>
      <c r="AA158" s="1057">
        <v>236550.98869999999</v>
      </c>
      <c r="AB158" s="1057">
        <v>38417.988700000002</v>
      </c>
      <c r="AC158" s="1057">
        <v>198133</v>
      </c>
      <c r="AD158" s="1057">
        <v>0</v>
      </c>
      <c r="AE158" s="1057">
        <v>0</v>
      </c>
      <c r="AF158" s="1057">
        <v>0</v>
      </c>
      <c r="AG158" s="1057">
        <v>198133</v>
      </c>
      <c r="AH158" s="1057">
        <v>0</v>
      </c>
      <c r="AI158" s="1057">
        <v>0</v>
      </c>
      <c r="AJ158" s="1053">
        <v>4</v>
      </c>
      <c r="AK158" s="1053" t="s">
        <v>913</v>
      </c>
      <c r="AL158" s="1054" t="s">
        <v>1512</v>
      </c>
      <c r="AM158" s="1053" t="s">
        <v>10</v>
      </c>
      <c r="AN158" s="1054" t="s">
        <v>304</v>
      </c>
      <c r="AO158" s="1054">
        <v>38417.988700000002</v>
      </c>
      <c r="AP158" s="1059">
        <f t="shared" si="69"/>
        <v>36</v>
      </c>
      <c r="AQ158" s="1059">
        <f t="shared" si="51"/>
        <v>50</v>
      </c>
      <c r="AR158" s="1052">
        <v>0</v>
      </c>
      <c r="AS158" s="1052">
        <v>0</v>
      </c>
      <c r="AT158" s="1052">
        <v>30</v>
      </c>
      <c r="AU158" s="1052">
        <v>6</v>
      </c>
      <c r="AV158" s="1052">
        <v>0</v>
      </c>
      <c r="AW158" s="1052">
        <v>0</v>
      </c>
      <c r="AX158" s="1052">
        <v>0</v>
      </c>
      <c r="AY158" s="1052">
        <v>0</v>
      </c>
      <c r="AZ158" s="1052">
        <v>0</v>
      </c>
      <c r="BA158" s="1052">
        <v>8</v>
      </c>
      <c r="BB158" s="1052">
        <v>14</v>
      </c>
      <c r="BC158" s="1052">
        <v>0</v>
      </c>
      <c r="BD158" s="1052">
        <v>0</v>
      </c>
      <c r="BE158" s="1052">
        <v>0</v>
      </c>
      <c r="BF158" s="1052">
        <v>0</v>
      </c>
      <c r="BG158" s="1052">
        <v>0</v>
      </c>
      <c r="BH158" s="1052">
        <v>0</v>
      </c>
      <c r="BI158" s="1052">
        <v>0</v>
      </c>
      <c r="BJ158" s="1052">
        <v>0</v>
      </c>
      <c r="BK158" s="1052">
        <v>0</v>
      </c>
      <c r="BL158" s="1052">
        <v>0</v>
      </c>
      <c r="BM158" s="1052">
        <v>0</v>
      </c>
      <c r="BN158" s="1052">
        <v>0</v>
      </c>
      <c r="BO158" s="1052">
        <v>0</v>
      </c>
      <c r="BR158" s="1140">
        <f t="shared" si="52"/>
        <v>0</v>
      </c>
      <c r="BS158" s="1140">
        <f t="shared" si="53"/>
        <v>416666.66666666669</v>
      </c>
      <c r="BT158" s="1140">
        <f t="shared" si="54"/>
        <v>83333.333333333343</v>
      </c>
      <c r="BU158" s="1140">
        <f t="shared" si="55"/>
        <v>500000</v>
      </c>
      <c r="BV158" s="1140">
        <f t="shared" si="65"/>
        <v>0</v>
      </c>
      <c r="BW158" s="1140">
        <f t="shared" si="66"/>
        <v>0</v>
      </c>
      <c r="BX158" s="1140">
        <f t="shared" si="67"/>
        <v>0</v>
      </c>
      <c r="BY158" s="1140">
        <f t="shared" si="56"/>
        <v>0</v>
      </c>
      <c r="CA158" s="1140">
        <f t="shared" si="57"/>
        <v>0</v>
      </c>
      <c r="CB158" s="1140">
        <f t="shared" si="58"/>
        <v>416666.66666666669</v>
      </c>
      <c r="CC158" s="1140">
        <f t="shared" si="59"/>
        <v>83333.333333333343</v>
      </c>
      <c r="CD158" s="1140">
        <f t="shared" si="60"/>
        <v>500000</v>
      </c>
      <c r="CE158" s="1140">
        <f t="shared" si="61"/>
        <v>0</v>
      </c>
      <c r="CF158" s="1140">
        <f t="shared" si="62"/>
        <v>0</v>
      </c>
      <c r="CG158" s="1140">
        <f t="shared" si="63"/>
        <v>0</v>
      </c>
      <c r="CH158" s="1140">
        <f t="shared" si="64"/>
        <v>0</v>
      </c>
    </row>
    <row r="159" spans="1:115" ht="15" customHeight="1" x14ac:dyDescent="0.2">
      <c r="A159" s="1052">
        <v>2525</v>
      </c>
      <c r="B159" s="1052"/>
      <c r="C159" s="1053" t="s">
        <v>306</v>
      </c>
      <c r="D159" s="1054" t="s">
        <v>306</v>
      </c>
      <c r="E159" s="1055">
        <f t="shared" si="49"/>
        <v>35418.937399999995</v>
      </c>
      <c r="F159" s="1055">
        <v>0</v>
      </c>
      <c r="G159" s="1056">
        <f t="shared" si="47"/>
        <v>35418.937399999995</v>
      </c>
      <c r="H159" s="1053" t="s">
        <v>10</v>
      </c>
      <c r="I159" s="1054" t="s">
        <v>1512</v>
      </c>
      <c r="J159" s="1054" t="s">
        <v>1417</v>
      </c>
      <c r="K159" s="1054" t="s">
        <v>188</v>
      </c>
      <c r="L159" s="1054" t="s">
        <v>10</v>
      </c>
      <c r="M159" s="1057">
        <v>18</v>
      </c>
      <c r="N159" s="1057">
        <v>0.79700000000000004</v>
      </c>
      <c r="O159" s="1057">
        <v>0.95499999999999996</v>
      </c>
      <c r="P159" s="1057">
        <v>0.89900000000000002</v>
      </c>
      <c r="Q159" s="1057">
        <v>1</v>
      </c>
      <c r="R159" s="1057">
        <v>0</v>
      </c>
      <c r="S159" s="1057">
        <v>182666</v>
      </c>
      <c r="T159" s="1058">
        <f t="shared" si="50"/>
        <v>35418.937399999995</v>
      </c>
      <c r="U159" s="1057">
        <v>124028</v>
      </c>
      <c r="V159" s="1057">
        <v>58638</v>
      </c>
      <c r="W159" s="1057">
        <v>1077</v>
      </c>
      <c r="X159" s="1057">
        <v>0</v>
      </c>
      <c r="Y159" s="1057">
        <v>0</v>
      </c>
      <c r="Z159" s="1057">
        <v>0</v>
      </c>
      <c r="AA159" s="1057">
        <v>218084.9374</v>
      </c>
      <c r="AB159" s="1057">
        <v>35418.937400000003</v>
      </c>
      <c r="AC159" s="1057">
        <v>182666</v>
      </c>
      <c r="AD159" s="1057">
        <v>0</v>
      </c>
      <c r="AE159" s="1057">
        <v>0</v>
      </c>
      <c r="AF159" s="1057">
        <v>0</v>
      </c>
      <c r="AG159" s="1057">
        <v>182666</v>
      </c>
      <c r="AH159" s="1057">
        <v>0</v>
      </c>
      <c r="AI159" s="1057">
        <v>0</v>
      </c>
      <c r="AJ159" s="1053">
        <v>4</v>
      </c>
      <c r="AK159" s="1053" t="s">
        <v>913</v>
      </c>
      <c r="AL159" s="1054" t="s">
        <v>1512</v>
      </c>
      <c r="AM159" s="1053" t="s">
        <v>10</v>
      </c>
      <c r="AN159" s="1054" t="s">
        <v>306</v>
      </c>
      <c r="AO159" s="1054">
        <v>35418.937400000003</v>
      </c>
      <c r="AP159" s="1059">
        <f t="shared" si="69"/>
        <v>24</v>
      </c>
      <c r="AQ159" s="1059">
        <f t="shared" si="51"/>
        <v>24</v>
      </c>
      <c r="AR159" s="1052">
        <v>0</v>
      </c>
      <c r="AS159" s="1052">
        <v>0</v>
      </c>
      <c r="AT159" s="1052">
        <v>18</v>
      </c>
      <c r="AU159" s="1052">
        <v>6</v>
      </c>
      <c r="AV159" s="1052">
        <v>0</v>
      </c>
      <c r="AW159" s="1052">
        <v>0</v>
      </c>
      <c r="AX159" s="1052">
        <v>0</v>
      </c>
      <c r="AY159" s="1052">
        <v>0</v>
      </c>
      <c r="AZ159" s="1052">
        <v>0</v>
      </c>
      <c r="BA159" s="1052">
        <v>1</v>
      </c>
      <c r="BB159" s="1052">
        <v>0</v>
      </c>
      <c r="BC159" s="1052">
        <v>0</v>
      </c>
      <c r="BD159" s="1052">
        <v>0</v>
      </c>
      <c r="BE159" s="1052">
        <v>0</v>
      </c>
      <c r="BF159" s="1052">
        <v>0</v>
      </c>
      <c r="BG159" s="1052">
        <v>0</v>
      </c>
      <c r="BH159" s="1052">
        <v>0</v>
      </c>
      <c r="BI159" s="1052">
        <v>0</v>
      </c>
      <c r="BJ159" s="1052">
        <v>0</v>
      </c>
      <c r="BK159" s="1052">
        <v>0</v>
      </c>
      <c r="BL159" s="1052">
        <v>0</v>
      </c>
      <c r="BM159" s="1052">
        <v>0</v>
      </c>
      <c r="BN159" s="1052">
        <v>0</v>
      </c>
      <c r="BO159" s="1052">
        <v>0</v>
      </c>
      <c r="BR159" s="1140">
        <f t="shared" si="52"/>
        <v>0</v>
      </c>
      <c r="BS159" s="1140">
        <f t="shared" si="53"/>
        <v>250000.00000000003</v>
      </c>
      <c r="BT159" s="1140">
        <f t="shared" si="54"/>
        <v>83333.333333333343</v>
      </c>
      <c r="BU159" s="1140">
        <f t="shared" si="55"/>
        <v>333333.33333333337</v>
      </c>
      <c r="BV159" s="1140">
        <f t="shared" si="65"/>
        <v>0</v>
      </c>
      <c r="BW159" s="1140">
        <f t="shared" si="66"/>
        <v>0</v>
      </c>
      <c r="BX159" s="1140">
        <f t="shared" si="67"/>
        <v>0</v>
      </c>
      <c r="BY159" s="1140">
        <f t="shared" si="56"/>
        <v>0</v>
      </c>
      <c r="CA159" s="1140">
        <f t="shared" si="57"/>
        <v>0</v>
      </c>
      <c r="CB159" s="1140">
        <f t="shared" si="58"/>
        <v>250000.00000000003</v>
      </c>
      <c r="CC159" s="1140">
        <f t="shared" si="59"/>
        <v>83333.333333333343</v>
      </c>
      <c r="CD159" s="1140">
        <f t="shared" si="60"/>
        <v>333333.33333333337</v>
      </c>
      <c r="CE159" s="1140">
        <f t="shared" si="61"/>
        <v>0</v>
      </c>
      <c r="CF159" s="1140">
        <f t="shared" si="62"/>
        <v>0</v>
      </c>
      <c r="CG159" s="1140">
        <f t="shared" si="63"/>
        <v>0</v>
      </c>
      <c r="CH159" s="1140">
        <f t="shared" si="64"/>
        <v>0</v>
      </c>
    </row>
    <row r="160" spans="1:115" s="1082" customFormat="1" ht="15" customHeight="1" x14ac:dyDescent="0.2">
      <c r="A160" s="1052">
        <v>2743</v>
      </c>
      <c r="B160" s="1052" t="s">
        <v>1412</v>
      </c>
      <c r="C160" s="1053" t="s">
        <v>308</v>
      </c>
      <c r="D160" s="1054" t="s">
        <v>308</v>
      </c>
      <c r="E160" s="1055">
        <f t="shared" si="49"/>
        <v>231369.65279999998</v>
      </c>
      <c r="F160" s="1055">
        <v>455134</v>
      </c>
      <c r="G160" s="1056">
        <f t="shared" si="47"/>
        <v>686503.65280000004</v>
      </c>
      <c r="H160" s="1053" t="s">
        <v>10</v>
      </c>
      <c r="I160" s="1054" t="s">
        <v>1416</v>
      </c>
      <c r="J160" s="1054" t="s">
        <v>1412</v>
      </c>
      <c r="K160" s="1054" t="s">
        <v>310</v>
      </c>
      <c r="L160" s="1054" t="s">
        <v>1412</v>
      </c>
      <c r="M160" s="1057">
        <v>106</v>
      </c>
      <c r="N160" s="1057">
        <v>0.90900000000000003</v>
      </c>
      <c r="O160" s="1057">
        <v>0.91200000000000003</v>
      </c>
      <c r="P160" s="1057">
        <v>0.94899999999999995</v>
      </c>
      <c r="Q160" s="1057">
        <v>0.92800000000000005</v>
      </c>
      <c r="R160" s="1057">
        <v>748702</v>
      </c>
      <c r="S160" s="1057">
        <v>664092</v>
      </c>
      <c r="T160" s="1058">
        <f t="shared" si="50"/>
        <v>222738.845</v>
      </c>
      <c r="U160" s="1057">
        <v>445389</v>
      </c>
      <c r="V160" s="1057">
        <v>218703</v>
      </c>
      <c r="W160" s="1057">
        <v>3270</v>
      </c>
      <c r="X160" s="1057">
        <v>677872.84499999997</v>
      </c>
      <c r="Y160" s="1057">
        <v>222738.845</v>
      </c>
      <c r="Z160" s="1057">
        <v>455134</v>
      </c>
      <c r="AA160" s="1057">
        <v>208958</v>
      </c>
      <c r="AB160" s="1057">
        <v>0</v>
      </c>
      <c r="AC160" s="1057">
        <v>208958</v>
      </c>
      <c r="AD160" s="1057">
        <v>455134</v>
      </c>
      <c r="AE160" s="1057">
        <v>0</v>
      </c>
      <c r="AF160" s="1057">
        <v>208958</v>
      </c>
      <c r="AG160" s="1057">
        <v>0</v>
      </c>
      <c r="AH160" s="1057">
        <v>326000</v>
      </c>
      <c r="AI160" s="1057">
        <v>281000</v>
      </c>
      <c r="AJ160" s="1053">
        <v>4</v>
      </c>
      <c r="AK160" s="1053" t="s">
        <v>899</v>
      </c>
      <c r="AL160" s="1054" t="s">
        <v>1416</v>
      </c>
      <c r="AM160" s="1053" t="s">
        <v>10</v>
      </c>
      <c r="AN160" s="1054" t="s">
        <v>308</v>
      </c>
      <c r="AO160" s="1054">
        <v>677872.84499999997</v>
      </c>
      <c r="AP160" s="1059">
        <f t="shared" si="69"/>
        <v>800.84580000000005</v>
      </c>
      <c r="AQ160" s="1059">
        <f t="shared" si="51"/>
        <v>819.84580000000005</v>
      </c>
      <c r="AR160" s="1081">
        <v>189</v>
      </c>
      <c r="AS160" s="1081">
        <v>281</v>
      </c>
      <c r="AT160" s="1081">
        <v>27</v>
      </c>
      <c r="AU160" s="1081">
        <v>0</v>
      </c>
      <c r="AV160" s="1081">
        <v>34</v>
      </c>
      <c r="AW160" s="1081">
        <v>0</v>
      </c>
      <c r="AX160" s="1081">
        <v>1</v>
      </c>
      <c r="AY160" s="1081">
        <v>0</v>
      </c>
      <c r="AZ160" s="1081">
        <v>16</v>
      </c>
      <c r="BA160" s="1081">
        <v>17</v>
      </c>
      <c r="BB160" s="1081">
        <v>19</v>
      </c>
      <c r="BC160" s="1081">
        <v>0</v>
      </c>
      <c r="BD160" s="1052">
        <v>28</v>
      </c>
      <c r="BE160" s="1052">
        <v>0</v>
      </c>
      <c r="BF160" s="1052">
        <v>0</v>
      </c>
      <c r="BG160" s="1052">
        <v>0</v>
      </c>
      <c r="BH160" s="1052">
        <v>95</v>
      </c>
      <c r="BI160" s="1052">
        <v>0</v>
      </c>
      <c r="BJ160" s="1052">
        <v>0</v>
      </c>
      <c r="BK160" s="1052">
        <v>0</v>
      </c>
      <c r="BL160" s="1081">
        <v>0</v>
      </c>
      <c r="BM160" s="1081">
        <v>0</v>
      </c>
      <c r="BN160" s="1081">
        <v>324699</v>
      </c>
      <c r="BO160" s="1081">
        <v>861.46799999999996</v>
      </c>
      <c r="BP160" s="1069"/>
      <c r="BQ160" s="1136"/>
      <c r="BR160" s="1140">
        <f t="shared" si="52"/>
        <v>2625000</v>
      </c>
      <c r="BS160" s="1140">
        <f t="shared" si="53"/>
        <v>375000</v>
      </c>
      <c r="BT160" s="1140">
        <f t="shared" si="54"/>
        <v>0</v>
      </c>
      <c r="BU160" s="1140">
        <f t="shared" si="55"/>
        <v>3000000</v>
      </c>
      <c r="BV160" s="1140">
        <f t="shared" si="65"/>
        <v>6800</v>
      </c>
      <c r="BW160" s="1140">
        <f t="shared" si="66"/>
        <v>200</v>
      </c>
      <c r="BX160" s="1140">
        <f t="shared" si="67"/>
        <v>0</v>
      </c>
      <c r="BY160" s="1140">
        <f t="shared" si="56"/>
        <v>7000</v>
      </c>
      <c r="BZ160" s="1136"/>
      <c r="CA160" s="1140">
        <f t="shared" si="57"/>
        <v>2625000</v>
      </c>
      <c r="CB160" s="1140">
        <f t="shared" si="58"/>
        <v>375000</v>
      </c>
      <c r="CC160" s="1140">
        <f t="shared" si="59"/>
        <v>0</v>
      </c>
      <c r="CD160" s="1140">
        <f t="shared" si="60"/>
        <v>3000000</v>
      </c>
      <c r="CE160" s="1140">
        <f t="shared" si="61"/>
        <v>6800</v>
      </c>
      <c r="CF160" s="1140">
        <f t="shared" si="62"/>
        <v>200</v>
      </c>
      <c r="CG160" s="1140">
        <f t="shared" si="63"/>
        <v>0</v>
      </c>
      <c r="CH160" s="1140">
        <f t="shared" si="64"/>
        <v>7000</v>
      </c>
      <c r="CI160" s="1146"/>
      <c r="CJ160" s="1069"/>
      <c r="CK160" s="1069"/>
      <c r="CL160" s="1069"/>
      <c r="CM160" s="1069"/>
      <c r="CN160" s="1069"/>
      <c r="CO160" s="1069"/>
      <c r="CP160" s="1069"/>
      <c r="CQ160" s="1069"/>
      <c r="CR160" s="1069"/>
      <c r="CS160" s="1069"/>
      <c r="CT160" s="1069"/>
      <c r="CU160" s="1069"/>
      <c r="CV160" s="1069"/>
      <c r="CW160" s="1069"/>
      <c r="CX160" s="1069"/>
      <c r="CY160" s="1069"/>
      <c r="CZ160" s="1069"/>
      <c r="DA160" s="1069"/>
      <c r="DB160" s="1069"/>
      <c r="DC160" s="1069"/>
      <c r="DD160" s="1069"/>
      <c r="DE160" s="1069"/>
      <c r="DF160" s="1069"/>
      <c r="DG160" s="1069"/>
      <c r="DH160" s="1069"/>
      <c r="DI160" s="1069"/>
      <c r="DJ160" s="1069"/>
      <c r="DK160" s="1069"/>
    </row>
    <row r="161" spans="1:115" s="1082" customFormat="1" ht="15" customHeight="1" x14ac:dyDescent="0.2">
      <c r="A161" s="1052">
        <v>4668</v>
      </c>
      <c r="B161" s="1052"/>
      <c r="C161" s="1053" t="s">
        <v>311</v>
      </c>
      <c r="D161" s="1054" t="s">
        <v>311</v>
      </c>
      <c r="E161" s="1055">
        <f t="shared" si="49"/>
        <v>251445.50599999999</v>
      </c>
      <c r="F161" s="1055">
        <v>0</v>
      </c>
      <c r="G161" s="1056">
        <f t="shared" si="47"/>
        <v>251445.50599999999</v>
      </c>
      <c r="H161" s="1053" t="s">
        <v>10</v>
      </c>
      <c r="I161" s="1054" t="s">
        <v>1416</v>
      </c>
      <c r="J161" s="1054" t="s">
        <v>1417</v>
      </c>
      <c r="K161" s="1054" t="s">
        <v>313</v>
      </c>
      <c r="L161" s="1054" t="s">
        <v>10</v>
      </c>
      <c r="M161" s="1057">
        <v>76</v>
      </c>
      <c r="N161" s="1057">
        <v>0.82099999999999995</v>
      </c>
      <c r="O161" s="1057">
        <v>0.84699999999999998</v>
      </c>
      <c r="P161" s="1057">
        <v>0.9</v>
      </c>
      <c r="Q161" s="1057">
        <v>0.95199999999999996</v>
      </c>
      <c r="R161" s="1057">
        <v>877189</v>
      </c>
      <c r="S161" s="1057">
        <v>721715</v>
      </c>
      <c r="T161" s="1058">
        <f t="shared" si="50"/>
        <v>260963.72749999998</v>
      </c>
      <c r="U161" s="1057">
        <v>535500</v>
      </c>
      <c r="V161" s="1057">
        <v>186215</v>
      </c>
      <c r="W161" s="1057">
        <v>2000</v>
      </c>
      <c r="X161" s="1057">
        <v>0</v>
      </c>
      <c r="Y161" s="1057">
        <v>0</v>
      </c>
      <c r="Z161" s="1057">
        <v>0</v>
      </c>
      <c r="AA161" s="1057">
        <v>982678.72750000004</v>
      </c>
      <c r="AB161" s="1057">
        <v>260963.72750000001</v>
      </c>
      <c r="AC161" s="1057">
        <v>721715</v>
      </c>
      <c r="AD161" s="1057">
        <v>0</v>
      </c>
      <c r="AE161" s="1057">
        <v>0</v>
      </c>
      <c r="AF161" s="1057">
        <v>0</v>
      </c>
      <c r="AG161" s="1057">
        <v>721715</v>
      </c>
      <c r="AH161" s="1057">
        <v>0</v>
      </c>
      <c r="AI161" s="1057">
        <v>0</v>
      </c>
      <c r="AJ161" s="1053" t="s">
        <v>900</v>
      </c>
      <c r="AK161" s="1053" t="s">
        <v>905</v>
      </c>
      <c r="AL161" s="1054" t="s">
        <v>1416</v>
      </c>
      <c r="AM161" s="1053" t="s">
        <v>10</v>
      </c>
      <c r="AN161" s="1054" t="s">
        <v>311</v>
      </c>
      <c r="AO161" s="1054">
        <v>260963.72750000001</v>
      </c>
      <c r="AP161" s="1059">
        <f t="shared" si="69"/>
        <v>289.49829999999997</v>
      </c>
      <c r="AQ161" s="1059">
        <f t="shared" si="51"/>
        <v>324.49829999999997</v>
      </c>
      <c r="AR161" s="1081">
        <v>0</v>
      </c>
      <c r="AS161" s="1081">
        <v>0</v>
      </c>
      <c r="AT161" s="1081">
        <v>189</v>
      </c>
      <c r="AU161" s="1081">
        <v>1</v>
      </c>
      <c r="AV161" s="1081">
        <v>0</v>
      </c>
      <c r="AW161" s="1081">
        <v>0</v>
      </c>
      <c r="AX161" s="1081">
        <v>15</v>
      </c>
      <c r="AY161" s="1081">
        <v>0</v>
      </c>
      <c r="AZ161" s="1081">
        <v>0</v>
      </c>
      <c r="BA161" s="1081">
        <v>0</v>
      </c>
      <c r="BB161" s="1081">
        <v>35</v>
      </c>
      <c r="BC161" s="1081">
        <v>0</v>
      </c>
      <c r="BD161" s="1052">
        <v>0</v>
      </c>
      <c r="BE161" s="1052">
        <v>0</v>
      </c>
      <c r="BF161" s="1052">
        <v>0</v>
      </c>
      <c r="BG161" s="1052">
        <v>0</v>
      </c>
      <c r="BH161" s="1081">
        <v>0</v>
      </c>
      <c r="BI161" s="1081">
        <v>0</v>
      </c>
      <c r="BJ161" s="1081">
        <v>0</v>
      </c>
      <c r="BK161" s="1081">
        <v>0</v>
      </c>
      <c r="BL161" s="1052">
        <v>0</v>
      </c>
      <c r="BM161" s="1052">
        <v>0</v>
      </c>
      <c r="BN161" s="1052">
        <v>9761</v>
      </c>
      <c r="BO161" s="1052">
        <v>747.37300000000005</v>
      </c>
      <c r="BP161" s="1069"/>
      <c r="BQ161" s="1136"/>
      <c r="BR161" s="1140">
        <f t="shared" si="52"/>
        <v>0</v>
      </c>
      <c r="BS161" s="1140">
        <f t="shared" si="53"/>
        <v>2625000</v>
      </c>
      <c r="BT161" s="1140">
        <f t="shared" si="54"/>
        <v>13888.888888888891</v>
      </c>
      <c r="BU161" s="1140">
        <f t="shared" si="55"/>
        <v>2638888.888888889</v>
      </c>
      <c r="BV161" s="1140">
        <f t="shared" si="65"/>
        <v>0</v>
      </c>
      <c r="BW161" s="1140">
        <f t="shared" si="66"/>
        <v>3000</v>
      </c>
      <c r="BX161" s="1140">
        <f t="shared" si="67"/>
        <v>0</v>
      </c>
      <c r="BY161" s="1140">
        <f t="shared" si="56"/>
        <v>3000</v>
      </c>
      <c r="BZ161" s="1136"/>
      <c r="CA161" s="1140">
        <f t="shared" si="57"/>
        <v>0</v>
      </c>
      <c r="CB161" s="1140">
        <f t="shared" si="58"/>
        <v>2625000</v>
      </c>
      <c r="CC161" s="1140">
        <f t="shared" si="59"/>
        <v>13888.888888888891</v>
      </c>
      <c r="CD161" s="1140">
        <f t="shared" si="60"/>
        <v>2638888.888888889</v>
      </c>
      <c r="CE161" s="1140">
        <f t="shared" si="61"/>
        <v>0</v>
      </c>
      <c r="CF161" s="1140">
        <f t="shared" si="62"/>
        <v>3000</v>
      </c>
      <c r="CG161" s="1140">
        <f t="shared" si="63"/>
        <v>0</v>
      </c>
      <c r="CH161" s="1140">
        <f t="shared" si="64"/>
        <v>3000</v>
      </c>
      <c r="CI161" s="1146"/>
      <c r="CJ161" s="1069"/>
      <c r="CK161" s="1069"/>
      <c r="CL161" s="1069"/>
      <c r="CM161" s="1069"/>
      <c r="CN161" s="1069"/>
      <c r="CO161" s="1069"/>
      <c r="CP161" s="1069"/>
      <c r="CQ161" s="1069"/>
      <c r="CR161" s="1069"/>
      <c r="CS161" s="1069"/>
      <c r="CT161" s="1069"/>
      <c r="CU161" s="1069"/>
      <c r="CV161" s="1069"/>
      <c r="CW161" s="1069"/>
      <c r="CX161" s="1069"/>
      <c r="CY161" s="1069"/>
      <c r="CZ161" s="1069"/>
      <c r="DA161" s="1069"/>
      <c r="DB161" s="1069"/>
      <c r="DC161" s="1069"/>
      <c r="DD161" s="1069"/>
      <c r="DE161" s="1069"/>
      <c r="DF161" s="1069"/>
      <c r="DG161" s="1069"/>
      <c r="DH161" s="1069"/>
      <c r="DI161" s="1069"/>
      <c r="DJ161" s="1069"/>
      <c r="DK161" s="1069"/>
    </row>
    <row r="162" spans="1:115" ht="15" customHeight="1" x14ac:dyDescent="0.2">
      <c r="A162" s="1080">
        <v>4669</v>
      </c>
      <c r="B162" s="1080"/>
      <c r="C162" s="1083" t="s">
        <v>946</v>
      </c>
      <c r="D162" s="1063" t="s">
        <v>946</v>
      </c>
      <c r="E162" s="1055">
        <f t="shared" si="49"/>
        <v>0</v>
      </c>
      <c r="F162" s="1064" t="s">
        <v>10</v>
      </c>
      <c r="G162" s="1056" t="e">
        <f t="shared" si="47"/>
        <v>#VALUE!</v>
      </c>
      <c r="H162" s="1083" t="s">
        <v>10</v>
      </c>
      <c r="I162" s="1063" t="s">
        <v>911</v>
      </c>
      <c r="J162" s="1063" t="s">
        <v>10</v>
      </c>
      <c r="K162" s="1063" t="s">
        <v>10</v>
      </c>
      <c r="L162" s="1063" t="s">
        <v>10</v>
      </c>
      <c r="M162" s="1065" t="s">
        <v>10</v>
      </c>
      <c r="N162" s="1065" t="s">
        <v>10</v>
      </c>
      <c r="O162" s="1065" t="s">
        <v>10</v>
      </c>
      <c r="P162" s="1065" t="s">
        <v>10</v>
      </c>
      <c r="Q162" s="1065" t="s">
        <v>10</v>
      </c>
      <c r="R162" s="1065" t="s">
        <v>10</v>
      </c>
      <c r="S162" s="1110"/>
      <c r="T162" s="1058">
        <f t="shared" si="50"/>
        <v>0</v>
      </c>
      <c r="U162" s="1065" t="s">
        <v>10</v>
      </c>
      <c r="V162" s="1065" t="s">
        <v>10</v>
      </c>
      <c r="W162" s="1065" t="s">
        <v>10</v>
      </c>
      <c r="X162" s="1065" t="s">
        <v>10</v>
      </c>
      <c r="Y162" s="1065" t="s">
        <v>10</v>
      </c>
      <c r="Z162" s="1065" t="s">
        <v>10</v>
      </c>
      <c r="AA162" s="1065" t="s">
        <v>10</v>
      </c>
      <c r="AB162" s="1065" t="s">
        <v>10</v>
      </c>
      <c r="AC162" s="1065" t="s">
        <v>10</v>
      </c>
      <c r="AD162" s="1065" t="s">
        <v>10</v>
      </c>
      <c r="AE162" s="1065" t="s">
        <v>10</v>
      </c>
      <c r="AF162" s="1065" t="s">
        <v>10</v>
      </c>
      <c r="AG162" s="1065" t="s">
        <v>10</v>
      </c>
      <c r="AH162" s="1065" t="s">
        <v>10</v>
      </c>
      <c r="AI162" s="1065" t="s">
        <v>10</v>
      </c>
      <c r="AJ162" s="1083" t="s">
        <v>900</v>
      </c>
      <c r="AK162" s="1083" t="s">
        <v>905</v>
      </c>
      <c r="AL162" s="1078" t="s">
        <v>911</v>
      </c>
      <c r="AM162" s="1083" t="s">
        <v>10</v>
      </c>
      <c r="AN162" s="1078" t="s">
        <v>946</v>
      </c>
      <c r="AO162" s="1078">
        <v>0</v>
      </c>
      <c r="AP162" s="1079">
        <v>0</v>
      </c>
      <c r="AQ162" s="1059">
        <f t="shared" si="51"/>
        <v>225</v>
      </c>
      <c r="AR162" s="753">
        <v>0</v>
      </c>
      <c r="AS162" s="753">
        <v>0</v>
      </c>
      <c r="AT162" s="753">
        <v>210</v>
      </c>
      <c r="AU162" s="753">
        <v>0</v>
      </c>
      <c r="AV162" s="753">
        <v>0</v>
      </c>
      <c r="AW162" s="753">
        <v>0</v>
      </c>
      <c r="AX162" s="753">
        <v>10</v>
      </c>
      <c r="AY162" s="753">
        <v>0</v>
      </c>
      <c r="AZ162" s="753">
        <v>0</v>
      </c>
      <c r="BA162" s="753">
        <v>0</v>
      </c>
      <c r="BB162" s="753">
        <v>5</v>
      </c>
      <c r="BC162" s="753">
        <v>0</v>
      </c>
      <c r="BD162" s="1061">
        <v>0</v>
      </c>
      <c r="BE162" s="1061">
        <v>0</v>
      </c>
      <c r="BF162" s="1061">
        <v>0</v>
      </c>
      <c r="BG162" s="1061">
        <v>0</v>
      </c>
      <c r="BH162" s="1061">
        <v>0</v>
      </c>
      <c r="BI162" s="1061">
        <v>0</v>
      </c>
      <c r="BJ162" s="1061">
        <v>0</v>
      </c>
      <c r="BK162" s="1061">
        <v>0</v>
      </c>
      <c r="BL162" s="753">
        <v>0</v>
      </c>
      <c r="BM162" s="753">
        <v>0</v>
      </c>
      <c r="BN162" s="753">
        <v>0</v>
      </c>
      <c r="BO162" s="730"/>
      <c r="BR162" s="1140">
        <f t="shared" si="52"/>
        <v>0</v>
      </c>
      <c r="BS162" s="1140">
        <f t="shared" si="53"/>
        <v>2916666.666666667</v>
      </c>
      <c r="BT162" s="1140">
        <f t="shared" si="54"/>
        <v>0</v>
      </c>
      <c r="BU162" s="1140">
        <f t="shared" si="55"/>
        <v>2916666.666666667</v>
      </c>
      <c r="BV162" s="1140">
        <f t="shared" si="65"/>
        <v>0</v>
      </c>
      <c r="BW162" s="1140">
        <f t="shared" si="66"/>
        <v>2000</v>
      </c>
      <c r="BX162" s="1140">
        <f t="shared" si="67"/>
        <v>0</v>
      </c>
      <c r="BY162" s="1140">
        <f t="shared" si="56"/>
        <v>2000</v>
      </c>
      <c r="CA162" s="1140">
        <f t="shared" si="57"/>
        <v>0</v>
      </c>
      <c r="CB162" s="1140">
        <f t="shared" si="58"/>
        <v>2916666.666666667</v>
      </c>
      <c r="CC162" s="1140">
        <f t="shared" si="59"/>
        <v>0</v>
      </c>
      <c r="CD162" s="1140">
        <f t="shared" si="60"/>
        <v>2916666.666666667</v>
      </c>
      <c r="CE162" s="1140">
        <f t="shared" si="61"/>
        <v>0</v>
      </c>
      <c r="CF162" s="1140">
        <f t="shared" si="62"/>
        <v>2000</v>
      </c>
      <c r="CG162" s="1140">
        <f t="shared" si="63"/>
        <v>0</v>
      </c>
      <c r="CH162" s="1140">
        <f t="shared" si="64"/>
        <v>2000</v>
      </c>
    </row>
    <row r="163" spans="1:115" ht="15" customHeight="1" x14ac:dyDescent="0.2">
      <c r="A163" s="1080">
        <v>2905</v>
      </c>
      <c r="B163" s="1080" t="s">
        <v>1412</v>
      </c>
      <c r="C163" s="1083" t="s">
        <v>314</v>
      </c>
      <c r="D163" s="1054" t="s">
        <v>314</v>
      </c>
      <c r="E163" s="1055">
        <f t="shared" si="49"/>
        <v>0</v>
      </c>
      <c r="F163" s="1055">
        <v>0</v>
      </c>
      <c r="G163" s="1056">
        <f t="shared" si="47"/>
        <v>0</v>
      </c>
      <c r="H163" s="1083" t="s">
        <v>1417</v>
      </c>
      <c r="I163" s="1054" t="s">
        <v>1416</v>
      </c>
      <c r="J163" s="1054" t="s">
        <v>10</v>
      </c>
      <c r="K163" s="1054" t="s">
        <v>10</v>
      </c>
      <c r="L163" s="1054" t="s">
        <v>1412</v>
      </c>
      <c r="M163" s="1057">
        <v>0</v>
      </c>
      <c r="N163" s="1057">
        <v>0</v>
      </c>
      <c r="O163" s="1057">
        <v>0</v>
      </c>
      <c r="P163" s="1057">
        <v>0</v>
      </c>
      <c r="Q163" s="1057">
        <v>0</v>
      </c>
      <c r="R163" s="1057">
        <v>699931</v>
      </c>
      <c r="S163" s="1057">
        <v>0</v>
      </c>
      <c r="T163" s="1058">
        <f t="shared" si="50"/>
        <v>208229.4725</v>
      </c>
      <c r="U163" s="1057">
        <v>0</v>
      </c>
      <c r="V163" s="1057">
        <v>0</v>
      </c>
      <c r="W163" s="1057">
        <v>0</v>
      </c>
      <c r="X163" s="1057">
        <v>0</v>
      </c>
      <c r="Y163" s="1057">
        <v>0</v>
      </c>
      <c r="Z163" s="1057">
        <v>0</v>
      </c>
      <c r="AA163" s="1057">
        <v>0</v>
      </c>
      <c r="AB163" s="1057">
        <v>0</v>
      </c>
      <c r="AC163" s="1057">
        <v>0</v>
      </c>
      <c r="AD163" s="1057">
        <v>0</v>
      </c>
      <c r="AE163" s="1057">
        <v>0</v>
      </c>
      <c r="AF163" s="1057">
        <v>0</v>
      </c>
      <c r="AG163" s="1057">
        <v>0</v>
      </c>
      <c r="AH163" s="1057">
        <v>308000</v>
      </c>
      <c r="AI163" s="1057">
        <v>314000</v>
      </c>
      <c r="AJ163" s="1062" t="s">
        <v>900</v>
      </c>
      <c r="AK163" s="1062" t="s">
        <v>922</v>
      </c>
      <c r="AL163" s="1078" t="s">
        <v>1416</v>
      </c>
      <c r="AM163" s="1083" t="s">
        <v>1417</v>
      </c>
      <c r="AN163" s="1078" t="s">
        <v>314</v>
      </c>
      <c r="AO163" s="1078">
        <v>0</v>
      </c>
      <c r="AP163" s="1079">
        <v>0</v>
      </c>
      <c r="AQ163" s="1059">
        <f t="shared" si="51"/>
        <v>130.43860000000001</v>
      </c>
      <c r="AR163" s="783">
        <v>33</v>
      </c>
      <c r="AS163" s="783">
        <v>314</v>
      </c>
      <c r="AT163" s="783">
        <v>45</v>
      </c>
      <c r="AU163" s="783">
        <v>10</v>
      </c>
      <c r="AV163" s="783">
        <v>0</v>
      </c>
      <c r="AW163" s="783">
        <v>0</v>
      </c>
      <c r="AX163" s="783">
        <v>0</v>
      </c>
      <c r="AY163" s="783">
        <v>1</v>
      </c>
      <c r="AZ163" s="783">
        <v>0</v>
      </c>
      <c r="BA163" s="783">
        <v>29</v>
      </c>
      <c r="BB163" s="783">
        <v>12</v>
      </c>
      <c r="BC163" s="783">
        <v>1</v>
      </c>
      <c r="BD163" s="1109">
        <v>0</v>
      </c>
      <c r="BE163" s="1109">
        <v>0</v>
      </c>
      <c r="BF163" s="1109">
        <v>0</v>
      </c>
      <c r="BG163" s="1109">
        <v>0</v>
      </c>
      <c r="BH163" s="783">
        <v>0</v>
      </c>
      <c r="BI163" s="783">
        <v>3</v>
      </c>
      <c r="BJ163" s="783">
        <v>0</v>
      </c>
      <c r="BK163" s="783">
        <v>0</v>
      </c>
      <c r="BL163" s="1061">
        <f>-BM1665</f>
        <v>0</v>
      </c>
      <c r="BM163" s="1061">
        <v>9000</v>
      </c>
      <c r="BN163" s="1061">
        <v>5000</v>
      </c>
      <c r="BO163" s="1061">
        <v>144.386</v>
      </c>
      <c r="BR163" s="1140">
        <f t="shared" si="52"/>
        <v>458333.33333333337</v>
      </c>
      <c r="BS163" s="1140">
        <f t="shared" si="53"/>
        <v>625000</v>
      </c>
      <c r="BT163" s="1140">
        <f t="shared" si="54"/>
        <v>138888.88888888891</v>
      </c>
      <c r="BU163" s="1140">
        <f t="shared" si="55"/>
        <v>1222222.2222222225</v>
      </c>
      <c r="BV163" s="1140">
        <f t="shared" si="65"/>
        <v>0</v>
      </c>
      <c r="BW163" s="1140">
        <f t="shared" si="66"/>
        <v>0</v>
      </c>
      <c r="BX163" s="1140">
        <f t="shared" si="67"/>
        <v>200</v>
      </c>
      <c r="BY163" s="1140">
        <f t="shared" si="56"/>
        <v>200</v>
      </c>
      <c r="CA163" s="1140">
        <f t="shared" si="57"/>
        <v>0</v>
      </c>
      <c r="CB163" s="1140">
        <f t="shared" si="58"/>
        <v>0</v>
      </c>
      <c r="CC163" s="1140">
        <f t="shared" si="59"/>
        <v>0</v>
      </c>
      <c r="CD163" s="1140">
        <f t="shared" si="60"/>
        <v>0</v>
      </c>
      <c r="CE163" s="1140">
        <f t="shared" si="61"/>
        <v>0</v>
      </c>
      <c r="CF163" s="1140">
        <f t="shared" si="62"/>
        <v>0</v>
      </c>
      <c r="CG163" s="1140">
        <f t="shared" si="63"/>
        <v>200</v>
      </c>
      <c r="CH163" s="1140">
        <f t="shared" si="64"/>
        <v>200</v>
      </c>
    </row>
    <row r="164" spans="1:115" s="1069" customFormat="1" ht="15" customHeight="1" x14ac:dyDescent="0.2">
      <c r="A164" s="1080">
        <v>4832</v>
      </c>
      <c r="B164" s="1080"/>
      <c r="C164" s="1083" t="s">
        <v>315</v>
      </c>
      <c r="D164" s="1054" t="s">
        <v>315</v>
      </c>
      <c r="E164" s="1055">
        <f t="shared" si="49"/>
        <v>303108</v>
      </c>
      <c r="F164" s="1055">
        <v>0</v>
      </c>
      <c r="G164" s="1056">
        <f t="shared" si="47"/>
        <v>303108</v>
      </c>
      <c r="H164" s="1083" t="s">
        <v>10</v>
      </c>
      <c r="I164" s="1054" t="s">
        <v>1416</v>
      </c>
      <c r="J164" s="1054" t="s">
        <v>1417</v>
      </c>
      <c r="K164" s="1054" t="s">
        <v>199</v>
      </c>
      <c r="L164" s="1054" t="s">
        <v>10</v>
      </c>
      <c r="M164" s="1057">
        <v>113</v>
      </c>
      <c r="N164" s="1057">
        <v>0.97099999999999997</v>
      </c>
      <c r="O164" s="1057">
        <v>0.96</v>
      </c>
      <c r="P164" s="1057">
        <v>0.92500000000000004</v>
      </c>
      <c r="Q164" s="1057">
        <v>0.95199999999999996</v>
      </c>
      <c r="R164" s="1057">
        <v>999838</v>
      </c>
      <c r="S164" s="1057">
        <v>870000</v>
      </c>
      <c r="T164" s="1058">
        <f t="shared" si="50"/>
        <v>297451.80499999999</v>
      </c>
      <c r="U164" s="1057">
        <v>596500</v>
      </c>
      <c r="V164" s="1057">
        <v>273500</v>
      </c>
      <c r="W164" s="1057">
        <v>4700</v>
      </c>
      <c r="X164" s="1057">
        <v>0</v>
      </c>
      <c r="Y164" s="1057">
        <v>0</v>
      </c>
      <c r="Z164" s="1057">
        <v>0</v>
      </c>
      <c r="AA164" s="1057">
        <v>1167451.8049999999</v>
      </c>
      <c r="AB164" s="1057">
        <v>297451.80499999999</v>
      </c>
      <c r="AC164" s="1057">
        <v>870000</v>
      </c>
      <c r="AD164" s="1057">
        <v>0</v>
      </c>
      <c r="AE164" s="1057">
        <v>0</v>
      </c>
      <c r="AF164" s="1057">
        <v>0</v>
      </c>
      <c r="AG164" s="1057">
        <v>870000</v>
      </c>
      <c r="AH164" s="1057">
        <v>0</v>
      </c>
      <c r="AI164" s="1057">
        <v>0</v>
      </c>
      <c r="AJ164" s="1083" t="s">
        <v>908</v>
      </c>
      <c r="AK164" s="1083" t="s">
        <v>909</v>
      </c>
      <c r="AL164" s="1078" t="s">
        <v>1416</v>
      </c>
      <c r="AM164" s="1083" t="s">
        <v>10</v>
      </c>
      <c r="AN164" s="1078" t="s">
        <v>315</v>
      </c>
      <c r="AO164" s="1078">
        <v>297451.80499999999</v>
      </c>
      <c r="AP164" s="1067">
        <f>AR164+AT164+AU164+AV164+AX164+AY164+AZ164+BD164+BF164+BG164+BH164+BJ164+BK164+(BL164+BM164+BN164)/1000+(0.1*BO164)</f>
        <v>253.63829999999999</v>
      </c>
      <c r="AQ164" s="1059">
        <f t="shared" si="51"/>
        <v>294.63830000000002</v>
      </c>
      <c r="AR164" s="1061">
        <v>0</v>
      </c>
      <c r="AS164" s="1061">
        <v>0</v>
      </c>
      <c r="AT164" s="1061">
        <v>242</v>
      </c>
      <c r="AU164" s="1061">
        <v>5</v>
      </c>
      <c r="AV164" s="1061">
        <v>0</v>
      </c>
      <c r="AW164" s="1061">
        <v>0</v>
      </c>
      <c r="AX164" s="1061">
        <v>0</v>
      </c>
      <c r="AY164" s="1061">
        <v>0</v>
      </c>
      <c r="AZ164" s="1061">
        <v>0</v>
      </c>
      <c r="BA164" s="1061">
        <v>0</v>
      </c>
      <c r="BB164" s="1061">
        <v>40</v>
      </c>
      <c r="BC164" s="1061">
        <v>1</v>
      </c>
      <c r="BD164" s="1061">
        <v>0</v>
      </c>
      <c r="BE164" s="1061">
        <v>1</v>
      </c>
      <c r="BF164" s="1061">
        <v>0</v>
      </c>
      <c r="BG164" s="1061">
        <v>0</v>
      </c>
      <c r="BH164" s="1061">
        <v>4</v>
      </c>
      <c r="BI164" s="1061">
        <v>0</v>
      </c>
      <c r="BJ164" s="1061">
        <v>0</v>
      </c>
      <c r="BK164" s="1061">
        <v>0</v>
      </c>
      <c r="BL164" s="1061">
        <v>0</v>
      </c>
      <c r="BM164" s="1061">
        <v>0</v>
      </c>
      <c r="BN164" s="1061">
        <v>0</v>
      </c>
      <c r="BO164" s="1061">
        <v>26.382999999999999</v>
      </c>
      <c r="BQ164" s="1136"/>
      <c r="BR164" s="1140">
        <f t="shared" si="52"/>
        <v>0</v>
      </c>
      <c r="BS164" s="1140">
        <f t="shared" si="53"/>
        <v>3361111.1111111115</v>
      </c>
      <c r="BT164" s="1140">
        <f t="shared" si="54"/>
        <v>69444.444444444453</v>
      </c>
      <c r="BU164" s="1140">
        <f t="shared" si="55"/>
        <v>3430555.555555556</v>
      </c>
      <c r="BV164" s="1140">
        <f t="shared" si="65"/>
        <v>0</v>
      </c>
      <c r="BW164" s="1140">
        <f t="shared" si="66"/>
        <v>0</v>
      </c>
      <c r="BX164" s="1140">
        <f t="shared" si="67"/>
        <v>0</v>
      </c>
      <c r="BY164" s="1140">
        <f t="shared" si="56"/>
        <v>0</v>
      </c>
      <c r="BZ164" s="1136"/>
      <c r="CA164" s="1140">
        <f t="shared" si="57"/>
        <v>0</v>
      </c>
      <c r="CB164" s="1140">
        <f t="shared" si="58"/>
        <v>3361111.1111111115</v>
      </c>
      <c r="CC164" s="1140">
        <f t="shared" si="59"/>
        <v>69444.444444444453</v>
      </c>
      <c r="CD164" s="1140">
        <f t="shared" si="60"/>
        <v>3430555.555555556</v>
      </c>
      <c r="CE164" s="1140">
        <f t="shared" si="61"/>
        <v>0</v>
      </c>
      <c r="CF164" s="1140">
        <f t="shared" si="62"/>
        <v>0</v>
      </c>
      <c r="CG164" s="1140">
        <f t="shared" si="63"/>
        <v>0</v>
      </c>
      <c r="CH164" s="1140">
        <f t="shared" si="64"/>
        <v>0</v>
      </c>
      <c r="CI164" s="1146"/>
    </row>
    <row r="165" spans="1:115" ht="15" customHeight="1" x14ac:dyDescent="0.2">
      <c r="A165" s="1075">
        <v>1625</v>
      </c>
      <c r="B165" s="1075"/>
      <c r="C165" s="1076" t="s">
        <v>317</v>
      </c>
      <c r="D165" s="1063" t="s">
        <v>317</v>
      </c>
      <c r="E165" s="1055">
        <f t="shared" si="49"/>
        <v>48636.712599999999</v>
      </c>
      <c r="F165" s="1064" t="s">
        <v>10</v>
      </c>
      <c r="G165" s="1056" t="e">
        <f t="shared" si="47"/>
        <v>#VALUE!</v>
      </c>
      <c r="H165" s="1062" t="s">
        <v>10</v>
      </c>
      <c r="I165" s="1063" t="s">
        <v>911</v>
      </c>
      <c r="J165" s="1063" t="s">
        <v>10</v>
      </c>
      <c r="K165" s="1063" t="s">
        <v>10</v>
      </c>
      <c r="L165" s="1063" t="s">
        <v>10</v>
      </c>
      <c r="M165" s="1065" t="s">
        <v>10</v>
      </c>
      <c r="N165" s="1065" t="s">
        <v>10</v>
      </c>
      <c r="O165" s="1065" t="s">
        <v>10</v>
      </c>
      <c r="P165" s="1065" t="s">
        <v>10</v>
      </c>
      <c r="Q165" s="1065" t="s">
        <v>10</v>
      </c>
      <c r="R165" s="1065" t="s">
        <v>10</v>
      </c>
      <c r="S165" s="1110">
        <v>250834</v>
      </c>
      <c r="T165" s="1058">
        <f t="shared" si="50"/>
        <v>48636.712599999999</v>
      </c>
      <c r="U165" s="1065" t="s">
        <v>10</v>
      </c>
      <c r="V165" s="1065" t="s">
        <v>10</v>
      </c>
      <c r="W165" s="1065" t="s">
        <v>10</v>
      </c>
      <c r="X165" s="1065" t="s">
        <v>10</v>
      </c>
      <c r="Y165" s="1065" t="s">
        <v>10</v>
      </c>
      <c r="Z165" s="1065" t="s">
        <v>10</v>
      </c>
      <c r="AA165" s="1065" t="s">
        <v>10</v>
      </c>
      <c r="AB165" s="1065" t="s">
        <v>10</v>
      </c>
      <c r="AC165" s="1065" t="s">
        <v>10</v>
      </c>
      <c r="AD165" s="1065" t="s">
        <v>10</v>
      </c>
      <c r="AE165" s="1065" t="s">
        <v>10</v>
      </c>
      <c r="AF165" s="1065" t="s">
        <v>10</v>
      </c>
      <c r="AG165" s="1065" t="s">
        <v>10</v>
      </c>
      <c r="AH165" s="1065" t="s">
        <v>10</v>
      </c>
      <c r="AI165" s="1065" t="s">
        <v>10</v>
      </c>
      <c r="AJ165" s="1062">
        <v>4</v>
      </c>
      <c r="AK165" s="1062" t="s">
        <v>899</v>
      </c>
      <c r="AL165" s="1084" t="s">
        <v>911</v>
      </c>
      <c r="AM165" s="1062" t="s">
        <v>10</v>
      </c>
      <c r="AN165" s="1066" t="s">
        <v>947</v>
      </c>
      <c r="AO165" s="1084">
        <v>0</v>
      </c>
      <c r="AP165" s="1067">
        <f>AR165+AT165+AU165+AV165+AX165+AY165+AZ165+BD165+BF165+BG165+BH165+BJ165+BK165+(BL165+BM165+BN165)/1000+(0.1*BO165)</f>
        <v>267.5</v>
      </c>
      <c r="AQ165" s="1059">
        <f t="shared" si="51"/>
        <v>289.5</v>
      </c>
      <c r="AR165" s="1061">
        <v>0</v>
      </c>
      <c r="AS165" s="1061">
        <v>0</v>
      </c>
      <c r="AT165" s="1061">
        <v>232</v>
      </c>
      <c r="AU165" s="1061">
        <v>-25</v>
      </c>
      <c r="AV165" s="1061">
        <v>0</v>
      </c>
      <c r="AW165" s="1061">
        <v>0</v>
      </c>
      <c r="AX165" s="1061">
        <v>1</v>
      </c>
      <c r="AY165" s="1061">
        <v>0</v>
      </c>
      <c r="AZ165" s="1061">
        <v>0</v>
      </c>
      <c r="BA165" s="1061">
        <v>0</v>
      </c>
      <c r="BB165" s="1061">
        <v>2</v>
      </c>
      <c r="BC165" s="1061">
        <v>20</v>
      </c>
      <c r="BD165" s="1061">
        <v>0</v>
      </c>
      <c r="BE165" s="1061">
        <v>0</v>
      </c>
      <c r="BF165" s="1061">
        <v>0</v>
      </c>
      <c r="BG165" s="1061">
        <v>0</v>
      </c>
      <c r="BH165" s="1061">
        <v>35</v>
      </c>
      <c r="BI165" s="1061">
        <v>0</v>
      </c>
      <c r="BJ165" s="1061">
        <v>0</v>
      </c>
      <c r="BK165" s="1061">
        <v>0</v>
      </c>
      <c r="BL165" s="1061">
        <v>24500</v>
      </c>
      <c r="BM165" s="1061">
        <v>0</v>
      </c>
      <c r="BN165" s="1061">
        <v>0</v>
      </c>
      <c r="BO165" s="1061">
        <v>0</v>
      </c>
      <c r="BR165" s="1140">
        <f t="shared" si="52"/>
        <v>0</v>
      </c>
      <c r="BS165" s="1140">
        <f t="shared" si="53"/>
        <v>3222222.2222222225</v>
      </c>
      <c r="BT165" s="1140">
        <f t="shared" si="54"/>
        <v>-347222.22222222225</v>
      </c>
      <c r="BU165" s="1140">
        <f t="shared" si="55"/>
        <v>2875000</v>
      </c>
      <c r="BV165" s="1140">
        <f t="shared" si="65"/>
        <v>0</v>
      </c>
      <c r="BW165" s="1140">
        <f t="shared" si="66"/>
        <v>200</v>
      </c>
      <c r="BX165" s="1140">
        <f t="shared" si="67"/>
        <v>0</v>
      </c>
      <c r="BY165" s="1140">
        <f t="shared" si="56"/>
        <v>200</v>
      </c>
      <c r="CA165" s="1140">
        <f t="shared" si="57"/>
        <v>0</v>
      </c>
      <c r="CB165" s="1140">
        <f t="shared" si="58"/>
        <v>3222222.2222222225</v>
      </c>
      <c r="CC165" s="1140">
        <f t="shared" si="59"/>
        <v>-347222.22222222225</v>
      </c>
      <c r="CD165" s="1140">
        <f t="shared" si="60"/>
        <v>2875000</v>
      </c>
      <c r="CE165" s="1140">
        <f t="shared" si="61"/>
        <v>0</v>
      </c>
      <c r="CF165" s="1140">
        <f t="shared" si="62"/>
        <v>200</v>
      </c>
      <c r="CG165" s="1140">
        <f t="shared" si="63"/>
        <v>0</v>
      </c>
      <c r="CH165" s="1140">
        <f t="shared" si="64"/>
        <v>200</v>
      </c>
    </row>
    <row r="166" spans="1:115" ht="15" customHeight="1" x14ac:dyDescent="0.2">
      <c r="A166" s="1061">
        <v>1626</v>
      </c>
      <c r="B166" s="1061"/>
      <c r="C166" s="1062" t="s">
        <v>317</v>
      </c>
      <c r="D166" s="1054" t="s">
        <v>317</v>
      </c>
      <c r="E166" s="1055">
        <f t="shared" si="49"/>
        <v>96185.646199999988</v>
      </c>
      <c r="F166" s="1055">
        <v>0</v>
      </c>
      <c r="G166" s="1056">
        <f t="shared" si="47"/>
        <v>96185.646199999988</v>
      </c>
      <c r="H166" s="1062" t="s">
        <v>10</v>
      </c>
      <c r="I166" s="1063" t="s">
        <v>911</v>
      </c>
      <c r="J166" s="1054" t="s">
        <v>10</v>
      </c>
      <c r="K166" s="1054" t="s">
        <v>10</v>
      </c>
      <c r="L166" s="1054" t="s">
        <v>10</v>
      </c>
      <c r="M166" s="1057">
        <v>0</v>
      </c>
      <c r="N166" s="1057">
        <v>0</v>
      </c>
      <c r="O166" s="1057">
        <v>0</v>
      </c>
      <c r="P166" s="1057">
        <v>0</v>
      </c>
      <c r="Q166" s="1057">
        <v>0</v>
      </c>
      <c r="R166" s="1057">
        <v>0</v>
      </c>
      <c r="S166" s="1057">
        <v>496058</v>
      </c>
      <c r="T166" s="1058">
        <f t="shared" si="50"/>
        <v>96185.646199999988</v>
      </c>
      <c r="U166" s="1057">
        <v>0</v>
      </c>
      <c r="V166" s="1057">
        <v>496058</v>
      </c>
      <c r="W166" s="1057">
        <v>0</v>
      </c>
      <c r="X166" s="1057">
        <v>0</v>
      </c>
      <c r="Y166" s="1057">
        <v>0</v>
      </c>
      <c r="Z166" s="1057">
        <v>0</v>
      </c>
      <c r="AA166" s="1057">
        <v>592243.64619999996</v>
      </c>
      <c r="AB166" s="1057">
        <v>96185.646200000003</v>
      </c>
      <c r="AC166" s="1057">
        <v>496058</v>
      </c>
      <c r="AD166" s="1057">
        <v>0</v>
      </c>
      <c r="AE166" s="1057">
        <v>0</v>
      </c>
      <c r="AF166" s="1057">
        <v>0</v>
      </c>
      <c r="AG166" s="1057">
        <v>496058</v>
      </c>
      <c r="AH166" s="1057">
        <v>0</v>
      </c>
      <c r="AI166" s="1057">
        <v>0</v>
      </c>
      <c r="AJ166" s="1062">
        <v>4</v>
      </c>
      <c r="AK166" s="1062" t="s">
        <v>899</v>
      </c>
      <c r="AL166" s="1066" t="s">
        <v>275</v>
      </c>
      <c r="AM166" s="1062" t="s">
        <v>10</v>
      </c>
      <c r="AN166" s="1066" t="s">
        <v>317</v>
      </c>
      <c r="AO166" s="1066">
        <v>96185.646200000003</v>
      </c>
      <c r="AP166" s="1067">
        <v>0</v>
      </c>
      <c r="AQ166" s="1059">
        <f t="shared" si="51"/>
        <v>350</v>
      </c>
      <c r="AR166" s="753">
        <v>0</v>
      </c>
      <c r="AS166" s="753">
        <v>0</v>
      </c>
      <c r="AT166" s="753">
        <v>289</v>
      </c>
      <c r="AU166" s="1111">
        <v>12</v>
      </c>
      <c r="AV166" s="753">
        <v>0</v>
      </c>
      <c r="AW166" s="753">
        <v>0</v>
      </c>
      <c r="AX166" s="753">
        <v>1</v>
      </c>
      <c r="AY166" s="753">
        <v>0</v>
      </c>
      <c r="AZ166" s="753">
        <v>0</v>
      </c>
      <c r="BA166" s="753">
        <v>0</v>
      </c>
      <c r="BB166" s="753">
        <v>2</v>
      </c>
      <c r="BC166" s="753">
        <v>12</v>
      </c>
      <c r="BD166" s="753">
        <v>0</v>
      </c>
      <c r="BE166" s="753">
        <v>0</v>
      </c>
      <c r="BF166" s="753">
        <v>0</v>
      </c>
      <c r="BG166" s="753">
        <v>0</v>
      </c>
      <c r="BH166" s="753">
        <v>34</v>
      </c>
      <c r="BI166" s="753">
        <v>0</v>
      </c>
      <c r="BJ166" s="753">
        <v>0</v>
      </c>
      <c r="BK166" s="753">
        <v>0</v>
      </c>
      <c r="BL166" s="753">
        <v>0</v>
      </c>
      <c r="BM166" s="753">
        <v>0</v>
      </c>
      <c r="BN166" s="753">
        <v>0</v>
      </c>
      <c r="BO166" s="753">
        <v>0</v>
      </c>
      <c r="BR166" s="1140">
        <f t="shared" si="52"/>
        <v>0</v>
      </c>
      <c r="BS166" s="1140">
        <f t="shared" si="53"/>
        <v>4013888.888888889</v>
      </c>
      <c r="BT166" s="1140">
        <f t="shared" si="54"/>
        <v>166666.66666666669</v>
      </c>
      <c r="BU166" s="1140">
        <f t="shared" si="55"/>
        <v>4180555.5555555555</v>
      </c>
      <c r="BV166" s="1140">
        <f t="shared" si="65"/>
        <v>0</v>
      </c>
      <c r="BW166" s="1140">
        <f t="shared" si="66"/>
        <v>200</v>
      </c>
      <c r="BX166" s="1140">
        <f t="shared" si="67"/>
        <v>0</v>
      </c>
      <c r="BY166" s="1140">
        <f t="shared" si="56"/>
        <v>200</v>
      </c>
      <c r="CA166" s="1140">
        <f t="shared" si="57"/>
        <v>0</v>
      </c>
      <c r="CB166" s="1140">
        <f t="shared" si="58"/>
        <v>4013888.888888889</v>
      </c>
      <c r="CC166" s="1140">
        <f t="shared" si="59"/>
        <v>166666.66666666669</v>
      </c>
      <c r="CD166" s="1140">
        <f t="shared" si="60"/>
        <v>4180555.5555555555</v>
      </c>
      <c r="CE166" s="1140">
        <f t="shared" si="61"/>
        <v>0</v>
      </c>
      <c r="CF166" s="1140">
        <f t="shared" si="62"/>
        <v>200</v>
      </c>
      <c r="CG166" s="1140">
        <f t="shared" si="63"/>
        <v>0</v>
      </c>
      <c r="CH166" s="1140">
        <f t="shared" si="64"/>
        <v>200</v>
      </c>
    </row>
    <row r="167" spans="1:115" ht="15" customHeight="1" x14ac:dyDescent="0.2">
      <c r="A167" s="1061">
        <v>2924</v>
      </c>
      <c r="B167" s="1061"/>
      <c r="C167" s="1062" t="s">
        <v>319</v>
      </c>
      <c r="D167" s="1054" t="s">
        <v>319</v>
      </c>
      <c r="E167" s="1055">
        <f t="shared" si="49"/>
        <v>319077.26240000001</v>
      </c>
      <c r="F167" s="1055">
        <v>0</v>
      </c>
      <c r="G167" s="1056">
        <f t="shared" si="47"/>
        <v>319077.26240000001</v>
      </c>
      <c r="H167" s="1062" t="s">
        <v>10</v>
      </c>
      <c r="I167" s="1054" t="s">
        <v>1416</v>
      </c>
      <c r="J167" s="1054" t="s">
        <v>1417</v>
      </c>
      <c r="K167" s="1054" t="s">
        <v>320</v>
      </c>
      <c r="L167" s="1054" t="s">
        <v>10</v>
      </c>
      <c r="M167" s="1057">
        <v>100</v>
      </c>
      <c r="N167" s="1057">
        <v>0.93600000000000005</v>
      </c>
      <c r="O167" s="1057">
        <v>0.94599999999999995</v>
      </c>
      <c r="P167" s="1057">
        <v>0.90900000000000003</v>
      </c>
      <c r="Q167" s="1057">
        <v>0.90200000000000002</v>
      </c>
      <c r="R167" s="1057">
        <v>1132074</v>
      </c>
      <c r="S167" s="1057">
        <v>915836</v>
      </c>
      <c r="T167" s="1058">
        <f t="shared" si="50"/>
        <v>336792.01500000001</v>
      </c>
      <c r="U167" s="1057">
        <v>534180</v>
      </c>
      <c r="V167" s="1057">
        <v>381656</v>
      </c>
      <c r="W167" s="1057">
        <v>4280</v>
      </c>
      <c r="X167" s="1057">
        <v>0</v>
      </c>
      <c r="Y167" s="1057">
        <v>0</v>
      </c>
      <c r="Z167" s="1057">
        <v>0</v>
      </c>
      <c r="AA167" s="1057">
        <v>1252628.0149999999</v>
      </c>
      <c r="AB167" s="1057">
        <v>336792.01500000001</v>
      </c>
      <c r="AC167" s="1057">
        <v>915836</v>
      </c>
      <c r="AD167" s="1057">
        <v>0</v>
      </c>
      <c r="AE167" s="1057">
        <v>0</v>
      </c>
      <c r="AF167" s="1057">
        <v>0</v>
      </c>
      <c r="AG167" s="1057">
        <v>915836</v>
      </c>
      <c r="AH167" s="1057">
        <v>0</v>
      </c>
      <c r="AI167" s="1057">
        <v>0</v>
      </c>
      <c r="AJ167" s="1062" t="s">
        <v>900</v>
      </c>
      <c r="AK167" s="1062" t="s">
        <v>907</v>
      </c>
      <c r="AL167" s="1066" t="s">
        <v>1416</v>
      </c>
      <c r="AM167" s="1062" t="s">
        <v>10</v>
      </c>
      <c r="AN167" s="1066" t="s">
        <v>319</v>
      </c>
      <c r="AO167" s="1066">
        <v>336792.01500000001</v>
      </c>
      <c r="AP167" s="1067">
        <f>AR167+AT167+AU167+AV167+AX167+AY167+AZ167+BD167+BF167+BG167+BH167+BJ167+BK167+(BL167+BM167+BN167)/1000+(0.1*BO167)</f>
        <v>358.64500000000004</v>
      </c>
      <c r="AQ167" s="1059">
        <f t="shared" si="51"/>
        <v>390.64500000000004</v>
      </c>
      <c r="AR167" s="1061">
        <v>0</v>
      </c>
      <c r="AS167" s="1061">
        <v>0</v>
      </c>
      <c r="AT167" s="1061">
        <v>173</v>
      </c>
      <c r="AU167" s="1061">
        <v>17</v>
      </c>
      <c r="AV167" s="1061">
        <v>0</v>
      </c>
      <c r="AW167" s="1061">
        <v>0</v>
      </c>
      <c r="AX167" s="1061">
        <v>0</v>
      </c>
      <c r="AY167" s="1061">
        <v>0</v>
      </c>
      <c r="AZ167" s="1061">
        <v>0</v>
      </c>
      <c r="BA167" s="1061">
        <v>37</v>
      </c>
      <c r="BB167" s="1061">
        <v>32</v>
      </c>
      <c r="BC167" s="1061">
        <v>0</v>
      </c>
      <c r="BD167" s="1061">
        <v>0</v>
      </c>
      <c r="BE167" s="1061">
        <v>0</v>
      </c>
      <c r="BF167" s="1061">
        <v>0</v>
      </c>
      <c r="BG167" s="1061">
        <v>0</v>
      </c>
      <c r="BH167" s="1061">
        <v>0</v>
      </c>
      <c r="BI167" s="1061">
        <v>0</v>
      </c>
      <c r="BJ167" s="1061">
        <v>0</v>
      </c>
      <c r="BK167" s="1061">
        <v>0</v>
      </c>
      <c r="BL167" s="1061">
        <v>99165</v>
      </c>
      <c r="BM167" s="1061">
        <v>0</v>
      </c>
      <c r="BN167" s="1061">
        <v>0</v>
      </c>
      <c r="BO167" s="1061">
        <v>694.8</v>
      </c>
      <c r="BR167" s="1140">
        <f t="shared" si="52"/>
        <v>0</v>
      </c>
      <c r="BS167" s="1140">
        <f t="shared" si="53"/>
        <v>2402777.777777778</v>
      </c>
      <c r="BT167" s="1140">
        <f t="shared" si="54"/>
        <v>236111.11111111112</v>
      </c>
      <c r="BU167" s="1140">
        <f t="shared" si="55"/>
        <v>2638888.888888889</v>
      </c>
      <c r="BV167" s="1140">
        <f t="shared" si="65"/>
        <v>0</v>
      </c>
      <c r="BW167" s="1140">
        <f t="shared" si="66"/>
        <v>0</v>
      </c>
      <c r="BX167" s="1140">
        <f t="shared" si="67"/>
        <v>0</v>
      </c>
      <c r="BY167" s="1140">
        <f t="shared" si="56"/>
        <v>0</v>
      </c>
      <c r="CA167" s="1140">
        <f t="shared" si="57"/>
        <v>0</v>
      </c>
      <c r="CB167" s="1140">
        <f t="shared" si="58"/>
        <v>2402777.777777778</v>
      </c>
      <c r="CC167" s="1140">
        <f t="shared" si="59"/>
        <v>236111.11111111112</v>
      </c>
      <c r="CD167" s="1140">
        <f t="shared" si="60"/>
        <v>2638888.888888889</v>
      </c>
      <c r="CE167" s="1140">
        <f t="shared" si="61"/>
        <v>0</v>
      </c>
      <c r="CF167" s="1140">
        <f t="shared" si="62"/>
        <v>0</v>
      </c>
      <c r="CG167" s="1140">
        <f t="shared" si="63"/>
        <v>0</v>
      </c>
      <c r="CH167" s="1140">
        <f t="shared" si="64"/>
        <v>0</v>
      </c>
    </row>
    <row r="168" spans="1:115" s="1082" customFormat="1" ht="15" customHeight="1" x14ac:dyDescent="0.2">
      <c r="A168" s="1061">
        <v>4670</v>
      </c>
      <c r="B168" s="1061"/>
      <c r="C168" s="1062" t="s">
        <v>321</v>
      </c>
      <c r="D168" s="1054" t="s">
        <v>321</v>
      </c>
      <c r="E168" s="1055">
        <f t="shared" si="49"/>
        <v>418590.0576</v>
      </c>
      <c r="F168" s="1055">
        <v>562000</v>
      </c>
      <c r="G168" s="1056">
        <f t="shared" si="47"/>
        <v>980590.05759999994</v>
      </c>
      <c r="H168" s="1062" t="s">
        <v>10</v>
      </c>
      <c r="I168" s="1054" t="s">
        <v>1416</v>
      </c>
      <c r="J168" s="1054" t="s">
        <v>1417</v>
      </c>
      <c r="K168" s="1054" t="s">
        <v>1545</v>
      </c>
      <c r="L168" s="1054" t="s">
        <v>1412</v>
      </c>
      <c r="M168" s="1057">
        <v>155</v>
      </c>
      <c r="N168" s="1057">
        <v>0.91100000000000003</v>
      </c>
      <c r="O168" s="1057">
        <v>0.91700000000000004</v>
      </c>
      <c r="P168" s="1057">
        <v>0.96299999999999997</v>
      </c>
      <c r="Q168" s="1057">
        <v>0.95199999999999996</v>
      </c>
      <c r="R168" s="1057">
        <v>1456971</v>
      </c>
      <c r="S168" s="1057">
        <v>1201464</v>
      </c>
      <c r="T168" s="1058">
        <f t="shared" si="50"/>
        <v>433448.8725</v>
      </c>
      <c r="U168" s="1057">
        <v>735737</v>
      </c>
      <c r="V168" s="1057">
        <v>465727</v>
      </c>
      <c r="W168" s="1057">
        <v>6800</v>
      </c>
      <c r="X168" s="1057">
        <v>995448.87250000006</v>
      </c>
      <c r="Y168" s="1057">
        <v>433448.8725</v>
      </c>
      <c r="Z168" s="1057">
        <v>562000</v>
      </c>
      <c r="AA168" s="1057">
        <v>639464</v>
      </c>
      <c r="AB168" s="1057">
        <v>0</v>
      </c>
      <c r="AC168" s="1057">
        <v>639464</v>
      </c>
      <c r="AD168" s="1057">
        <v>0</v>
      </c>
      <c r="AE168" s="1057">
        <v>562000</v>
      </c>
      <c r="AF168" s="1057">
        <v>0</v>
      </c>
      <c r="AG168" s="1057">
        <v>639464</v>
      </c>
      <c r="AH168" s="1057">
        <v>0</v>
      </c>
      <c r="AI168" s="1057">
        <v>0</v>
      </c>
      <c r="AJ168" s="1062">
        <v>4</v>
      </c>
      <c r="AK168" s="1062" t="s">
        <v>899</v>
      </c>
      <c r="AL168" s="1066" t="s">
        <v>1416</v>
      </c>
      <c r="AM168" s="1062" t="s">
        <v>10</v>
      </c>
      <c r="AN168" s="1066" t="s">
        <v>321</v>
      </c>
      <c r="AO168" s="1066">
        <v>995448.87250000006</v>
      </c>
      <c r="AP168" s="1067">
        <f>AR168+AT168+AU168+AV168+AX168+AY168+AZ168+BD168+BF168+BG168+BH168+BJ168+BK168+(BL168+BM168+BN168)/1000+(0.1*BO168)</f>
        <v>1982</v>
      </c>
      <c r="AQ168" s="1059">
        <f t="shared" si="51"/>
        <v>1983</v>
      </c>
      <c r="AR168" s="1109">
        <v>1520</v>
      </c>
      <c r="AS168" s="1109">
        <v>0</v>
      </c>
      <c r="AT168" s="1109">
        <v>64</v>
      </c>
      <c r="AU168" s="1109">
        <v>-46</v>
      </c>
      <c r="AV168" s="1109">
        <v>0</v>
      </c>
      <c r="AW168" s="1109">
        <v>0</v>
      </c>
      <c r="AX168" s="1109">
        <v>0</v>
      </c>
      <c r="AY168" s="1109">
        <v>0</v>
      </c>
      <c r="AZ168" s="1109">
        <v>29</v>
      </c>
      <c r="BA168" s="1109">
        <v>0</v>
      </c>
      <c r="BB168" s="1109">
        <v>1</v>
      </c>
      <c r="BC168" s="1109">
        <v>0</v>
      </c>
      <c r="BD168" s="1061">
        <v>0</v>
      </c>
      <c r="BE168" s="1061">
        <v>0</v>
      </c>
      <c r="BF168" s="1061">
        <v>0</v>
      </c>
      <c r="BG168" s="1061">
        <v>0</v>
      </c>
      <c r="BH168" s="1061">
        <v>415</v>
      </c>
      <c r="BI168" s="1061">
        <v>0</v>
      </c>
      <c r="BJ168" s="1061">
        <v>0</v>
      </c>
      <c r="BK168" s="1061">
        <v>0</v>
      </c>
      <c r="BL168" s="1061">
        <v>0</v>
      </c>
      <c r="BM168" s="1061">
        <v>0</v>
      </c>
      <c r="BN168" s="1061">
        <v>0</v>
      </c>
      <c r="BO168" s="1061">
        <v>0</v>
      </c>
      <c r="BP168" s="1069"/>
      <c r="BQ168" s="1136"/>
      <c r="BR168" s="1140">
        <f t="shared" si="52"/>
        <v>21111111.111111112</v>
      </c>
      <c r="BS168" s="1140">
        <f t="shared" si="53"/>
        <v>888888.88888888899</v>
      </c>
      <c r="BT168" s="1140">
        <f t="shared" si="54"/>
        <v>-638888.88888888899</v>
      </c>
      <c r="BU168" s="1140">
        <f t="shared" si="55"/>
        <v>21361111.111111112</v>
      </c>
      <c r="BV168" s="1140">
        <f t="shared" si="65"/>
        <v>0</v>
      </c>
      <c r="BW168" s="1140">
        <f t="shared" si="66"/>
        <v>0</v>
      </c>
      <c r="BX168" s="1140">
        <f t="shared" si="67"/>
        <v>0</v>
      </c>
      <c r="BY168" s="1140">
        <f t="shared" si="56"/>
        <v>0</v>
      </c>
      <c r="BZ168" s="1136"/>
      <c r="CA168" s="1140">
        <f t="shared" si="57"/>
        <v>21111111.111111112</v>
      </c>
      <c r="CB168" s="1140">
        <f t="shared" si="58"/>
        <v>888888.88888888899</v>
      </c>
      <c r="CC168" s="1140">
        <f t="shared" si="59"/>
        <v>-638888.88888888899</v>
      </c>
      <c r="CD168" s="1140">
        <f t="shared" si="60"/>
        <v>21361111.111111112</v>
      </c>
      <c r="CE168" s="1140">
        <f t="shared" si="61"/>
        <v>0</v>
      </c>
      <c r="CF168" s="1140">
        <f t="shared" si="62"/>
        <v>0</v>
      </c>
      <c r="CG168" s="1140">
        <f t="shared" si="63"/>
        <v>0</v>
      </c>
      <c r="CH168" s="1140">
        <f t="shared" si="64"/>
        <v>0</v>
      </c>
      <c r="CI168" s="1146"/>
      <c r="CJ168" s="1069"/>
      <c r="CK168" s="1069"/>
      <c r="CL168" s="1069"/>
      <c r="CM168" s="1069"/>
      <c r="CN168" s="1069"/>
      <c r="CO168" s="1069"/>
      <c r="CP168" s="1069"/>
      <c r="CQ168" s="1069"/>
      <c r="CR168" s="1069"/>
      <c r="CS168" s="1069"/>
      <c r="CT168" s="1069"/>
      <c r="CU168" s="1069"/>
      <c r="CV168" s="1069"/>
      <c r="CW168" s="1069"/>
      <c r="CX168" s="1069"/>
      <c r="CY168" s="1069"/>
      <c r="CZ168" s="1069"/>
      <c r="DA168" s="1069"/>
      <c r="DB168" s="1069"/>
      <c r="DC168" s="1069"/>
      <c r="DD168" s="1069"/>
    </row>
    <row r="169" spans="1:115" ht="15" customHeight="1" x14ac:dyDescent="0.2">
      <c r="A169" s="1061">
        <v>9353</v>
      </c>
      <c r="B169" s="1061"/>
      <c r="C169" s="1062" t="s">
        <v>322</v>
      </c>
      <c r="D169" s="1054" t="s">
        <v>322</v>
      </c>
      <c r="E169" s="1055">
        <f t="shared" si="49"/>
        <v>230444.30239999999</v>
      </c>
      <c r="F169" s="1055">
        <v>0</v>
      </c>
      <c r="G169" s="1056">
        <f t="shared" si="47"/>
        <v>230444.30239999999</v>
      </c>
      <c r="H169" s="1062" t="s">
        <v>10</v>
      </c>
      <c r="I169" s="1054" t="s">
        <v>1416</v>
      </c>
      <c r="J169" s="1054" t="s">
        <v>10</v>
      </c>
      <c r="K169" s="1054" t="s">
        <v>99</v>
      </c>
      <c r="L169" s="1054" t="s">
        <v>10</v>
      </c>
      <c r="M169" s="1057">
        <v>91</v>
      </c>
      <c r="N169" s="1057">
        <v>0.97899999999999998</v>
      </c>
      <c r="O169" s="1057">
        <v>0.98799999999999999</v>
      </c>
      <c r="P169" s="1057">
        <v>1</v>
      </c>
      <c r="Q169" s="1057">
        <v>0.96399999999999997</v>
      </c>
      <c r="R169" s="1057">
        <v>661436</v>
      </c>
      <c r="S169" s="1065">
        <v>661436</v>
      </c>
      <c r="T169" s="1058">
        <f t="shared" si="50"/>
        <v>196777.21</v>
      </c>
      <c r="U169" s="1057">
        <v>387378</v>
      </c>
      <c r="V169" s="1057">
        <v>172654</v>
      </c>
      <c r="W169" s="1057">
        <v>3045</v>
      </c>
      <c r="X169" s="1057">
        <v>0</v>
      </c>
      <c r="Y169" s="1057">
        <v>0</v>
      </c>
      <c r="Z169" s="1057">
        <v>0</v>
      </c>
      <c r="AA169" s="1057">
        <v>756809.21</v>
      </c>
      <c r="AB169" s="1057">
        <v>196777.21</v>
      </c>
      <c r="AC169" s="1057">
        <v>560032</v>
      </c>
      <c r="AD169" s="1057">
        <v>0</v>
      </c>
      <c r="AE169" s="1057">
        <v>0</v>
      </c>
      <c r="AF169" s="1057">
        <v>0</v>
      </c>
      <c r="AG169" s="1057">
        <v>560032</v>
      </c>
      <c r="AH169" s="1057">
        <v>0</v>
      </c>
      <c r="AI169" s="1057">
        <v>0</v>
      </c>
      <c r="AJ169" s="1062" t="s">
        <v>900</v>
      </c>
      <c r="AK169" s="1062" t="s">
        <v>907</v>
      </c>
      <c r="AL169" s="1066" t="s">
        <v>1416</v>
      </c>
      <c r="AM169" s="1062" t="s">
        <v>10</v>
      </c>
      <c r="AN169" s="1066" t="s">
        <v>322</v>
      </c>
      <c r="AO169" s="1066">
        <v>196777.21</v>
      </c>
      <c r="AP169" s="1067">
        <f>AR169+AT169+AU169+AV169+AX169+AY169+AZ169+BD169+BF169+BG169+BH169+BJ169+BK169+(BL169+BM169+BN169)/1000+(0.1*BO169)</f>
        <v>184.49799999999999</v>
      </c>
      <c r="AQ169" s="1059">
        <f t="shared" si="51"/>
        <v>244.49799999999999</v>
      </c>
      <c r="AR169" s="1061">
        <v>0</v>
      </c>
      <c r="AS169" s="1061">
        <v>0</v>
      </c>
      <c r="AT169" s="1061">
        <v>163</v>
      </c>
      <c r="AU169" s="1061">
        <v>0</v>
      </c>
      <c r="AV169" s="1061">
        <v>0</v>
      </c>
      <c r="AW169" s="1061">
        <v>0</v>
      </c>
      <c r="AX169" s="1061">
        <v>0</v>
      </c>
      <c r="AY169" s="1061">
        <v>0</v>
      </c>
      <c r="AZ169" s="1061">
        <v>0</v>
      </c>
      <c r="BA169" s="1061">
        <v>0</v>
      </c>
      <c r="BB169" s="1061">
        <v>60</v>
      </c>
      <c r="BC169" s="1061">
        <v>0</v>
      </c>
      <c r="BD169" s="1061">
        <v>0</v>
      </c>
      <c r="BE169" s="1061">
        <v>0</v>
      </c>
      <c r="BF169" s="1061">
        <v>0</v>
      </c>
      <c r="BG169" s="1061">
        <v>0</v>
      </c>
      <c r="BH169" s="1061">
        <v>0</v>
      </c>
      <c r="BI169" s="1061">
        <v>0</v>
      </c>
      <c r="BJ169" s="1061">
        <v>0</v>
      </c>
      <c r="BK169" s="1061">
        <v>0</v>
      </c>
      <c r="BL169" s="1061">
        <v>14498</v>
      </c>
      <c r="BM169" s="1061">
        <v>0</v>
      </c>
      <c r="BN169" s="1061">
        <v>7000</v>
      </c>
      <c r="BO169" s="1061">
        <v>0</v>
      </c>
      <c r="BR169" s="1140">
        <f t="shared" si="52"/>
        <v>0</v>
      </c>
      <c r="BS169" s="1140">
        <f t="shared" si="53"/>
        <v>2263888.888888889</v>
      </c>
      <c r="BT169" s="1140">
        <f t="shared" si="54"/>
        <v>0</v>
      </c>
      <c r="BU169" s="1140">
        <f t="shared" si="55"/>
        <v>2263888.888888889</v>
      </c>
      <c r="BV169" s="1140">
        <f t="shared" si="65"/>
        <v>0</v>
      </c>
      <c r="BW169" s="1140">
        <f t="shared" si="66"/>
        <v>0</v>
      </c>
      <c r="BX169" s="1140">
        <f t="shared" si="67"/>
        <v>0</v>
      </c>
      <c r="BY169" s="1140">
        <f t="shared" si="56"/>
        <v>0</v>
      </c>
      <c r="CA169" s="1140">
        <f t="shared" si="57"/>
        <v>0</v>
      </c>
      <c r="CB169" s="1140">
        <f t="shared" si="58"/>
        <v>2263888.888888889</v>
      </c>
      <c r="CC169" s="1140">
        <f t="shared" si="59"/>
        <v>0</v>
      </c>
      <c r="CD169" s="1140">
        <f t="shared" si="60"/>
        <v>2263888.888888889</v>
      </c>
      <c r="CE169" s="1140">
        <f t="shared" si="61"/>
        <v>0</v>
      </c>
      <c r="CF169" s="1140">
        <f t="shared" si="62"/>
        <v>0</v>
      </c>
      <c r="CG169" s="1140">
        <f t="shared" si="63"/>
        <v>0</v>
      </c>
      <c r="CH169" s="1140">
        <f t="shared" si="64"/>
        <v>0</v>
      </c>
    </row>
    <row r="170" spans="1:115" ht="15" customHeight="1" x14ac:dyDescent="0.2">
      <c r="A170" s="1075">
        <v>9363</v>
      </c>
      <c r="B170" s="1075"/>
      <c r="C170" s="1076" t="s">
        <v>323</v>
      </c>
      <c r="D170" s="1054" t="s">
        <v>323</v>
      </c>
      <c r="E170" s="1055">
        <f t="shared" si="49"/>
        <v>440103.06079999998</v>
      </c>
      <c r="F170" s="1055">
        <v>0</v>
      </c>
      <c r="G170" s="1056">
        <f t="shared" si="47"/>
        <v>440103.06079999998</v>
      </c>
      <c r="H170" s="1062" t="s">
        <v>10</v>
      </c>
      <c r="I170" s="1054" t="s">
        <v>1416</v>
      </c>
      <c r="J170" s="1054" t="s">
        <v>1417</v>
      </c>
      <c r="K170" s="1054" t="s">
        <v>325</v>
      </c>
      <c r="L170" s="1054" t="s">
        <v>10</v>
      </c>
      <c r="M170" s="1057">
        <v>135</v>
      </c>
      <c r="N170" s="1057">
        <v>0.93799999999999994</v>
      </c>
      <c r="O170" s="1057">
        <v>0.93799999999999994</v>
      </c>
      <c r="P170" s="1057">
        <v>0.90700000000000003</v>
      </c>
      <c r="Q170" s="1057">
        <v>0.91500000000000004</v>
      </c>
      <c r="R170" s="1057">
        <v>1280382</v>
      </c>
      <c r="S170" s="1057">
        <v>1263212</v>
      </c>
      <c r="T170" s="1058">
        <f t="shared" si="50"/>
        <v>380913.64499999996</v>
      </c>
      <c r="U170" s="1057">
        <v>904288</v>
      </c>
      <c r="V170" s="1057">
        <v>358924</v>
      </c>
      <c r="W170" s="1057">
        <v>3168</v>
      </c>
      <c r="X170" s="1057">
        <v>0</v>
      </c>
      <c r="Y170" s="1057">
        <v>0</v>
      </c>
      <c r="Z170" s="1057">
        <v>0</v>
      </c>
      <c r="AA170" s="1057">
        <v>1644125.645</v>
      </c>
      <c r="AB170" s="1057">
        <v>380913.64500000002</v>
      </c>
      <c r="AC170" s="1057">
        <v>1263212</v>
      </c>
      <c r="AD170" s="1057">
        <v>0</v>
      </c>
      <c r="AE170" s="1057">
        <v>0</v>
      </c>
      <c r="AF170" s="1057">
        <v>0</v>
      </c>
      <c r="AG170" s="1057">
        <v>1263212</v>
      </c>
      <c r="AH170" s="1057">
        <v>0</v>
      </c>
      <c r="AI170" s="1057">
        <v>0</v>
      </c>
      <c r="AJ170" s="1062" t="s">
        <v>900</v>
      </c>
      <c r="AK170" s="1062" t="s">
        <v>907</v>
      </c>
      <c r="AL170" s="1066" t="s">
        <v>1578</v>
      </c>
      <c r="AM170" s="1062" t="s">
        <v>10</v>
      </c>
      <c r="AN170" s="1066" t="s">
        <v>948</v>
      </c>
      <c r="AO170" s="1084">
        <v>0</v>
      </c>
      <c r="AP170" s="1104">
        <v>0</v>
      </c>
      <c r="AQ170" s="1059">
        <f t="shared" si="51"/>
        <v>634.59910000000002</v>
      </c>
      <c r="AR170" s="753">
        <v>0</v>
      </c>
      <c r="AS170" s="753">
        <v>0</v>
      </c>
      <c r="AT170" s="753">
        <v>259</v>
      </c>
      <c r="AU170" s="753">
        <v>13</v>
      </c>
      <c r="AV170" s="753">
        <v>0</v>
      </c>
      <c r="AW170" s="753">
        <v>0</v>
      </c>
      <c r="AX170" s="753">
        <v>1</v>
      </c>
      <c r="AY170" s="753">
        <v>0</v>
      </c>
      <c r="AZ170" s="753">
        <v>0</v>
      </c>
      <c r="BA170" s="753">
        <v>0</v>
      </c>
      <c r="BB170" s="753">
        <v>259</v>
      </c>
      <c r="BC170" s="753">
        <v>0</v>
      </c>
      <c r="BD170" s="1061">
        <v>0</v>
      </c>
      <c r="BE170" s="1061">
        <v>0</v>
      </c>
      <c r="BF170" s="1061">
        <v>0</v>
      </c>
      <c r="BG170" s="1061">
        <v>0</v>
      </c>
      <c r="BH170" s="1061">
        <v>0</v>
      </c>
      <c r="BI170" s="1061">
        <v>0</v>
      </c>
      <c r="BJ170" s="1061">
        <v>0</v>
      </c>
      <c r="BK170" s="1061">
        <v>0</v>
      </c>
      <c r="BL170" s="1061">
        <v>0</v>
      </c>
      <c r="BM170" s="1061">
        <v>0</v>
      </c>
      <c r="BN170" s="1112">
        <v>195</v>
      </c>
      <c r="BO170" s="1061">
        <v>1024.0409999999999</v>
      </c>
      <c r="BR170" s="1140">
        <f t="shared" si="52"/>
        <v>0</v>
      </c>
      <c r="BS170" s="1140">
        <f t="shared" si="53"/>
        <v>3597222.2222222225</v>
      </c>
      <c r="BT170" s="1140">
        <f t="shared" si="54"/>
        <v>180555.55555555556</v>
      </c>
      <c r="BU170" s="1140">
        <f t="shared" si="55"/>
        <v>3777777.777777778</v>
      </c>
      <c r="BV170" s="1140">
        <f t="shared" si="65"/>
        <v>0</v>
      </c>
      <c r="BW170" s="1140">
        <f t="shared" si="66"/>
        <v>200</v>
      </c>
      <c r="BX170" s="1140">
        <f t="shared" si="67"/>
        <v>0</v>
      </c>
      <c r="BY170" s="1140">
        <f t="shared" si="56"/>
        <v>200</v>
      </c>
      <c r="CA170" s="1140">
        <f t="shared" si="57"/>
        <v>0</v>
      </c>
      <c r="CB170" s="1140">
        <f t="shared" si="58"/>
        <v>3597222.2222222225</v>
      </c>
      <c r="CC170" s="1140">
        <f t="shared" si="59"/>
        <v>180555.55555555556</v>
      </c>
      <c r="CD170" s="1140">
        <f t="shared" si="60"/>
        <v>3777777.777777778</v>
      </c>
      <c r="CE170" s="1140">
        <f t="shared" si="61"/>
        <v>0</v>
      </c>
      <c r="CF170" s="1140">
        <f t="shared" si="62"/>
        <v>200</v>
      </c>
      <c r="CG170" s="1140">
        <f t="shared" si="63"/>
        <v>0</v>
      </c>
      <c r="CH170" s="1140">
        <f t="shared" si="64"/>
        <v>200</v>
      </c>
    </row>
    <row r="171" spans="1:115" ht="15" customHeight="1" x14ac:dyDescent="0.2">
      <c r="A171" s="1052">
        <v>1536</v>
      </c>
      <c r="B171" s="1052"/>
      <c r="C171" s="1053" t="s">
        <v>326</v>
      </c>
      <c r="D171" s="1054" t="s">
        <v>326</v>
      </c>
      <c r="E171" s="1055">
        <f t="shared" si="49"/>
        <v>21542.483899999999</v>
      </c>
      <c r="F171" s="1055">
        <v>0</v>
      </c>
      <c r="G171" s="1056">
        <f t="shared" si="47"/>
        <v>21542.483899999999</v>
      </c>
      <c r="H171" s="1053" t="s">
        <v>10</v>
      </c>
      <c r="I171" s="1054" t="s">
        <v>1512</v>
      </c>
      <c r="J171" s="1054" t="s">
        <v>10</v>
      </c>
      <c r="K171" s="1054" t="s">
        <v>329</v>
      </c>
      <c r="L171" s="1054" t="s">
        <v>10</v>
      </c>
      <c r="M171" s="1057">
        <v>4</v>
      </c>
      <c r="N171" s="1057">
        <v>1</v>
      </c>
      <c r="O171" s="1057">
        <v>1</v>
      </c>
      <c r="P171" s="1057">
        <v>1</v>
      </c>
      <c r="Q171" s="1057">
        <v>1</v>
      </c>
      <c r="R171" s="1057">
        <v>0</v>
      </c>
      <c r="S171" s="1057">
        <v>111101</v>
      </c>
      <c r="T171" s="1058">
        <f t="shared" si="50"/>
        <v>21542.483899999999</v>
      </c>
      <c r="U171" s="1057">
        <v>82398</v>
      </c>
      <c r="V171" s="1057">
        <v>28703</v>
      </c>
      <c r="W171" s="1057">
        <v>752</v>
      </c>
      <c r="X171" s="1057">
        <v>0</v>
      </c>
      <c r="Y171" s="1057">
        <v>0</v>
      </c>
      <c r="Z171" s="1057">
        <v>0</v>
      </c>
      <c r="AA171" s="1057">
        <v>132643.48389999999</v>
      </c>
      <c r="AB171" s="1057">
        <v>21542.483899999999</v>
      </c>
      <c r="AC171" s="1057">
        <v>111101</v>
      </c>
      <c r="AD171" s="1057">
        <v>0</v>
      </c>
      <c r="AE171" s="1057">
        <v>0</v>
      </c>
      <c r="AF171" s="1057">
        <v>0</v>
      </c>
      <c r="AG171" s="1057">
        <v>111101</v>
      </c>
      <c r="AH171" s="1057">
        <v>0</v>
      </c>
      <c r="AI171" s="1057">
        <v>0</v>
      </c>
      <c r="AJ171" s="1053">
        <v>4</v>
      </c>
      <c r="AK171" s="1053" t="s">
        <v>913</v>
      </c>
      <c r="AL171" s="1054" t="s">
        <v>1512</v>
      </c>
      <c r="AM171" s="1053" t="s">
        <v>10</v>
      </c>
      <c r="AN171" s="1054" t="s">
        <v>326</v>
      </c>
      <c r="AO171" s="1054">
        <v>21542.483899999999</v>
      </c>
      <c r="AP171" s="1059">
        <f t="shared" ref="AP171:AP184" si="70">AR171+AT171+AU171+AV171+AX171+AY171+AZ171+BD171+BF171+BG171+BH171+BJ171+BK171+(BL171+BM171+BN171)/1000+(0.1*BO171)</f>
        <v>5</v>
      </c>
      <c r="AQ171" s="1059">
        <f t="shared" si="51"/>
        <v>5</v>
      </c>
      <c r="AR171" s="1052">
        <v>0</v>
      </c>
      <c r="AS171" s="1052">
        <v>0</v>
      </c>
      <c r="AT171" s="1052">
        <v>5</v>
      </c>
      <c r="AU171" s="1052">
        <v>0</v>
      </c>
      <c r="AV171" s="1052">
        <v>0</v>
      </c>
      <c r="AW171" s="1052">
        <v>0</v>
      </c>
      <c r="AX171" s="1052">
        <v>0</v>
      </c>
      <c r="AY171" s="1052">
        <v>0</v>
      </c>
      <c r="AZ171" s="1052">
        <v>0</v>
      </c>
      <c r="BA171" s="1052">
        <v>0</v>
      </c>
      <c r="BB171" s="1052">
        <v>0</v>
      </c>
      <c r="BC171" s="1052">
        <v>0</v>
      </c>
      <c r="BD171" s="1052">
        <v>0</v>
      </c>
      <c r="BE171" s="1052">
        <v>0</v>
      </c>
      <c r="BF171" s="1052">
        <v>0</v>
      </c>
      <c r="BG171" s="1052">
        <v>0</v>
      </c>
      <c r="BH171" s="1052">
        <v>0</v>
      </c>
      <c r="BI171" s="1052">
        <v>0</v>
      </c>
      <c r="BJ171" s="1052">
        <v>0</v>
      </c>
      <c r="BK171" s="1052">
        <v>0</v>
      </c>
      <c r="BL171" s="1052">
        <v>0</v>
      </c>
      <c r="BM171" s="1052">
        <v>0</v>
      </c>
      <c r="BN171" s="1052">
        <v>0</v>
      </c>
      <c r="BO171" s="1052">
        <v>0</v>
      </c>
      <c r="BR171" s="1140">
        <f t="shared" si="52"/>
        <v>0</v>
      </c>
      <c r="BS171" s="1140">
        <f t="shared" si="53"/>
        <v>69444.444444444453</v>
      </c>
      <c r="BT171" s="1140">
        <f t="shared" si="54"/>
        <v>0</v>
      </c>
      <c r="BU171" s="1140">
        <f t="shared" si="55"/>
        <v>69444.444444444453</v>
      </c>
      <c r="BV171" s="1140">
        <f t="shared" si="65"/>
        <v>0</v>
      </c>
      <c r="BW171" s="1140">
        <f t="shared" si="66"/>
        <v>0</v>
      </c>
      <c r="BX171" s="1140">
        <f t="shared" si="67"/>
        <v>0</v>
      </c>
      <c r="BY171" s="1140">
        <f t="shared" si="56"/>
        <v>0</v>
      </c>
      <c r="CA171" s="1140">
        <f t="shared" si="57"/>
        <v>0</v>
      </c>
      <c r="CB171" s="1140">
        <f t="shared" si="58"/>
        <v>69444.444444444453</v>
      </c>
      <c r="CC171" s="1140">
        <f t="shared" si="59"/>
        <v>0</v>
      </c>
      <c r="CD171" s="1140">
        <f t="shared" si="60"/>
        <v>69444.444444444453</v>
      </c>
      <c r="CE171" s="1140">
        <f t="shared" si="61"/>
        <v>0</v>
      </c>
      <c r="CF171" s="1140">
        <f t="shared" si="62"/>
        <v>0</v>
      </c>
      <c r="CG171" s="1140">
        <f t="shared" si="63"/>
        <v>0</v>
      </c>
      <c r="CH171" s="1140">
        <f t="shared" si="64"/>
        <v>0</v>
      </c>
    </row>
    <row r="172" spans="1:115" ht="15" customHeight="1" x14ac:dyDescent="0.2">
      <c r="A172" s="1052">
        <v>4834</v>
      </c>
      <c r="B172" s="1052" t="s">
        <v>1412</v>
      </c>
      <c r="C172" s="1053" t="s">
        <v>949</v>
      </c>
      <c r="D172" s="1054" t="s">
        <v>663</v>
      </c>
      <c r="E172" s="1055">
        <f t="shared" si="49"/>
        <v>285688</v>
      </c>
      <c r="F172" s="1055">
        <v>491000</v>
      </c>
      <c r="G172" s="1056">
        <f t="shared" si="47"/>
        <v>776688</v>
      </c>
      <c r="H172" s="1053" t="s">
        <v>10</v>
      </c>
      <c r="I172" s="1054" t="s">
        <v>1416</v>
      </c>
      <c r="J172" s="1054" t="s">
        <v>1412</v>
      </c>
      <c r="K172" s="1054" t="s">
        <v>126</v>
      </c>
      <c r="L172" s="1054" t="s">
        <v>1412</v>
      </c>
      <c r="M172" s="1057">
        <v>110</v>
      </c>
      <c r="N172" s="1057">
        <v>0.86399999999999999</v>
      </c>
      <c r="O172" s="1057">
        <v>0.86699999999999999</v>
      </c>
      <c r="P172" s="1057">
        <v>0.92500000000000004</v>
      </c>
      <c r="Q172" s="1057">
        <v>0.95199999999999996</v>
      </c>
      <c r="R172" s="1057">
        <v>1008030</v>
      </c>
      <c r="S172" s="1057">
        <v>820000</v>
      </c>
      <c r="T172" s="1058">
        <f t="shared" si="50"/>
        <v>299888.92499999999</v>
      </c>
      <c r="U172" s="1057">
        <v>427000</v>
      </c>
      <c r="V172" s="1057">
        <v>393000</v>
      </c>
      <c r="W172" s="1057">
        <v>4100</v>
      </c>
      <c r="X172" s="1057">
        <v>790888.92500000005</v>
      </c>
      <c r="Y172" s="1057">
        <v>299888.92499999999</v>
      </c>
      <c r="Z172" s="1057">
        <v>491000</v>
      </c>
      <c r="AA172" s="1057">
        <v>329000</v>
      </c>
      <c r="AB172" s="1057">
        <v>0</v>
      </c>
      <c r="AC172" s="1057">
        <v>329000</v>
      </c>
      <c r="AD172" s="1057">
        <v>491000</v>
      </c>
      <c r="AE172" s="1057">
        <v>0</v>
      </c>
      <c r="AF172" s="1057">
        <v>329000</v>
      </c>
      <c r="AG172" s="1057">
        <v>0</v>
      </c>
      <c r="AH172" s="1057">
        <v>566000</v>
      </c>
      <c r="AI172" s="1057">
        <v>540000</v>
      </c>
      <c r="AJ172" s="1053" t="s">
        <v>900</v>
      </c>
      <c r="AK172" s="1053" t="s">
        <v>905</v>
      </c>
      <c r="AL172" s="1054" t="s">
        <v>1416</v>
      </c>
      <c r="AM172" s="1053" t="s">
        <v>10</v>
      </c>
      <c r="AN172" s="1054" t="s">
        <v>663</v>
      </c>
      <c r="AO172" s="1054">
        <v>790888.92500000005</v>
      </c>
      <c r="AP172" s="1059">
        <f t="shared" si="70"/>
        <v>643.15120000000002</v>
      </c>
      <c r="AQ172" s="1059">
        <f t="shared" si="51"/>
        <v>735.15120000000002</v>
      </c>
      <c r="AR172" s="1052">
        <v>327</v>
      </c>
      <c r="AS172" s="1052">
        <v>540</v>
      </c>
      <c r="AT172" s="1052">
        <v>215</v>
      </c>
      <c r="AU172" s="1052">
        <v>0</v>
      </c>
      <c r="AV172" s="1052">
        <v>0</v>
      </c>
      <c r="AW172" s="1052">
        <v>0</v>
      </c>
      <c r="AX172" s="1052">
        <v>0</v>
      </c>
      <c r="AY172" s="1052">
        <v>0</v>
      </c>
      <c r="AZ172" s="1052">
        <v>32</v>
      </c>
      <c r="BA172" s="1052">
        <v>85</v>
      </c>
      <c r="BB172" s="1052">
        <v>92</v>
      </c>
      <c r="BC172" s="1052">
        <v>0</v>
      </c>
      <c r="BD172" s="1052">
        <v>9</v>
      </c>
      <c r="BE172" s="1052">
        <v>1</v>
      </c>
      <c r="BF172" s="1052">
        <v>0</v>
      </c>
      <c r="BG172" s="1052">
        <v>0</v>
      </c>
      <c r="BH172" s="1052">
        <v>60</v>
      </c>
      <c r="BI172" s="1052">
        <v>0</v>
      </c>
      <c r="BJ172" s="1052">
        <v>0</v>
      </c>
      <c r="BK172" s="1052">
        <v>0</v>
      </c>
      <c r="BL172" s="1052">
        <v>0</v>
      </c>
      <c r="BM172" s="1052">
        <v>0</v>
      </c>
      <c r="BN172" s="1052">
        <v>0</v>
      </c>
      <c r="BO172" s="1052">
        <v>1.512</v>
      </c>
      <c r="BR172" s="1140">
        <f t="shared" si="52"/>
        <v>4541666.666666667</v>
      </c>
      <c r="BS172" s="1140">
        <f t="shared" si="53"/>
        <v>2986111.1111111115</v>
      </c>
      <c r="BT172" s="1140">
        <f t="shared" si="54"/>
        <v>0</v>
      </c>
      <c r="BU172" s="1140">
        <f t="shared" si="55"/>
        <v>7527777.777777778</v>
      </c>
      <c r="BV172" s="1140">
        <f t="shared" si="65"/>
        <v>0</v>
      </c>
      <c r="BW172" s="1140">
        <f t="shared" si="66"/>
        <v>0</v>
      </c>
      <c r="BX172" s="1140">
        <f t="shared" si="67"/>
        <v>0</v>
      </c>
      <c r="BY172" s="1140">
        <f t="shared" si="56"/>
        <v>0</v>
      </c>
      <c r="CA172" s="1140">
        <f t="shared" si="57"/>
        <v>4541666.666666667</v>
      </c>
      <c r="CB172" s="1140">
        <f t="shared" si="58"/>
        <v>2986111.1111111115</v>
      </c>
      <c r="CC172" s="1140">
        <f t="shared" si="59"/>
        <v>0</v>
      </c>
      <c r="CD172" s="1140">
        <f t="shared" si="60"/>
        <v>7527777.777777778</v>
      </c>
      <c r="CE172" s="1140">
        <f t="shared" si="61"/>
        <v>0</v>
      </c>
      <c r="CF172" s="1140">
        <f t="shared" si="62"/>
        <v>0</v>
      </c>
      <c r="CG172" s="1140">
        <f t="shared" si="63"/>
        <v>0</v>
      </c>
      <c r="CH172" s="1140">
        <f t="shared" si="64"/>
        <v>0</v>
      </c>
    </row>
    <row r="173" spans="1:115" ht="15" customHeight="1" x14ac:dyDescent="0.2">
      <c r="A173" s="1052">
        <v>728</v>
      </c>
      <c r="B173" s="1052"/>
      <c r="C173" s="1053" t="s">
        <v>331</v>
      </c>
      <c r="D173" s="1054" t="s">
        <v>331</v>
      </c>
      <c r="E173" s="1055">
        <f t="shared" si="49"/>
        <v>59805.352599999998</v>
      </c>
      <c r="F173" s="1055">
        <v>0</v>
      </c>
      <c r="G173" s="1056">
        <f t="shared" si="47"/>
        <v>59805.352599999998</v>
      </c>
      <c r="H173" s="1053" t="s">
        <v>1417</v>
      </c>
      <c r="I173" s="1054" t="s">
        <v>1512</v>
      </c>
      <c r="J173" s="1054" t="s">
        <v>10</v>
      </c>
      <c r="K173" s="1054" t="s">
        <v>334</v>
      </c>
      <c r="L173" s="1054" t="s">
        <v>10</v>
      </c>
      <c r="M173" s="1057">
        <v>25</v>
      </c>
      <c r="N173" s="1057">
        <v>0.93300000000000005</v>
      </c>
      <c r="O173" s="1057">
        <v>0.94099999999999995</v>
      </c>
      <c r="P173" s="1057">
        <v>0.65600000000000003</v>
      </c>
      <c r="Q173" s="1057">
        <v>0.94399999999999995</v>
      </c>
      <c r="R173" s="1057">
        <v>0</v>
      </c>
      <c r="S173" s="1057">
        <v>308434</v>
      </c>
      <c r="T173" s="1058">
        <f t="shared" si="50"/>
        <v>59805.352599999998</v>
      </c>
      <c r="U173" s="1057">
        <v>250749</v>
      </c>
      <c r="V173" s="1057">
        <v>57685</v>
      </c>
      <c r="W173" s="1057">
        <v>2854</v>
      </c>
      <c r="X173" s="1057">
        <v>0</v>
      </c>
      <c r="Y173" s="1057">
        <v>0</v>
      </c>
      <c r="Z173" s="1057">
        <v>0</v>
      </c>
      <c r="AA173" s="1057">
        <v>368239.35259999998</v>
      </c>
      <c r="AB173" s="1057">
        <v>59805.352599999998</v>
      </c>
      <c r="AC173" s="1057">
        <v>308434</v>
      </c>
      <c r="AD173" s="1057">
        <v>0</v>
      </c>
      <c r="AE173" s="1057">
        <v>0</v>
      </c>
      <c r="AF173" s="1057">
        <v>0</v>
      </c>
      <c r="AG173" s="1057">
        <v>308434</v>
      </c>
      <c r="AH173" s="1057">
        <v>0</v>
      </c>
      <c r="AI173" s="1057">
        <v>0</v>
      </c>
      <c r="AJ173" s="1053">
        <v>4</v>
      </c>
      <c r="AK173" s="1053" t="s">
        <v>915</v>
      </c>
      <c r="AL173" s="1054" t="s">
        <v>1512</v>
      </c>
      <c r="AM173" s="1053" t="s">
        <v>1417</v>
      </c>
      <c r="AN173" s="1054" t="s">
        <v>331</v>
      </c>
      <c r="AO173" s="1054">
        <v>59805.352599999998</v>
      </c>
      <c r="AP173" s="1059">
        <f t="shared" si="70"/>
        <v>56</v>
      </c>
      <c r="AQ173" s="1059">
        <f t="shared" si="51"/>
        <v>57</v>
      </c>
      <c r="AR173" s="1052">
        <v>0</v>
      </c>
      <c r="AS173" s="1052">
        <v>0</v>
      </c>
      <c r="AT173" s="1052">
        <v>30</v>
      </c>
      <c r="AU173" s="1052">
        <v>21</v>
      </c>
      <c r="AV173" s="1052">
        <v>0</v>
      </c>
      <c r="AW173" s="1052">
        <v>0</v>
      </c>
      <c r="AX173" s="1052">
        <v>0</v>
      </c>
      <c r="AY173" s="1052">
        <v>5</v>
      </c>
      <c r="AZ173" s="1052">
        <v>0</v>
      </c>
      <c r="BA173" s="1052">
        <v>11</v>
      </c>
      <c r="BB173" s="1052">
        <v>0</v>
      </c>
      <c r="BC173" s="1052">
        <v>1</v>
      </c>
      <c r="BD173" s="1052">
        <v>0</v>
      </c>
      <c r="BE173" s="1052">
        <v>0</v>
      </c>
      <c r="BF173" s="1052">
        <v>0</v>
      </c>
      <c r="BG173" s="1052">
        <v>0</v>
      </c>
      <c r="BH173" s="1052">
        <v>0</v>
      </c>
      <c r="BI173" s="1052">
        <v>0</v>
      </c>
      <c r="BJ173" s="1052">
        <v>0</v>
      </c>
      <c r="BK173" s="1052">
        <v>0</v>
      </c>
      <c r="BL173" s="1052">
        <v>0</v>
      </c>
      <c r="BM173" s="1052">
        <v>0</v>
      </c>
      <c r="BN173" s="1052">
        <v>0</v>
      </c>
      <c r="BO173" s="1052">
        <v>0</v>
      </c>
      <c r="BR173" s="1140">
        <f t="shared" si="52"/>
        <v>0</v>
      </c>
      <c r="BS173" s="1140">
        <f t="shared" si="53"/>
        <v>416666.66666666669</v>
      </c>
      <c r="BT173" s="1140">
        <f t="shared" si="54"/>
        <v>291666.66666666669</v>
      </c>
      <c r="BU173" s="1140">
        <f t="shared" si="55"/>
        <v>708333.33333333337</v>
      </c>
      <c r="BV173" s="1140">
        <f t="shared" si="65"/>
        <v>0</v>
      </c>
      <c r="BW173" s="1140">
        <f t="shared" si="66"/>
        <v>0</v>
      </c>
      <c r="BX173" s="1140">
        <f t="shared" si="67"/>
        <v>1000</v>
      </c>
      <c r="BY173" s="1140">
        <f t="shared" si="56"/>
        <v>1000</v>
      </c>
      <c r="CA173" s="1140">
        <f t="shared" si="57"/>
        <v>0</v>
      </c>
      <c r="CB173" s="1140">
        <f t="shared" si="58"/>
        <v>0</v>
      </c>
      <c r="CC173" s="1140">
        <f t="shared" si="59"/>
        <v>0</v>
      </c>
      <c r="CD173" s="1140">
        <f t="shared" si="60"/>
        <v>0</v>
      </c>
      <c r="CE173" s="1140">
        <f t="shared" si="61"/>
        <v>0</v>
      </c>
      <c r="CF173" s="1140">
        <f t="shared" si="62"/>
        <v>0</v>
      </c>
      <c r="CG173" s="1140">
        <f t="shared" si="63"/>
        <v>1000</v>
      </c>
      <c r="CH173" s="1140">
        <f t="shared" si="64"/>
        <v>1000</v>
      </c>
    </row>
    <row r="174" spans="1:115" ht="15" customHeight="1" x14ac:dyDescent="0.2">
      <c r="A174" s="1052">
        <v>9903</v>
      </c>
      <c r="B174" s="1052"/>
      <c r="C174" s="1053" t="s">
        <v>335</v>
      </c>
      <c r="D174" s="1054" t="s">
        <v>335</v>
      </c>
      <c r="E174" s="1055">
        <f t="shared" si="49"/>
        <v>272582.23719999997</v>
      </c>
      <c r="F174" s="1055">
        <v>0</v>
      </c>
      <c r="G174" s="1056">
        <f t="shared" si="47"/>
        <v>272582.23719999997</v>
      </c>
      <c r="H174" s="1053" t="s">
        <v>1417</v>
      </c>
      <c r="I174" s="1054" t="s">
        <v>1416</v>
      </c>
      <c r="J174" s="1054" t="s">
        <v>1417</v>
      </c>
      <c r="K174" s="1054" t="s">
        <v>325</v>
      </c>
      <c r="L174" s="1054" t="s">
        <v>10</v>
      </c>
      <c r="M174" s="1057">
        <v>132</v>
      </c>
      <c r="N174" s="1057">
        <v>0.70499999999999996</v>
      </c>
      <c r="O174" s="1057">
        <v>0.71699999999999997</v>
      </c>
      <c r="P174" s="1057">
        <v>0.746</v>
      </c>
      <c r="Q174" s="1057">
        <v>0.73599999999999999</v>
      </c>
      <c r="R174" s="1057">
        <v>944410</v>
      </c>
      <c r="S174" s="1057">
        <v>782383</v>
      </c>
      <c r="T174" s="1058">
        <f t="shared" si="50"/>
        <v>280961.97499999998</v>
      </c>
      <c r="U174" s="1057">
        <v>458554</v>
      </c>
      <c r="V174" s="1057">
        <v>323829</v>
      </c>
      <c r="W174" s="1057">
        <v>3671</v>
      </c>
      <c r="X174" s="1057">
        <v>0</v>
      </c>
      <c r="Y174" s="1057">
        <v>0</v>
      </c>
      <c r="Z174" s="1057">
        <v>0</v>
      </c>
      <c r="AA174" s="1057">
        <v>1063344.9750000001</v>
      </c>
      <c r="AB174" s="1057">
        <v>280961.97499999998</v>
      </c>
      <c r="AC174" s="1057">
        <v>782383</v>
      </c>
      <c r="AD174" s="1057">
        <v>0</v>
      </c>
      <c r="AE174" s="1057">
        <v>0</v>
      </c>
      <c r="AF174" s="1057">
        <v>0</v>
      </c>
      <c r="AG174" s="1057">
        <v>782383</v>
      </c>
      <c r="AH174" s="1057">
        <v>0</v>
      </c>
      <c r="AI174" s="1057">
        <v>0</v>
      </c>
      <c r="AJ174" s="1053" t="s">
        <v>900</v>
      </c>
      <c r="AK174" s="1053" t="s">
        <v>907</v>
      </c>
      <c r="AL174" s="1054" t="s">
        <v>1416</v>
      </c>
      <c r="AM174" s="1053" t="s">
        <v>1417</v>
      </c>
      <c r="AN174" s="1054" t="s">
        <v>335</v>
      </c>
      <c r="AO174" s="1054">
        <v>280961.97499999998</v>
      </c>
      <c r="AP174" s="1059">
        <f t="shared" si="70"/>
        <v>331.42560000000003</v>
      </c>
      <c r="AQ174" s="1059">
        <f t="shared" si="51"/>
        <v>392.42560000000003</v>
      </c>
      <c r="AR174" s="1052">
        <v>0</v>
      </c>
      <c r="AS174" s="1052">
        <v>0</v>
      </c>
      <c r="AT174" s="1052">
        <v>223</v>
      </c>
      <c r="AU174" s="1052">
        <v>2</v>
      </c>
      <c r="AV174" s="1052">
        <v>0</v>
      </c>
      <c r="AW174" s="1052">
        <v>0</v>
      </c>
      <c r="AX174" s="1052">
        <v>4</v>
      </c>
      <c r="AY174" s="1052">
        <v>0</v>
      </c>
      <c r="AZ174" s="1052">
        <v>0</v>
      </c>
      <c r="BA174" s="1052">
        <v>0</v>
      </c>
      <c r="BB174" s="1052">
        <v>52</v>
      </c>
      <c r="BC174" s="1052">
        <v>9</v>
      </c>
      <c r="BD174" s="1052">
        <v>0</v>
      </c>
      <c r="BE174" s="1052">
        <v>0</v>
      </c>
      <c r="BF174" s="1052">
        <v>0</v>
      </c>
      <c r="BG174" s="1052">
        <v>0</v>
      </c>
      <c r="BH174" s="1052">
        <v>1</v>
      </c>
      <c r="BI174" s="1052">
        <v>0</v>
      </c>
      <c r="BJ174" s="1052">
        <v>0</v>
      </c>
      <c r="BK174" s="1052">
        <v>0</v>
      </c>
      <c r="BL174" s="1052">
        <v>0</v>
      </c>
      <c r="BM174" s="1052">
        <v>0</v>
      </c>
      <c r="BN174" s="1052">
        <v>39651</v>
      </c>
      <c r="BO174" s="1052">
        <v>617.74599999999998</v>
      </c>
      <c r="BR174" s="1140">
        <f t="shared" si="52"/>
        <v>0</v>
      </c>
      <c r="BS174" s="1140">
        <f t="shared" si="53"/>
        <v>3097222.2222222225</v>
      </c>
      <c r="BT174" s="1140">
        <f t="shared" si="54"/>
        <v>27777.777777777781</v>
      </c>
      <c r="BU174" s="1140">
        <f t="shared" si="55"/>
        <v>3125000.0000000005</v>
      </c>
      <c r="BV174" s="1140">
        <f t="shared" si="65"/>
        <v>0</v>
      </c>
      <c r="BW174" s="1140">
        <f t="shared" si="66"/>
        <v>800</v>
      </c>
      <c r="BX174" s="1140">
        <f t="shared" si="67"/>
        <v>0</v>
      </c>
      <c r="BY174" s="1140">
        <f t="shared" si="56"/>
        <v>800</v>
      </c>
      <c r="CA174" s="1140">
        <f t="shared" si="57"/>
        <v>0</v>
      </c>
      <c r="CB174" s="1140">
        <f t="shared" si="58"/>
        <v>0</v>
      </c>
      <c r="CC174" s="1140">
        <f t="shared" si="59"/>
        <v>0</v>
      </c>
      <c r="CD174" s="1140">
        <f t="shared" si="60"/>
        <v>0</v>
      </c>
      <c r="CE174" s="1140">
        <f t="shared" si="61"/>
        <v>0</v>
      </c>
      <c r="CF174" s="1140">
        <f t="shared" si="62"/>
        <v>800</v>
      </c>
      <c r="CG174" s="1140">
        <f t="shared" si="63"/>
        <v>0</v>
      </c>
      <c r="CH174" s="1140">
        <f t="shared" si="64"/>
        <v>800</v>
      </c>
    </row>
    <row r="175" spans="1:115" ht="15" customHeight="1" x14ac:dyDescent="0.2">
      <c r="A175" s="1052">
        <v>2318</v>
      </c>
      <c r="B175" s="1052" t="s">
        <v>1412</v>
      </c>
      <c r="C175" s="1053" t="s">
        <v>337</v>
      </c>
      <c r="D175" s="1054" t="s">
        <v>337</v>
      </c>
      <c r="E175" s="1055">
        <f t="shared" si="49"/>
        <v>272448.8</v>
      </c>
      <c r="F175" s="1055">
        <v>0</v>
      </c>
      <c r="G175" s="1056">
        <f t="shared" si="47"/>
        <v>272448.8</v>
      </c>
      <c r="H175" s="1053" t="s">
        <v>10</v>
      </c>
      <c r="I175" s="1054" t="s">
        <v>1416</v>
      </c>
      <c r="J175" s="1054" t="s">
        <v>1412</v>
      </c>
      <c r="K175" s="1054" t="s">
        <v>276</v>
      </c>
      <c r="L175" s="1054" t="s">
        <v>10</v>
      </c>
      <c r="M175" s="1057">
        <v>53</v>
      </c>
      <c r="N175" s="1057">
        <v>0.93</v>
      </c>
      <c r="O175" s="1057">
        <v>0.92300000000000004</v>
      </c>
      <c r="P175" s="1057">
        <v>0.91900000000000004</v>
      </c>
      <c r="Q175" s="1057">
        <v>0.94399999999999995</v>
      </c>
      <c r="R175" s="1057">
        <v>804218</v>
      </c>
      <c r="S175" s="1057">
        <v>782000</v>
      </c>
      <c r="T175" s="1058">
        <f t="shared" si="50"/>
        <v>239254.85499999998</v>
      </c>
      <c r="U175" s="1057">
        <v>600982</v>
      </c>
      <c r="V175" s="1057">
        <v>181018</v>
      </c>
      <c r="W175" s="1057">
        <v>2352</v>
      </c>
      <c r="X175" s="1057">
        <v>0</v>
      </c>
      <c r="Y175" s="1057">
        <v>0</v>
      </c>
      <c r="Z175" s="1057">
        <v>0</v>
      </c>
      <c r="AA175" s="1057">
        <v>1021254.855</v>
      </c>
      <c r="AB175" s="1057">
        <v>239254.85500000001</v>
      </c>
      <c r="AC175" s="1057">
        <v>782000</v>
      </c>
      <c r="AD175" s="1057">
        <v>0</v>
      </c>
      <c r="AE175" s="1057">
        <v>0</v>
      </c>
      <c r="AF175" s="1057">
        <v>782000</v>
      </c>
      <c r="AG175" s="1057">
        <v>0</v>
      </c>
      <c r="AH175" s="1057">
        <v>60000</v>
      </c>
      <c r="AI175" s="1057">
        <v>61000</v>
      </c>
      <c r="AJ175" s="1053" t="s">
        <v>900</v>
      </c>
      <c r="AK175" s="1053" t="s">
        <v>922</v>
      </c>
      <c r="AL175" s="1054" t="s">
        <v>1416</v>
      </c>
      <c r="AM175" s="1053" t="s">
        <v>10</v>
      </c>
      <c r="AN175" s="1054" t="s">
        <v>337</v>
      </c>
      <c r="AO175" s="1054">
        <v>239254.85500000001</v>
      </c>
      <c r="AP175" s="1059">
        <f t="shared" si="70"/>
        <v>137.5335</v>
      </c>
      <c r="AQ175" s="1059">
        <f t="shared" si="51"/>
        <v>141.5335</v>
      </c>
      <c r="AR175" s="1052">
        <v>51</v>
      </c>
      <c r="AS175" s="1052">
        <v>61</v>
      </c>
      <c r="AT175" s="1052">
        <v>24</v>
      </c>
      <c r="AU175" s="1052">
        <v>1</v>
      </c>
      <c r="AV175" s="1052">
        <v>0</v>
      </c>
      <c r="AW175" s="1052">
        <v>0</v>
      </c>
      <c r="AX175" s="1052">
        <v>2</v>
      </c>
      <c r="AY175" s="1052">
        <v>0</v>
      </c>
      <c r="AZ175" s="1052">
        <v>0</v>
      </c>
      <c r="BA175" s="1052">
        <v>1</v>
      </c>
      <c r="BB175" s="1052">
        <v>4</v>
      </c>
      <c r="BC175" s="1052">
        <v>0</v>
      </c>
      <c r="BD175" s="1052">
        <v>0</v>
      </c>
      <c r="BE175" s="1052">
        <v>0</v>
      </c>
      <c r="BF175" s="1052">
        <v>0</v>
      </c>
      <c r="BG175" s="1052">
        <v>0</v>
      </c>
      <c r="BH175" s="1052">
        <v>0</v>
      </c>
      <c r="BI175" s="1052">
        <v>0</v>
      </c>
      <c r="BJ175" s="1052">
        <v>0</v>
      </c>
      <c r="BK175" s="1052">
        <v>0</v>
      </c>
      <c r="BL175" s="1052">
        <v>9776</v>
      </c>
      <c r="BM175" s="1052">
        <v>0</v>
      </c>
      <c r="BN175" s="1052">
        <v>14515</v>
      </c>
      <c r="BO175" s="1052">
        <v>352.42500000000001</v>
      </c>
      <c r="BR175" s="1140">
        <f t="shared" si="52"/>
        <v>708333.33333333337</v>
      </c>
      <c r="BS175" s="1140">
        <f t="shared" si="53"/>
        <v>333333.33333333337</v>
      </c>
      <c r="BT175" s="1140">
        <f t="shared" si="54"/>
        <v>13888.888888888891</v>
      </c>
      <c r="BU175" s="1140">
        <f t="shared" si="55"/>
        <v>1055555.5555555557</v>
      </c>
      <c r="BV175" s="1140">
        <f t="shared" si="65"/>
        <v>0</v>
      </c>
      <c r="BW175" s="1140">
        <f t="shared" si="66"/>
        <v>400</v>
      </c>
      <c r="BX175" s="1140">
        <f t="shared" si="67"/>
        <v>0</v>
      </c>
      <c r="BY175" s="1140">
        <f t="shared" si="56"/>
        <v>400</v>
      </c>
      <c r="CA175" s="1140">
        <f t="shared" si="57"/>
        <v>708333.33333333337</v>
      </c>
      <c r="CB175" s="1140">
        <f t="shared" si="58"/>
        <v>333333.33333333337</v>
      </c>
      <c r="CC175" s="1140">
        <f t="shared" si="59"/>
        <v>13888.888888888891</v>
      </c>
      <c r="CD175" s="1140">
        <f t="shared" si="60"/>
        <v>1055555.5555555557</v>
      </c>
      <c r="CE175" s="1140">
        <f t="shared" si="61"/>
        <v>0</v>
      </c>
      <c r="CF175" s="1140">
        <f t="shared" si="62"/>
        <v>400</v>
      </c>
      <c r="CG175" s="1140">
        <f t="shared" si="63"/>
        <v>0</v>
      </c>
      <c r="CH175" s="1140">
        <f t="shared" si="64"/>
        <v>400</v>
      </c>
    </row>
    <row r="176" spans="1:115" ht="15" customHeight="1" x14ac:dyDescent="0.2">
      <c r="A176" s="1052">
        <v>9419</v>
      </c>
      <c r="B176" s="1052"/>
      <c r="C176" s="1053" t="s">
        <v>339</v>
      </c>
      <c r="D176" s="1054" t="s">
        <v>339</v>
      </c>
      <c r="E176" s="1055">
        <f t="shared" si="49"/>
        <v>315224.30679999996</v>
      </c>
      <c r="F176" s="1055">
        <v>0</v>
      </c>
      <c r="G176" s="1056">
        <f t="shared" si="47"/>
        <v>315224.30679999996</v>
      </c>
      <c r="H176" s="1053" t="s">
        <v>10</v>
      </c>
      <c r="I176" s="1054" t="s">
        <v>1416</v>
      </c>
      <c r="J176" s="1054" t="s">
        <v>1417</v>
      </c>
      <c r="K176" s="1054" t="s">
        <v>340</v>
      </c>
      <c r="L176" s="1054" t="s">
        <v>10</v>
      </c>
      <c r="M176" s="1057">
        <v>73</v>
      </c>
      <c r="N176" s="1057">
        <v>0.65700000000000003</v>
      </c>
      <c r="O176" s="1057">
        <v>0.69799999999999995</v>
      </c>
      <c r="P176" s="1057">
        <v>0.69199999999999995</v>
      </c>
      <c r="Q176" s="1057">
        <v>0.68</v>
      </c>
      <c r="R176" s="1057">
        <v>974410</v>
      </c>
      <c r="S176" s="1057">
        <v>904777</v>
      </c>
      <c r="T176" s="1058">
        <f t="shared" si="50"/>
        <v>289886.97499999998</v>
      </c>
      <c r="U176" s="1057">
        <v>691230</v>
      </c>
      <c r="V176" s="1057">
        <v>213547</v>
      </c>
      <c r="W176" s="1057">
        <v>4584</v>
      </c>
      <c r="X176" s="1057">
        <v>0</v>
      </c>
      <c r="Y176" s="1057">
        <v>0</v>
      </c>
      <c r="Z176" s="1057">
        <v>0</v>
      </c>
      <c r="AA176" s="1057">
        <v>1194663.9750000001</v>
      </c>
      <c r="AB176" s="1057">
        <v>289886.97499999998</v>
      </c>
      <c r="AC176" s="1057">
        <v>904777</v>
      </c>
      <c r="AD176" s="1057">
        <v>0</v>
      </c>
      <c r="AE176" s="1057">
        <v>0</v>
      </c>
      <c r="AF176" s="1057">
        <v>0</v>
      </c>
      <c r="AG176" s="1057">
        <v>904777</v>
      </c>
      <c r="AH176" s="1057">
        <v>0</v>
      </c>
      <c r="AI176" s="1057">
        <v>0</v>
      </c>
      <c r="AJ176" s="1053" t="s">
        <v>900</v>
      </c>
      <c r="AK176" s="1053" t="s">
        <v>905</v>
      </c>
      <c r="AL176" s="1054" t="s">
        <v>1416</v>
      </c>
      <c r="AM176" s="1053" t="s">
        <v>10</v>
      </c>
      <c r="AN176" s="1054" t="s">
        <v>339</v>
      </c>
      <c r="AO176" s="1054">
        <v>289886.97499999998</v>
      </c>
      <c r="AP176" s="1059">
        <f t="shared" si="70"/>
        <v>227.6824</v>
      </c>
      <c r="AQ176" s="1059">
        <f t="shared" si="51"/>
        <v>237.6824</v>
      </c>
      <c r="AR176" s="1052">
        <v>0</v>
      </c>
      <c r="AS176" s="1052">
        <v>0</v>
      </c>
      <c r="AT176" s="1052">
        <v>62</v>
      </c>
      <c r="AU176" s="1052">
        <v>26</v>
      </c>
      <c r="AV176" s="1052">
        <v>0</v>
      </c>
      <c r="AW176" s="1052">
        <v>0</v>
      </c>
      <c r="AX176" s="1052">
        <v>6</v>
      </c>
      <c r="AY176" s="1052">
        <v>2</v>
      </c>
      <c r="AZ176" s="1052">
        <v>0</v>
      </c>
      <c r="BA176" s="1052">
        <v>0</v>
      </c>
      <c r="BB176" s="1052">
        <v>7</v>
      </c>
      <c r="BC176" s="1052">
        <v>3</v>
      </c>
      <c r="BD176" s="1052">
        <v>0</v>
      </c>
      <c r="BE176" s="1052">
        <v>0</v>
      </c>
      <c r="BF176" s="1052">
        <v>0</v>
      </c>
      <c r="BG176" s="1052">
        <v>0</v>
      </c>
      <c r="BH176" s="1052">
        <v>0</v>
      </c>
      <c r="BI176" s="1052">
        <v>0</v>
      </c>
      <c r="BJ176" s="1052">
        <v>0</v>
      </c>
      <c r="BK176" s="1052">
        <v>0</v>
      </c>
      <c r="BL176" s="1052">
        <v>88626</v>
      </c>
      <c r="BM176" s="1052">
        <v>0</v>
      </c>
      <c r="BN176" s="1052">
        <v>0</v>
      </c>
      <c r="BO176" s="1052">
        <v>430.56400000000002</v>
      </c>
      <c r="BR176" s="1140">
        <f t="shared" si="52"/>
        <v>0</v>
      </c>
      <c r="BS176" s="1140">
        <f t="shared" si="53"/>
        <v>861111.11111111112</v>
      </c>
      <c r="BT176" s="1140">
        <f t="shared" si="54"/>
        <v>361111.11111111112</v>
      </c>
      <c r="BU176" s="1140">
        <f t="shared" si="55"/>
        <v>1222222.2222222222</v>
      </c>
      <c r="BV176" s="1140">
        <f t="shared" si="65"/>
        <v>0</v>
      </c>
      <c r="BW176" s="1140">
        <f t="shared" si="66"/>
        <v>1200</v>
      </c>
      <c r="BX176" s="1140">
        <f t="shared" si="67"/>
        <v>400</v>
      </c>
      <c r="BY176" s="1140">
        <f t="shared" si="56"/>
        <v>1600</v>
      </c>
      <c r="CA176" s="1140">
        <f t="shared" si="57"/>
        <v>0</v>
      </c>
      <c r="CB176" s="1140">
        <f t="shared" si="58"/>
        <v>861111.11111111112</v>
      </c>
      <c r="CC176" s="1140">
        <f t="shared" si="59"/>
        <v>361111.11111111112</v>
      </c>
      <c r="CD176" s="1140">
        <f t="shared" si="60"/>
        <v>1222222.2222222222</v>
      </c>
      <c r="CE176" s="1140">
        <f t="shared" si="61"/>
        <v>0</v>
      </c>
      <c r="CF176" s="1140">
        <f t="shared" si="62"/>
        <v>1200</v>
      </c>
      <c r="CG176" s="1140">
        <f t="shared" si="63"/>
        <v>400</v>
      </c>
      <c r="CH176" s="1140">
        <f t="shared" si="64"/>
        <v>1600</v>
      </c>
    </row>
    <row r="177" spans="1:112" ht="15" customHeight="1" x14ac:dyDescent="0.2">
      <c r="A177" s="1052">
        <v>9421</v>
      </c>
      <c r="B177" s="1052"/>
      <c r="C177" s="1053" t="s">
        <v>341</v>
      </c>
      <c r="D177" s="1054" t="s">
        <v>341</v>
      </c>
      <c r="E177" s="1055">
        <f t="shared" si="49"/>
        <v>551665.96679999994</v>
      </c>
      <c r="F177" s="1055">
        <v>0</v>
      </c>
      <c r="G177" s="1056">
        <f t="shared" si="47"/>
        <v>551665.96679999994</v>
      </c>
      <c r="H177" s="1053" t="s">
        <v>10</v>
      </c>
      <c r="I177" s="1054" t="s">
        <v>1416</v>
      </c>
      <c r="J177" s="1054" t="s">
        <v>10</v>
      </c>
      <c r="K177" s="1054" t="s">
        <v>109</v>
      </c>
      <c r="L177" s="1054" t="s">
        <v>10</v>
      </c>
      <c r="M177" s="1057">
        <v>174</v>
      </c>
      <c r="N177" s="1057">
        <v>0.66200000000000003</v>
      </c>
      <c r="O177" s="1057">
        <v>0.65100000000000002</v>
      </c>
      <c r="P177" s="1057">
        <v>0.64800000000000002</v>
      </c>
      <c r="Q177" s="1057">
        <v>0.64900000000000002</v>
      </c>
      <c r="R177" s="1057">
        <v>205220</v>
      </c>
      <c r="S177" s="1057">
        <v>1583427</v>
      </c>
      <c r="T177" s="1058">
        <f t="shared" si="50"/>
        <v>61052.95</v>
      </c>
      <c r="U177" s="1057">
        <v>1126240</v>
      </c>
      <c r="V177" s="1057">
        <v>457187</v>
      </c>
      <c r="W177" s="1057">
        <v>8016</v>
      </c>
      <c r="X177" s="1057">
        <v>0</v>
      </c>
      <c r="Y177" s="1057">
        <v>0</v>
      </c>
      <c r="Z177" s="1057">
        <v>0</v>
      </c>
      <c r="AA177" s="1057">
        <v>1644479.95</v>
      </c>
      <c r="AB177" s="1057">
        <v>61052.95</v>
      </c>
      <c r="AC177" s="1057">
        <v>1583427</v>
      </c>
      <c r="AD177" s="1057">
        <v>0</v>
      </c>
      <c r="AE177" s="1057">
        <v>0</v>
      </c>
      <c r="AF177" s="1057">
        <v>0</v>
      </c>
      <c r="AG177" s="1057">
        <v>1583427</v>
      </c>
      <c r="AH177" s="1057">
        <v>0</v>
      </c>
      <c r="AI177" s="1057">
        <v>0</v>
      </c>
      <c r="AJ177" s="1053">
        <v>4</v>
      </c>
      <c r="AK177" s="1053" t="s">
        <v>913</v>
      </c>
      <c r="AL177" s="1054" t="s">
        <v>1416</v>
      </c>
      <c r="AM177" s="1053" t="s">
        <v>10</v>
      </c>
      <c r="AN177" s="1054" t="s">
        <v>341</v>
      </c>
      <c r="AO177" s="1054">
        <v>61052.95</v>
      </c>
      <c r="AP177" s="1059">
        <f t="shared" si="70"/>
        <v>519.27170000000001</v>
      </c>
      <c r="AQ177" s="1059">
        <f t="shared" si="51"/>
        <v>635.27170000000001</v>
      </c>
      <c r="AR177" s="1052">
        <v>0</v>
      </c>
      <c r="AS177" s="1052">
        <v>0</v>
      </c>
      <c r="AT177" s="1052">
        <v>382</v>
      </c>
      <c r="AU177" s="1052">
        <v>10</v>
      </c>
      <c r="AV177" s="1052">
        <v>0</v>
      </c>
      <c r="AW177" s="1052">
        <v>0</v>
      </c>
      <c r="AX177" s="1052">
        <v>16</v>
      </c>
      <c r="AY177" s="1052">
        <v>14</v>
      </c>
      <c r="AZ177" s="1052">
        <v>0</v>
      </c>
      <c r="BA177" s="1052">
        <v>0</v>
      </c>
      <c r="BB177" s="1052">
        <v>116</v>
      </c>
      <c r="BC177" s="1052">
        <v>0</v>
      </c>
      <c r="BD177" s="1052">
        <v>0</v>
      </c>
      <c r="BE177" s="1052">
        <v>0</v>
      </c>
      <c r="BF177" s="1052">
        <v>0</v>
      </c>
      <c r="BG177" s="1052">
        <v>0</v>
      </c>
      <c r="BH177" s="1052">
        <v>0</v>
      </c>
      <c r="BI177" s="1052">
        <v>0</v>
      </c>
      <c r="BJ177" s="1052">
        <v>0</v>
      </c>
      <c r="BK177" s="1052">
        <v>0</v>
      </c>
      <c r="BL177" s="1052">
        <v>0</v>
      </c>
      <c r="BM177" s="1052">
        <v>0</v>
      </c>
      <c r="BN177" s="1052">
        <v>0</v>
      </c>
      <c r="BO177" s="1052">
        <v>972.71699999999998</v>
      </c>
      <c r="BR177" s="1140">
        <f t="shared" si="52"/>
        <v>0</v>
      </c>
      <c r="BS177" s="1140">
        <f t="shared" si="53"/>
        <v>5305555.555555556</v>
      </c>
      <c r="BT177" s="1140">
        <f t="shared" si="54"/>
        <v>138888.88888888891</v>
      </c>
      <c r="BU177" s="1140">
        <f t="shared" si="55"/>
        <v>5444444.444444445</v>
      </c>
      <c r="BV177" s="1140">
        <f t="shared" si="65"/>
        <v>0</v>
      </c>
      <c r="BW177" s="1140">
        <f t="shared" si="66"/>
        <v>3200</v>
      </c>
      <c r="BX177" s="1140">
        <f t="shared" si="67"/>
        <v>2800</v>
      </c>
      <c r="BY177" s="1140">
        <f t="shared" si="56"/>
        <v>6000</v>
      </c>
      <c r="CA177" s="1140">
        <f t="shared" si="57"/>
        <v>0</v>
      </c>
      <c r="CB177" s="1140">
        <f t="shared" si="58"/>
        <v>5305555.555555556</v>
      </c>
      <c r="CC177" s="1140">
        <f t="shared" si="59"/>
        <v>138888.88888888891</v>
      </c>
      <c r="CD177" s="1140">
        <f t="shared" si="60"/>
        <v>5444444.444444445</v>
      </c>
      <c r="CE177" s="1140">
        <f t="shared" si="61"/>
        <v>0</v>
      </c>
      <c r="CF177" s="1140">
        <f t="shared" si="62"/>
        <v>3200</v>
      </c>
      <c r="CG177" s="1140">
        <f t="shared" si="63"/>
        <v>2800</v>
      </c>
      <c r="CH177" s="1140">
        <f t="shared" si="64"/>
        <v>6000</v>
      </c>
    </row>
    <row r="178" spans="1:112" ht="15" customHeight="1" x14ac:dyDescent="0.2">
      <c r="A178" s="1052">
        <v>3518</v>
      </c>
      <c r="B178" s="1052"/>
      <c r="C178" s="1053" t="s">
        <v>343</v>
      </c>
      <c r="D178" s="1054" t="s">
        <v>343</v>
      </c>
      <c r="E178" s="1055">
        <f t="shared" si="49"/>
        <v>53746.559299999994</v>
      </c>
      <c r="F178" s="1055">
        <v>0</v>
      </c>
      <c r="G178" s="1056">
        <f t="shared" si="47"/>
        <v>53746.559299999994</v>
      </c>
      <c r="H178" s="1053" t="s">
        <v>10</v>
      </c>
      <c r="I178" s="1054" t="s">
        <v>1512</v>
      </c>
      <c r="J178" s="1054" t="s">
        <v>10</v>
      </c>
      <c r="K178" s="1054" t="s">
        <v>1418</v>
      </c>
      <c r="L178" s="1054" t="s">
        <v>10</v>
      </c>
      <c r="M178" s="1057">
        <v>10</v>
      </c>
      <c r="N178" s="1057">
        <v>1</v>
      </c>
      <c r="O178" s="1057">
        <v>1</v>
      </c>
      <c r="P178" s="1057">
        <v>1</v>
      </c>
      <c r="Q178" s="1057">
        <v>1</v>
      </c>
      <c r="R178" s="1057">
        <v>0</v>
      </c>
      <c r="S178" s="1057">
        <v>277187</v>
      </c>
      <c r="T178" s="1058">
        <f t="shared" si="50"/>
        <v>53746.559299999994</v>
      </c>
      <c r="U178" s="1057">
        <v>210627</v>
      </c>
      <c r="V178" s="1057">
        <v>66560</v>
      </c>
      <c r="W178" s="1057">
        <v>1262</v>
      </c>
      <c r="X178" s="1057">
        <v>0</v>
      </c>
      <c r="Y178" s="1057">
        <v>0</v>
      </c>
      <c r="Z178" s="1057">
        <v>0</v>
      </c>
      <c r="AA178" s="1057">
        <v>330933.55930000002</v>
      </c>
      <c r="AB178" s="1057">
        <v>53746.559300000001</v>
      </c>
      <c r="AC178" s="1057">
        <v>277187</v>
      </c>
      <c r="AD178" s="1057">
        <v>0</v>
      </c>
      <c r="AE178" s="1057">
        <v>0</v>
      </c>
      <c r="AF178" s="1057">
        <v>0</v>
      </c>
      <c r="AG178" s="1057">
        <v>277187</v>
      </c>
      <c r="AH178" s="1057">
        <v>0</v>
      </c>
      <c r="AI178" s="1057">
        <v>0</v>
      </c>
      <c r="AJ178" s="1053">
        <v>4</v>
      </c>
      <c r="AK178" s="1053" t="s">
        <v>899</v>
      </c>
      <c r="AL178" s="1054" t="s">
        <v>1512</v>
      </c>
      <c r="AM178" s="1053" t="s">
        <v>10</v>
      </c>
      <c r="AN178" s="1054" t="s">
        <v>343</v>
      </c>
      <c r="AO178" s="1054">
        <v>53746.559300000001</v>
      </c>
      <c r="AP178" s="1059">
        <f t="shared" si="70"/>
        <v>17.540399999999998</v>
      </c>
      <c r="AQ178" s="1059">
        <f t="shared" si="51"/>
        <v>17.540399999999998</v>
      </c>
      <c r="AR178" s="1052">
        <v>0</v>
      </c>
      <c r="AS178" s="1052">
        <v>0</v>
      </c>
      <c r="AT178" s="1052">
        <v>10</v>
      </c>
      <c r="AU178" s="1052">
        <v>0</v>
      </c>
      <c r="AV178" s="1052">
        <v>0</v>
      </c>
      <c r="AW178" s="1052">
        <v>0</v>
      </c>
      <c r="AX178" s="1052">
        <v>0</v>
      </c>
      <c r="AY178" s="1052">
        <v>0</v>
      </c>
      <c r="AZ178" s="1052">
        <v>0</v>
      </c>
      <c r="BA178" s="1052">
        <v>0</v>
      </c>
      <c r="BB178" s="1052">
        <v>0</v>
      </c>
      <c r="BC178" s="1052">
        <v>0</v>
      </c>
      <c r="BD178" s="1052">
        <v>0</v>
      </c>
      <c r="BE178" s="1052">
        <v>0</v>
      </c>
      <c r="BF178" s="1052">
        <v>0</v>
      </c>
      <c r="BG178" s="1052">
        <v>0</v>
      </c>
      <c r="BH178" s="1052">
        <v>0</v>
      </c>
      <c r="BI178" s="1052">
        <v>0</v>
      </c>
      <c r="BJ178" s="1052">
        <v>0</v>
      </c>
      <c r="BK178" s="1052">
        <v>0</v>
      </c>
      <c r="BL178" s="1052">
        <v>0</v>
      </c>
      <c r="BM178" s="1052">
        <v>0</v>
      </c>
      <c r="BN178" s="1052">
        <v>0</v>
      </c>
      <c r="BO178" s="1052">
        <v>75.403999999999996</v>
      </c>
      <c r="BR178" s="1140">
        <f t="shared" si="52"/>
        <v>0</v>
      </c>
      <c r="BS178" s="1140">
        <f t="shared" si="53"/>
        <v>138888.88888888891</v>
      </c>
      <c r="BT178" s="1140">
        <f t="shared" si="54"/>
        <v>0</v>
      </c>
      <c r="BU178" s="1140">
        <f t="shared" si="55"/>
        <v>138888.88888888891</v>
      </c>
      <c r="BV178" s="1140">
        <f t="shared" si="65"/>
        <v>0</v>
      </c>
      <c r="BW178" s="1140">
        <f t="shared" si="66"/>
        <v>0</v>
      </c>
      <c r="BX178" s="1140">
        <f t="shared" si="67"/>
        <v>0</v>
      </c>
      <c r="BY178" s="1140">
        <f t="shared" si="56"/>
        <v>0</v>
      </c>
      <c r="CA178" s="1140">
        <f t="shared" si="57"/>
        <v>0</v>
      </c>
      <c r="CB178" s="1140">
        <f t="shared" si="58"/>
        <v>138888.88888888891</v>
      </c>
      <c r="CC178" s="1140">
        <f t="shared" si="59"/>
        <v>0</v>
      </c>
      <c r="CD178" s="1140">
        <f t="shared" si="60"/>
        <v>138888.88888888891</v>
      </c>
      <c r="CE178" s="1140">
        <f t="shared" si="61"/>
        <v>0</v>
      </c>
      <c r="CF178" s="1140">
        <f t="shared" si="62"/>
        <v>0</v>
      </c>
      <c r="CG178" s="1140">
        <f t="shared" si="63"/>
        <v>0</v>
      </c>
      <c r="CH178" s="1140">
        <f t="shared" si="64"/>
        <v>0</v>
      </c>
    </row>
    <row r="179" spans="1:112" ht="15" customHeight="1" x14ac:dyDescent="0.2">
      <c r="A179" s="1052">
        <v>9555</v>
      </c>
      <c r="B179" s="1052"/>
      <c r="C179" s="1053" t="s">
        <v>345</v>
      </c>
      <c r="D179" s="1054" t="s">
        <v>345</v>
      </c>
      <c r="E179" s="1055">
        <f t="shared" si="49"/>
        <v>299748.72719999996</v>
      </c>
      <c r="F179" s="1055">
        <v>0</v>
      </c>
      <c r="G179" s="1056">
        <f t="shared" si="47"/>
        <v>299748.72719999996</v>
      </c>
      <c r="H179" s="1053" t="s">
        <v>10</v>
      </c>
      <c r="I179" s="1054" t="s">
        <v>1416</v>
      </c>
      <c r="J179" s="1054" t="s">
        <v>10</v>
      </c>
      <c r="K179" s="1054" t="s">
        <v>1568</v>
      </c>
      <c r="L179" s="1054" t="s">
        <v>10</v>
      </c>
      <c r="M179" s="1057">
        <v>106</v>
      </c>
      <c r="N179" s="1057">
        <v>0.77400000000000002</v>
      </c>
      <c r="O179" s="1057">
        <v>0.78500000000000003</v>
      </c>
      <c r="P179" s="1057">
        <v>0.61199999999999999</v>
      </c>
      <c r="Q179" s="1057">
        <v>0.51500000000000001</v>
      </c>
      <c r="R179" s="1057">
        <v>890408</v>
      </c>
      <c r="S179" s="1057">
        <v>860358</v>
      </c>
      <c r="T179" s="1058">
        <f t="shared" si="50"/>
        <v>264896.38</v>
      </c>
      <c r="U179" s="1057">
        <v>598255</v>
      </c>
      <c r="V179" s="1057">
        <v>262103</v>
      </c>
      <c r="W179" s="1057">
        <v>4721</v>
      </c>
      <c r="X179" s="1057">
        <v>0</v>
      </c>
      <c r="Y179" s="1057">
        <v>0</v>
      </c>
      <c r="Z179" s="1057">
        <v>0</v>
      </c>
      <c r="AA179" s="1057">
        <v>1125254.3799999999</v>
      </c>
      <c r="AB179" s="1057">
        <v>264896.38</v>
      </c>
      <c r="AC179" s="1057">
        <v>860358</v>
      </c>
      <c r="AD179" s="1057">
        <v>0</v>
      </c>
      <c r="AE179" s="1057">
        <v>0</v>
      </c>
      <c r="AF179" s="1057">
        <v>0</v>
      </c>
      <c r="AG179" s="1057">
        <v>860358</v>
      </c>
      <c r="AH179" s="1057">
        <v>0</v>
      </c>
      <c r="AI179" s="1057">
        <v>0</v>
      </c>
      <c r="AJ179" s="1053" t="s">
        <v>900</v>
      </c>
      <c r="AK179" s="1053" t="s">
        <v>901</v>
      </c>
      <c r="AL179" s="1054" t="s">
        <v>1416</v>
      </c>
      <c r="AM179" s="1053" t="s">
        <v>10</v>
      </c>
      <c r="AN179" s="1054" t="s">
        <v>345</v>
      </c>
      <c r="AO179" s="1054">
        <v>264896.38</v>
      </c>
      <c r="AP179" s="1059">
        <f t="shared" si="70"/>
        <v>243.43119999999999</v>
      </c>
      <c r="AQ179" s="1059">
        <f t="shared" si="51"/>
        <v>263.43119999999999</v>
      </c>
      <c r="AR179" s="1052">
        <v>0</v>
      </c>
      <c r="AS179" s="1052">
        <v>0</v>
      </c>
      <c r="AT179" s="1052">
        <v>168</v>
      </c>
      <c r="AU179" s="1052">
        <v>10</v>
      </c>
      <c r="AV179" s="1052">
        <v>0</v>
      </c>
      <c r="AW179" s="1052">
        <v>0</v>
      </c>
      <c r="AX179" s="1052">
        <v>6</v>
      </c>
      <c r="AY179" s="1052">
        <v>0</v>
      </c>
      <c r="AZ179" s="1052">
        <v>0</v>
      </c>
      <c r="BA179" s="1052">
        <v>0</v>
      </c>
      <c r="BB179" s="1052">
        <v>20</v>
      </c>
      <c r="BC179" s="1052">
        <v>0</v>
      </c>
      <c r="BD179" s="1052">
        <v>0</v>
      </c>
      <c r="BE179" s="1052">
        <v>0</v>
      </c>
      <c r="BF179" s="1052">
        <v>0</v>
      </c>
      <c r="BG179" s="1052">
        <v>0</v>
      </c>
      <c r="BH179" s="1052">
        <v>0</v>
      </c>
      <c r="BI179" s="1052">
        <v>0</v>
      </c>
      <c r="BJ179" s="1052">
        <v>0</v>
      </c>
      <c r="BK179" s="1052">
        <v>0</v>
      </c>
      <c r="BL179" s="1052">
        <v>13500</v>
      </c>
      <c r="BM179" s="1052">
        <v>0</v>
      </c>
      <c r="BN179" s="1052">
        <v>0</v>
      </c>
      <c r="BO179" s="1052">
        <v>459.31200000000001</v>
      </c>
      <c r="BR179" s="1140">
        <f t="shared" si="52"/>
        <v>0</v>
      </c>
      <c r="BS179" s="1140">
        <f t="shared" si="53"/>
        <v>2333333.3333333335</v>
      </c>
      <c r="BT179" s="1140">
        <f t="shared" si="54"/>
        <v>138888.88888888891</v>
      </c>
      <c r="BU179" s="1140">
        <f t="shared" si="55"/>
        <v>2472222.2222222225</v>
      </c>
      <c r="BV179" s="1140">
        <f t="shared" si="65"/>
        <v>0</v>
      </c>
      <c r="BW179" s="1140">
        <f t="shared" si="66"/>
        <v>1200</v>
      </c>
      <c r="BX179" s="1140">
        <f t="shared" si="67"/>
        <v>0</v>
      </c>
      <c r="BY179" s="1140">
        <f t="shared" si="56"/>
        <v>1200</v>
      </c>
      <c r="CA179" s="1140">
        <f t="shared" si="57"/>
        <v>0</v>
      </c>
      <c r="CB179" s="1140">
        <f t="shared" si="58"/>
        <v>2333333.3333333335</v>
      </c>
      <c r="CC179" s="1140">
        <f t="shared" si="59"/>
        <v>138888.88888888891</v>
      </c>
      <c r="CD179" s="1140">
        <f t="shared" si="60"/>
        <v>2472222.2222222225</v>
      </c>
      <c r="CE179" s="1140">
        <f t="shared" si="61"/>
        <v>0</v>
      </c>
      <c r="CF179" s="1140">
        <f t="shared" si="62"/>
        <v>1200</v>
      </c>
      <c r="CG179" s="1140">
        <f t="shared" si="63"/>
        <v>0</v>
      </c>
      <c r="CH179" s="1140">
        <f t="shared" si="64"/>
        <v>1200</v>
      </c>
    </row>
    <row r="180" spans="1:112" ht="15" customHeight="1" x14ac:dyDescent="0.2">
      <c r="A180" s="1052">
        <v>9448</v>
      </c>
      <c r="B180" s="1052"/>
      <c r="C180" s="1053" t="s">
        <v>364</v>
      </c>
      <c r="D180" s="1054" t="s">
        <v>364</v>
      </c>
      <c r="E180" s="1055">
        <f t="shared" si="49"/>
        <v>136710.41800000001</v>
      </c>
      <c r="F180" s="1055">
        <v>0</v>
      </c>
      <c r="G180" s="1056">
        <f t="shared" si="47"/>
        <v>136710.41800000001</v>
      </c>
      <c r="H180" s="1053" t="s">
        <v>10</v>
      </c>
      <c r="I180" s="1054" t="s">
        <v>1416</v>
      </c>
      <c r="J180" s="1054" t="s">
        <v>1417</v>
      </c>
      <c r="K180" s="1054" t="s">
        <v>366</v>
      </c>
      <c r="L180" s="1054" t="s">
        <v>10</v>
      </c>
      <c r="M180" s="1057">
        <v>45</v>
      </c>
      <c r="N180" s="1057">
        <v>0.89900000000000002</v>
      </c>
      <c r="O180" s="1057">
        <v>0.86799999999999999</v>
      </c>
      <c r="P180" s="1057">
        <v>0.80600000000000005</v>
      </c>
      <c r="Q180" s="1057">
        <v>0.77600000000000002</v>
      </c>
      <c r="R180" s="1057">
        <v>457256</v>
      </c>
      <c r="S180" s="1057">
        <v>392395</v>
      </c>
      <c r="T180" s="1058">
        <f t="shared" si="50"/>
        <v>136033.66</v>
      </c>
      <c r="U180" s="1057">
        <v>283103</v>
      </c>
      <c r="V180" s="1057">
        <v>109292</v>
      </c>
      <c r="W180" s="1057">
        <v>2000</v>
      </c>
      <c r="X180" s="1057">
        <v>0</v>
      </c>
      <c r="Y180" s="1057">
        <v>0</v>
      </c>
      <c r="Z180" s="1057">
        <v>0</v>
      </c>
      <c r="AA180" s="1057">
        <v>528428.66</v>
      </c>
      <c r="AB180" s="1057">
        <v>136033.66</v>
      </c>
      <c r="AC180" s="1057">
        <v>392395</v>
      </c>
      <c r="AD180" s="1057">
        <v>0</v>
      </c>
      <c r="AE180" s="1057">
        <v>0</v>
      </c>
      <c r="AF180" s="1057">
        <v>0</v>
      </c>
      <c r="AG180" s="1057">
        <v>392395</v>
      </c>
      <c r="AH180" s="1057">
        <v>0</v>
      </c>
      <c r="AI180" s="1057">
        <v>0</v>
      </c>
      <c r="AJ180" s="1053">
        <v>4</v>
      </c>
      <c r="AK180" s="1053" t="s">
        <v>913</v>
      </c>
      <c r="AL180" s="1054" t="s">
        <v>1416</v>
      </c>
      <c r="AM180" s="1053" t="s">
        <v>10</v>
      </c>
      <c r="AN180" s="1054" t="s">
        <v>364</v>
      </c>
      <c r="AO180" s="1054">
        <v>136033.66</v>
      </c>
      <c r="AP180" s="1059">
        <f t="shared" si="70"/>
        <v>90.6858</v>
      </c>
      <c r="AQ180" s="1059">
        <f t="shared" si="51"/>
        <v>96.6858</v>
      </c>
      <c r="AR180" s="1052">
        <v>0</v>
      </c>
      <c r="AS180" s="1052">
        <v>0</v>
      </c>
      <c r="AT180" s="1052">
        <v>28</v>
      </c>
      <c r="AU180" s="1052">
        <v>9</v>
      </c>
      <c r="AV180" s="1052">
        <v>0</v>
      </c>
      <c r="AW180" s="1052">
        <v>0</v>
      </c>
      <c r="AX180" s="1052">
        <v>2</v>
      </c>
      <c r="AY180" s="1052">
        <v>2</v>
      </c>
      <c r="AZ180" s="1052">
        <v>0</v>
      </c>
      <c r="BA180" s="1052">
        <v>0</v>
      </c>
      <c r="BB180" s="1052">
        <v>5</v>
      </c>
      <c r="BC180" s="1052">
        <v>1</v>
      </c>
      <c r="BD180" s="1052">
        <v>0</v>
      </c>
      <c r="BE180" s="1052">
        <v>0</v>
      </c>
      <c r="BF180" s="1052">
        <v>0</v>
      </c>
      <c r="BG180" s="1052">
        <v>0</v>
      </c>
      <c r="BH180" s="1052">
        <v>0</v>
      </c>
      <c r="BI180" s="1052">
        <v>0</v>
      </c>
      <c r="BJ180" s="1052">
        <v>0</v>
      </c>
      <c r="BK180" s="1052">
        <v>0</v>
      </c>
      <c r="BL180" s="1052">
        <v>0</v>
      </c>
      <c r="BM180" s="1052">
        <v>0</v>
      </c>
      <c r="BN180" s="1052">
        <v>25926</v>
      </c>
      <c r="BO180" s="1052">
        <v>237.59800000000001</v>
      </c>
      <c r="BR180" s="1140">
        <f t="shared" si="52"/>
        <v>0</v>
      </c>
      <c r="BS180" s="1140">
        <f t="shared" si="53"/>
        <v>388888.88888888893</v>
      </c>
      <c r="BT180" s="1140">
        <f t="shared" si="54"/>
        <v>125000.00000000001</v>
      </c>
      <c r="BU180" s="1140">
        <f t="shared" si="55"/>
        <v>513888.88888888893</v>
      </c>
      <c r="BV180" s="1140">
        <f t="shared" si="65"/>
        <v>0</v>
      </c>
      <c r="BW180" s="1140">
        <f t="shared" si="66"/>
        <v>400</v>
      </c>
      <c r="BX180" s="1140">
        <f t="shared" si="67"/>
        <v>400</v>
      </c>
      <c r="BY180" s="1140">
        <f t="shared" si="56"/>
        <v>800</v>
      </c>
      <c r="CA180" s="1140">
        <f t="shared" si="57"/>
        <v>0</v>
      </c>
      <c r="CB180" s="1140">
        <f t="shared" si="58"/>
        <v>388888.88888888893</v>
      </c>
      <c r="CC180" s="1140">
        <f t="shared" si="59"/>
        <v>125000.00000000001</v>
      </c>
      <c r="CD180" s="1140">
        <f t="shared" si="60"/>
        <v>513888.88888888893</v>
      </c>
      <c r="CE180" s="1140">
        <f t="shared" si="61"/>
        <v>0</v>
      </c>
      <c r="CF180" s="1140">
        <f t="shared" si="62"/>
        <v>400</v>
      </c>
      <c r="CG180" s="1140">
        <f t="shared" si="63"/>
        <v>400</v>
      </c>
      <c r="CH180" s="1140">
        <f t="shared" si="64"/>
        <v>800</v>
      </c>
    </row>
    <row r="181" spans="1:112" ht="15" customHeight="1" x14ac:dyDescent="0.2">
      <c r="A181" s="1052">
        <v>9445</v>
      </c>
      <c r="B181" s="1052"/>
      <c r="C181" s="1053" t="s">
        <v>367</v>
      </c>
      <c r="D181" s="1054" t="s">
        <v>367</v>
      </c>
      <c r="E181" s="1055">
        <f t="shared" si="49"/>
        <v>304202.6728</v>
      </c>
      <c r="F181" s="1055">
        <v>0</v>
      </c>
      <c r="G181" s="1056">
        <f t="shared" si="47"/>
        <v>304202.6728</v>
      </c>
      <c r="H181" s="1053" t="s">
        <v>10</v>
      </c>
      <c r="I181" s="1054" t="s">
        <v>1416</v>
      </c>
      <c r="J181" s="1054" t="s">
        <v>1417</v>
      </c>
      <c r="K181" s="1054" t="s">
        <v>109</v>
      </c>
      <c r="L181" s="1054" t="s">
        <v>10</v>
      </c>
      <c r="M181" s="1057">
        <v>94</v>
      </c>
      <c r="N181" s="1057">
        <v>0.38300000000000001</v>
      </c>
      <c r="O181" s="1057">
        <v>0.43099999999999999</v>
      </c>
      <c r="P181" s="1057">
        <v>0.64800000000000002</v>
      </c>
      <c r="Q181" s="1057">
        <v>0.64900000000000002</v>
      </c>
      <c r="R181" s="1057">
        <v>898374</v>
      </c>
      <c r="S181" s="1057">
        <v>873142</v>
      </c>
      <c r="T181" s="1058">
        <f t="shared" si="50"/>
        <v>267266.26500000001</v>
      </c>
      <c r="U181" s="1057">
        <v>587036</v>
      </c>
      <c r="V181" s="1057">
        <v>286106</v>
      </c>
      <c r="W181" s="1057">
        <v>4865</v>
      </c>
      <c r="X181" s="1057">
        <v>0</v>
      </c>
      <c r="Y181" s="1057">
        <v>0</v>
      </c>
      <c r="Z181" s="1057">
        <v>0</v>
      </c>
      <c r="AA181" s="1057">
        <v>1140408.2649999999</v>
      </c>
      <c r="AB181" s="1057">
        <v>267266.26500000001</v>
      </c>
      <c r="AC181" s="1057">
        <v>873142</v>
      </c>
      <c r="AD181" s="1057">
        <v>0</v>
      </c>
      <c r="AE181" s="1057">
        <v>0</v>
      </c>
      <c r="AF181" s="1057">
        <v>0</v>
      </c>
      <c r="AG181" s="1057">
        <v>873142</v>
      </c>
      <c r="AH181" s="1057">
        <v>0</v>
      </c>
      <c r="AI181" s="1057">
        <v>0</v>
      </c>
      <c r="AJ181" s="1053">
        <v>4</v>
      </c>
      <c r="AK181" s="1053" t="s">
        <v>913</v>
      </c>
      <c r="AL181" s="1054" t="s">
        <v>1416</v>
      </c>
      <c r="AM181" s="1053" t="s">
        <v>10</v>
      </c>
      <c r="AN181" s="1054" t="s">
        <v>367</v>
      </c>
      <c r="AO181" s="1054">
        <v>267266.26500000001</v>
      </c>
      <c r="AP181" s="1059">
        <f t="shared" si="70"/>
        <v>185.322</v>
      </c>
      <c r="AQ181" s="1059">
        <f t="shared" si="51"/>
        <v>287.322</v>
      </c>
      <c r="AR181" s="1052">
        <v>0</v>
      </c>
      <c r="AS181" s="1052">
        <v>1</v>
      </c>
      <c r="AT181" s="1052">
        <v>92</v>
      </c>
      <c r="AU181" s="1052">
        <v>37</v>
      </c>
      <c r="AV181" s="1052">
        <v>0</v>
      </c>
      <c r="AW181" s="1052">
        <v>0</v>
      </c>
      <c r="AX181" s="1052">
        <v>14</v>
      </c>
      <c r="AY181" s="1052">
        <v>12</v>
      </c>
      <c r="AZ181" s="1052">
        <v>0</v>
      </c>
      <c r="BA181" s="1052">
        <v>0</v>
      </c>
      <c r="BB181" s="1052">
        <v>102</v>
      </c>
      <c r="BC181" s="1052">
        <v>0</v>
      </c>
      <c r="BD181" s="1052">
        <v>0</v>
      </c>
      <c r="BE181" s="1052">
        <v>0</v>
      </c>
      <c r="BF181" s="1052">
        <v>0</v>
      </c>
      <c r="BG181" s="1052">
        <v>0</v>
      </c>
      <c r="BH181" s="1052">
        <v>0</v>
      </c>
      <c r="BI181" s="1052">
        <v>0</v>
      </c>
      <c r="BJ181" s="1052">
        <v>0</v>
      </c>
      <c r="BK181" s="1052">
        <v>0</v>
      </c>
      <c r="BL181" s="1052">
        <v>0</v>
      </c>
      <c r="BM181" s="1052">
        <v>0</v>
      </c>
      <c r="BN181" s="1052">
        <v>0</v>
      </c>
      <c r="BO181" s="1052">
        <v>303.22000000000003</v>
      </c>
      <c r="BR181" s="1140">
        <f t="shared" si="52"/>
        <v>0</v>
      </c>
      <c r="BS181" s="1140">
        <f t="shared" si="53"/>
        <v>1277777.777777778</v>
      </c>
      <c r="BT181" s="1140">
        <f t="shared" si="54"/>
        <v>513888.88888888893</v>
      </c>
      <c r="BU181" s="1140">
        <f t="shared" si="55"/>
        <v>1791666.666666667</v>
      </c>
      <c r="BV181" s="1140">
        <f t="shared" si="65"/>
        <v>0</v>
      </c>
      <c r="BW181" s="1140">
        <f t="shared" si="66"/>
        <v>2800</v>
      </c>
      <c r="BX181" s="1140">
        <f t="shared" si="67"/>
        <v>2400</v>
      </c>
      <c r="BY181" s="1140">
        <f t="shared" si="56"/>
        <v>5200</v>
      </c>
      <c r="CA181" s="1140">
        <f t="shared" si="57"/>
        <v>0</v>
      </c>
      <c r="CB181" s="1140">
        <f t="shared" si="58"/>
        <v>1277777.777777778</v>
      </c>
      <c r="CC181" s="1140">
        <f t="shared" si="59"/>
        <v>513888.88888888893</v>
      </c>
      <c r="CD181" s="1140">
        <f t="shared" si="60"/>
        <v>1791666.666666667</v>
      </c>
      <c r="CE181" s="1140">
        <f t="shared" si="61"/>
        <v>0</v>
      </c>
      <c r="CF181" s="1140">
        <f t="shared" si="62"/>
        <v>2800</v>
      </c>
      <c r="CG181" s="1140">
        <f t="shared" si="63"/>
        <v>2400</v>
      </c>
      <c r="CH181" s="1140">
        <f t="shared" si="64"/>
        <v>5200</v>
      </c>
    </row>
    <row r="182" spans="1:112" ht="15" customHeight="1" x14ac:dyDescent="0.2">
      <c r="A182" s="1052">
        <v>7314</v>
      </c>
      <c r="B182" s="1052"/>
      <c r="C182" s="1053" t="s">
        <v>368</v>
      </c>
      <c r="D182" s="1054" t="s">
        <v>368</v>
      </c>
      <c r="E182" s="1055">
        <f t="shared" si="49"/>
        <v>34267.559199999996</v>
      </c>
      <c r="F182" s="1055">
        <v>0</v>
      </c>
      <c r="G182" s="1056">
        <f t="shared" si="47"/>
        <v>34267.559199999996</v>
      </c>
      <c r="H182" s="1053" t="s">
        <v>1417</v>
      </c>
      <c r="I182" s="1054" t="s">
        <v>1512</v>
      </c>
      <c r="J182" s="1054" t="s">
        <v>10</v>
      </c>
      <c r="K182" s="1054" t="s">
        <v>1545</v>
      </c>
      <c r="L182" s="1054" t="s">
        <v>10</v>
      </c>
      <c r="M182" s="1057">
        <v>28</v>
      </c>
      <c r="N182" s="1057">
        <v>0.79700000000000004</v>
      </c>
      <c r="O182" s="1057">
        <v>0.80200000000000005</v>
      </c>
      <c r="P182" s="1057">
        <v>0.81200000000000006</v>
      </c>
      <c r="Q182" s="1057">
        <v>0.85499999999999998</v>
      </c>
      <c r="R182" s="1057">
        <v>0</v>
      </c>
      <c r="S182" s="1057">
        <v>176728</v>
      </c>
      <c r="T182" s="1058">
        <f t="shared" si="50"/>
        <v>34267.559199999996</v>
      </c>
      <c r="U182" s="1057">
        <v>93667</v>
      </c>
      <c r="V182" s="1057">
        <v>83061</v>
      </c>
      <c r="W182" s="1057">
        <v>1100</v>
      </c>
      <c r="X182" s="1057">
        <v>0</v>
      </c>
      <c r="Y182" s="1057">
        <v>0</v>
      </c>
      <c r="Z182" s="1057">
        <v>0</v>
      </c>
      <c r="AA182" s="1057">
        <v>210995.55919999999</v>
      </c>
      <c r="AB182" s="1057">
        <v>34267.559200000003</v>
      </c>
      <c r="AC182" s="1057">
        <v>176728</v>
      </c>
      <c r="AD182" s="1057">
        <v>0</v>
      </c>
      <c r="AE182" s="1057">
        <v>0</v>
      </c>
      <c r="AF182" s="1057">
        <v>0</v>
      </c>
      <c r="AG182" s="1057">
        <v>176728</v>
      </c>
      <c r="AH182" s="1057">
        <v>0</v>
      </c>
      <c r="AI182" s="1057">
        <v>0</v>
      </c>
      <c r="AJ182" s="1053" t="s">
        <v>900</v>
      </c>
      <c r="AK182" s="1053" t="s">
        <v>901</v>
      </c>
      <c r="AL182" s="1054" t="s">
        <v>1512</v>
      </c>
      <c r="AM182" s="1053" t="s">
        <v>1417</v>
      </c>
      <c r="AN182" s="1054" t="s">
        <v>368</v>
      </c>
      <c r="AO182" s="1054">
        <v>34267.559200000003</v>
      </c>
      <c r="AP182" s="1059">
        <f t="shared" si="70"/>
        <v>26</v>
      </c>
      <c r="AQ182" s="1059">
        <f t="shared" si="51"/>
        <v>29</v>
      </c>
      <c r="AR182" s="1052">
        <v>0</v>
      </c>
      <c r="AS182" s="1052">
        <v>0</v>
      </c>
      <c r="AT182" s="1052">
        <v>22</v>
      </c>
      <c r="AU182" s="1052">
        <v>4</v>
      </c>
      <c r="AV182" s="1052">
        <v>0</v>
      </c>
      <c r="AW182" s="1052">
        <v>0</v>
      </c>
      <c r="AX182" s="1052">
        <v>0</v>
      </c>
      <c r="AY182" s="1052">
        <v>0</v>
      </c>
      <c r="AZ182" s="1052">
        <v>0</v>
      </c>
      <c r="BA182" s="1052">
        <v>16</v>
      </c>
      <c r="BB182" s="1052">
        <v>3</v>
      </c>
      <c r="BC182" s="1052">
        <v>0</v>
      </c>
      <c r="BD182" s="1052">
        <v>0</v>
      </c>
      <c r="BE182" s="1052">
        <v>0</v>
      </c>
      <c r="BF182" s="1052">
        <v>0</v>
      </c>
      <c r="BG182" s="1052">
        <v>0</v>
      </c>
      <c r="BH182" s="1052">
        <v>0</v>
      </c>
      <c r="BI182" s="1052">
        <v>0</v>
      </c>
      <c r="BJ182" s="1052">
        <v>0</v>
      </c>
      <c r="BK182" s="1052">
        <v>0</v>
      </c>
      <c r="BL182" s="1052">
        <v>0</v>
      </c>
      <c r="BM182" s="1052">
        <v>0</v>
      </c>
      <c r="BN182" s="1052">
        <v>0</v>
      </c>
      <c r="BO182" s="1052">
        <v>0</v>
      </c>
      <c r="BR182" s="1140">
        <f t="shared" si="52"/>
        <v>0</v>
      </c>
      <c r="BS182" s="1140">
        <f t="shared" si="53"/>
        <v>305555.55555555556</v>
      </c>
      <c r="BT182" s="1140">
        <f t="shared" si="54"/>
        <v>55555.555555555562</v>
      </c>
      <c r="BU182" s="1140">
        <f t="shared" si="55"/>
        <v>361111.11111111112</v>
      </c>
      <c r="BV182" s="1140">
        <f t="shared" si="65"/>
        <v>0</v>
      </c>
      <c r="BW182" s="1140">
        <f t="shared" si="66"/>
        <v>0</v>
      </c>
      <c r="BX182" s="1140">
        <f t="shared" si="67"/>
        <v>0</v>
      </c>
      <c r="BY182" s="1140">
        <f t="shared" si="56"/>
        <v>0</v>
      </c>
      <c r="CA182" s="1140">
        <f t="shared" si="57"/>
        <v>0</v>
      </c>
      <c r="CB182" s="1140">
        <f t="shared" si="58"/>
        <v>0</v>
      </c>
      <c r="CC182" s="1140">
        <f t="shared" si="59"/>
        <v>0</v>
      </c>
      <c r="CD182" s="1140">
        <f t="shared" si="60"/>
        <v>0</v>
      </c>
      <c r="CE182" s="1140">
        <f t="shared" si="61"/>
        <v>0</v>
      </c>
      <c r="CF182" s="1140">
        <f t="shared" si="62"/>
        <v>0</v>
      </c>
      <c r="CG182" s="1140">
        <f t="shared" si="63"/>
        <v>0</v>
      </c>
      <c r="CH182" s="1140">
        <f t="shared" si="64"/>
        <v>0</v>
      </c>
    </row>
    <row r="183" spans="1:112" s="1082" customFormat="1" ht="15" customHeight="1" x14ac:dyDescent="0.2">
      <c r="A183" s="1052">
        <v>1904</v>
      </c>
      <c r="B183" s="1052"/>
      <c r="C183" s="1053" t="s">
        <v>370</v>
      </c>
      <c r="D183" s="1054" t="s">
        <v>370</v>
      </c>
      <c r="E183" s="1055">
        <f t="shared" si="49"/>
        <v>46699.457699999999</v>
      </c>
      <c r="F183" s="1055">
        <v>0</v>
      </c>
      <c r="G183" s="1056">
        <f t="shared" si="47"/>
        <v>46699.457699999999</v>
      </c>
      <c r="H183" s="1053" t="s">
        <v>1417</v>
      </c>
      <c r="I183" s="1054" t="s">
        <v>1512</v>
      </c>
      <c r="J183" s="1054" t="s">
        <v>10</v>
      </c>
      <c r="K183" s="1054" t="s">
        <v>276</v>
      </c>
      <c r="L183" s="1054" t="s">
        <v>10</v>
      </c>
      <c r="M183" s="1057">
        <v>20</v>
      </c>
      <c r="N183" s="1057">
        <v>0.86099999999999999</v>
      </c>
      <c r="O183" s="1057">
        <v>0.86099999999999999</v>
      </c>
      <c r="P183" s="1057">
        <v>0.86899999999999999</v>
      </c>
      <c r="Q183" s="1057">
        <v>1</v>
      </c>
      <c r="R183" s="1057">
        <v>0</v>
      </c>
      <c r="S183" s="1057">
        <v>240843</v>
      </c>
      <c r="T183" s="1058">
        <f t="shared" si="50"/>
        <v>46699.457699999999</v>
      </c>
      <c r="U183" s="1057">
        <v>186175</v>
      </c>
      <c r="V183" s="1057">
        <v>54668</v>
      </c>
      <c r="W183" s="1057">
        <v>1666</v>
      </c>
      <c r="X183" s="1057">
        <v>0</v>
      </c>
      <c r="Y183" s="1057">
        <v>0</v>
      </c>
      <c r="Z183" s="1057">
        <v>0</v>
      </c>
      <c r="AA183" s="1057">
        <v>287542.45770000003</v>
      </c>
      <c r="AB183" s="1057">
        <v>46699.457699999999</v>
      </c>
      <c r="AC183" s="1057">
        <v>240843</v>
      </c>
      <c r="AD183" s="1057">
        <v>0</v>
      </c>
      <c r="AE183" s="1057">
        <v>0</v>
      </c>
      <c r="AF183" s="1057">
        <v>0</v>
      </c>
      <c r="AG183" s="1057">
        <v>240843</v>
      </c>
      <c r="AH183" s="1057">
        <v>0</v>
      </c>
      <c r="AI183" s="1057">
        <v>0</v>
      </c>
      <c r="AJ183" s="1053" t="s">
        <v>900</v>
      </c>
      <c r="AK183" s="1053" t="s">
        <v>905</v>
      </c>
      <c r="AL183" s="1054" t="s">
        <v>1512</v>
      </c>
      <c r="AM183" s="1053" t="s">
        <v>1417</v>
      </c>
      <c r="AN183" s="1054" t="s">
        <v>370</v>
      </c>
      <c r="AO183" s="1054">
        <v>46699.457699999999</v>
      </c>
      <c r="AP183" s="1059">
        <f t="shared" si="70"/>
        <v>17</v>
      </c>
      <c r="AQ183" s="1059">
        <f t="shared" si="51"/>
        <v>20</v>
      </c>
      <c r="AR183" s="1081">
        <v>0</v>
      </c>
      <c r="AS183" s="1081">
        <v>0</v>
      </c>
      <c r="AT183" s="1081">
        <v>14</v>
      </c>
      <c r="AU183" s="1081">
        <v>3</v>
      </c>
      <c r="AV183" s="1081">
        <v>0</v>
      </c>
      <c r="AW183" s="1081">
        <v>0</v>
      </c>
      <c r="AX183" s="1081">
        <v>0</v>
      </c>
      <c r="AY183" s="1081">
        <v>0</v>
      </c>
      <c r="AZ183" s="1081">
        <v>0</v>
      </c>
      <c r="BA183" s="1081">
        <v>3</v>
      </c>
      <c r="BB183" s="1081">
        <v>4</v>
      </c>
      <c r="BC183" s="1081">
        <v>-1</v>
      </c>
      <c r="BD183" s="1052">
        <v>0</v>
      </c>
      <c r="BE183" s="1052">
        <v>0</v>
      </c>
      <c r="BF183" s="1052">
        <v>0</v>
      </c>
      <c r="BG183" s="1052">
        <v>0</v>
      </c>
      <c r="BH183" s="1052">
        <v>0</v>
      </c>
      <c r="BI183" s="1052">
        <v>0</v>
      </c>
      <c r="BJ183" s="1052">
        <v>0</v>
      </c>
      <c r="BK183" s="1052">
        <v>0</v>
      </c>
      <c r="BL183" s="1052">
        <v>0</v>
      </c>
      <c r="BM183" s="1052">
        <v>0</v>
      </c>
      <c r="BN183" s="1052">
        <v>0</v>
      </c>
      <c r="BO183" s="1052">
        <v>0</v>
      </c>
      <c r="BP183" s="1069"/>
      <c r="BQ183" s="1136"/>
      <c r="BR183" s="1140">
        <f t="shared" si="52"/>
        <v>0</v>
      </c>
      <c r="BS183" s="1140">
        <f t="shared" si="53"/>
        <v>194444.44444444447</v>
      </c>
      <c r="BT183" s="1140">
        <f t="shared" si="54"/>
        <v>41666.666666666672</v>
      </c>
      <c r="BU183" s="1140">
        <f t="shared" si="55"/>
        <v>236111.11111111112</v>
      </c>
      <c r="BV183" s="1140">
        <f t="shared" si="65"/>
        <v>0</v>
      </c>
      <c r="BW183" s="1140">
        <f t="shared" si="66"/>
        <v>0</v>
      </c>
      <c r="BX183" s="1140">
        <f t="shared" si="67"/>
        <v>0</v>
      </c>
      <c r="BY183" s="1140">
        <f t="shared" si="56"/>
        <v>0</v>
      </c>
      <c r="BZ183" s="1136"/>
      <c r="CA183" s="1140">
        <f t="shared" si="57"/>
        <v>0</v>
      </c>
      <c r="CB183" s="1140">
        <f t="shared" si="58"/>
        <v>0</v>
      </c>
      <c r="CC183" s="1140">
        <f t="shared" si="59"/>
        <v>0</v>
      </c>
      <c r="CD183" s="1140">
        <f t="shared" si="60"/>
        <v>0</v>
      </c>
      <c r="CE183" s="1140">
        <f t="shared" si="61"/>
        <v>0</v>
      </c>
      <c r="CF183" s="1140">
        <f t="shared" si="62"/>
        <v>0</v>
      </c>
      <c r="CG183" s="1140">
        <f t="shared" si="63"/>
        <v>0</v>
      </c>
      <c r="CH183" s="1140">
        <f t="shared" si="64"/>
        <v>0</v>
      </c>
      <c r="CI183" s="1146"/>
      <c r="CJ183" s="1069"/>
      <c r="CK183" s="1069"/>
      <c r="CL183" s="1069"/>
      <c r="CM183" s="1069"/>
      <c r="CN183" s="1069"/>
      <c r="CO183" s="1069"/>
      <c r="CP183" s="1069"/>
      <c r="CQ183" s="1069"/>
      <c r="CR183" s="1069"/>
      <c r="CS183" s="1069"/>
      <c r="CT183" s="1069"/>
      <c r="CU183" s="1069"/>
      <c r="CV183" s="1069"/>
      <c r="CW183" s="1069"/>
      <c r="CX183" s="1069"/>
      <c r="CY183" s="1069"/>
      <c r="CZ183" s="1069"/>
      <c r="DA183" s="1069"/>
      <c r="DB183" s="1069"/>
      <c r="DC183" s="1069"/>
      <c r="DD183" s="1069"/>
      <c r="DE183" s="1069"/>
      <c r="DF183" s="1069"/>
      <c r="DG183" s="1069"/>
      <c r="DH183" s="1069"/>
    </row>
    <row r="184" spans="1:112" ht="15" customHeight="1" x14ac:dyDescent="0.2">
      <c r="A184" s="1052">
        <v>4671</v>
      </c>
      <c r="B184" s="1052"/>
      <c r="C184" s="1053" t="s">
        <v>373</v>
      </c>
      <c r="D184" s="1054" t="s">
        <v>373</v>
      </c>
      <c r="E184" s="1055">
        <f t="shared" si="49"/>
        <v>432888.04519999999</v>
      </c>
      <c r="F184" s="1055">
        <v>427000</v>
      </c>
      <c r="G184" s="1056">
        <f t="shared" si="47"/>
        <v>859888.04520000005</v>
      </c>
      <c r="H184" s="1053" t="s">
        <v>10</v>
      </c>
      <c r="I184" s="1054" t="s">
        <v>1416</v>
      </c>
      <c r="J184" s="1054" t="s">
        <v>1417</v>
      </c>
      <c r="K184" s="1054" t="s">
        <v>10</v>
      </c>
      <c r="L184" s="1054" t="s">
        <v>1412</v>
      </c>
      <c r="M184" s="1057">
        <v>100</v>
      </c>
      <c r="N184" s="1057">
        <v>0.94699999999999995</v>
      </c>
      <c r="O184" s="1057">
        <v>0.94899999999999995</v>
      </c>
      <c r="P184" s="1057">
        <v>0.91700000000000004</v>
      </c>
      <c r="Q184" s="1057">
        <v>0.95199999999999996</v>
      </c>
      <c r="R184" s="1057">
        <v>1443739</v>
      </c>
      <c r="S184" s="1057">
        <v>1242503</v>
      </c>
      <c r="T184" s="1058">
        <f t="shared" si="50"/>
        <v>429512.35249999998</v>
      </c>
      <c r="U184" s="1057">
        <v>825706</v>
      </c>
      <c r="V184" s="1057">
        <v>416797</v>
      </c>
      <c r="W184" s="1057">
        <v>6605</v>
      </c>
      <c r="X184" s="1057">
        <v>856512.35250000004</v>
      </c>
      <c r="Y184" s="1057">
        <v>429512.35249999998</v>
      </c>
      <c r="Z184" s="1057">
        <v>427000</v>
      </c>
      <c r="AA184" s="1057">
        <v>815503</v>
      </c>
      <c r="AB184" s="1057">
        <v>0</v>
      </c>
      <c r="AC184" s="1057">
        <v>815503</v>
      </c>
      <c r="AD184" s="1057">
        <v>0</v>
      </c>
      <c r="AE184" s="1057">
        <v>427000</v>
      </c>
      <c r="AF184" s="1057">
        <v>0</v>
      </c>
      <c r="AG184" s="1057">
        <v>815503</v>
      </c>
      <c r="AH184" s="1057">
        <v>0</v>
      </c>
      <c r="AI184" s="1057">
        <v>0</v>
      </c>
      <c r="AJ184" s="1053">
        <v>4</v>
      </c>
      <c r="AK184" s="1053" t="s">
        <v>899</v>
      </c>
      <c r="AL184" s="1054" t="s">
        <v>1416</v>
      </c>
      <c r="AM184" s="1053" t="s">
        <v>10</v>
      </c>
      <c r="AN184" s="1054" t="s">
        <v>373</v>
      </c>
      <c r="AO184" s="1054">
        <v>856512.35250000004</v>
      </c>
      <c r="AP184" s="1059">
        <f t="shared" si="70"/>
        <v>1080</v>
      </c>
      <c r="AQ184" s="1059">
        <f t="shared" si="51"/>
        <v>1086</v>
      </c>
      <c r="AR184" s="1052">
        <v>277</v>
      </c>
      <c r="AS184" s="1052">
        <v>0</v>
      </c>
      <c r="AT184" s="1052">
        <v>296</v>
      </c>
      <c r="AU184" s="1052">
        <v>4</v>
      </c>
      <c r="AV184" s="1052">
        <v>127</v>
      </c>
      <c r="AW184" s="1052">
        <v>0</v>
      </c>
      <c r="AX184" s="1052">
        <v>5</v>
      </c>
      <c r="AY184" s="1052">
        <v>0</v>
      </c>
      <c r="AZ184" s="1052">
        <v>18</v>
      </c>
      <c r="BA184" s="1052">
        <v>0</v>
      </c>
      <c r="BB184" s="1052">
        <v>7</v>
      </c>
      <c r="BC184" s="1052">
        <v>-1</v>
      </c>
      <c r="BD184" s="1052">
        <v>105</v>
      </c>
      <c r="BE184" s="1052">
        <v>0</v>
      </c>
      <c r="BF184" s="1052">
        <v>0</v>
      </c>
      <c r="BG184" s="1052">
        <v>0</v>
      </c>
      <c r="BH184" s="1052">
        <v>248</v>
      </c>
      <c r="BI184" s="1052">
        <v>0</v>
      </c>
      <c r="BJ184" s="1052">
        <v>0</v>
      </c>
      <c r="BK184" s="1052">
        <v>0</v>
      </c>
      <c r="BL184" s="1052">
        <v>0</v>
      </c>
      <c r="BM184" s="1052">
        <v>0</v>
      </c>
      <c r="BN184" s="1052">
        <v>0</v>
      </c>
      <c r="BO184" s="1052">
        <v>0</v>
      </c>
      <c r="BR184" s="1140">
        <f t="shared" si="52"/>
        <v>3847222.2222222225</v>
      </c>
      <c r="BS184" s="1140">
        <f t="shared" si="53"/>
        <v>4111111.1111111115</v>
      </c>
      <c r="BT184" s="1140">
        <f t="shared" si="54"/>
        <v>55555.555555555562</v>
      </c>
      <c r="BU184" s="1140">
        <f t="shared" si="55"/>
        <v>8013888.8888888899</v>
      </c>
      <c r="BV184" s="1140">
        <f t="shared" si="65"/>
        <v>25400</v>
      </c>
      <c r="BW184" s="1140">
        <f t="shared" si="66"/>
        <v>1000</v>
      </c>
      <c r="BX184" s="1140">
        <f t="shared" si="67"/>
        <v>0</v>
      </c>
      <c r="BY184" s="1140">
        <f t="shared" si="56"/>
        <v>26400</v>
      </c>
      <c r="CA184" s="1140">
        <f t="shared" si="57"/>
        <v>3847222.2222222225</v>
      </c>
      <c r="CB184" s="1140">
        <f t="shared" si="58"/>
        <v>4111111.1111111115</v>
      </c>
      <c r="CC184" s="1140">
        <f t="shared" si="59"/>
        <v>55555.555555555562</v>
      </c>
      <c r="CD184" s="1140">
        <f t="shared" si="60"/>
        <v>8013888.8888888899</v>
      </c>
      <c r="CE184" s="1140">
        <f t="shared" si="61"/>
        <v>25400</v>
      </c>
      <c r="CF184" s="1140">
        <f t="shared" si="62"/>
        <v>1000</v>
      </c>
      <c r="CG184" s="1140">
        <f t="shared" si="63"/>
        <v>0</v>
      </c>
      <c r="CH184" s="1140">
        <f t="shared" si="64"/>
        <v>26400</v>
      </c>
    </row>
    <row r="185" spans="1:112" s="1082" customFormat="1" ht="15" customHeight="1" x14ac:dyDescent="0.2">
      <c r="A185" s="1080">
        <v>4672</v>
      </c>
      <c r="B185" s="1080"/>
      <c r="C185" s="1083" t="s">
        <v>950</v>
      </c>
      <c r="D185" s="1063" t="s">
        <v>950</v>
      </c>
      <c r="E185" s="1055" t="e">
        <f t="shared" si="49"/>
        <v>#VALUE!</v>
      </c>
      <c r="F185" s="1064" t="s">
        <v>10</v>
      </c>
      <c r="G185" s="1056" t="e">
        <f t="shared" si="47"/>
        <v>#VALUE!</v>
      </c>
      <c r="H185" s="1083" t="s">
        <v>10</v>
      </c>
      <c r="I185" s="1063" t="s">
        <v>911</v>
      </c>
      <c r="J185" s="1063" t="s">
        <v>10</v>
      </c>
      <c r="K185" s="1063" t="s">
        <v>10</v>
      </c>
      <c r="L185" s="1063" t="s">
        <v>10</v>
      </c>
      <c r="M185" s="1065" t="s">
        <v>10</v>
      </c>
      <c r="N185" s="1065" t="s">
        <v>10</v>
      </c>
      <c r="O185" s="1065" t="s">
        <v>10</v>
      </c>
      <c r="P185" s="1065" t="s">
        <v>10</v>
      </c>
      <c r="Q185" s="1065" t="s">
        <v>10</v>
      </c>
      <c r="R185" s="1065" t="s">
        <v>10</v>
      </c>
      <c r="S185" s="1065" t="s">
        <v>10</v>
      </c>
      <c r="T185" s="1058" t="e">
        <f t="shared" si="50"/>
        <v>#VALUE!</v>
      </c>
      <c r="U185" s="1065" t="s">
        <v>10</v>
      </c>
      <c r="V185" s="1065" t="s">
        <v>10</v>
      </c>
      <c r="W185" s="1065" t="s">
        <v>10</v>
      </c>
      <c r="X185" s="1065" t="s">
        <v>10</v>
      </c>
      <c r="Y185" s="1065" t="s">
        <v>10</v>
      </c>
      <c r="Z185" s="1065" t="s">
        <v>10</v>
      </c>
      <c r="AA185" s="1065" t="s">
        <v>10</v>
      </c>
      <c r="AB185" s="1065" t="s">
        <v>10</v>
      </c>
      <c r="AC185" s="1065" t="s">
        <v>10</v>
      </c>
      <c r="AD185" s="1065" t="s">
        <v>10</v>
      </c>
      <c r="AE185" s="1065" t="s">
        <v>10</v>
      </c>
      <c r="AF185" s="1065" t="s">
        <v>10</v>
      </c>
      <c r="AG185" s="1065" t="s">
        <v>10</v>
      </c>
      <c r="AH185" s="1065" t="s">
        <v>10</v>
      </c>
      <c r="AI185" s="1065" t="s">
        <v>10</v>
      </c>
      <c r="AJ185" s="1083">
        <v>4</v>
      </c>
      <c r="AK185" s="1083" t="s">
        <v>899</v>
      </c>
      <c r="AL185" s="1078" t="s">
        <v>911</v>
      </c>
      <c r="AM185" s="1083" t="s">
        <v>10</v>
      </c>
      <c r="AN185" s="1078" t="s">
        <v>950</v>
      </c>
      <c r="AO185" s="1113">
        <v>0</v>
      </c>
      <c r="AP185" s="1114">
        <v>0</v>
      </c>
      <c r="AQ185" s="1059">
        <f t="shared" si="51"/>
        <v>129</v>
      </c>
      <c r="AR185" s="783">
        <v>114</v>
      </c>
      <c r="AS185" s="783">
        <v>0</v>
      </c>
      <c r="AT185" s="783">
        <v>7</v>
      </c>
      <c r="AU185" s="783">
        <v>0</v>
      </c>
      <c r="AV185" s="753">
        <v>2</v>
      </c>
      <c r="AW185" s="753">
        <v>0</v>
      </c>
      <c r="AX185" s="753">
        <v>1</v>
      </c>
      <c r="AY185" s="753">
        <v>0</v>
      </c>
      <c r="AZ185" s="783">
        <v>0</v>
      </c>
      <c r="BA185" s="783">
        <v>0</v>
      </c>
      <c r="BB185" s="783">
        <v>5</v>
      </c>
      <c r="BC185" s="783">
        <v>0</v>
      </c>
      <c r="BD185" s="783">
        <v>0</v>
      </c>
      <c r="BE185" s="783">
        <v>0</v>
      </c>
      <c r="BF185" s="783">
        <v>0</v>
      </c>
      <c r="BG185" s="783">
        <v>0</v>
      </c>
      <c r="BH185" s="783">
        <v>0</v>
      </c>
      <c r="BI185" s="783">
        <v>0</v>
      </c>
      <c r="BJ185" s="783">
        <v>0</v>
      </c>
      <c r="BK185" s="783">
        <v>0</v>
      </c>
      <c r="BL185" s="783">
        <v>0</v>
      </c>
      <c r="BM185" s="783">
        <v>0</v>
      </c>
      <c r="BN185" s="783">
        <v>0</v>
      </c>
      <c r="BO185" s="783">
        <v>0</v>
      </c>
      <c r="BP185" s="1069"/>
      <c r="BQ185" s="1136"/>
      <c r="BR185" s="1140">
        <f t="shared" si="52"/>
        <v>1583333.3333333335</v>
      </c>
      <c r="BS185" s="1140">
        <f t="shared" si="53"/>
        <v>97222.222222222234</v>
      </c>
      <c r="BT185" s="1140">
        <f t="shared" si="54"/>
        <v>0</v>
      </c>
      <c r="BU185" s="1140">
        <f t="shared" si="55"/>
        <v>1680555.5555555557</v>
      </c>
      <c r="BV185" s="1140">
        <f t="shared" si="65"/>
        <v>400</v>
      </c>
      <c r="BW185" s="1140">
        <f t="shared" si="66"/>
        <v>200</v>
      </c>
      <c r="BX185" s="1140">
        <f t="shared" si="67"/>
        <v>0</v>
      </c>
      <c r="BY185" s="1140">
        <f t="shared" si="56"/>
        <v>600</v>
      </c>
      <c r="BZ185" s="1136"/>
      <c r="CA185" s="1140">
        <f t="shared" si="57"/>
        <v>1583333.3333333335</v>
      </c>
      <c r="CB185" s="1140">
        <f t="shared" si="58"/>
        <v>97222.222222222234</v>
      </c>
      <c r="CC185" s="1140">
        <f t="shared" si="59"/>
        <v>0</v>
      </c>
      <c r="CD185" s="1140">
        <f t="shared" si="60"/>
        <v>1680555.5555555557</v>
      </c>
      <c r="CE185" s="1140">
        <f t="shared" si="61"/>
        <v>400</v>
      </c>
      <c r="CF185" s="1140">
        <f t="shared" si="62"/>
        <v>200</v>
      </c>
      <c r="CG185" s="1140">
        <f t="shared" si="63"/>
        <v>0</v>
      </c>
      <c r="CH185" s="1140">
        <f t="shared" si="64"/>
        <v>600</v>
      </c>
      <c r="CI185" s="1146"/>
      <c r="CJ185" s="1069"/>
      <c r="CK185" s="1069"/>
      <c r="CL185" s="1069"/>
      <c r="CM185" s="1069"/>
      <c r="CN185" s="1069"/>
      <c r="CO185" s="1069"/>
      <c r="CP185" s="1069"/>
      <c r="CQ185" s="1069"/>
      <c r="CR185" s="1069"/>
      <c r="CS185" s="1069"/>
      <c r="CT185" s="1069"/>
      <c r="CU185" s="1069"/>
      <c r="CV185" s="1069"/>
      <c r="CW185" s="1069"/>
      <c r="CX185" s="1069"/>
    </row>
    <row r="186" spans="1:112" s="1082" customFormat="1" ht="15" customHeight="1" x14ac:dyDescent="0.2">
      <c r="A186" s="1061">
        <v>3824</v>
      </c>
      <c r="B186" s="1061"/>
      <c r="C186" s="1062" t="s">
        <v>951</v>
      </c>
      <c r="D186" s="1054" t="s">
        <v>414</v>
      </c>
      <c r="E186" s="1055">
        <f t="shared" si="49"/>
        <v>158664.1042</v>
      </c>
      <c r="F186" s="1055">
        <v>0</v>
      </c>
      <c r="G186" s="1056">
        <f t="shared" si="47"/>
        <v>158664.1042</v>
      </c>
      <c r="H186" s="1062" t="s">
        <v>10</v>
      </c>
      <c r="I186" s="1054" t="s">
        <v>275</v>
      </c>
      <c r="J186" s="1054" t="s">
        <v>10</v>
      </c>
      <c r="K186" s="1054" t="s">
        <v>1545</v>
      </c>
      <c r="L186" s="1054" t="s">
        <v>10</v>
      </c>
      <c r="M186" s="1057">
        <v>0</v>
      </c>
      <c r="N186" s="1057">
        <v>0</v>
      </c>
      <c r="O186" s="1057">
        <v>0</v>
      </c>
      <c r="P186" s="1057">
        <v>0</v>
      </c>
      <c r="Q186" s="1057">
        <v>0</v>
      </c>
      <c r="R186" s="1057">
        <v>0</v>
      </c>
      <c r="S186" s="1057">
        <v>818278</v>
      </c>
      <c r="T186" s="1058">
        <f t="shared" si="50"/>
        <v>158664.1042</v>
      </c>
      <c r="U186" s="1057">
        <v>780000</v>
      </c>
      <c r="V186" s="1057">
        <v>38278</v>
      </c>
      <c r="W186" s="1057">
        <v>0</v>
      </c>
      <c r="X186" s="1057">
        <v>0</v>
      </c>
      <c r="Y186" s="1057">
        <v>0</v>
      </c>
      <c r="Z186" s="1057">
        <v>0</v>
      </c>
      <c r="AA186" s="1057">
        <v>976942.10419999994</v>
      </c>
      <c r="AB186" s="1057">
        <v>158664.1042</v>
      </c>
      <c r="AC186" s="1057">
        <v>818278</v>
      </c>
      <c r="AD186" s="1057">
        <v>0</v>
      </c>
      <c r="AE186" s="1057">
        <v>0</v>
      </c>
      <c r="AF186" s="1057">
        <v>0</v>
      </c>
      <c r="AG186" s="1057">
        <v>818278</v>
      </c>
      <c r="AH186" s="1057">
        <v>0</v>
      </c>
      <c r="AI186" s="1057">
        <v>0</v>
      </c>
      <c r="AJ186" s="1062">
        <v>4</v>
      </c>
      <c r="AK186" s="1062" t="s">
        <v>899</v>
      </c>
      <c r="AL186" s="1066" t="s">
        <v>275</v>
      </c>
      <c r="AM186" s="1062" t="s">
        <v>10</v>
      </c>
      <c r="AN186" s="1066" t="s">
        <v>414</v>
      </c>
      <c r="AO186" s="1066">
        <v>158664.1042</v>
      </c>
      <c r="AP186" s="1067">
        <f>AR186+AT186+AU186+AV186+AX186+AY186+AZ186+BD186+BF186+BG186+BH186+BJ186+BK186+(BL186+BM186+BN186)/1000+(0.1*BO186)</f>
        <v>0</v>
      </c>
      <c r="AQ186" s="1059">
        <f t="shared" si="51"/>
        <v>0</v>
      </c>
      <c r="AR186" s="1109">
        <v>0</v>
      </c>
      <c r="AS186" s="1109">
        <v>0</v>
      </c>
      <c r="AT186" s="1109">
        <v>0</v>
      </c>
      <c r="AU186" s="1109">
        <v>0</v>
      </c>
      <c r="AV186" s="1061">
        <v>0</v>
      </c>
      <c r="AW186" s="1061">
        <v>0</v>
      </c>
      <c r="AX186" s="1061">
        <v>0</v>
      </c>
      <c r="AY186" s="1061">
        <v>0</v>
      </c>
      <c r="AZ186" s="1061">
        <v>0</v>
      </c>
      <c r="BA186" s="1061">
        <v>0</v>
      </c>
      <c r="BB186" s="1061">
        <v>0</v>
      </c>
      <c r="BC186" s="1061">
        <v>0</v>
      </c>
      <c r="BD186" s="1061">
        <v>0</v>
      </c>
      <c r="BE186" s="1061">
        <v>0</v>
      </c>
      <c r="BF186" s="1061">
        <v>0</v>
      </c>
      <c r="BG186" s="1061">
        <v>0</v>
      </c>
      <c r="BH186" s="1061">
        <v>0</v>
      </c>
      <c r="BI186" s="1061">
        <v>0</v>
      </c>
      <c r="BJ186" s="1061">
        <v>0</v>
      </c>
      <c r="BK186" s="1061">
        <v>0</v>
      </c>
      <c r="BL186" s="1061">
        <v>0</v>
      </c>
      <c r="BM186" s="1061">
        <v>0</v>
      </c>
      <c r="BN186" s="1061">
        <v>0</v>
      </c>
      <c r="BO186" s="1061">
        <v>0</v>
      </c>
      <c r="BP186" s="1069"/>
      <c r="BQ186" s="1136"/>
      <c r="BR186" s="1140">
        <f t="shared" si="52"/>
        <v>0</v>
      </c>
      <c r="BS186" s="1140">
        <f t="shared" si="53"/>
        <v>0</v>
      </c>
      <c r="BT186" s="1140">
        <f t="shared" si="54"/>
        <v>0</v>
      </c>
      <c r="BU186" s="1140">
        <f t="shared" si="55"/>
        <v>0</v>
      </c>
      <c r="BV186" s="1140">
        <f t="shared" si="65"/>
        <v>0</v>
      </c>
      <c r="BW186" s="1140">
        <f t="shared" si="66"/>
        <v>0</v>
      </c>
      <c r="BX186" s="1140">
        <f t="shared" si="67"/>
        <v>0</v>
      </c>
      <c r="BY186" s="1140">
        <f t="shared" si="56"/>
        <v>0</v>
      </c>
      <c r="BZ186" s="1136"/>
      <c r="CA186" s="1140">
        <f t="shared" si="57"/>
        <v>0</v>
      </c>
      <c r="CB186" s="1140">
        <f t="shared" si="58"/>
        <v>0</v>
      </c>
      <c r="CC186" s="1140">
        <f t="shared" si="59"/>
        <v>0</v>
      </c>
      <c r="CD186" s="1140">
        <f t="shared" si="60"/>
        <v>0</v>
      </c>
      <c r="CE186" s="1140">
        <f t="shared" si="61"/>
        <v>0</v>
      </c>
      <c r="CF186" s="1140">
        <f t="shared" si="62"/>
        <v>0</v>
      </c>
      <c r="CG186" s="1140">
        <f t="shared" si="63"/>
        <v>0</v>
      </c>
      <c r="CH186" s="1140">
        <f t="shared" si="64"/>
        <v>0</v>
      </c>
      <c r="CI186" s="1146"/>
      <c r="CJ186" s="1069"/>
      <c r="CK186" s="1069"/>
      <c r="CL186" s="1069"/>
      <c r="CM186" s="1069"/>
      <c r="CN186" s="1069"/>
      <c r="CO186" s="1069"/>
      <c r="CP186" s="1069"/>
      <c r="CQ186" s="1069"/>
      <c r="CR186" s="1069"/>
      <c r="CS186" s="1069"/>
      <c r="CT186" s="1069"/>
      <c r="CU186" s="1069"/>
      <c r="CV186" s="1069"/>
      <c r="CW186" s="1069"/>
      <c r="CX186" s="1069"/>
    </row>
    <row r="187" spans="1:112" s="1082" customFormat="1" ht="15" customHeight="1" x14ac:dyDescent="0.2">
      <c r="A187" s="1061">
        <v>3894</v>
      </c>
      <c r="B187" s="1061"/>
      <c r="C187" s="1062" t="s">
        <v>952</v>
      </c>
      <c r="D187" s="1054"/>
      <c r="E187" s="1055" t="b">
        <f t="shared" si="49"/>
        <v>0</v>
      </c>
      <c r="F187" s="1055"/>
      <c r="G187" s="1056"/>
      <c r="H187" s="1062"/>
      <c r="I187" s="1054" t="s">
        <v>1416</v>
      </c>
      <c r="J187" s="1054"/>
      <c r="K187" s="1054"/>
      <c r="L187" s="1054"/>
      <c r="M187" s="1057"/>
      <c r="N187" s="1057"/>
      <c r="O187" s="1057"/>
      <c r="P187" s="1057"/>
      <c r="Q187" s="1057"/>
      <c r="R187" s="1057"/>
      <c r="S187" s="1057"/>
      <c r="T187" s="1058">
        <f t="shared" si="50"/>
        <v>0</v>
      </c>
      <c r="U187" s="1057"/>
      <c r="V187" s="1057"/>
      <c r="W187" s="1057"/>
      <c r="X187" s="1057"/>
      <c r="Y187" s="1057"/>
      <c r="Z187" s="1057"/>
      <c r="AA187" s="1057"/>
      <c r="AB187" s="1057"/>
      <c r="AC187" s="1057"/>
      <c r="AD187" s="1057"/>
      <c r="AE187" s="1057"/>
      <c r="AF187" s="1057"/>
      <c r="AG187" s="1057"/>
      <c r="AH187" s="1057"/>
      <c r="AI187" s="1057"/>
      <c r="AJ187" s="1062"/>
      <c r="AK187" s="1062"/>
      <c r="AL187" s="1066" t="s">
        <v>1416</v>
      </c>
      <c r="AM187" s="1062"/>
      <c r="AN187" s="1066"/>
      <c r="AO187" s="1066"/>
      <c r="AP187" s="1067"/>
      <c r="AQ187" s="1059">
        <f t="shared" si="51"/>
        <v>375</v>
      </c>
      <c r="AR187" s="783">
        <v>0</v>
      </c>
      <c r="AS187" s="783">
        <v>0</v>
      </c>
      <c r="AT187" s="783">
        <v>0</v>
      </c>
      <c r="AU187" s="783">
        <v>356</v>
      </c>
      <c r="AV187" s="783">
        <v>0</v>
      </c>
      <c r="AW187" s="783">
        <v>0</v>
      </c>
      <c r="AX187" s="783">
        <v>0</v>
      </c>
      <c r="AY187" s="783">
        <v>1</v>
      </c>
      <c r="AZ187" s="783">
        <v>0</v>
      </c>
      <c r="BA187" s="783">
        <v>0</v>
      </c>
      <c r="BB187" s="783">
        <v>0</v>
      </c>
      <c r="BC187" s="783">
        <v>18</v>
      </c>
      <c r="BD187" s="783">
        <v>0</v>
      </c>
      <c r="BE187" s="783">
        <v>0</v>
      </c>
      <c r="BF187" s="783">
        <v>0</v>
      </c>
      <c r="BG187" s="783">
        <v>0</v>
      </c>
      <c r="BH187" s="783">
        <v>0</v>
      </c>
      <c r="BI187" s="783">
        <v>0</v>
      </c>
      <c r="BJ187" s="783">
        <v>0</v>
      </c>
      <c r="BK187" s="783">
        <v>0</v>
      </c>
      <c r="BL187" s="783">
        <v>0</v>
      </c>
      <c r="BM187" s="783">
        <v>0</v>
      </c>
      <c r="BN187" s="783">
        <v>0</v>
      </c>
      <c r="BO187" s="783">
        <v>0</v>
      </c>
      <c r="BP187" s="1069"/>
      <c r="BQ187" s="1136"/>
      <c r="BR187" s="1140">
        <f t="shared" si="52"/>
        <v>0</v>
      </c>
      <c r="BS187" s="1140">
        <f t="shared" si="53"/>
        <v>0</v>
      </c>
      <c r="BT187" s="1140">
        <f t="shared" si="54"/>
        <v>4944444.444444445</v>
      </c>
      <c r="BU187" s="1140">
        <f t="shared" si="55"/>
        <v>4944444.444444445</v>
      </c>
      <c r="BV187" s="1140">
        <f t="shared" si="65"/>
        <v>0</v>
      </c>
      <c r="BW187" s="1140">
        <f t="shared" si="66"/>
        <v>0</v>
      </c>
      <c r="BX187" s="1140">
        <f t="shared" si="67"/>
        <v>200</v>
      </c>
      <c r="BY187" s="1140">
        <f t="shared" si="56"/>
        <v>200</v>
      </c>
      <c r="BZ187" s="1136"/>
      <c r="CA187" s="1140">
        <f t="shared" si="57"/>
        <v>0</v>
      </c>
      <c r="CB187" s="1140">
        <f t="shared" si="58"/>
        <v>0</v>
      </c>
      <c r="CC187" s="1140">
        <f t="shared" si="59"/>
        <v>4944444.444444445</v>
      </c>
      <c r="CD187" s="1140">
        <f t="shared" si="60"/>
        <v>4944444.444444445</v>
      </c>
      <c r="CE187" s="1140">
        <f t="shared" si="61"/>
        <v>0</v>
      </c>
      <c r="CF187" s="1140">
        <f t="shared" si="62"/>
        <v>0</v>
      </c>
      <c r="CG187" s="1140">
        <f t="shared" si="63"/>
        <v>200</v>
      </c>
      <c r="CH187" s="1140">
        <f t="shared" si="64"/>
        <v>200</v>
      </c>
      <c r="CI187" s="1146"/>
      <c r="CJ187" s="1069"/>
      <c r="CK187" s="1069"/>
      <c r="CL187" s="1069"/>
      <c r="CM187" s="1069"/>
      <c r="CN187" s="1069"/>
      <c r="CO187" s="1069"/>
      <c r="CP187" s="1069"/>
      <c r="CQ187" s="1069"/>
      <c r="CR187" s="1069"/>
      <c r="CS187" s="1069"/>
      <c r="CT187" s="1069"/>
      <c r="CU187" s="1069"/>
      <c r="CV187" s="1069"/>
      <c r="CW187" s="1069"/>
      <c r="CX187" s="1069"/>
    </row>
    <row r="188" spans="1:112" ht="15" customHeight="1" x14ac:dyDescent="0.2">
      <c r="A188" s="1080">
        <v>4843</v>
      </c>
      <c r="B188" s="1080" t="s">
        <v>1412</v>
      </c>
      <c r="C188" s="1083" t="s">
        <v>953</v>
      </c>
      <c r="D188" s="1063" t="s">
        <v>953</v>
      </c>
      <c r="E188" s="1055">
        <f t="shared" si="49"/>
        <v>25013.1</v>
      </c>
      <c r="F188" s="1064" t="s">
        <v>10</v>
      </c>
      <c r="G188" s="1056" t="e">
        <f t="shared" ref="G188:G251" si="71">E188+F188</f>
        <v>#VALUE!</v>
      </c>
      <c r="H188" s="1083" t="s">
        <v>10</v>
      </c>
      <c r="I188" s="1063" t="s">
        <v>911</v>
      </c>
      <c r="J188" s="1063" t="s">
        <v>10</v>
      </c>
      <c r="K188" s="1063" t="s">
        <v>10</v>
      </c>
      <c r="L188" s="1063" t="s">
        <v>10</v>
      </c>
      <c r="M188" s="1065" t="s">
        <v>10</v>
      </c>
      <c r="N188" s="1065" t="s">
        <v>10</v>
      </c>
      <c r="O188" s="1065" t="s">
        <v>10</v>
      </c>
      <c r="P188" s="1065" t="s">
        <v>10</v>
      </c>
      <c r="Q188" s="1065" t="s">
        <v>10</v>
      </c>
      <c r="R188" s="1065">
        <v>0</v>
      </c>
      <c r="S188" s="1110">
        <v>129000</v>
      </c>
      <c r="T188" s="1058">
        <f t="shared" si="50"/>
        <v>25013.1</v>
      </c>
      <c r="U188" s="1065" t="s">
        <v>10</v>
      </c>
      <c r="V188" s="1065" t="s">
        <v>10</v>
      </c>
      <c r="W188" s="1065" t="s">
        <v>10</v>
      </c>
      <c r="X188" s="1065" t="s">
        <v>10</v>
      </c>
      <c r="Y188" s="1065" t="s">
        <v>10</v>
      </c>
      <c r="Z188" s="1065" t="s">
        <v>10</v>
      </c>
      <c r="AA188" s="1065" t="s">
        <v>10</v>
      </c>
      <c r="AB188" s="1065" t="s">
        <v>10</v>
      </c>
      <c r="AC188" s="1065" t="s">
        <v>10</v>
      </c>
      <c r="AD188" s="1065" t="s">
        <v>10</v>
      </c>
      <c r="AE188" s="1065" t="s">
        <v>10</v>
      </c>
      <c r="AF188" s="1065" t="s">
        <v>10</v>
      </c>
      <c r="AG188" s="1065" t="s">
        <v>10</v>
      </c>
      <c r="AH188" s="1065" t="s">
        <v>10</v>
      </c>
      <c r="AI188" s="1065" t="s">
        <v>10</v>
      </c>
      <c r="AJ188" s="1083" t="s">
        <v>908</v>
      </c>
      <c r="AK188" s="1083" t="s">
        <v>909</v>
      </c>
      <c r="AL188" s="1078" t="s">
        <v>1512</v>
      </c>
      <c r="AM188" s="1083" t="s">
        <v>10</v>
      </c>
      <c r="AN188" s="1077" t="s">
        <v>953</v>
      </c>
      <c r="AO188" s="753">
        <v>26</v>
      </c>
      <c r="AP188" s="1115">
        <v>311</v>
      </c>
      <c r="AQ188" s="1059">
        <f t="shared" si="51"/>
        <v>91</v>
      </c>
      <c r="AR188" s="753">
        <v>26</v>
      </c>
      <c r="AS188" s="753">
        <v>311</v>
      </c>
      <c r="AT188" s="753">
        <v>65</v>
      </c>
      <c r="AU188" s="753">
        <v>0</v>
      </c>
      <c r="AV188" s="1061">
        <v>0</v>
      </c>
      <c r="AW188" s="1061">
        <v>0</v>
      </c>
      <c r="AX188" s="1061">
        <v>0</v>
      </c>
      <c r="AY188" s="1061">
        <v>0</v>
      </c>
      <c r="AZ188" s="1116">
        <v>0</v>
      </c>
      <c r="BA188" s="753">
        <v>35</v>
      </c>
      <c r="BB188" s="1116">
        <v>0</v>
      </c>
      <c r="BC188" s="1116">
        <v>0</v>
      </c>
      <c r="BD188" s="753">
        <v>0</v>
      </c>
      <c r="BE188" s="753">
        <v>0</v>
      </c>
      <c r="BF188" s="753">
        <v>0</v>
      </c>
      <c r="BG188" s="753">
        <v>0</v>
      </c>
      <c r="BH188" s="753">
        <v>0</v>
      </c>
      <c r="BI188" s="753">
        <v>0</v>
      </c>
      <c r="BJ188" s="753">
        <v>0</v>
      </c>
      <c r="BK188" s="753">
        <v>0</v>
      </c>
      <c r="BL188" s="753">
        <v>0</v>
      </c>
      <c r="BM188" s="753">
        <v>0</v>
      </c>
      <c r="BN188" s="753">
        <v>0</v>
      </c>
      <c r="BO188" s="753">
        <v>0</v>
      </c>
      <c r="BP188" s="1069"/>
      <c r="BR188" s="1140">
        <f t="shared" si="52"/>
        <v>361111.11111111112</v>
      </c>
      <c r="BS188" s="1140">
        <f t="shared" si="53"/>
        <v>902777.77777777787</v>
      </c>
      <c r="BT188" s="1140">
        <f t="shared" si="54"/>
        <v>0</v>
      </c>
      <c r="BU188" s="1140">
        <f t="shared" si="55"/>
        <v>1263888.888888889</v>
      </c>
      <c r="BV188" s="1140">
        <f t="shared" si="65"/>
        <v>0</v>
      </c>
      <c r="BW188" s="1140">
        <f t="shared" si="66"/>
        <v>0</v>
      </c>
      <c r="BX188" s="1140">
        <f t="shared" si="67"/>
        <v>0</v>
      </c>
      <c r="BY188" s="1140">
        <f t="shared" si="56"/>
        <v>0</v>
      </c>
      <c r="CA188" s="1140">
        <f t="shared" si="57"/>
        <v>361111.11111111112</v>
      </c>
      <c r="CB188" s="1140">
        <f t="shared" si="58"/>
        <v>902777.77777777787</v>
      </c>
      <c r="CC188" s="1140">
        <f t="shared" si="59"/>
        <v>0</v>
      </c>
      <c r="CD188" s="1140">
        <f t="shared" si="60"/>
        <v>1263888.888888889</v>
      </c>
      <c r="CE188" s="1140">
        <f t="shared" si="61"/>
        <v>0</v>
      </c>
      <c r="CF188" s="1140">
        <f t="shared" si="62"/>
        <v>0</v>
      </c>
      <c r="CG188" s="1140">
        <f t="shared" si="63"/>
        <v>0</v>
      </c>
      <c r="CH188" s="1140">
        <f t="shared" si="64"/>
        <v>0</v>
      </c>
      <c r="CJ188" s="1069"/>
      <c r="CK188" s="1069"/>
      <c r="CL188" s="1069"/>
      <c r="CM188" s="1069"/>
      <c r="CN188" s="1069"/>
      <c r="CO188" s="1069"/>
      <c r="CP188" s="1069"/>
      <c r="CQ188" s="1069"/>
      <c r="CR188" s="1069"/>
      <c r="CS188" s="1069"/>
      <c r="CT188" s="1069"/>
      <c r="CU188" s="1069"/>
      <c r="CV188" s="1069"/>
      <c r="CW188" s="1069"/>
      <c r="CX188" s="1069"/>
    </row>
    <row r="189" spans="1:112" ht="15" customHeight="1" x14ac:dyDescent="0.2">
      <c r="A189" s="1080">
        <v>4849</v>
      </c>
      <c r="B189" s="1080"/>
      <c r="C189" s="1083" t="s">
        <v>954</v>
      </c>
      <c r="D189" s="1063" t="s">
        <v>954</v>
      </c>
      <c r="E189" s="1055">
        <f t="shared" si="49"/>
        <v>0</v>
      </c>
      <c r="F189" s="1064" t="s">
        <v>10</v>
      </c>
      <c r="G189" s="1056" t="e">
        <f t="shared" si="71"/>
        <v>#VALUE!</v>
      </c>
      <c r="H189" s="1083" t="s">
        <v>10</v>
      </c>
      <c r="I189" s="1063" t="s">
        <v>911</v>
      </c>
      <c r="J189" s="1063" t="s">
        <v>10</v>
      </c>
      <c r="K189" s="1063" t="s">
        <v>10</v>
      </c>
      <c r="L189" s="1063" t="s">
        <v>10</v>
      </c>
      <c r="M189" s="1065" t="s">
        <v>10</v>
      </c>
      <c r="N189" s="1065" t="s">
        <v>10</v>
      </c>
      <c r="O189" s="1065" t="s">
        <v>10</v>
      </c>
      <c r="P189" s="1065" t="s">
        <v>10</v>
      </c>
      <c r="Q189" s="1065" t="s">
        <v>10</v>
      </c>
      <c r="R189" s="1110">
        <v>90000</v>
      </c>
      <c r="S189" s="1117">
        <v>0</v>
      </c>
      <c r="T189" s="1058">
        <f t="shared" si="50"/>
        <v>0</v>
      </c>
      <c r="U189" s="1065" t="s">
        <v>10</v>
      </c>
      <c r="V189" s="1065" t="s">
        <v>10</v>
      </c>
      <c r="W189" s="1065" t="s">
        <v>10</v>
      </c>
      <c r="X189" s="1065" t="s">
        <v>10</v>
      </c>
      <c r="Y189" s="1065" t="s">
        <v>10</v>
      </c>
      <c r="Z189" s="1065" t="s">
        <v>10</v>
      </c>
      <c r="AA189" s="1065" t="s">
        <v>10</v>
      </c>
      <c r="AB189" s="1065" t="s">
        <v>10</v>
      </c>
      <c r="AC189" s="1065" t="s">
        <v>10</v>
      </c>
      <c r="AD189" s="1065" t="s">
        <v>10</v>
      </c>
      <c r="AE189" s="1065" t="s">
        <v>10</v>
      </c>
      <c r="AF189" s="1065" t="s">
        <v>10</v>
      </c>
      <c r="AG189" s="1065" t="s">
        <v>10</v>
      </c>
      <c r="AH189" s="1065" t="s">
        <v>10</v>
      </c>
      <c r="AI189" s="1065" t="s">
        <v>10</v>
      </c>
      <c r="AJ189" s="1083" t="s">
        <v>908</v>
      </c>
      <c r="AK189" s="1083" t="s">
        <v>909</v>
      </c>
      <c r="AL189" s="1078" t="s">
        <v>911</v>
      </c>
      <c r="AM189" s="1083" t="s">
        <v>10</v>
      </c>
      <c r="AN189" s="1077" t="s">
        <v>954</v>
      </c>
      <c r="AO189" s="1084">
        <v>0</v>
      </c>
      <c r="AP189" s="1079">
        <v>0</v>
      </c>
      <c r="AQ189" s="1059">
        <f t="shared" si="51"/>
        <v>74</v>
      </c>
      <c r="AR189" s="753">
        <v>0</v>
      </c>
      <c r="AS189" s="753">
        <v>0</v>
      </c>
      <c r="AT189" s="753">
        <v>74</v>
      </c>
      <c r="AU189" s="753">
        <v>0</v>
      </c>
      <c r="AV189" s="1061">
        <v>0</v>
      </c>
      <c r="AW189" s="1061">
        <v>0</v>
      </c>
      <c r="AX189" s="1061">
        <v>0</v>
      </c>
      <c r="AY189" s="1061">
        <v>0</v>
      </c>
      <c r="AZ189" s="1061">
        <v>0</v>
      </c>
      <c r="BA189" s="1061">
        <v>0</v>
      </c>
      <c r="BB189" s="1061">
        <v>0</v>
      </c>
      <c r="BC189" s="1061">
        <v>0</v>
      </c>
      <c r="BD189" s="1061">
        <v>0</v>
      </c>
      <c r="BE189" s="1061">
        <v>0</v>
      </c>
      <c r="BF189" s="1061">
        <v>0</v>
      </c>
      <c r="BG189" s="1061">
        <v>0</v>
      </c>
      <c r="BH189" s="1061">
        <v>0</v>
      </c>
      <c r="BI189" s="1061">
        <v>0</v>
      </c>
      <c r="BJ189" s="1061">
        <v>0</v>
      </c>
      <c r="BK189" s="1061">
        <v>0</v>
      </c>
      <c r="BL189" s="1061">
        <v>0</v>
      </c>
      <c r="BM189" s="1061">
        <v>0</v>
      </c>
      <c r="BN189" s="1061">
        <v>0</v>
      </c>
      <c r="BO189" s="1061">
        <v>0</v>
      </c>
      <c r="BP189" s="1069"/>
      <c r="BR189" s="1140">
        <f t="shared" si="52"/>
        <v>0</v>
      </c>
      <c r="BS189" s="1140">
        <f t="shared" si="53"/>
        <v>1027777.7777777779</v>
      </c>
      <c r="BT189" s="1140">
        <f t="shared" si="54"/>
        <v>0</v>
      </c>
      <c r="BU189" s="1140">
        <f t="shared" si="55"/>
        <v>1027777.7777777779</v>
      </c>
      <c r="BV189" s="1140">
        <f t="shared" si="65"/>
        <v>0</v>
      </c>
      <c r="BW189" s="1140">
        <f t="shared" si="66"/>
        <v>0</v>
      </c>
      <c r="BX189" s="1140">
        <f t="shared" si="67"/>
        <v>0</v>
      </c>
      <c r="BY189" s="1140">
        <f t="shared" si="56"/>
        <v>0</v>
      </c>
      <c r="CA189" s="1140">
        <f t="shared" si="57"/>
        <v>0</v>
      </c>
      <c r="CB189" s="1140">
        <f t="shared" si="58"/>
        <v>1027777.7777777779</v>
      </c>
      <c r="CC189" s="1140">
        <f t="shared" si="59"/>
        <v>0</v>
      </c>
      <c r="CD189" s="1140">
        <f t="shared" si="60"/>
        <v>1027777.7777777779</v>
      </c>
      <c r="CE189" s="1140">
        <f t="shared" si="61"/>
        <v>0</v>
      </c>
      <c r="CF189" s="1140">
        <f t="shared" si="62"/>
        <v>0</v>
      </c>
      <c r="CG189" s="1140">
        <f t="shared" si="63"/>
        <v>0</v>
      </c>
      <c r="CH189" s="1140">
        <f t="shared" si="64"/>
        <v>0</v>
      </c>
      <c r="CJ189" s="1069"/>
      <c r="CK189" s="1069"/>
      <c r="CL189" s="1069"/>
      <c r="CM189" s="1069"/>
      <c r="CN189" s="1069"/>
      <c r="CO189" s="1069"/>
      <c r="CP189" s="1069"/>
      <c r="CQ189" s="1069"/>
      <c r="CR189" s="1069"/>
      <c r="CS189" s="1069"/>
      <c r="CT189" s="1069"/>
      <c r="CU189" s="1069"/>
      <c r="CV189" s="1069"/>
      <c r="CW189" s="1069"/>
      <c r="CX189" s="1069"/>
    </row>
    <row r="190" spans="1:112" ht="15" customHeight="1" x14ac:dyDescent="0.2">
      <c r="A190" s="1061">
        <v>4835</v>
      </c>
      <c r="B190" s="1061" t="s">
        <v>1412</v>
      </c>
      <c r="C190" s="1062" t="s">
        <v>955</v>
      </c>
      <c r="D190" s="1054" t="s">
        <v>664</v>
      </c>
      <c r="E190" s="1055">
        <f t="shared" si="49"/>
        <v>421564</v>
      </c>
      <c r="F190" s="1055">
        <v>558000</v>
      </c>
      <c r="G190" s="1056">
        <f t="shared" si="71"/>
        <v>979564</v>
      </c>
      <c r="H190" s="1062" t="s">
        <v>10</v>
      </c>
      <c r="I190" s="1054" t="s">
        <v>1416</v>
      </c>
      <c r="J190" s="1054" t="s">
        <v>1412</v>
      </c>
      <c r="K190" s="1054" t="s">
        <v>199</v>
      </c>
      <c r="L190" s="1054" t="s">
        <v>1412</v>
      </c>
      <c r="M190" s="1057">
        <v>205</v>
      </c>
      <c r="N190" s="1057">
        <v>0.92100000000000004</v>
      </c>
      <c r="O190" s="1057">
        <v>0.94599999999999995</v>
      </c>
      <c r="P190" s="1057">
        <v>0.92500000000000004</v>
      </c>
      <c r="Q190" s="1057">
        <v>0.95199999999999996</v>
      </c>
      <c r="R190" s="1057">
        <v>127293</v>
      </c>
      <c r="S190" s="1057">
        <v>1210000</v>
      </c>
      <c r="T190" s="1058">
        <f t="shared" si="50"/>
        <v>37869.667499999996</v>
      </c>
      <c r="U190" s="1057">
        <v>763000</v>
      </c>
      <c r="V190" s="1057">
        <v>447000</v>
      </c>
      <c r="W190" s="1057">
        <v>7200</v>
      </c>
      <c r="X190" s="1057">
        <v>595869.66749999998</v>
      </c>
      <c r="Y190" s="1057">
        <v>37869.667500000003</v>
      </c>
      <c r="Z190" s="1057">
        <v>558000</v>
      </c>
      <c r="AA190" s="1057">
        <v>652000</v>
      </c>
      <c r="AB190" s="1057">
        <v>0</v>
      </c>
      <c r="AC190" s="1057">
        <v>652000</v>
      </c>
      <c r="AD190" s="1057">
        <v>558000</v>
      </c>
      <c r="AE190" s="1057">
        <v>0</v>
      </c>
      <c r="AF190" s="1057">
        <v>652000</v>
      </c>
      <c r="AG190" s="1057">
        <v>0</v>
      </c>
      <c r="AH190" s="1057">
        <v>1840000</v>
      </c>
      <c r="AI190" s="1057">
        <v>1072000</v>
      </c>
      <c r="AJ190" s="1062" t="s">
        <v>908</v>
      </c>
      <c r="AK190" s="1062" t="s">
        <v>909</v>
      </c>
      <c r="AL190" s="1066" t="s">
        <v>1416</v>
      </c>
      <c r="AM190" s="1062" t="s">
        <v>10</v>
      </c>
      <c r="AN190" s="1066" t="s">
        <v>664</v>
      </c>
      <c r="AO190" s="1066">
        <v>595869.66749999998</v>
      </c>
      <c r="AP190" s="1067">
        <f>AR190+AT190+AU190+AV190+AX190+AY190+AZ190+BD190+BF190+BG190+BH190+BJ190+BK190+(BL190+BM190+BN190)/1000+(0.1*BO190)</f>
        <v>1447.3493000000001</v>
      </c>
      <c r="AQ190" s="1059">
        <f t="shared" si="51"/>
        <v>1447.3493000000001</v>
      </c>
      <c r="AR190" s="1061">
        <v>657</v>
      </c>
      <c r="AS190" s="1061">
        <v>1072</v>
      </c>
      <c r="AT190" s="1061">
        <v>576</v>
      </c>
      <c r="AU190" s="1061">
        <v>0</v>
      </c>
      <c r="AV190" s="1061">
        <v>0</v>
      </c>
      <c r="AW190" s="1061">
        <v>0</v>
      </c>
      <c r="AX190" s="1061">
        <v>0</v>
      </c>
      <c r="AY190" s="1061">
        <v>0</v>
      </c>
      <c r="AZ190" s="1061">
        <v>20</v>
      </c>
      <c r="BA190" s="1061">
        <v>119</v>
      </c>
      <c r="BB190" s="1061">
        <v>0</v>
      </c>
      <c r="BC190" s="1061">
        <v>0</v>
      </c>
      <c r="BD190" s="1061">
        <v>72</v>
      </c>
      <c r="BE190" s="1061">
        <v>4</v>
      </c>
      <c r="BF190" s="1061">
        <v>0</v>
      </c>
      <c r="BG190" s="1061">
        <v>0</v>
      </c>
      <c r="BH190" s="1061">
        <v>108</v>
      </c>
      <c r="BI190" s="1061">
        <v>0</v>
      </c>
      <c r="BJ190" s="1061">
        <v>0</v>
      </c>
      <c r="BK190" s="1061">
        <v>0</v>
      </c>
      <c r="BL190" s="1061">
        <v>0</v>
      </c>
      <c r="BM190" s="1061">
        <v>0</v>
      </c>
      <c r="BN190" s="1061">
        <v>0</v>
      </c>
      <c r="BO190" s="1061">
        <v>143.49299999999999</v>
      </c>
      <c r="BP190" s="1069"/>
      <c r="BR190" s="1140">
        <f t="shared" si="52"/>
        <v>9125000</v>
      </c>
      <c r="BS190" s="1140">
        <f t="shared" si="53"/>
        <v>8000000.0000000009</v>
      </c>
      <c r="BT190" s="1140">
        <f t="shared" si="54"/>
        <v>0</v>
      </c>
      <c r="BU190" s="1140">
        <f t="shared" si="55"/>
        <v>17125000</v>
      </c>
      <c r="BV190" s="1140">
        <f t="shared" si="65"/>
        <v>0</v>
      </c>
      <c r="BW190" s="1140">
        <f t="shared" si="66"/>
        <v>0</v>
      </c>
      <c r="BX190" s="1140">
        <f t="shared" si="67"/>
        <v>0</v>
      </c>
      <c r="BY190" s="1140">
        <f t="shared" si="56"/>
        <v>0</v>
      </c>
      <c r="CA190" s="1140">
        <f t="shared" si="57"/>
        <v>9125000</v>
      </c>
      <c r="CB190" s="1140">
        <f t="shared" si="58"/>
        <v>8000000.0000000009</v>
      </c>
      <c r="CC190" s="1140">
        <f t="shared" si="59"/>
        <v>0</v>
      </c>
      <c r="CD190" s="1140">
        <f t="shared" si="60"/>
        <v>17125000</v>
      </c>
      <c r="CE190" s="1140">
        <f t="shared" si="61"/>
        <v>0</v>
      </c>
      <c r="CF190" s="1140">
        <f t="shared" si="62"/>
        <v>0</v>
      </c>
      <c r="CG190" s="1140">
        <f t="shared" si="63"/>
        <v>0</v>
      </c>
      <c r="CH190" s="1140">
        <f t="shared" si="64"/>
        <v>0</v>
      </c>
      <c r="CJ190" s="1069"/>
      <c r="CK190" s="1069"/>
      <c r="CL190" s="1069"/>
      <c r="CM190" s="1069"/>
      <c r="CN190" s="1069"/>
      <c r="CO190" s="1069"/>
      <c r="CP190" s="1069"/>
      <c r="CQ190" s="1069"/>
      <c r="CR190" s="1069"/>
      <c r="CS190" s="1069"/>
      <c r="CT190" s="1069"/>
      <c r="CU190" s="1069"/>
      <c r="CV190" s="1069"/>
      <c r="CW190" s="1069"/>
      <c r="CX190" s="1069"/>
    </row>
    <row r="191" spans="1:112" s="1082" customFormat="1" ht="15" customHeight="1" x14ac:dyDescent="0.2">
      <c r="A191" s="1061">
        <v>3805</v>
      </c>
      <c r="B191" s="1061" t="s">
        <v>1412</v>
      </c>
      <c r="C191" s="1062" t="s">
        <v>417</v>
      </c>
      <c r="D191" s="1054" t="s">
        <v>417</v>
      </c>
      <c r="E191" s="1055">
        <f t="shared" si="49"/>
        <v>263682.35920000001</v>
      </c>
      <c r="F191" s="1055">
        <v>407721</v>
      </c>
      <c r="G191" s="1056">
        <f t="shared" si="71"/>
        <v>671403.35920000006</v>
      </c>
      <c r="H191" s="1062" t="s">
        <v>1412</v>
      </c>
      <c r="I191" s="1054" t="s">
        <v>1416</v>
      </c>
      <c r="J191" s="1054" t="s">
        <v>1412</v>
      </c>
      <c r="K191" s="1054" t="s">
        <v>419</v>
      </c>
      <c r="L191" s="1054" t="s">
        <v>1412</v>
      </c>
      <c r="M191" s="1057">
        <v>132</v>
      </c>
      <c r="N191" s="1057">
        <v>0.59699999999999998</v>
      </c>
      <c r="O191" s="1057">
        <v>0.64400000000000002</v>
      </c>
      <c r="P191" s="1057">
        <v>0.66200000000000003</v>
      </c>
      <c r="Q191" s="1057">
        <v>0.68500000000000005</v>
      </c>
      <c r="R191" s="1055">
        <v>970198</v>
      </c>
      <c r="S191" s="1057">
        <v>756838</v>
      </c>
      <c r="T191" s="1058">
        <f t="shared" si="50"/>
        <v>288633.90499999997</v>
      </c>
      <c r="U191" s="1057">
        <v>460857</v>
      </c>
      <c r="V191" s="1057">
        <v>295981</v>
      </c>
      <c r="W191" s="1057">
        <v>6518</v>
      </c>
      <c r="X191" s="1057">
        <v>696354.90500000003</v>
      </c>
      <c r="Y191" s="1057">
        <v>288633.90500000003</v>
      </c>
      <c r="Z191" s="1057">
        <v>407721</v>
      </c>
      <c r="AA191" s="1057">
        <v>349117</v>
      </c>
      <c r="AB191" s="1057">
        <v>0</v>
      </c>
      <c r="AC191" s="1057">
        <v>349117</v>
      </c>
      <c r="AD191" s="1057">
        <v>407721</v>
      </c>
      <c r="AE191" s="1057">
        <v>0</v>
      </c>
      <c r="AF191" s="1057">
        <v>349117</v>
      </c>
      <c r="AG191" s="1057">
        <v>0</v>
      </c>
      <c r="AH191" s="1057">
        <v>339000</v>
      </c>
      <c r="AI191" s="1057">
        <v>261000</v>
      </c>
      <c r="AJ191" s="1062" t="s">
        <v>900</v>
      </c>
      <c r="AK191" s="1062" t="s">
        <v>901</v>
      </c>
      <c r="AL191" s="1066" t="s">
        <v>1416</v>
      </c>
      <c r="AM191" s="1062"/>
      <c r="AN191" s="1066" t="s">
        <v>417</v>
      </c>
      <c r="AO191" s="1066">
        <v>696354.90500000003</v>
      </c>
      <c r="AP191" s="1067">
        <f>AR191+AT191+AU191+AV191+AX191+AY191+AZ191+BD191+BF191+BG191+BH191+BJ191+BK191+(BL191+BM191+BN191)/1000+(0.1*BO191)</f>
        <v>540.45100000000002</v>
      </c>
      <c r="AQ191" s="1059">
        <f t="shared" si="51"/>
        <v>567.45100000000002</v>
      </c>
      <c r="AR191" s="1109">
        <v>262</v>
      </c>
      <c r="AS191" s="1109">
        <v>261</v>
      </c>
      <c r="AT191" s="1109">
        <v>85</v>
      </c>
      <c r="AU191" s="1109">
        <v>0</v>
      </c>
      <c r="AV191" s="1061">
        <v>0</v>
      </c>
      <c r="AW191" s="1061">
        <v>0</v>
      </c>
      <c r="AX191" s="1061">
        <v>0</v>
      </c>
      <c r="AY191" s="1061">
        <v>0</v>
      </c>
      <c r="AZ191" s="1061">
        <v>13</v>
      </c>
      <c r="BA191" s="1061">
        <v>9</v>
      </c>
      <c r="BB191" s="1061">
        <v>27</v>
      </c>
      <c r="BC191" s="1061">
        <v>0</v>
      </c>
      <c r="BD191" s="1061">
        <v>33</v>
      </c>
      <c r="BE191" s="1061">
        <v>0</v>
      </c>
      <c r="BF191" s="1061">
        <v>0</v>
      </c>
      <c r="BG191" s="1061">
        <v>0</v>
      </c>
      <c r="BH191" s="1061">
        <v>66</v>
      </c>
      <c r="BI191" s="1061">
        <v>2</v>
      </c>
      <c r="BJ191" s="1061">
        <v>0</v>
      </c>
      <c r="BK191" s="1061">
        <v>0</v>
      </c>
      <c r="BL191" s="1061">
        <v>0</v>
      </c>
      <c r="BM191" s="1061">
        <v>0</v>
      </c>
      <c r="BN191" s="1061">
        <v>0</v>
      </c>
      <c r="BO191" s="1061">
        <v>814.51</v>
      </c>
      <c r="BP191" s="1069"/>
      <c r="BQ191" s="1136"/>
      <c r="BR191" s="1140">
        <f t="shared" si="52"/>
        <v>3638888.888888889</v>
      </c>
      <c r="BS191" s="1140">
        <f t="shared" si="53"/>
        <v>1180555.5555555557</v>
      </c>
      <c r="BT191" s="1140">
        <f t="shared" si="54"/>
        <v>0</v>
      </c>
      <c r="BU191" s="1140">
        <f t="shared" si="55"/>
        <v>4819444.444444445</v>
      </c>
      <c r="BV191" s="1140">
        <f t="shared" si="65"/>
        <v>0</v>
      </c>
      <c r="BW191" s="1140">
        <f t="shared" si="66"/>
        <v>0</v>
      </c>
      <c r="BX191" s="1140">
        <f t="shared" si="67"/>
        <v>0</v>
      </c>
      <c r="BY191" s="1140">
        <f t="shared" si="56"/>
        <v>0</v>
      </c>
      <c r="BZ191" s="1136"/>
      <c r="CA191" s="1140">
        <f t="shared" si="57"/>
        <v>3638888.888888889</v>
      </c>
      <c r="CB191" s="1140">
        <f t="shared" si="58"/>
        <v>1180555.5555555557</v>
      </c>
      <c r="CC191" s="1140">
        <f t="shared" si="59"/>
        <v>0</v>
      </c>
      <c r="CD191" s="1140">
        <f t="shared" si="60"/>
        <v>4819444.444444445</v>
      </c>
      <c r="CE191" s="1140">
        <f t="shared" si="61"/>
        <v>0</v>
      </c>
      <c r="CF191" s="1140">
        <f t="shared" si="62"/>
        <v>0</v>
      </c>
      <c r="CG191" s="1140">
        <f t="shared" si="63"/>
        <v>0</v>
      </c>
      <c r="CH191" s="1140">
        <f t="shared" si="64"/>
        <v>0</v>
      </c>
      <c r="CI191" s="1146"/>
      <c r="CJ191" s="1069"/>
      <c r="CK191" s="1069"/>
      <c r="CL191" s="1069"/>
      <c r="CM191" s="1069"/>
      <c r="CN191" s="1069"/>
      <c r="CO191" s="1069"/>
      <c r="CP191" s="1069"/>
      <c r="CQ191" s="1069"/>
      <c r="CR191" s="1069"/>
      <c r="CS191" s="1069"/>
      <c r="CT191" s="1069"/>
      <c r="CU191" s="1069"/>
      <c r="CV191" s="1069"/>
      <c r="CW191" s="1069"/>
      <c r="CX191" s="1069"/>
    </row>
    <row r="192" spans="1:112" ht="15" customHeight="1" x14ac:dyDescent="0.2">
      <c r="A192" s="1061">
        <v>4836</v>
      </c>
      <c r="B192" s="1061"/>
      <c r="C192" s="1062" t="s">
        <v>665</v>
      </c>
      <c r="D192" s="1054" t="s">
        <v>665</v>
      </c>
      <c r="E192" s="1055">
        <f t="shared" si="49"/>
        <v>787384</v>
      </c>
      <c r="F192" s="1055">
        <v>0</v>
      </c>
      <c r="G192" s="1056">
        <f t="shared" si="71"/>
        <v>787384</v>
      </c>
      <c r="H192" s="1062" t="s">
        <v>10</v>
      </c>
      <c r="I192" s="1054" t="s">
        <v>1416</v>
      </c>
      <c r="J192" s="1054" t="s">
        <v>10</v>
      </c>
      <c r="K192" s="1054" t="s">
        <v>422</v>
      </c>
      <c r="L192" s="1054" t="s">
        <v>10</v>
      </c>
      <c r="M192" s="1057">
        <v>205</v>
      </c>
      <c r="N192" s="1057">
        <v>0.93200000000000005</v>
      </c>
      <c r="O192" s="1057">
        <v>0.96899999999999997</v>
      </c>
      <c r="P192" s="1057">
        <v>0.92500000000000004</v>
      </c>
      <c r="Q192" s="1057">
        <v>0.95199999999999996</v>
      </c>
      <c r="R192" s="1055">
        <v>2881095</v>
      </c>
      <c r="S192" s="1057">
        <v>2260000</v>
      </c>
      <c r="T192" s="1058">
        <f t="shared" si="50"/>
        <v>857125.76249999995</v>
      </c>
      <c r="U192" s="1057">
        <v>1440000</v>
      </c>
      <c r="V192" s="1057">
        <v>820000</v>
      </c>
      <c r="W192" s="1057">
        <v>9143</v>
      </c>
      <c r="X192" s="1057">
        <v>0</v>
      </c>
      <c r="Y192" s="1057">
        <v>0</v>
      </c>
      <c r="Z192" s="1057">
        <v>0</v>
      </c>
      <c r="AA192" s="1057">
        <v>3117125.7629999998</v>
      </c>
      <c r="AB192" s="1057">
        <v>857125.76249999995</v>
      </c>
      <c r="AC192" s="1057">
        <v>2260000</v>
      </c>
      <c r="AD192" s="1057">
        <v>0</v>
      </c>
      <c r="AE192" s="1057">
        <v>0</v>
      </c>
      <c r="AF192" s="1057">
        <v>0</v>
      </c>
      <c r="AG192" s="1057">
        <v>2260000</v>
      </c>
      <c r="AH192" s="1057">
        <v>0</v>
      </c>
      <c r="AI192" s="1057">
        <v>0</v>
      </c>
      <c r="AJ192" s="1062">
        <v>4</v>
      </c>
      <c r="AK192" s="1062" t="s">
        <v>917</v>
      </c>
      <c r="AL192" s="1066" t="s">
        <v>1416</v>
      </c>
      <c r="AM192" s="1062" t="s">
        <v>10</v>
      </c>
      <c r="AN192" s="1066" t="s">
        <v>665</v>
      </c>
      <c r="AO192" s="1066">
        <v>857125.76249999995</v>
      </c>
      <c r="AP192" s="1067">
        <f>AR192+AT192+AU192+AV192+AX192+AY192+AZ192+BD192+BF192+BG192+BH192+BJ192+BK192+(BL192+BM192+BN192)/1000+(0.1*BO192)</f>
        <v>1516</v>
      </c>
      <c r="AQ192" s="1059">
        <f t="shared" si="51"/>
        <v>1555</v>
      </c>
      <c r="AR192" s="1061">
        <v>120</v>
      </c>
      <c r="AS192" s="1061">
        <v>0</v>
      </c>
      <c r="AT192" s="1061">
        <v>1379</v>
      </c>
      <c r="AU192" s="1061">
        <v>19</v>
      </c>
      <c r="AV192" s="1061">
        <v>0</v>
      </c>
      <c r="AW192" s="1061">
        <v>0</v>
      </c>
      <c r="AX192" s="1061">
        <v>-2</v>
      </c>
      <c r="AY192" s="1061">
        <v>0</v>
      </c>
      <c r="AZ192" s="1061">
        <v>0</v>
      </c>
      <c r="BA192" s="1061">
        <v>0</v>
      </c>
      <c r="BB192" s="1061">
        <v>35</v>
      </c>
      <c r="BC192" s="1061">
        <v>4</v>
      </c>
      <c r="BD192" s="1061">
        <v>0</v>
      </c>
      <c r="BE192" s="1061">
        <v>0</v>
      </c>
      <c r="BF192" s="1061">
        <v>0</v>
      </c>
      <c r="BG192" s="1061">
        <v>0</v>
      </c>
      <c r="BH192" s="1061">
        <v>0</v>
      </c>
      <c r="BI192" s="1061">
        <v>0</v>
      </c>
      <c r="BJ192" s="1061">
        <v>0</v>
      </c>
      <c r="BK192" s="1061">
        <v>0</v>
      </c>
      <c r="BL192" s="1061">
        <v>0</v>
      </c>
      <c r="BM192" s="1061">
        <v>0</v>
      </c>
      <c r="BN192" s="1061">
        <v>0</v>
      </c>
      <c r="BO192" s="1061">
        <v>0</v>
      </c>
      <c r="BR192" s="1140">
        <f t="shared" si="52"/>
        <v>1666666.6666666667</v>
      </c>
      <c r="BS192" s="1140">
        <f t="shared" si="53"/>
        <v>19152777.77777778</v>
      </c>
      <c r="BT192" s="1140">
        <f t="shared" si="54"/>
        <v>263888.88888888893</v>
      </c>
      <c r="BU192" s="1140">
        <f t="shared" si="55"/>
        <v>21083333.333333336</v>
      </c>
      <c r="BV192" s="1140">
        <f t="shared" si="65"/>
        <v>0</v>
      </c>
      <c r="BW192" s="1140">
        <f t="shared" si="66"/>
        <v>-400</v>
      </c>
      <c r="BX192" s="1140">
        <f t="shared" si="67"/>
        <v>0</v>
      </c>
      <c r="BY192" s="1140">
        <f t="shared" si="56"/>
        <v>-400</v>
      </c>
      <c r="CA192" s="1140">
        <f t="shared" si="57"/>
        <v>1666666.6666666667</v>
      </c>
      <c r="CB192" s="1140">
        <f t="shared" si="58"/>
        <v>19152777.77777778</v>
      </c>
      <c r="CC192" s="1140">
        <f t="shared" si="59"/>
        <v>263888.88888888893</v>
      </c>
      <c r="CD192" s="1140">
        <f t="shared" si="60"/>
        <v>21083333.333333336</v>
      </c>
      <c r="CE192" s="1140">
        <f t="shared" si="61"/>
        <v>0</v>
      </c>
      <c r="CF192" s="1140">
        <f t="shared" si="62"/>
        <v>-400</v>
      </c>
      <c r="CG192" s="1140">
        <f t="shared" si="63"/>
        <v>0</v>
      </c>
      <c r="CH192" s="1140">
        <f t="shared" si="64"/>
        <v>-400</v>
      </c>
    </row>
    <row r="193" spans="1:86" ht="15" customHeight="1" x14ac:dyDescent="0.2">
      <c r="A193" s="1075">
        <v>4851</v>
      </c>
      <c r="B193" s="1075"/>
      <c r="C193" s="1076" t="s">
        <v>956</v>
      </c>
      <c r="D193" s="1063" t="s">
        <v>665</v>
      </c>
      <c r="E193" s="1055">
        <f t="shared" si="49"/>
        <v>0</v>
      </c>
      <c r="F193" s="1064" t="s">
        <v>10</v>
      </c>
      <c r="G193" s="1056" t="e">
        <f t="shared" si="71"/>
        <v>#VALUE!</v>
      </c>
      <c r="H193" s="1062"/>
      <c r="I193" s="1063" t="s">
        <v>1416</v>
      </c>
      <c r="J193" s="1063" t="s">
        <v>10</v>
      </c>
      <c r="K193" s="1063" t="s">
        <v>10</v>
      </c>
      <c r="L193" s="1063" t="s">
        <v>10</v>
      </c>
      <c r="M193" s="1065" t="s">
        <v>10</v>
      </c>
      <c r="N193" s="1065" t="s">
        <v>10</v>
      </c>
      <c r="O193" s="1065" t="s">
        <v>10</v>
      </c>
      <c r="P193" s="1065" t="s">
        <v>10</v>
      </c>
      <c r="Q193" s="1065" t="s">
        <v>10</v>
      </c>
      <c r="R193" s="1064">
        <v>1500000</v>
      </c>
      <c r="S193" s="1065">
        <v>0</v>
      </c>
      <c r="T193" s="1058">
        <f t="shared" si="50"/>
        <v>446250</v>
      </c>
      <c r="U193" s="1065" t="s">
        <v>10</v>
      </c>
      <c r="V193" s="1065" t="s">
        <v>10</v>
      </c>
      <c r="W193" s="1065" t="s">
        <v>10</v>
      </c>
      <c r="X193" s="1065" t="s">
        <v>10</v>
      </c>
      <c r="Y193" s="1065" t="s">
        <v>10</v>
      </c>
      <c r="Z193" s="1065" t="s">
        <v>10</v>
      </c>
      <c r="AA193" s="1065" t="s">
        <v>10</v>
      </c>
      <c r="AB193" s="1065" t="s">
        <v>10</v>
      </c>
      <c r="AC193" s="1065" t="s">
        <v>10</v>
      </c>
      <c r="AD193" s="1065" t="s">
        <v>10</v>
      </c>
      <c r="AE193" s="1065" t="s">
        <v>10</v>
      </c>
      <c r="AF193" s="1065" t="s">
        <v>10</v>
      </c>
      <c r="AG193" s="1065" t="s">
        <v>10</v>
      </c>
      <c r="AH193" s="1065" t="s">
        <v>10</v>
      </c>
      <c r="AI193" s="1065" t="s">
        <v>10</v>
      </c>
      <c r="AJ193" s="1062">
        <v>4</v>
      </c>
      <c r="AK193" s="1062" t="s">
        <v>917</v>
      </c>
      <c r="AL193" s="1066" t="s">
        <v>911</v>
      </c>
      <c r="AM193" s="1062"/>
      <c r="AN193" s="1078" t="s">
        <v>957</v>
      </c>
      <c r="AO193" s="1078">
        <v>0</v>
      </c>
      <c r="AP193" s="1079">
        <v>0</v>
      </c>
      <c r="AQ193" s="1059">
        <f t="shared" si="51"/>
        <v>7</v>
      </c>
      <c r="AR193" s="753">
        <v>0</v>
      </c>
      <c r="AS193" s="753">
        <v>0</v>
      </c>
      <c r="AT193" s="753">
        <v>0</v>
      </c>
      <c r="AU193" s="753">
        <v>7</v>
      </c>
      <c r="AV193" s="1061">
        <v>0</v>
      </c>
      <c r="AW193" s="1061">
        <v>0</v>
      </c>
      <c r="AX193" s="1061">
        <v>0</v>
      </c>
      <c r="AY193" s="1061">
        <v>0</v>
      </c>
      <c r="AZ193" s="1061">
        <v>0</v>
      </c>
      <c r="BA193" s="1061">
        <v>0</v>
      </c>
      <c r="BB193" s="1061">
        <v>0</v>
      </c>
      <c r="BC193" s="1061">
        <v>0</v>
      </c>
      <c r="BD193" s="1061">
        <v>0</v>
      </c>
      <c r="BE193" s="1061">
        <v>0</v>
      </c>
      <c r="BF193" s="1061">
        <v>0</v>
      </c>
      <c r="BG193" s="1061">
        <v>0</v>
      </c>
      <c r="BH193" s="1061">
        <v>0</v>
      </c>
      <c r="BI193" s="1061">
        <v>0</v>
      </c>
      <c r="BJ193" s="1061">
        <v>0</v>
      </c>
      <c r="BK193" s="1061">
        <v>0</v>
      </c>
      <c r="BL193" s="1061">
        <v>0</v>
      </c>
      <c r="BM193" s="1061">
        <v>0</v>
      </c>
      <c r="BN193" s="1061">
        <v>0</v>
      </c>
      <c r="BO193" s="1080">
        <v>0</v>
      </c>
      <c r="BR193" s="1140">
        <f t="shared" si="52"/>
        <v>0</v>
      </c>
      <c r="BS193" s="1140">
        <f t="shared" si="53"/>
        <v>0</v>
      </c>
      <c r="BT193" s="1140">
        <f t="shared" si="54"/>
        <v>97222.222222222234</v>
      </c>
      <c r="BU193" s="1140">
        <f t="shared" si="55"/>
        <v>97222.222222222234</v>
      </c>
      <c r="BV193" s="1140">
        <f t="shared" si="65"/>
        <v>0</v>
      </c>
      <c r="BW193" s="1140">
        <f t="shared" si="66"/>
        <v>0</v>
      </c>
      <c r="BX193" s="1140">
        <f t="shared" si="67"/>
        <v>0</v>
      </c>
      <c r="BY193" s="1140">
        <f t="shared" si="56"/>
        <v>0</v>
      </c>
      <c r="CA193" s="1140">
        <f t="shared" si="57"/>
        <v>0</v>
      </c>
      <c r="CB193" s="1140">
        <f t="shared" si="58"/>
        <v>0</v>
      </c>
      <c r="CC193" s="1140">
        <f t="shared" si="59"/>
        <v>97222.222222222234</v>
      </c>
      <c r="CD193" s="1140">
        <f t="shared" si="60"/>
        <v>97222.222222222234</v>
      </c>
      <c r="CE193" s="1140">
        <f t="shared" si="61"/>
        <v>0</v>
      </c>
      <c r="CF193" s="1140">
        <f t="shared" si="62"/>
        <v>0</v>
      </c>
      <c r="CG193" s="1140">
        <f t="shared" si="63"/>
        <v>0</v>
      </c>
      <c r="CH193" s="1140">
        <f t="shared" si="64"/>
        <v>0</v>
      </c>
    </row>
    <row r="194" spans="1:86" ht="15" customHeight="1" x14ac:dyDescent="0.2">
      <c r="A194" s="1052">
        <v>3107</v>
      </c>
      <c r="B194" s="1052" t="s">
        <v>1412</v>
      </c>
      <c r="C194" s="1053" t="s">
        <v>423</v>
      </c>
      <c r="D194" s="1054" t="s">
        <v>423</v>
      </c>
      <c r="E194" s="1055">
        <f t="shared" ref="E194:E253" si="72">IF(I194="regional",IF(R194*0.2975,S194*0.3484),S194*0.1939)</f>
        <v>418793.87160000001</v>
      </c>
      <c r="F194" s="1055">
        <v>659993</v>
      </c>
      <c r="G194" s="1056">
        <f t="shared" si="71"/>
        <v>1078786.8716</v>
      </c>
      <c r="H194" s="1053" t="s">
        <v>10</v>
      </c>
      <c r="I194" s="1054" t="s">
        <v>1416</v>
      </c>
      <c r="J194" s="1054" t="s">
        <v>1412</v>
      </c>
      <c r="K194" s="1054" t="s">
        <v>424</v>
      </c>
      <c r="L194" s="1054" t="s">
        <v>1412</v>
      </c>
      <c r="M194" s="1057">
        <v>191</v>
      </c>
      <c r="N194" s="1057">
        <v>0.90500000000000003</v>
      </c>
      <c r="O194" s="1057">
        <v>0.91900000000000004</v>
      </c>
      <c r="P194" s="1057">
        <v>0.94199999999999995</v>
      </c>
      <c r="Q194" s="1057">
        <v>0.92400000000000004</v>
      </c>
      <c r="R194" s="1057">
        <v>1480272</v>
      </c>
      <c r="S194" s="1057">
        <v>1202049</v>
      </c>
      <c r="T194" s="1058">
        <f t="shared" si="50"/>
        <v>440380.92</v>
      </c>
      <c r="U194" s="1057">
        <v>823347</v>
      </c>
      <c r="V194" s="1057">
        <v>378702</v>
      </c>
      <c r="W194" s="1057">
        <v>5616</v>
      </c>
      <c r="X194" s="1057">
        <v>1100373.92</v>
      </c>
      <c r="Y194" s="1057">
        <v>440380.92</v>
      </c>
      <c r="Z194" s="1057">
        <v>659993</v>
      </c>
      <c r="AA194" s="1057">
        <v>542056</v>
      </c>
      <c r="AB194" s="1057">
        <v>0</v>
      </c>
      <c r="AC194" s="1057">
        <v>542056</v>
      </c>
      <c r="AD194" s="1057">
        <v>659993</v>
      </c>
      <c r="AE194" s="1057">
        <v>0</v>
      </c>
      <c r="AF194" s="1057">
        <v>542056</v>
      </c>
      <c r="AG194" s="1057">
        <v>0</v>
      </c>
      <c r="AH194" s="1057">
        <v>778000</v>
      </c>
      <c r="AI194" s="1057">
        <v>632000</v>
      </c>
      <c r="AJ194" s="1053" t="s">
        <v>908</v>
      </c>
      <c r="AK194" s="1053" t="s">
        <v>909</v>
      </c>
      <c r="AL194" s="1054" t="s">
        <v>1416</v>
      </c>
      <c r="AM194" s="1053" t="s">
        <v>10</v>
      </c>
      <c r="AN194" s="1054" t="s">
        <v>423</v>
      </c>
      <c r="AO194" s="1054">
        <v>1100373.92</v>
      </c>
      <c r="AP194" s="1059">
        <f t="shared" ref="AP194:AP230" si="73">AR194+AT194+AU194+AV194+AX194+AY194+AZ194+BD194+BF194+BG194+BH194+BJ194+BK194+(BL194+BM194+BN194)/1000+(0.1*BO194)</f>
        <v>1174.7111</v>
      </c>
      <c r="AQ194" s="1059">
        <f t="shared" si="51"/>
        <v>1221.7111</v>
      </c>
      <c r="AR194" s="1052">
        <v>493</v>
      </c>
      <c r="AS194" s="1052">
        <v>632</v>
      </c>
      <c r="AT194" s="1052">
        <v>193</v>
      </c>
      <c r="AU194" s="1052">
        <v>1</v>
      </c>
      <c r="AV194" s="1052">
        <v>0</v>
      </c>
      <c r="AW194" s="1052">
        <v>29</v>
      </c>
      <c r="AX194" s="1052">
        <v>0</v>
      </c>
      <c r="AY194" s="1052">
        <v>0</v>
      </c>
      <c r="AZ194" s="1052">
        <v>15</v>
      </c>
      <c r="BA194" s="1052">
        <v>31</v>
      </c>
      <c r="BB194" s="1052">
        <v>47</v>
      </c>
      <c r="BC194" s="1052">
        <v>0</v>
      </c>
      <c r="BD194" s="1052">
        <v>57</v>
      </c>
      <c r="BE194" s="1052">
        <v>0</v>
      </c>
      <c r="BF194" s="1052">
        <v>0</v>
      </c>
      <c r="BG194" s="1052">
        <v>0</v>
      </c>
      <c r="BH194" s="1052">
        <v>90</v>
      </c>
      <c r="BI194" s="1052">
        <v>0</v>
      </c>
      <c r="BJ194" s="1052">
        <v>0</v>
      </c>
      <c r="BK194" s="1052">
        <v>0</v>
      </c>
      <c r="BL194" s="1052">
        <v>182949</v>
      </c>
      <c r="BM194" s="1052">
        <v>0</v>
      </c>
      <c r="BN194" s="1052">
        <v>0</v>
      </c>
      <c r="BO194" s="1052">
        <v>1427.6210000000001</v>
      </c>
      <c r="BR194" s="1140">
        <f t="shared" si="52"/>
        <v>6847222.2222222229</v>
      </c>
      <c r="BS194" s="1140">
        <f t="shared" si="53"/>
        <v>2680555.555555556</v>
      </c>
      <c r="BT194" s="1140">
        <f t="shared" si="54"/>
        <v>13888.888888888891</v>
      </c>
      <c r="BU194" s="1140">
        <f t="shared" si="55"/>
        <v>9541666.6666666679</v>
      </c>
      <c r="BV194" s="1140">
        <f t="shared" si="65"/>
        <v>0</v>
      </c>
      <c r="BW194" s="1140">
        <f t="shared" si="66"/>
        <v>0</v>
      </c>
      <c r="BX194" s="1140">
        <f t="shared" si="67"/>
        <v>0</v>
      </c>
      <c r="BY194" s="1140">
        <f t="shared" si="56"/>
        <v>0</v>
      </c>
      <c r="CA194" s="1140">
        <f t="shared" si="57"/>
        <v>6847222.2222222229</v>
      </c>
      <c r="CB194" s="1140">
        <f t="shared" si="58"/>
        <v>2680555.555555556</v>
      </c>
      <c r="CC194" s="1140">
        <f t="shared" si="59"/>
        <v>13888.888888888891</v>
      </c>
      <c r="CD194" s="1140">
        <f t="shared" si="60"/>
        <v>9541666.6666666679</v>
      </c>
      <c r="CE194" s="1140">
        <f t="shared" si="61"/>
        <v>0</v>
      </c>
      <c r="CF194" s="1140">
        <f t="shared" si="62"/>
        <v>0</v>
      </c>
      <c r="CG194" s="1140">
        <f t="shared" si="63"/>
        <v>0</v>
      </c>
      <c r="CH194" s="1140">
        <f t="shared" si="64"/>
        <v>0</v>
      </c>
    </row>
    <row r="195" spans="1:86" ht="15" customHeight="1" x14ac:dyDescent="0.2">
      <c r="A195" s="1052">
        <v>546</v>
      </c>
      <c r="B195" s="1052"/>
      <c r="C195" s="1053" t="s">
        <v>425</v>
      </c>
      <c r="D195" s="1054" t="s">
        <v>425</v>
      </c>
      <c r="E195" s="1055">
        <f t="shared" si="72"/>
        <v>37244.505899999996</v>
      </c>
      <c r="F195" s="1055">
        <v>0</v>
      </c>
      <c r="G195" s="1056">
        <f t="shared" si="71"/>
        <v>37244.505899999996</v>
      </c>
      <c r="H195" s="1053" t="s">
        <v>1417</v>
      </c>
      <c r="I195" s="1054" t="s">
        <v>1512</v>
      </c>
      <c r="J195" s="1054" t="s">
        <v>10</v>
      </c>
      <c r="K195" s="1054" t="s">
        <v>325</v>
      </c>
      <c r="L195" s="1054" t="s">
        <v>10</v>
      </c>
      <c r="M195" s="1057">
        <v>24</v>
      </c>
      <c r="N195" s="1057">
        <v>0.96399999999999997</v>
      </c>
      <c r="O195" s="1057">
        <v>0.96399999999999997</v>
      </c>
      <c r="P195" s="1057">
        <v>0.95899999999999996</v>
      </c>
      <c r="Q195" s="1057">
        <v>0.97899999999999998</v>
      </c>
      <c r="R195" s="1057">
        <v>0</v>
      </c>
      <c r="S195" s="1057">
        <v>192081</v>
      </c>
      <c r="T195" s="1058">
        <f t="shared" ref="T195:T253" si="74">IF(I195="regional",IF(R195&gt;0,R195*0.2975,S195*0.3484),S195*0.1939)</f>
        <v>37244.505899999996</v>
      </c>
      <c r="U195" s="1057">
        <v>124479</v>
      </c>
      <c r="V195" s="1057">
        <v>67602</v>
      </c>
      <c r="W195" s="1057">
        <v>960</v>
      </c>
      <c r="X195" s="1057">
        <v>0</v>
      </c>
      <c r="Y195" s="1057">
        <v>0</v>
      </c>
      <c r="Z195" s="1057">
        <v>0</v>
      </c>
      <c r="AA195" s="1057">
        <v>229325.50589999999</v>
      </c>
      <c r="AB195" s="1057">
        <v>37244.505899999996</v>
      </c>
      <c r="AC195" s="1057">
        <v>192081</v>
      </c>
      <c r="AD195" s="1057">
        <v>0</v>
      </c>
      <c r="AE195" s="1057">
        <v>0</v>
      </c>
      <c r="AF195" s="1057">
        <v>0</v>
      </c>
      <c r="AG195" s="1057">
        <v>192081</v>
      </c>
      <c r="AH195" s="1057">
        <v>0</v>
      </c>
      <c r="AI195" s="1057">
        <v>0</v>
      </c>
      <c r="AJ195" s="1053" t="s">
        <v>900</v>
      </c>
      <c r="AK195" s="1053" t="s">
        <v>907</v>
      </c>
      <c r="AL195" s="1054" t="s">
        <v>1512</v>
      </c>
      <c r="AM195" s="1053" t="s">
        <v>1417</v>
      </c>
      <c r="AN195" s="1054" t="s">
        <v>425</v>
      </c>
      <c r="AO195" s="1054">
        <v>37244.505899999996</v>
      </c>
      <c r="AP195" s="1059">
        <f t="shared" si="73"/>
        <v>12</v>
      </c>
      <c r="AQ195" s="1059">
        <f t="shared" ref="AQ195:AQ253" si="75">AR195+AT195+AU195+AV195+AX195+AY195+AZ195+BB195+BC195+BD195+BF195+BG195+BH195+BJ195+BK195+(BL195+BM195+BN195)/1000+(0.1*BO195)</f>
        <v>18</v>
      </c>
      <c r="AR195" s="1052">
        <v>0</v>
      </c>
      <c r="AS195" s="1052">
        <v>0</v>
      </c>
      <c r="AT195" s="1052">
        <v>12</v>
      </c>
      <c r="AU195" s="1052">
        <v>0</v>
      </c>
      <c r="AV195" s="1052">
        <v>0</v>
      </c>
      <c r="AW195" s="1052">
        <v>0</v>
      </c>
      <c r="AX195" s="1052">
        <v>0</v>
      </c>
      <c r="AY195" s="1052">
        <v>0</v>
      </c>
      <c r="AZ195" s="1052">
        <v>0</v>
      </c>
      <c r="BA195" s="1052">
        <v>0</v>
      </c>
      <c r="BB195" s="1052">
        <v>0</v>
      </c>
      <c r="BC195" s="1052">
        <v>6</v>
      </c>
      <c r="BD195" s="1052">
        <v>0</v>
      </c>
      <c r="BE195" s="1052">
        <v>0</v>
      </c>
      <c r="BF195" s="1052">
        <v>0</v>
      </c>
      <c r="BG195" s="1052">
        <v>0</v>
      </c>
      <c r="BH195" s="1052">
        <v>0</v>
      </c>
      <c r="BI195" s="1052">
        <v>0</v>
      </c>
      <c r="BJ195" s="1052">
        <v>0</v>
      </c>
      <c r="BK195" s="1052">
        <v>0</v>
      </c>
      <c r="BL195" s="1052">
        <v>0</v>
      </c>
      <c r="BM195" s="1052">
        <v>0</v>
      </c>
      <c r="BN195" s="1052">
        <v>0</v>
      </c>
      <c r="BO195" s="1052">
        <v>0</v>
      </c>
      <c r="BR195" s="1140">
        <f t="shared" ref="BR195:BR253" si="76">AR195*1000/0.072</f>
        <v>0</v>
      </c>
      <c r="BS195" s="1140">
        <f t="shared" ref="BS195:BS253" si="77">AT195*1000/0.072</f>
        <v>166666.66666666669</v>
      </c>
      <c r="BT195" s="1140">
        <f t="shared" ref="BT195:BT253" si="78">AU195*1000/0.072</f>
        <v>0</v>
      </c>
      <c r="BU195" s="1140">
        <f t="shared" ref="BU195:BU253" si="79">SUM(BR195:BT195)</f>
        <v>166666.66666666669</v>
      </c>
      <c r="BV195" s="1140">
        <f t="shared" si="65"/>
        <v>0</v>
      </c>
      <c r="BW195" s="1140">
        <f t="shared" si="66"/>
        <v>0</v>
      </c>
      <c r="BX195" s="1140">
        <f t="shared" si="67"/>
        <v>0</v>
      </c>
      <c r="BY195" s="1140">
        <f t="shared" ref="BY195:BY253" si="80">SUM(BV195:BX195)</f>
        <v>0</v>
      </c>
      <c r="CA195" s="1140">
        <f t="shared" ref="CA195:CA253" si="81">IF($AM195="n",0,BR195)</f>
        <v>0</v>
      </c>
      <c r="CB195" s="1140">
        <f t="shared" ref="CB195:CB253" si="82">IF($AM195="n",0,BS195)</f>
        <v>0</v>
      </c>
      <c r="CC195" s="1140">
        <f t="shared" ref="CC195:CC253" si="83">IF($AM195="n",0,BT195)</f>
        <v>0</v>
      </c>
      <c r="CD195" s="1140">
        <f t="shared" ref="CD195:CD253" si="84">SUM(CA195:CC195)</f>
        <v>0</v>
      </c>
      <c r="CE195" s="1140">
        <f t="shared" ref="CE195:CE254" si="85">IF($AM$2="n",0,BV195)</f>
        <v>0</v>
      </c>
      <c r="CF195" s="1140">
        <f t="shared" ref="CF195:CF254" si="86">IF($AM$2="n",0,BW195)</f>
        <v>0</v>
      </c>
      <c r="CG195" s="1140">
        <f t="shared" ref="CG195:CG254" si="87">IF($AM$2="n",0,BX195)</f>
        <v>0</v>
      </c>
      <c r="CH195" s="1140">
        <f t="shared" ref="CH195:CH254" si="88">SUM(CE195:CG195)</f>
        <v>0</v>
      </c>
    </row>
    <row r="196" spans="1:86" ht="15" customHeight="1" x14ac:dyDescent="0.2">
      <c r="A196" s="1052">
        <v>4837</v>
      </c>
      <c r="B196" s="1052"/>
      <c r="C196" s="1053" t="s">
        <v>427</v>
      </c>
      <c r="D196" s="1054" t="s">
        <v>427</v>
      </c>
      <c r="E196" s="1055">
        <f t="shared" si="72"/>
        <v>242138</v>
      </c>
      <c r="F196" s="1055">
        <v>0</v>
      </c>
      <c r="G196" s="1056">
        <f t="shared" si="71"/>
        <v>242138</v>
      </c>
      <c r="H196" s="1053" t="s">
        <v>10</v>
      </c>
      <c r="I196" s="1054" t="s">
        <v>1416</v>
      </c>
      <c r="J196" s="1054" t="s">
        <v>1417</v>
      </c>
      <c r="K196" s="1054" t="s">
        <v>429</v>
      </c>
      <c r="L196" s="1054" t="s">
        <v>10</v>
      </c>
      <c r="M196" s="1057">
        <v>126</v>
      </c>
      <c r="N196" s="1057">
        <v>0.81599999999999995</v>
      </c>
      <c r="O196" s="1057">
        <v>0.84499999999999997</v>
      </c>
      <c r="P196" s="1057">
        <v>0.92500000000000004</v>
      </c>
      <c r="Q196" s="1057">
        <v>0.95199999999999996</v>
      </c>
      <c r="R196" s="1057">
        <v>809359</v>
      </c>
      <c r="S196" s="1057">
        <v>695000</v>
      </c>
      <c r="T196" s="1058">
        <f t="shared" si="74"/>
        <v>240784.30249999999</v>
      </c>
      <c r="U196" s="1057">
        <v>426400</v>
      </c>
      <c r="V196" s="1057">
        <v>268600</v>
      </c>
      <c r="W196" s="1057">
        <v>3150</v>
      </c>
      <c r="X196" s="1057">
        <v>0</v>
      </c>
      <c r="Y196" s="1057">
        <v>0</v>
      </c>
      <c r="Z196" s="1057">
        <v>0</v>
      </c>
      <c r="AA196" s="1057">
        <v>935784.30249999999</v>
      </c>
      <c r="AB196" s="1057">
        <v>240784.30249999999</v>
      </c>
      <c r="AC196" s="1057">
        <v>695000</v>
      </c>
      <c r="AD196" s="1057">
        <v>0</v>
      </c>
      <c r="AE196" s="1057">
        <v>0</v>
      </c>
      <c r="AF196" s="1057">
        <v>0</v>
      </c>
      <c r="AG196" s="1057">
        <v>695000</v>
      </c>
      <c r="AH196" s="1057">
        <v>0</v>
      </c>
      <c r="AI196" s="1057">
        <v>0</v>
      </c>
      <c r="AJ196" s="1053" t="s">
        <v>914</v>
      </c>
      <c r="AK196" s="1053" t="s">
        <v>1555</v>
      </c>
      <c r="AL196" s="1054" t="s">
        <v>1416</v>
      </c>
      <c r="AM196" s="1053" t="s">
        <v>10</v>
      </c>
      <c r="AN196" s="1054" t="s">
        <v>427</v>
      </c>
      <c r="AO196" s="1054">
        <v>240784.30249999999</v>
      </c>
      <c r="AP196" s="1059">
        <f t="shared" si="73"/>
        <v>498</v>
      </c>
      <c r="AQ196" s="1059">
        <f t="shared" si="75"/>
        <v>592</v>
      </c>
      <c r="AR196" s="1052">
        <v>243</v>
      </c>
      <c r="AS196" s="1052">
        <v>0</v>
      </c>
      <c r="AT196" s="1052">
        <v>261</v>
      </c>
      <c r="AU196" s="1052">
        <v>9</v>
      </c>
      <c r="AV196" s="1052">
        <v>0</v>
      </c>
      <c r="AW196" s="1052">
        <v>0</v>
      </c>
      <c r="AX196" s="1052">
        <v>-29</v>
      </c>
      <c r="AY196" s="1052">
        <v>0</v>
      </c>
      <c r="AZ196" s="1052">
        <v>0</v>
      </c>
      <c r="BA196" s="1052">
        <v>0</v>
      </c>
      <c r="BB196" s="1052">
        <v>94</v>
      </c>
      <c r="BC196" s="1052">
        <v>0</v>
      </c>
      <c r="BD196" s="1052">
        <v>1</v>
      </c>
      <c r="BE196" s="1052">
        <v>2</v>
      </c>
      <c r="BF196" s="1052">
        <v>0</v>
      </c>
      <c r="BG196" s="1052">
        <v>0</v>
      </c>
      <c r="BH196" s="1052">
        <v>13</v>
      </c>
      <c r="BI196" s="1052">
        <v>0</v>
      </c>
      <c r="BJ196" s="1052">
        <v>0</v>
      </c>
      <c r="BK196" s="1052">
        <v>0</v>
      </c>
      <c r="BL196" s="1052">
        <v>0</v>
      </c>
      <c r="BM196" s="1052">
        <v>0</v>
      </c>
      <c r="BN196" s="1052">
        <v>0</v>
      </c>
      <c r="BO196" s="1052">
        <v>0</v>
      </c>
      <c r="BR196" s="1140">
        <f t="shared" si="76"/>
        <v>3375000.0000000005</v>
      </c>
      <c r="BS196" s="1140">
        <f t="shared" si="77"/>
        <v>3625000.0000000005</v>
      </c>
      <c r="BT196" s="1140">
        <f t="shared" si="78"/>
        <v>125000.00000000001</v>
      </c>
      <c r="BU196" s="1140">
        <f t="shared" si="79"/>
        <v>7125000.0000000009</v>
      </c>
      <c r="BV196" s="1140">
        <f t="shared" si="65"/>
        <v>0</v>
      </c>
      <c r="BW196" s="1140">
        <f t="shared" si="66"/>
        <v>-5800</v>
      </c>
      <c r="BX196" s="1140">
        <f t="shared" si="67"/>
        <v>0</v>
      </c>
      <c r="BY196" s="1140">
        <f t="shared" si="80"/>
        <v>-5800</v>
      </c>
      <c r="CA196" s="1140">
        <f t="shared" si="81"/>
        <v>3375000.0000000005</v>
      </c>
      <c r="CB196" s="1140">
        <f t="shared" si="82"/>
        <v>3625000.0000000005</v>
      </c>
      <c r="CC196" s="1140">
        <f t="shared" si="83"/>
        <v>125000.00000000001</v>
      </c>
      <c r="CD196" s="1140">
        <f t="shared" si="84"/>
        <v>7125000.0000000009</v>
      </c>
      <c r="CE196" s="1140">
        <f t="shared" si="85"/>
        <v>0</v>
      </c>
      <c r="CF196" s="1140">
        <f t="shared" si="86"/>
        <v>-5800</v>
      </c>
      <c r="CG196" s="1140">
        <f t="shared" si="87"/>
        <v>0</v>
      </c>
      <c r="CH196" s="1140">
        <f t="shared" si="88"/>
        <v>-5800</v>
      </c>
    </row>
    <row r="197" spans="1:86" ht="15" customHeight="1" x14ac:dyDescent="0.2">
      <c r="A197" s="1052">
        <v>3625</v>
      </c>
      <c r="B197" s="1052" t="s">
        <v>1412</v>
      </c>
      <c r="C197" s="1053" t="s">
        <v>430</v>
      </c>
      <c r="D197" s="1054" t="s">
        <v>430</v>
      </c>
      <c r="E197" s="1055">
        <f t="shared" si="72"/>
        <v>396839.44559999998</v>
      </c>
      <c r="F197" s="1055">
        <v>0</v>
      </c>
      <c r="G197" s="1056">
        <f t="shared" si="71"/>
        <v>396839.44559999998</v>
      </c>
      <c r="H197" s="1053" t="s">
        <v>1417</v>
      </c>
      <c r="I197" s="1054" t="s">
        <v>1416</v>
      </c>
      <c r="J197" s="1054" t="s">
        <v>1412</v>
      </c>
      <c r="K197" s="1054" t="s">
        <v>325</v>
      </c>
      <c r="L197" s="1054" t="s">
        <v>10</v>
      </c>
      <c r="M197" s="1057">
        <v>139</v>
      </c>
      <c r="N197" s="1057">
        <v>0.83799999999999997</v>
      </c>
      <c r="O197" s="1057">
        <v>0.83699999999999997</v>
      </c>
      <c r="P197" s="1057">
        <v>0.82199999999999995</v>
      </c>
      <c r="Q197" s="1057">
        <v>0.83399999999999996</v>
      </c>
      <c r="R197" s="1057">
        <v>1384706</v>
      </c>
      <c r="S197" s="1057">
        <v>1139034</v>
      </c>
      <c r="T197" s="1058">
        <f t="shared" si="74"/>
        <v>411950.03499999997</v>
      </c>
      <c r="U197" s="1057">
        <v>768798</v>
      </c>
      <c r="V197" s="1057">
        <v>370236</v>
      </c>
      <c r="W197" s="1057">
        <v>5600</v>
      </c>
      <c r="X197" s="1057">
        <v>0</v>
      </c>
      <c r="Y197" s="1057">
        <v>0</v>
      </c>
      <c r="Z197" s="1057">
        <v>0</v>
      </c>
      <c r="AA197" s="1057">
        <v>1550984.0349999999</v>
      </c>
      <c r="AB197" s="1057">
        <v>411950.03499999997</v>
      </c>
      <c r="AC197" s="1057">
        <v>1139034</v>
      </c>
      <c r="AD197" s="1057">
        <v>0</v>
      </c>
      <c r="AE197" s="1057">
        <v>0</v>
      </c>
      <c r="AF197" s="1057">
        <v>1139034</v>
      </c>
      <c r="AG197" s="1057">
        <v>0</v>
      </c>
      <c r="AH197" s="1057">
        <v>792000</v>
      </c>
      <c r="AI197" s="1057">
        <v>646000</v>
      </c>
      <c r="AJ197" s="1053" t="s">
        <v>900</v>
      </c>
      <c r="AK197" s="1053" t="s">
        <v>907</v>
      </c>
      <c r="AL197" s="1054" t="s">
        <v>1416</v>
      </c>
      <c r="AM197" s="1053" t="s">
        <v>1417</v>
      </c>
      <c r="AN197" s="1054" t="s">
        <v>430</v>
      </c>
      <c r="AO197" s="1054">
        <v>411950.03499999997</v>
      </c>
      <c r="AP197" s="1059">
        <f t="shared" si="73"/>
        <v>866.58150000000001</v>
      </c>
      <c r="AQ197" s="1059">
        <f t="shared" si="75"/>
        <v>878.58150000000001</v>
      </c>
      <c r="AR197" s="1052">
        <v>502</v>
      </c>
      <c r="AS197" s="1052">
        <v>646</v>
      </c>
      <c r="AT197" s="1052">
        <v>106</v>
      </c>
      <c r="AU197" s="1052">
        <v>0</v>
      </c>
      <c r="AV197" s="1052">
        <v>0</v>
      </c>
      <c r="AW197" s="1052">
        <v>0</v>
      </c>
      <c r="AX197" s="1052">
        <v>0</v>
      </c>
      <c r="AY197" s="1052">
        <v>0</v>
      </c>
      <c r="AZ197" s="1052">
        <v>36</v>
      </c>
      <c r="BA197" s="1052">
        <v>44</v>
      </c>
      <c r="BB197" s="1052">
        <v>12</v>
      </c>
      <c r="BC197" s="1052">
        <v>0</v>
      </c>
      <c r="BD197" s="1052">
        <v>53</v>
      </c>
      <c r="BE197" s="1052">
        <v>0</v>
      </c>
      <c r="BF197" s="1052">
        <v>0</v>
      </c>
      <c r="BG197" s="1052">
        <v>0</v>
      </c>
      <c r="BH197" s="1052">
        <v>89</v>
      </c>
      <c r="BI197" s="1052">
        <v>1</v>
      </c>
      <c r="BJ197" s="1052">
        <v>0</v>
      </c>
      <c r="BK197" s="1052">
        <v>0</v>
      </c>
      <c r="BL197" s="1052">
        <v>0</v>
      </c>
      <c r="BM197" s="1052">
        <v>0</v>
      </c>
      <c r="BN197" s="1052">
        <v>0</v>
      </c>
      <c r="BO197" s="1052">
        <v>805.81500000000005</v>
      </c>
      <c r="BR197" s="1140">
        <f t="shared" si="76"/>
        <v>6972222.2222222229</v>
      </c>
      <c r="BS197" s="1140">
        <f t="shared" si="77"/>
        <v>1472222.2222222222</v>
      </c>
      <c r="BT197" s="1140">
        <f t="shared" si="78"/>
        <v>0</v>
      </c>
      <c r="BU197" s="1140">
        <f t="shared" si="79"/>
        <v>8444444.4444444459</v>
      </c>
      <c r="BV197" s="1140">
        <f t="shared" ref="BV197:BV253" si="89">AV197*1000/5</f>
        <v>0</v>
      </c>
      <c r="BW197" s="1140">
        <f t="shared" ref="BW197:BW253" si="90">AX197*1000/5</f>
        <v>0</v>
      </c>
      <c r="BX197" s="1140">
        <f t="shared" ref="BX197:BX253" si="91">AY197*1000/5</f>
        <v>0</v>
      </c>
      <c r="BY197" s="1140">
        <f t="shared" si="80"/>
        <v>0</v>
      </c>
      <c r="CA197" s="1140">
        <f t="shared" si="81"/>
        <v>0</v>
      </c>
      <c r="CB197" s="1140">
        <f t="shared" si="82"/>
        <v>0</v>
      </c>
      <c r="CC197" s="1140">
        <f t="shared" si="83"/>
        <v>0</v>
      </c>
      <c r="CD197" s="1140">
        <f t="shared" si="84"/>
        <v>0</v>
      </c>
      <c r="CE197" s="1140">
        <f t="shared" si="85"/>
        <v>0</v>
      </c>
      <c r="CF197" s="1140">
        <f t="shared" si="86"/>
        <v>0</v>
      </c>
      <c r="CG197" s="1140">
        <f t="shared" si="87"/>
        <v>0</v>
      </c>
      <c r="CH197" s="1140">
        <f t="shared" si="88"/>
        <v>0</v>
      </c>
    </row>
    <row r="198" spans="1:86" ht="15" customHeight="1" x14ac:dyDescent="0.2">
      <c r="A198" s="1052">
        <v>303</v>
      </c>
      <c r="B198" s="1052"/>
      <c r="C198" s="1053" t="s">
        <v>432</v>
      </c>
      <c r="D198" s="1054" t="s">
        <v>432</v>
      </c>
      <c r="E198" s="1055">
        <f t="shared" si="72"/>
        <v>98889</v>
      </c>
      <c r="F198" s="1055">
        <v>0</v>
      </c>
      <c r="G198" s="1056">
        <f t="shared" si="71"/>
        <v>98889</v>
      </c>
      <c r="H198" s="1053" t="s">
        <v>1417</v>
      </c>
      <c r="I198" s="1054" t="s">
        <v>433</v>
      </c>
      <c r="J198" s="1054" t="s">
        <v>1412</v>
      </c>
      <c r="K198" s="1054" t="s">
        <v>36</v>
      </c>
      <c r="L198" s="1054" t="s">
        <v>10</v>
      </c>
      <c r="M198" s="1057">
        <v>0</v>
      </c>
      <c r="N198" s="1057">
        <v>0</v>
      </c>
      <c r="O198" s="1057">
        <v>0</v>
      </c>
      <c r="P198" s="1057">
        <v>0</v>
      </c>
      <c r="Q198" s="1057">
        <v>0</v>
      </c>
      <c r="R198" s="1057">
        <v>0</v>
      </c>
      <c r="S198" s="1057">
        <v>510000</v>
      </c>
      <c r="T198" s="1058">
        <f t="shared" si="74"/>
        <v>98889</v>
      </c>
      <c r="U198" s="1057">
        <v>280181</v>
      </c>
      <c r="V198" s="1057">
        <v>229819</v>
      </c>
      <c r="W198" s="1057">
        <v>0</v>
      </c>
      <c r="X198" s="1057">
        <v>0</v>
      </c>
      <c r="Y198" s="1057">
        <v>0</v>
      </c>
      <c r="Z198" s="1057">
        <v>0</v>
      </c>
      <c r="AA198" s="1057">
        <v>608889</v>
      </c>
      <c r="AB198" s="1057">
        <v>98889</v>
      </c>
      <c r="AC198" s="1057">
        <v>510000</v>
      </c>
      <c r="AD198" s="1057">
        <v>0</v>
      </c>
      <c r="AE198" s="1057">
        <v>0</v>
      </c>
      <c r="AF198" s="1057">
        <v>510000</v>
      </c>
      <c r="AG198" s="1057">
        <v>0</v>
      </c>
      <c r="AH198" s="1057">
        <v>0</v>
      </c>
      <c r="AI198" s="1057">
        <v>0</v>
      </c>
      <c r="AJ198" s="1053" t="s">
        <v>900</v>
      </c>
      <c r="AK198" s="1053" t="s">
        <v>907</v>
      </c>
      <c r="AL198" s="1054" t="s">
        <v>1416</v>
      </c>
      <c r="AM198" s="1053" t="s">
        <v>1417</v>
      </c>
      <c r="AN198" s="1054" t="s">
        <v>432</v>
      </c>
      <c r="AO198" s="1054">
        <v>98889</v>
      </c>
      <c r="AP198" s="1059">
        <f t="shared" si="73"/>
        <v>0</v>
      </c>
      <c r="AQ198" s="1059">
        <f t="shared" si="75"/>
        <v>0</v>
      </c>
      <c r="AR198" s="1052">
        <v>0</v>
      </c>
      <c r="AS198" s="1052">
        <v>0</v>
      </c>
      <c r="AT198" s="1052">
        <v>0</v>
      </c>
      <c r="AU198" s="1052">
        <v>0</v>
      </c>
      <c r="AV198" s="1052">
        <v>0</v>
      </c>
      <c r="AW198" s="1052">
        <v>0</v>
      </c>
      <c r="AX198" s="1052">
        <v>0</v>
      </c>
      <c r="AY198" s="1052">
        <v>0</v>
      </c>
      <c r="AZ198" s="1052">
        <v>0</v>
      </c>
      <c r="BA198" s="1052">
        <v>0</v>
      </c>
      <c r="BB198" s="1052">
        <v>0</v>
      </c>
      <c r="BC198" s="1052">
        <v>0</v>
      </c>
      <c r="BD198" s="1052">
        <v>0</v>
      </c>
      <c r="BE198" s="1052">
        <v>0</v>
      </c>
      <c r="BF198" s="1052">
        <v>0</v>
      </c>
      <c r="BG198" s="1052">
        <v>0</v>
      </c>
      <c r="BH198" s="1052">
        <v>0</v>
      </c>
      <c r="BI198" s="1052">
        <v>0</v>
      </c>
      <c r="BJ198" s="1052">
        <v>0</v>
      </c>
      <c r="BK198" s="1052">
        <v>0</v>
      </c>
      <c r="BL198" s="1052">
        <v>0</v>
      </c>
      <c r="BM198" s="1052">
        <v>0</v>
      </c>
      <c r="BN198" s="1052">
        <v>0</v>
      </c>
      <c r="BO198" s="1052">
        <v>0</v>
      </c>
      <c r="BR198" s="1140">
        <f t="shared" si="76"/>
        <v>0</v>
      </c>
      <c r="BS198" s="1140">
        <f t="shared" si="77"/>
        <v>0</v>
      </c>
      <c r="BT198" s="1140">
        <f t="shared" si="78"/>
        <v>0</v>
      </c>
      <c r="BU198" s="1140">
        <f t="shared" si="79"/>
        <v>0</v>
      </c>
      <c r="BV198" s="1140">
        <f t="shared" si="89"/>
        <v>0</v>
      </c>
      <c r="BW198" s="1140">
        <f t="shared" si="90"/>
        <v>0</v>
      </c>
      <c r="BX198" s="1140">
        <f t="shared" si="91"/>
        <v>0</v>
      </c>
      <c r="BY198" s="1140">
        <f t="shared" si="80"/>
        <v>0</v>
      </c>
      <c r="CA198" s="1140">
        <f t="shared" si="81"/>
        <v>0</v>
      </c>
      <c r="CB198" s="1140">
        <f t="shared" si="82"/>
        <v>0</v>
      </c>
      <c r="CC198" s="1140">
        <f t="shared" si="83"/>
        <v>0</v>
      </c>
      <c r="CD198" s="1140">
        <f t="shared" si="84"/>
        <v>0</v>
      </c>
      <c r="CE198" s="1140">
        <f t="shared" si="85"/>
        <v>0</v>
      </c>
      <c r="CF198" s="1140">
        <f t="shared" si="86"/>
        <v>0</v>
      </c>
      <c r="CG198" s="1140">
        <f t="shared" si="87"/>
        <v>0</v>
      </c>
      <c r="CH198" s="1140">
        <f t="shared" si="88"/>
        <v>0</v>
      </c>
    </row>
    <row r="199" spans="1:86" ht="15" customHeight="1" x14ac:dyDescent="0.2">
      <c r="A199" s="1052">
        <v>3632</v>
      </c>
      <c r="B199" s="1052"/>
      <c r="C199" s="1053" t="s">
        <v>436</v>
      </c>
      <c r="D199" s="1054" t="s">
        <v>436</v>
      </c>
      <c r="E199" s="1055">
        <f t="shared" si="72"/>
        <v>479400.14199999999</v>
      </c>
      <c r="F199" s="1055">
        <v>664161</v>
      </c>
      <c r="G199" s="1056">
        <f t="shared" si="71"/>
        <v>1143561.142</v>
      </c>
      <c r="H199" s="1053" t="s">
        <v>1417</v>
      </c>
      <c r="I199" s="1054" t="s">
        <v>1416</v>
      </c>
      <c r="J199" s="1054" t="s">
        <v>1417</v>
      </c>
      <c r="K199" s="1054" t="s">
        <v>422</v>
      </c>
      <c r="L199" s="1054" t="s">
        <v>1412</v>
      </c>
      <c r="M199" s="1057">
        <v>158</v>
      </c>
      <c r="N199" s="1057">
        <v>0.92200000000000004</v>
      </c>
      <c r="O199" s="1057">
        <v>0.92200000000000004</v>
      </c>
      <c r="P199" s="1057">
        <v>0.86899999999999999</v>
      </c>
      <c r="Q199" s="1057">
        <v>0.89200000000000002</v>
      </c>
      <c r="R199" s="1057">
        <v>1604003</v>
      </c>
      <c r="S199" s="1057">
        <v>1376005</v>
      </c>
      <c r="T199" s="1058">
        <f t="shared" si="74"/>
        <v>477190.89249999996</v>
      </c>
      <c r="U199" s="1057">
        <v>865639</v>
      </c>
      <c r="V199" s="1057">
        <v>510366</v>
      </c>
      <c r="W199" s="1057">
        <v>7200</v>
      </c>
      <c r="X199" s="1057">
        <v>1141351.8929999999</v>
      </c>
      <c r="Y199" s="1057">
        <v>477190.89250000002</v>
      </c>
      <c r="Z199" s="1057">
        <v>664161</v>
      </c>
      <c r="AA199" s="1057">
        <v>711844</v>
      </c>
      <c r="AB199" s="1057">
        <v>0</v>
      </c>
      <c r="AC199" s="1057">
        <v>711844</v>
      </c>
      <c r="AD199" s="1057">
        <v>0</v>
      </c>
      <c r="AE199" s="1057">
        <v>664161</v>
      </c>
      <c r="AF199" s="1057">
        <v>0</v>
      </c>
      <c r="AG199" s="1057">
        <v>711844</v>
      </c>
      <c r="AH199" s="1057">
        <v>0</v>
      </c>
      <c r="AI199" s="1057">
        <v>0</v>
      </c>
      <c r="AJ199" s="1053">
        <v>4</v>
      </c>
      <c r="AK199" s="1053" t="s">
        <v>917</v>
      </c>
      <c r="AL199" s="1054" t="s">
        <v>1416</v>
      </c>
      <c r="AM199" s="1053" t="s">
        <v>1417</v>
      </c>
      <c r="AN199" s="1054" t="s">
        <v>436</v>
      </c>
      <c r="AO199" s="1054">
        <v>1141351.8925000001</v>
      </c>
      <c r="AP199" s="1059">
        <f t="shared" si="73"/>
        <v>1409.7</v>
      </c>
      <c r="AQ199" s="1059">
        <f t="shared" si="75"/>
        <v>1429.7</v>
      </c>
      <c r="AR199" s="1052">
        <v>381</v>
      </c>
      <c r="AS199" s="1052">
        <v>0</v>
      </c>
      <c r="AT199" s="1052">
        <v>398</v>
      </c>
      <c r="AU199" s="1052">
        <v>19</v>
      </c>
      <c r="AV199" s="1052">
        <v>203</v>
      </c>
      <c r="AW199" s="1052">
        <v>0</v>
      </c>
      <c r="AX199" s="1052">
        <v>9</v>
      </c>
      <c r="AY199" s="1052">
        <v>4</v>
      </c>
      <c r="AZ199" s="1052">
        <v>28</v>
      </c>
      <c r="BA199" s="1052">
        <v>0</v>
      </c>
      <c r="BB199" s="1052">
        <v>20</v>
      </c>
      <c r="BC199" s="1052">
        <v>0</v>
      </c>
      <c r="BD199" s="1052">
        <v>130</v>
      </c>
      <c r="BE199" s="1052">
        <v>0</v>
      </c>
      <c r="BF199" s="1052">
        <v>0</v>
      </c>
      <c r="BG199" s="1052">
        <v>0</v>
      </c>
      <c r="BH199" s="1052">
        <v>183</v>
      </c>
      <c r="BI199" s="1052">
        <v>0</v>
      </c>
      <c r="BJ199" s="1052">
        <v>0</v>
      </c>
      <c r="BK199" s="1052">
        <v>0</v>
      </c>
      <c r="BL199" s="1052">
        <v>0</v>
      </c>
      <c r="BM199" s="1052">
        <v>0</v>
      </c>
      <c r="BN199" s="1052">
        <v>54700</v>
      </c>
      <c r="BO199" s="1052">
        <v>0</v>
      </c>
      <c r="BR199" s="1140">
        <f t="shared" si="76"/>
        <v>5291666.666666667</v>
      </c>
      <c r="BS199" s="1140">
        <f t="shared" si="77"/>
        <v>5527777.777777778</v>
      </c>
      <c r="BT199" s="1140">
        <f t="shared" si="78"/>
        <v>263888.88888888893</v>
      </c>
      <c r="BU199" s="1140">
        <f t="shared" si="79"/>
        <v>11083333.333333332</v>
      </c>
      <c r="BV199" s="1140">
        <f t="shared" si="89"/>
        <v>40600</v>
      </c>
      <c r="BW199" s="1140">
        <f t="shared" si="90"/>
        <v>1800</v>
      </c>
      <c r="BX199" s="1140">
        <f t="shared" si="91"/>
        <v>800</v>
      </c>
      <c r="BY199" s="1140">
        <f t="shared" si="80"/>
        <v>43200</v>
      </c>
      <c r="CA199" s="1140">
        <f t="shared" si="81"/>
        <v>0</v>
      </c>
      <c r="CB199" s="1140">
        <f t="shared" si="82"/>
        <v>0</v>
      </c>
      <c r="CC199" s="1140">
        <f t="shared" si="83"/>
        <v>0</v>
      </c>
      <c r="CD199" s="1140">
        <f t="shared" si="84"/>
        <v>0</v>
      </c>
      <c r="CE199" s="1140">
        <f t="shared" si="85"/>
        <v>40600</v>
      </c>
      <c r="CF199" s="1140">
        <f t="shared" si="86"/>
        <v>1800</v>
      </c>
      <c r="CG199" s="1140">
        <f t="shared" si="87"/>
        <v>800</v>
      </c>
      <c r="CH199" s="1140">
        <f t="shared" si="88"/>
        <v>43200</v>
      </c>
    </row>
    <row r="200" spans="1:86" ht="15" customHeight="1" x14ac:dyDescent="0.2">
      <c r="A200" s="1052">
        <v>3635</v>
      </c>
      <c r="B200" s="1052" t="s">
        <v>1412</v>
      </c>
      <c r="C200" s="1053" t="s">
        <v>438</v>
      </c>
      <c r="D200" s="1054" t="s">
        <v>438</v>
      </c>
      <c r="E200" s="1055">
        <f t="shared" si="72"/>
        <v>236697.03719999999</v>
      </c>
      <c r="F200" s="1055">
        <v>0</v>
      </c>
      <c r="G200" s="1056">
        <f t="shared" si="71"/>
        <v>236697.03719999999</v>
      </c>
      <c r="H200" s="1053" t="s">
        <v>1417</v>
      </c>
      <c r="I200" s="1054" t="s">
        <v>1416</v>
      </c>
      <c r="J200" s="1054" t="s">
        <v>1412</v>
      </c>
      <c r="K200" s="1054" t="s">
        <v>422</v>
      </c>
      <c r="L200" s="1054" t="s">
        <v>10</v>
      </c>
      <c r="M200" s="1057">
        <v>0</v>
      </c>
      <c r="N200" s="1057">
        <v>0.97099999999999997</v>
      </c>
      <c r="O200" s="1057">
        <v>0.97599999999999998</v>
      </c>
      <c r="P200" s="1057">
        <v>0.89500000000000002</v>
      </c>
      <c r="Q200" s="1057">
        <v>0.82399999999999995</v>
      </c>
      <c r="R200" s="1057">
        <v>1032173</v>
      </c>
      <c r="S200" s="1057">
        <v>679383</v>
      </c>
      <c r="T200" s="1058">
        <f t="shared" si="74"/>
        <v>307071.46749999997</v>
      </c>
      <c r="U200" s="1057">
        <v>472747</v>
      </c>
      <c r="V200" s="1057">
        <v>206636</v>
      </c>
      <c r="W200" s="1057">
        <v>3600</v>
      </c>
      <c r="X200" s="1057">
        <v>0</v>
      </c>
      <c r="Y200" s="1057">
        <v>0</v>
      </c>
      <c r="Z200" s="1057">
        <v>0</v>
      </c>
      <c r="AA200" s="1057">
        <v>986454.46750000003</v>
      </c>
      <c r="AB200" s="1057">
        <v>307071.46750000003</v>
      </c>
      <c r="AC200" s="1057">
        <v>679383</v>
      </c>
      <c r="AD200" s="1057">
        <v>0</v>
      </c>
      <c r="AE200" s="1057">
        <v>0</v>
      </c>
      <c r="AF200" s="1057">
        <v>679383</v>
      </c>
      <c r="AG200" s="1057">
        <v>0</v>
      </c>
      <c r="AH200" s="1057">
        <v>1936000</v>
      </c>
      <c r="AI200" s="1057">
        <v>1972000</v>
      </c>
      <c r="AJ200" s="1053">
        <v>4</v>
      </c>
      <c r="AK200" s="1053" t="s">
        <v>917</v>
      </c>
      <c r="AL200" s="1054" t="s">
        <v>1416</v>
      </c>
      <c r="AM200" s="1053" t="s">
        <v>1417</v>
      </c>
      <c r="AN200" s="1054" t="s">
        <v>438</v>
      </c>
      <c r="AO200" s="1054">
        <v>307071.46750000003</v>
      </c>
      <c r="AP200" s="1059">
        <f t="shared" si="73"/>
        <v>724.97209999999995</v>
      </c>
      <c r="AQ200" s="1059">
        <f t="shared" si="75"/>
        <v>744.97209999999995</v>
      </c>
      <c r="AR200" s="1052">
        <v>-29</v>
      </c>
      <c r="AS200" s="1052">
        <v>1972</v>
      </c>
      <c r="AT200" s="1052">
        <v>709</v>
      </c>
      <c r="AU200" s="1052">
        <v>1</v>
      </c>
      <c r="AV200" s="1052">
        <v>0</v>
      </c>
      <c r="AW200" s="1052">
        <v>0</v>
      </c>
      <c r="AX200" s="1052">
        <v>0</v>
      </c>
      <c r="AY200" s="1052">
        <v>1</v>
      </c>
      <c r="AZ200" s="1052">
        <v>0</v>
      </c>
      <c r="BA200" s="1052">
        <v>34</v>
      </c>
      <c r="BB200" s="1052">
        <v>20</v>
      </c>
      <c r="BC200" s="1052">
        <v>0</v>
      </c>
      <c r="BD200" s="1052">
        <v>0</v>
      </c>
      <c r="BE200" s="1052">
        <v>0</v>
      </c>
      <c r="BF200" s="1052">
        <v>0</v>
      </c>
      <c r="BG200" s="1052">
        <v>0</v>
      </c>
      <c r="BH200" s="1052">
        <v>0</v>
      </c>
      <c r="BI200" s="1052">
        <v>0</v>
      </c>
      <c r="BJ200" s="1052">
        <v>0</v>
      </c>
      <c r="BK200" s="1052">
        <v>0</v>
      </c>
      <c r="BL200" s="1052">
        <v>0</v>
      </c>
      <c r="BM200" s="1052">
        <v>0</v>
      </c>
      <c r="BN200" s="1052">
        <v>0</v>
      </c>
      <c r="BO200" s="1052">
        <v>429.721</v>
      </c>
      <c r="BR200" s="1140">
        <f t="shared" si="76"/>
        <v>-402777.77777777781</v>
      </c>
      <c r="BS200" s="1140">
        <f t="shared" si="77"/>
        <v>9847222.2222222239</v>
      </c>
      <c r="BT200" s="1140">
        <f t="shared" si="78"/>
        <v>13888.888888888891</v>
      </c>
      <c r="BU200" s="1140">
        <f t="shared" si="79"/>
        <v>9458333.333333334</v>
      </c>
      <c r="BV200" s="1140">
        <f t="shared" si="89"/>
        <v>0</v>
      </c>
      <c r="BW200" s="1140">
        <f t="shared" si="90"/>
        <v>0</v>
      </c>
      <c r="BX200" s="1140">
        <f t="shared" si="91"/>
        <v>200</v>
      </c>
      <c r="BY200" s="1140">
        <f t="shared" si="80"/>
        <v>200</v>
      </c>
      <c r="CA200" s="1140">
        <f t="shared" si="81"/>
        <v>0</v>
      </c>
      <c r="CB200" s="1140">
        <f t="shared" si="82"/>
        <v>0</v>
      </c>
      <c r="CC200" s="1140">
        <f t="shared" si="83"/>
        <v>0</v>
      </c>
      <c r="CD200" s="1140">
        <f t="shared" si="84"/>
        <v>0</v>
      </c>
      <c r="CE200" s="1140">
        <f t="shared" si="85"/>
        <v>0</v>
      </c>
      <c r="CF200" s="1140">
        <f t="shared" si="86"/>
        <v>0</v>
      </c>
      <c r="CG200" s="1140">
        <f t="shared" si="87"/>
        <v>200</v>
      </c>
      <c r="CH200" s="1140">
        <f t="shared" si="88"/>
        <v>200</v>
      </c>
    </row>
    <row r="201" spans="1:86" ht="15" customHeight="1" x14ac:dyDescent="0.2">
      <c r="A201" s="1052">
        <v>4674</v>
      </c>
      <c r="B201" s="1052" t="s">
        <v>1412</v>
      </c>
      <c r="C201" s="1053" t="s">
        <v>440</v>
      </c>
      <c r="D201" s="1054" t="s">
        <v>440</v>
      </c>
      <c r="E201" s="1055">
        <f t="shared" si="72"/>
        <v>364645.89199999999</v>
      </c>
      <c r="F201" s="1055">
        <v>0</v>
      </c>
      <c r="G201" s="1056">
        <f t="shared" si="71"/>
        <v>364645.89199999999</v>
      </c>
      <c r="H201" s="1053" t="s">
        <v>10</v>
      </c>
      <c r="I201" s="1054" t="s">
        <v>1416</v>
      </c>
      <c r="J201" s="1054" t="s">
        <v>1412</v>
      </c>
      <c r="K201" s="1054" t="s">
        <v>441</v>
      </c>
      <c r="L201" s="1054" t="s">
        <v>10</v>
      </c>
      <c r="M201" s="1057">
        <v>122</v>
      </c>
      <c r="N201" s="1057">
        <v>0.93</v>
      </c>
      <c r="O201" s="1057">
        <v>0.93300000000000005</v>
      </c>
      <c r="P201" s="1057">
        <v>0.94</v>
      </c>
      <c r="Q201" s="1057">
        <v>0.95199999999999996</v>
      </c>
      <c r="R201" s="1057">
        <v>697704</v>
      </c>
      <c r="S201" s="1057">
        <v>1046630</v>
      </c>
      <c r="T201" s="1058">
        <f t="shared" si="74"/>
        <v>207566.94</v>
      </c>
      <c r="U201" s="1057">
        <v>655987</v>
      </c>
      <c r="V201" s="1057">
        <v>390643</v>
      </c>
      <c r="W201" s="1057">
        <v>6000</v>
      </c>
      <c r="X201" s="1057">
        <v>0</v>
      </c>
      <c r="Y201" s="1057">
        <v>0</v>
      </c>
      <c r="Z201" s="1057">
        <v>0</v>
      </c>
      <c r="AA201" s="1057">
        <v>1254196.94</v>
      </c>
      <c r="AB201" s="1057">
        <v>207566.94</v>
      </c>
      <c r="AC201" s="1057">
        <v>1046630</v>
      </c>
      <c r="AD201" s="1057">
        <v>0</v>
      </c>
      <c r="AE201" s="1057">
        <v>0</v>
      </c>
      <c r="AF201" s="1057">
        <v>1046630</v>
      </c>
      <c r="AG201" s="1057">
        <v>0</v>
      </c>
      <c r="AH201" s="1057">
        <v>889000</v>
      </c>
      <c r="AI201" s="1057">
        <v>199000</v>
      </c>
      <c r="AJ201" s="1053" t="s">
        <v>908</v>
      </c>
      <c r="AK201" s="1053" t="s">
        <v>909</v>
      </c>
      <c r="AL201" s="1054" t="s">
        <v>1416</v>
      </c>
      <c r="AM201" s="1053" t="s">
        <v>10</v>
      </c>
      <c r="AN201" s="1054" t="s">
        <v>440</v>
      </c>
      <c r="AO201" s="1054">
        <v>207566.94</v>
      </c>
      <c r="AP201" s="1059">
        <f t="shared" si="73"/>
        <v>1180.8633</v>
      </c>
      <c r="AQ201" s="1059">
        <f t="shared" si="75"/>
        <v>1211.8633</v>
      </c>
      <c r="AR201" s="1052">
        <v>764</v>
      </c>
      <c r="AS201" s="1052">
        <v>199</v>
      </c>
      <c r="AT201" s="1052">
        <v>147</v>
      </c>
      <c r="AU201" s="1052">
        <v>29</v>
      </c>
      <c r="AV201" s="1052">
        <v>0</v>
      </c>
      <c r="AW201" s="1052">
        <v>0</v>
      </c>
      <c r="AX201" s="1052">
        <v>2</v>
      </c>
      <c r="AY201" s="1052">
        <v>2</v>
      </c>
      <c r="AZ201" s="1052">
        <v>0</v>
      </c>
      <c r="BA201" s="1052">
        <v>60</v>
      </c>
      <c r="BB201" s="1052">
        <v>40</v>
      </c>
      <c r="BC201" s="1052">
        <v>-9</v>
      </c>
      <c r="BD201" s="1052">
        <v>34</v>
      </c>
      <c r="BE201" s="1052">
        <v>0</v>
      </c>
      <c r="BF201" s="1052">
        <v>0</v>
      </c>
      <c r="BG201" s="1052">
        <v>0</v>
      </c>
      <c r="BH201" s="1052">
        <v>88</v>
      </c>
      <c r="BI201" s="1052">
        <v>0</v>
      </c>
      <c r="BJ201" s="1052">
        <v>0</v>
      </c>
      <c r="BK201" s="1052">
        <v>0</v>
      </c>
      <c r="BL201" s="1052">
        <v>0</v>
      </c>
      <c r="BM201" s="1052">
        <v>0</v>
      </c>
      <c r="BN201" s="1052">
        <v>21165</v>
      </c>
      <c r="BO201" s="1052">
        <v>936.98299999999995</v>
      </c>
      <c r="BR201" s="1140">
        <f t="shared" si="76"/>
        <v>10611111.111111112</v>
      </c>
      <c r="BS201" s="1140">
        <f t="shared" si="77"/>
        <v>2041666.6666666667</v>
      </c>
      <c r="BT201" s="1140">
        <f t="shared" si="78"/>
        <v>402777.77777777781</v>
      </c>
      <c r="BU201" s="1140">
        <f t="shared" si="79"/>
        <v>13055555.555555556</v>
      </c>
      <c r="BV201" s="1140">
        <f t="shared" si="89"/>
        <v>0</v>
      </c>
      <c r="BW201" s="1140">
        <f t="shared" si="90"/>
        <v>400</v>
      </c>
      <c r="BX201" s="1140">
        <f t="shared" si="91"/>
        <v>400</v>
      </c>
      <c r="BY201" s="1140">
        <f t="shared" si="80"/>
        <v>800</v>
      </c>
      <c r="CA201" s="1140">
        <f t="shared" si="81"/>
        <v>10611111.111111112</v>
      </c>
      <c r="CB201" s="1140">
        <f t="shared" si="82"/>
        <v>2041666.6666666667</v>
      </c>
      <c r="CC201" s="1140">
        <f t="shared" si="83"/>
        <v>402777.77777777781</v>
      </c>
      <c r="CD201" s="1140">
        <f t="shared" si="84"/>
        <v>13055555.555555556</v>
      </c>
      <c r="CE201" s="1140">
        <f t="shared" si="85"/>
        <v>0</v>
      </c>
      <c r="CF201" s="1140">
        <f t="shared" si="86"/>
        <v>400</v>
      </c>
      <c r="CG201" s="1140">
        <f t="shared" si="87"/>
        <v>400</v>
      </c>
      <c r="CH201" s="1140">
        <f t="shared" si="88"/>
        <v>800</v>
      </c>
    </row>
    <row r="202" spans="1:86" ht="15" customHeight="1" x14ac:dyDescent="0.2">
      <c r="A202" s="1052">
        <v>3725</v>
      </c>
      <c r="B202" s="1052" t="s">
        <v>1412</v>
      </c>
      <c r="C202" s="1053" t="s">
        <v>442</v>
      </c>
      <c r="D202" s="1054" t="s">
        <v>442</v>
      </c>
      <c r="E202" s="1055">
        <f t="shared" si="72"/>
        <v>323173.0528</v>
      </c>
      <c r="F202" s="1055">
        <v>0</v>
      </c>
      <c r="G202" s="1056">
        <f t="shared" si="71"/>
        <v>323173.0528</v>
      </c>
      <c r="H202" s="1053" t="s">
        <v>10</v>
      </c>
      <c r="I202" s="1054" t="s">
        <v>1416</v>
      </c>
      <c r="J202" s="1054" t="s">
        <v>1412</v>
      </c>
      <c r="K202" s="1054" t="s">
        <v>450</v>
      </c>
      <c r="L202" s="1054" t="s">
        <v>10</v>
      </c>
      <c r="M202" s="1057">
        <v>125</v>
      </c>
      <c r="N202" s="1057">
        <v>0.89400000000000002</v>
      </c>
      <c r="O202" s="1057">
        <v>0.89800000000000002</v>
      </c>
      <c r="P202" s="1057">
        <v>0.92500000000000004</v>
      </c>
      <c r="Q202" s="1057">
        <v>0.95199999999999996</v>
      </c>
      <c r="R202" s="1057">
        <v>954926</v>
      </c>
      <c r="S202" s="1057">
        <v>927592</v>
      </c>
      <c r="T202" s="1058">
        <f t="shared" si="74"/>
        <v>284090.48499999999</v>
      </c>
      <c r="U202" s="1057">
        <v>578056</v>
      </c>
      <c r="V202" s="1057">
        <v>349536</v>
      </c>
      <c r="W202" s="1057">
        <v>5268</v>
      </c>
      <c r="X202" s="1057">
        <v>0</v>
      </c>
      <c r="Y202" s="1057">
        <v>0</v>
      </c>
      <c r="Z202" s="1057">
        <v>0</v>
      </c>
      <c r="AA202" s="1057">
        <v>1211682.4850000001</v>
      </c>
      <c r="AB202" s="1057">
        <v>284090.48499999999</v>
      </c>
      <c r="AC202" s="1057">
        <v>927592</v>
      </c>
      <c r="AD202" s="1057">
        <v>0</v>
      </c>
      <c r="AE202" s="1057">
        <v>0</v>
      </c>
      <c r="AF202" s="1057">
        <v>927592</v>
      </c>
      <c r="AG202" s="1057">
        <v>0</v>
      </c>
      <c r="AH202" s="1057">
        <v>674000</v>
      </c>
      <c r="AI202" s="1057">
        <v>458000</v>
      </c>
      <c r="AJ202" s="1053" t="s">
        <v>900</v>
      </c>
      <c r="AK202" s="1053" t="s">
        <v>922</v>
      </c>
      <c r="AL202" s="1054" t="s">
        <v>1416</v>
      </c>
      <c r="AM202" s="1053" t="s">
        <v>10</v>
      </c>
      <c r="AN202" s="1054" t="s">
        <v>442</v>
      </c>
      <c r="AO202" s="1054">
        <v>286002.815</v>
      </c>
      <c r="AP202" s="1059">
        <f t="shared" si="73"/>
        <v>164.09569999999999</v>
      </c>
      <c r="AQ202" s="1059">
        <f t="shared" si="75"/>
        <v>172.09570000000002</v>
      </c>
      <c r="AR202" s="1052">
        <v>41</v>
      </c>
      <c r="AS202" s="1052">
        <v>329</v>
      </c>
      <c r="AT202" s="1052">
        <v>69</v>
      </c>
      <c r="AU202" s="1052">
        <v>0</v>
      </c>
      <c r="AV202" s="1052">
        <v>0</v>
      </c>
      <c r="AW202" s="1052">
        <v>0</v>
      </c>
      <c r="AX202" s="1052">
        <v>0</v>
      </c>
      <c r="AY202" s="1052">
        <v>0</v>
      </c>
      <c r="AZ202" s="1052">
        <v>0</v>
      </c>
      <c r="BA202" s="1052">
        <v>10</v>
      </c>
      <c r="BB202" s="1052">
        <v>8</v>
      </c>
      <c r="BC202" s="1052">
        <v>0</v>
      </c>
      <c r="BD202" s="1052">
        <v>0</v>
      </c>
      <c r="BE202" s="1052">
        <v>0</v>
      </c>
      <c r="BF202" s="1052">
        <v>0</v>
      </c>
      <c r="BG202" s="1052">
        <v>0</v>
      </c>
      <c r="BH202" s="1052">
        <v>0</v>
      </c>
      <c r="BI202" s="1052">
        <v>0</v>
      </c>
      <c r="BJ202" s="1052">
        <v>0</v>
      </c>
      <c r="BK202" s="1052">
        <v>0</v>
      </c>
      <c r="BL202" s="1052">
        <v>0</v>
      </c>
      <c r="BM202" s="1052">
        <v>0</v>
      </c>
      <c r="BN202" s="1052">
        <v>10591</v>
      </c>
      <c r="BO202" s="1052">
        <v>435.04700000000003</v>
      </c>
      <c r="BR202" s="1140">
        <f t="shared" si="76"/>
        <v>569444.4444444445</v>
      </c>
      <c r="BS202" s="1140">
        <f t="shared" si="77"/>
        <v>958333.33333333337</v>
      </c>
      <c r="BT202" s="1140">
        <f t="shared" si="78"/>
        <v>0</v>
      </c>
      <c r="BU202" s="1140">
        <f t="shared" si="79"/>
        <v>1527777.777777778</v>
      </c>
      <c r="BV202" s="1140">
        <f t="shared" si="89"/>
        <v>0</v>
      </c>
      <c r="BW202" s="1140">
        <f t="shared" si="90"/>
        <v>0</v>
      </c>
      <c r="BX202" s="1140">
        <f t="shared" si="91"/>
        <v>0</v>
      </c>
      <c r="BY202" s="1140">
        <f t="shared" si="80"/>
        <v>0</v>
      </c>
      <c r="CA202" s="1140">
        <f t="shared" si="81"/>
        <v>569444.4444444445</v>
      </c>
      <c r="CB202" s="1140">
        <f t="shared" si="82"/>
        <v>958333.33333333337</v>
      </c>
      <c r="CC202" s="1140">
        <f t="shared" si="83"/>
        <v>0</v>
      </c>
      <c r="CD202" s="1140">
        <f t="shared" si="84"/>
        <v>1527777.777777778</v>
      </c>
      <c r="CE202" s="1140">
        <f t="shared" si="85"/>
        <v>0</v>
      </c>
      <c r="CF202" s="1140">
        <f t="shared" si="86"/>
        <v>0</v>
      </c>
      <c r="CG202" s="1140">
        <f t="shared" si="87"/>
        <v>0</v>
      </c>
      <c r="CH202" s="1140">
        <f t="shared" si="88"/>
        <v>0</v>
      </c>
    </row>
    <row r="203" spans="1:86" ht="15" customHeight="1" x14ac:dyDescent="0.2">
      <c r="A203" s="1052">
        <v>4772</v>
      </c>
      <c r="B203" s="1052" t="s">
        <v>1412</v>
      </c>
      <c r="C203" s="1053" t="s">
        <v>442</v>
      </c>
      <c r="D203" s="1054" t="s">
        <v>442</v>
      </c>
      <c r="E203" s="1055">
        <f t="shared" si="72"/>
        <v>296362.27919999999</v>
      </c>
      <c r="F203" s="1055">
        <v>0</v>
      </c>
      <c r="G203" s="1056">
        <f t="shared" si="71"/>
        <v>296362.27919999999</v>
      </c>
      <c r="H203" s="1053" t="s">
        <v>1417</v>
      </c>
      <c r="I203" s="1054" t="s">
        <v>1416</v>
      </c>
      <c r="J203" s="1054" t="s">
        <v>1412</v>
      </c>
      <c r="K203" s="1054" t="s">
        <v>444</v>
      </c>
      <c r="L203" s="1054" t="s">
        <v>10</v>
      </c>
      <c r="M203" s="1057">
        <v>83</v>
      </c>
      <c r="N203" s="1057">
        <v>0.84</v>
      </c>
      <c r="O203" s="1057">
        <v>0.879</v>
      </c>
      <c r="P203" s="1057">
        <v>0.878</v>
      </c>
      <c r="Q203" s="1057">
        <v>0.84899999999999998</v>
      </c>
      <c r="R203" s="1057">
        <v>961354</v>
      </c>
      <c r="S203" s="1057">
        <v>850638</v>
      </c>
      <c r="T203" s="1058">
        <f t="shared" si="74"/>
        <v>286002.815</v>
      </c>
      <c r="U203" s="1057">
        <v>639637</v>
      </c>
      <c r="V203" s="1057">
        <v>211001</v>
      </c>
      <c r="W203" s="1057">
        <v>4680</v>
      </c>
      <c r="X203" s="1057">
        <v>0</v>
      </c>
      <c r="Y203" s="1057">
        <v>0</v>
      </c>
      <c r="Z203" s="1057">
        <v>0</v>
      </c>
      <c r="AA203" s="1057">
        <v>1136640.8149999999</v>
      </c>
      <c r="AB203" s="1057">
        <v>286002.815</v>
      </c>
      <c r="AC203" s="1057">
        <v>850638</v>
      </c>
      <c r="AD203" s="1057">
        <v>0</v>
      </c>
      <c r="AE203" s="1057">
        <v>0</v>
      </c>
      <c r="AF203" s="1057">
        <v>850638</v>
      </c>
      <c r="AG203" s="1057">
        <v>0</v>
      </c>
      <c r="AH203" s="1057">
        <v>401000</v>
      </c>
      <c r="AI203" s="1057">
        <v>329000</v>
      </c>
      <c r="AJ203" s="1053">
        <v>4</v>
      </c>
      <c r="AK203" s="1053" t="s">
        <v>899</v>
      </c>
      <c r="AL203" s="1054" t="s">
        <v>1416</v>
      </c>
      <c r="AM203" s="1053" t="s">
        <v>1417</v>
      </c>
      <c r="AN203" s="1054" t="s">
        <v>442</v>
      </c>
      <c r="AO203" s="1054">
        <v>284090.48499999999</v>
      </c>
      <c r="AP203" s="1059">
        <f t="shared" si="73"/>
        <v>336.08069499999999</v>
      </c>
      <c r="AQ203" s="1059">
        <f t="shared" si="75"/>
        <v>368.08069499999999</v>
      </c>
      <c r="AR203" s="1052">
        <v>0</v>
      </c>
      <c r="AS203" s="1052">
        <v>458</v>
      </c>
      <c r="AT203" s="1052">
        <v>299</v>
      </c>
      <c r="AU203" s="1052">
        <v>1</v>
      </c>
      <c r="AV203" s="1052">
        <v>0</v>
      </c>
      <c r="AW203" s="1052">
        <v>37</v>
      </c>
      <c r="AX203" s="1052">
        <v>7</v>
      </c>
      <c r="AY203" s="1052">
        <v>0</v>
      </c>
      <c r="AZ203" s="1052">
        <v>0</v>
      </c>
      <c r="BA203" s="1052">
        <v>75</v>
      </c>
      <c r="BB203" s="1052">
        <v>32</v>
      </c>
      <c r="BC203" s="1052">
        <v>0</v>
      </c>
      <c r="BD203" s="1052">
        <v>0</v>
      </c>
      <c r="BE203" s="1052">
        <v>0</v>
      </c>
      <c r="BF203" s="1052">
        <v>0</v>
      </c>
      <c r="BG203" s="1052">
        <v>0</v>
      </c>
      <c r="BH203" s="1052">
        <v>0</v>
      </c>
      <c r="BI203" s="1052">
        <v>1</v>
      </c>
      <c r="BJ203" s="1052">
        <v>0</v>
      </c>
      <c r="BK203" s="1052">
        <v>0</v>
      </c>
      <c r="BL203" s="1052">
        <v>0</v>
      </c>
      <c r="BM203" s="1052">
        <v>0</v>
      </c>
      <c r="BN203" s="1052">
        <v>0</v>
      </c>
      <c r="BO203" s="1052">
        <v>290.80694999999997</v>
      </c>
      <c r="BR203" s="1140">
        <f t="shared" si="76"/>
        <v>0</v>
      </c>
      <c r="BS203" s="1140">
        <f t="shared" si="77"/>
        <v>4152777.777777778</v>
      </c>
      <c r="BT203" s="1140">
        <f t="shared" si="78"/>
        <v>13888.888888888891</v>
      </c>
      <c r="BU203" s="1140">
        <f t="shared" si="79"/>
        <v>4166666.666666667</v>
      </c>
      <c r="BV203" s="1140">
        <f t="shared" si="89"/>
        <v>0</v>
      </c>
      <c r="BW203" s="1140">
        <f t="shared" si="90"/>
        <v>1400</v>
      </c>
      <c r="BX203" s="1140">
        <f t="shared" si="91"/>
        <v>0</v>
      </c>
      <c r="BY203" s="1140">
        <f t="shared" si="80"/>
        <v>1400</v>
      </c>
      <c r="CA203" s="1140">
        <f t="shared" si="81"/>
        <v>0</v>
      </c>
      <c r="CB203" s="1140">
        <f t="shared" si="82"/>
        <v>0</v>
      </c>
      <c r="CC203" s="1140">
        <f t="shared" si="83"/>
        <v>0</v>
      </c>
      <c r="CD203" s="1140">
        <f t="shared" si="84"/>
        <v>0</v>
      </c>
      <c r="CE203" s="1140">
        <f t="shared" si="85"/>
        <v>0</v>
      </c>
      <c r="CF203" s="1140">
        <f t="shared" si="86"/>
        <v>1400</v>
      </c>
      <c r="CG203" s="1140">
        <f t="shared" si="87"/>
        <v>0</v>
      </c>
      <c r="CH203" s="1140">
        <f t="shared" si="88"/>
        <v>1400</v>
      </c>
    </row>
    <row r="204" spans="1:86" ht="15" customHeight="1" x14ac:dyDescent="0.2">
      <c r="A204" s="1052">
        <v>4838</v>
      </c>
      <c r="B204" s="1052"/>
      <c r="C204" s="1053" t="s">
        <v>451</v>
      </c>
      <c r="D204" s="1054" t="s">
        <v>451</v>
      </c>
      <c r="E204" s="1055">
        <f t="shared" si="72"/>
        <v>555698</v>
      </c>
      <c r="F204" s="1055">
        <v>0</v>
      </c>
      <c r="G204" s="1056">
        <f t="shared" si="71"/>
        <v>555698</v>
      </c>
      <c r="H204" s="1053" t="s">
        <v>10</v>
      </c>
      <c r="I204" s="1054" t="s">
        <v>1416</v>
      </c>
      <c r="J204" s="1054" t="s">
        <v>1417</v>
      </c>
      <c r="K204" s="1054" t="s">
        <v>453</v>
      </c>
      <c r="L204" s="1054" t="s">
        <v>10</v>
      </c>
      <c r="M204" s="1057">
        <v>184</v>
      </c>
      <c r="N204" s="1057">
        <v>0.93700000000000006</v>
      </c>
      <c r="O204" s="1057">
        <v>0.93300000000000005</v>
      </c>
      <c r="P204" s="1057">
        <v>0.92500000000000004</v>
      </c>
      <c r="Q204" s="1057">
        <v>0.95199999999999996</v>
      </c>
      <c r="R204" s="1057">
        <v>1645706</v>
      </c>
      <c r="S204" s="1057">
        <v>1595000</v>
      </c>
      <c r="T204" s="1058">
        <f t="shared" si="74"/>
        <v>489597.53499999997</v>
      </c>
      <c r="U204" s="1057">
        <v>865500</v>
      </c>
      <c r="V204" s="1057">
        <v>729500</v>
      </c>
      <c r="W204" s="1057">
        <v>8730</v>
      </c>
      <c r="X204" s="1057">
        <v>0</v>
      </c>
      <c r="Y204" s="1057">
        <v>0</v>
      </c>
      <c r="Z204" s="1057">
        <v>0</v>
      </c>
      <c r="AA204" s="1057">
        <v>2084597.5349999999</v>
      </c>
      <c r="AB204" s="1057">
        <v>489597.53499999997</v>
      </c>
      <c r="AC204" s="1057">
        <v>1595000</v>
      </c>
      <c r="AD204" s="1057">
        <v>0</v>
      </c>
      <c r="AE204" s="1057">
        <v>0</v>
      </c>
      <c r="AF204" s="1057">
        <v>0</v>
      </c>
      <c r="AG204" s="1057">
        <v>1595000</v>
      </c>
      <c r="AH204" s="1057">
        <v>0</v>
      </c>
      <c r="AI204" s="1057">
        <v>0</v>
      </c>
      <c r="AJ204" s="1053">
        <v>4</v>
      </c>
      <c r="AK204" s="1053" t="s">
        <v>915</v>
      </c>
      <c r="AL204" s="1054" t="s">
        <v>1416</v>
      </c>
      <c r="AM204" s="1053" t="s">
        <v>10</v>
      </c>
      <c r="AN204" s="1054" t="s">
        <v>451</v>
      </c>
      <c r="AO204" s="1054">
        <v>489597.53499999997</v>
      </c>
      <c r="AP204" s="1059">
        <f t="shared" si="73"/>
        <v>1360.7484999999999</v>
      </c>
      <c r="AQ204" s="1059">
        <f t="shared" si="75"/>
        <v>1395.7484999999999</v>
      </c>
      <c r="AR204" s="1052">
        <v>214</v>
      </c>
      <c r="AS204" s="1052">
        <v>0</v>
      </c>
      <c r="AT204" s="1052">
        <v>783</v>
      </c>
      <c r="AU204" s="1052">
        <v>5</v>
      </c>
      <c r="AV204" s="1052">
        <v>0</v>
      </c>
      <c r="AW204" s="1052">
        <v>0</v>
      </c>
      <c r="AX204" s="1052">
        <v>74</v>
      </c>
      <c r="AY204" s="1052">
        <v>0</v>
      </c>
      <c r="AZ204" s="1052">
        <v>162</v>
      </c>
      <c r="BA204" s="1052">
        <v>0</v>
      </c>
      <c r="BB204" s="1052">
        <v>32</v>
      </c>
      <c r="BC204" s="1052">
        <v>3</v>
      </c>
      <c r="BD204" s="1052">
        <v>35</v>
      </c>
      <c r="BE204" s="1052">
        <v>0</v>
      </c>
      <c r="BF204" s="1052">
        <v>0</v>
      </c>
      <c r="BG204" s="1052">
        <v>0</v>
      </c>
      <c r="BH204" s="1052">
        <v>76</v>
      </c>
      <c r="BI204" s="1052">
        <v>0</v>
      </c>
      <c r="BJ204" s="1052">
        <v>0</v>
      </c>
      <c r="BK204" s="1052">
        <v>0</v>
      </c>
      <c r="BL204" s="1052">
        <v>0</v>
      </c>
      <c r="BM204" s="1052">
        <v>0</v>
      </c>
      <c r="BN204" s="1052">
        <v>0</v>
      </c>
      <c r="BO204" s="1052">
        <v>117.485</v>
      </c>
      <c r="BR204" s="1140">
        <f t="shared" si="76"/>
        <v>2972222.2222222225</v>
      </c>
      <c r="BS204" s="1140">
        <f t="shared" si="77"/>
        <v>10875000</v>
      </c>
      <c r="BT204" s="1140">
        <f t="shared" si="78"/>
        <v>69444.444444444453</v>
      </c>
      <c r="BU204" s="1140">
        <f t="shared" si="79"/>
        <v>13916666.666666666</v>
      </c>
      <c r="BV204" s="1140">
        <f t="shared" si="89"/>
        <v>0</v>
      </c>
      <c r="BW204" s="1140">
        <f t="shared" si="90"/>
        <v>14800</v>
      </c>
      <c r="BX204" s="1140">
        <f t="shared" si="91"/>
        <v>0</v>
      </c>
      <c r="BY204" s="1140">
        <f t="shared" si="80"/>
        <v>14800</v>
      </c>
      <c r="CA204" s="1140">
        <f t="shared" si="81"/>
        <v>2972222.2222222225</v>
      </c>
      <c r="CB204" s="1140">
        <f t="shared" si="82"/>
        <v>10875000</v>
      </c>
      <c r="CC204" s="1140">
        <f t="shared" si="83"/>
        <v>69444.444444444453</v>
      </c>
      <c r="CD204" s="1140">
        <f t="shared" si="84"/>
        <v>13916666.666666666</v>
      </c>
      <c r="CE204" s="1140">
        <f t="shared" si="85"/>
        <v>0</v>
      </c>
      <c r="CF204" s="1140">
        <f t="shared" si="86"/>
        <v>14800</v>
      </c>
      <c r="CG204" s="1140">
        <f t="shared" si="87"/>
        <v>0</v>
      </c>
      <c r="CH204" s="1140">
        <f t="shared" si="88"/>
        <v>14800</v>
      </c>
    </row>
    <row r="205" spans="1:86" ht="15" customHeight="1" x14ac:dyDescent="0.2">
      <c r="A205" s="1052">
        <v>9550</v>
      </c>
      <c r="B205" s="1052"/>
      <c r="C205" s="1053" t="s">
        <v>455</v>
      </c>
      <c r="D205" s="1054" t="s">
        <v>455</v>
      </c>
      <c r="E205" s="1055">
        <f t="shared" si="72"/>
        <v>406594.29719999997</v>
      </c>
      <c r="F205" s="1055">
        <v>0</v>
      </c>
      <c r="G205" s="1056">
        <f t="shared" si="71"/>
        <v>406594.29719999997</v>
      </c>
      <c r="H205" s="1053" t="s">
        <v>10</v>
      </c>
      <c r="I205" s="1054" t="s">
        <v>1416</v>
      </c>
      <c r="J205" s="1054" t="s">
        <v>1417</v>
      </c>
      <c r="K205" s="1054" t="s">
        <v>1549</v>
      </c>
      <c r="L205" s="1054" t="s">
        <v>10</v>
      </c>
      <c r="M205" s="1057">
        <v>130</v>
      </c>
      <c r="N205" s="1057">
        <v>0.90400000000000003</v>
      </c>
      <c r="O205" s="1057">
        <v>0.90800000000000003</v>
      </c>
      <c r="P205" s="1057">
        <v>0.91400000000000003</v>
      </c>
      <c r="Q205" s="1057">
        <v>0.91900000000000004</v>
      </c>
      <c r="R205" s="1057">
        <v>1259825</v>
      </c>
      <c r="S205" s="1057">
        <v>1167033</v>
      </c>
      <c r="T205" s="1058">
        <f t="shared" si="74"/>
        <v>374797.9375</v>
      </c>
      <c r="U205" s="1057">
        <v>866746</v>
      </c>
      <c r="V205" s="1057">
        <v>300287</v>
      </c>
      <c r="W205" s="1057">
        <v>5683</v>
      </c>
      <c r="X205" s="1057">
        <v>0</v>
      </c>
      <c r="Y205" s="1057">
        <v>0</v>
      </c>
      <c r="Z205" s="1057">
        <v>0</v>
      </c>
      <c r="AA205" s="1057">
        <v>1541830.9380000001</v>
      </c>
      <c r="AB205" s="1057">
        <v>374797.9375</v>
      </c>
      <c r="AC205" s="1057">
        <v>1167033</v>
      </c>
      <c r="AD205" s="1057">
        <v>0</v>
      </c>
      <c r="AE205" s="1057">
        <v>0</v>
      </c>
      <c r="AF205" s="1057">
        <v>0</v>
      </c>
      <c r="AG205" s="1057">
        <v>1167033</v>
      </c>
      <c r="AH205" s="1057">
        <v>0</v>
      </c>
      <c r="AI205" s="1057">
        <v>0</v>
      </c>
      <c r="AJ205" s="1053">
        <v>4</v>
      </c>
      <c r="AK205" s="1053" t="s">
        <v>913</v>
      </c>
      <c r="AL205" s="1054" t="s">
        <v>1416</v>
      </c>
      <c r="AM205" s="1053" t="s">
        <v>10</v>
      </c>
      <c r="AN205" s="1054" t="s">
        <v>455</v>
      </c>
      <c r="AO205" s="1054">
        <v>374797.9375</v>
      </c>
      <c r="AP205" s="1059">
        <f t="shared" si="73"/>
        <v>442.35680000000002</v>
      </c>
      <c r="AQ205" s="1059">
        <f t="shared" si="75"/>
        <v>460.35680000000002</v>
      </c>
      <c r="AR205" s="1052">
        <v>0</v>
      </c>
      <c r="AS205" s="1052">
        <v>0</v>
      </c>
      <c r="AT205" s="1052">
        <v>306</v>
      </c>
      <c r="AU205" s="1052">
        <v>12</v>
      </c>
      <c r="AV205" s="1052">
        <v>0</v>
      </c>
      <c r="AW205" s="1052">
        <v>0</v>
      </c>
      <c r="AX205" s="1052">
        <v>13</v>
      </c>
      <c r="AY205" s="1052">
        <v>4</v>
      </c>
      <c r="AZ205" s="1052">
        <v>0</v>
      </c>
      <c r="BA205" s="1052">
        <v>0</v>
      </c>
      <c r="BB205" s="1052">
        <v>14</v>
      </c>
      <c r="BC205" s="1052">
        <v>4</v>
      </c>
      <c r="BD205" s="1052">
        <v>0</v>
      </c>
      <c r="BE205" s="1052">
        <v>0</v>
      </c>
      <c r="BF205" s="1052">
        <v>0</v>
      </c>
      <c r="BG205" s="1052">
        <v>0</v>
      </c>
      <c r="BH205" s="1052">
        <v>0</v>
      </c>
      <c r="BI205" s="1052">
        <v>0</v>
      </c>
      <c r="BJ205" s="1052">
        <v>0</v>
      </c>
      <c r="BK205" s="1052">
        <v>0</v>
      </c>
      <c r="BL205" s="1052">
        <v>0</v>
      </c>
      <c r="BM205" s="1052">
        <v>0</v>
      </c>
      <c r="BN205" s="1052">
        <v>14200</v>
      </c>
      <c r="BO205" s="1052">
        <v>931.56799999999998</v>
      </c>
      <c r="BR205" s="1140">
        <f t="shared" si="76"/>
        <v>0</v>
      </c>
      <c r="BS205" s="1140">
        <f t="shared" si="77"/>
        <v>4250000</v>
      </c>
      <c r="BT205" s="1140">
        <f t="shared" si="78"/>
        <v>166666.66666666669</v>
      </c>
      <c r="BU205" s="1140">
        <f t="shared" si="79"/>
        <v>4416666.666666667</v>
      </c>
      <c r="BV205" s="1140">
        <f t="shared" si="89"/>
        <v>0</v>
      </c>
      <c r="BW205" s="1140">
        <f t="shared" si="90"/>
        <v>2600</v>
      </c>
      <c r="BX205" s="1140">
        <f t="shared" si="91"/>
        <v>800</v>
      </c>
      <c r="BY205" s="1140">
        <f t="shared" si="80"/>
        <v>3400</v>
      </c>
      <c r="CA205" s="1140">
        <f t="shared" si="81"/>
        <v>0</v>
      </c>
      <c r="CB205" s="1140">
        <f t="shared" si="82"/>
        <v>4250000</v>
      </c>
      <c r="CC205" s="1140">
        <f t="shared" si="83"/>
        <v>166666.66666666669</v>
      </c>
      <c r="CD205" s="1140">
        <f t="shared" si="84"/>
        <v>4416666.666666667</v>
      </c>
      <c r="CE205" s="1140">
        <f t="shared" si="85"/>
        <v>0</v>
      </c>
      <c r="CF205" s="1140">
        <f t="shared" si="86"/>
        <v>2600</v>
      </c>
      <c r="CG205" s="1140">
        <f t="shared" si="87"/>
        <v>800</v>
      </c>
      <c r="CH205" s="1140">
        <f t="shared" si="88"/>
        <v>3400</v>
      </c>
    </row>
    <row r="206" spans="1:86" ht="15" customHeight="1" x14ac:dyDescent="0.2">
      <c r="A206" s="1052">
        <v>3892</v>
      </c>
      <c r="B206" s="1052"/>
      <c r="C206" s="1053" t="s">
        <v>457</v>
      </c>
      <c r="D206" s="1054" t="s">
        <v>457</v>
      </c>
      <c r="E206" s="1055">
        <f t="shared" si="72"/>
        <v>103073.44319999999</v>
      </c>
      <c r="F206" s="1055">
        <v>0</v>
      </c>
      <c r="G206" s="1056">
        <f t="shared" si="71"/>
        <v>103073.44319999999</v>
      </c>
      <c r="H206" s="1053" t="s">
        <v>10</v>
      </c>
      <c r="I206" s="1054" t="s">
        <v>1416</v>
      </c>
      <c r="J206" s="1054" t="s">
        <v>1417</v>
      </c>
      <c r="K206" s="1054" t="s">
        <v>460</v>
      </c>
      <c r="L206" s="1054" t="s">
        <v>10</v>
      </c>
      <c r="M206" s="1057">
        <v>32</v>
      </c>
      <c r="N206" s="1057">
        <v>0.88800000000000001</v>
      </c>
      <c r="O206" s="1057">
        <v>0.91500000000000004</v>
      </c>
      <c r="P206" s="1057">
        <v>0.91400000000000003</v>
      </c>
      <c r="Q206" s="1057">
        <v>0.81100000000000005</v>
      </c>
      <c r="R206" s="1057">
        <v>368196</v>
      </c>
      <c r="S206" s="1057">
        <v>295848</v>
      </c>
      <c r="T206" s="1058">
        <f t="shared" si="74"/>
        <v>109538.31</v>
      </c>
      <c r="U206" s="1057">
        <v>252264</v>
      </c>
      <c r="V206" s="1057">
        <v>43584</v>
      </c>
      <c r="W206" s="1057">
        <v>2000</v>
      </c>
      <c r="X206" s="1057">
        <v>0</v>
      </c>
      <c r="Y206" s="1057">
        <v>0</v>
      </c>
      <c r="Z206" s="1057">
        <v>0</v>
      </c>
      <c r="AA206" s="1057">
        <v>405386.31</v>
      </c>
      <c r="AB206" s="1057">
        <v>109538.31</v>
      </c>
      <c r="AC206" s="1057">
        <v>295848</v>
      </c>
      <c r="AD206" s="1057">
        <v>0</v>
      </c>
      <c r="AE206" s="1057">
        <v>0</v>
      </c>
      <c r="AF206" s="1057">
        <v>0</v>
      </c>
      <c r="AG206" s="1057">
        <v>295848</v>
      </c>
      <c r="AH206" s="1057">
        <v>0</v>
      </c>
      <c r="AI206" s="1057">
        <v>0</v>
      </c>
      <c r="AJ206" s="1053" t="s">
        <v>914</v>
      </c>
      <c r="AK206" s="1053" t="s">
        <v>920</v>
      </c>
      <c r="AL206" s="1054" t="s">
        <v>1416</v>
      </c>
      <c r="AM206" s="1053" t="s">
        <v>10</v>
      </c>
      <c r="AN206" s="1054" t="s">
        <v>457</v>
      </c>
      <c r="AO206" s="1054">
        <v>109538.31</v>
      </c>
      <c r="AP206" s="1059">
        <f t="shared" si="73"/>
        <v>113.62010000000001</v>
      </c>
      <c r="AQ206" s="1059">
        <f t="shared" si="75"/>
        <v>120.62010000000001</v>
      </c>
      <c r="AR206" s="1052">
        <v>21</v>
      </c>
      <c r="AS206" s="1052">
        <v>0</v>
      </c>
      <c r="AT206" s="1052">
        <v>28</v>
      </c>
      <c r="AU206" s="1052">
        <v>2</v>
      </c>
      <c r="AV206" s="1052">
        <v>0</v>
      </c>
      <c r="AW206" s="1052">
        <v>0</v>
      </c>
      <c r="AX206" s="1052">
        <v>0</v>
      </c>
      <c r="AY206" s="1052">
        <v>0</v>
      </c>
      <c r="AZ206" s="1052">
        <v>0</v>
      </c>
      <c r="BA206" s="1052">
        <v>0</v>
      </c>
      <c r="BB206" s="1052">
        <v>7</v>
      </c>
      <c r="BC206" s="1052">
        <v>0</v>
      </c>
      <c r="BD206" s="1052">
        <v>0</v>
      </c>
      <c r="BE206" s="1052">
        <v>0</v>
      </c>
      <c r="BF206" s="1052">
        <v>0</v>
      </c>
      <c r="BG206" s="1052">
        <v>0</v>
      </c>
      <c r="BH206" s="1052">
        <v>0</v>
      </c>
      <c r="BI206" s="1052">
        <v>0</v>
      </c>
      <c r="BJ206" s="1052">
        <v>0</v>
      </c>
      <c r="BK206" s="1052">
        <v>0</v>
      </c>
      <c r="BL206" s="1052">
        <v>3746</v>
      </c>
      <c r="BM206" s="1052">
        <v>0</v>
      </c>
      <c r="BN206" s="1052">
        <v>49046</v>
      </c>
      <c r="BO206" s="1052">
        <v>98.281000000000006</v>
      </c>
      <c r="BR206" s="1140">
        <f t="shared" si="76"/>
        <v>291666.66666666669</v>
      </c>
      <c r="BS206" s="1140">
        <f t="shared" si="77"/>
        <v>388888.88888888893</v>
      </c>
      <c r="BT206" s="1140">
        <f t="shared" si="78"/>
        <v>27777.777777777781</v>
      </c>
      <c r="BU206" s="1140">
        <f t="shared" si="79"/>
        <v>708333.33333333337</v>
      </c>
      <c r="BV206" s="1140">
        <f t="shared" si="89"/>
        <v>0</v>
      </c>
      <c r="BW206" s="1140">
        <f t="shared" si="90"/>
        <v>0</v>
      </c>
      <c r="BX206" s="1140">
        <f t="shared" si="91"/>
        <v>0</v>
      </c>
      <c r="BY206" s="1140">
        <f t="shared" si="80"/>
        <v>0</v>
      </c>
      <c r="CA206" s="1140">
        <f t="shared" si="81"/>
        <v>291666.66666666669</v>
      </c>
      <c r="CB206" s="1140">
        <f t="shared" si="82"/>
        <v>388888.88888888893</v>
      </c>
      <c r="CC206" s="1140">
        <f t="shared" si="83"/>
        <v>27777.777777777781</v>
      </c>
      <c r="CD206" s="1140">
        <f t="shared" si="84"/>
        <v>708333.33333333337</v>
      </c>
      <c r="CE206" s="1140">
        <f t="shared" si="85"/>
        <v>0</v>
      </c>
      <c r="CF206" s="1140">
        <f t="shared" si="86"/>
        <v>0</v>
      </c>
      <c r="CG206" s="1140">
        <f t="shared" si="87"/>
        <v>0</v>
      </c>
      <c r="CH206" s="1140">
        <f t="shared" si="88"/>
        <v>0</v>
      </c>
    </row>
    <row r="207" spans="1:86" ht="15" customHeight="1" x14ac:dyDescent="0.2">
      <c r="A207" s="1052">
        <v>508</v>
      </c>
      <c r="B207" s="1052" t="s">
        <v>1412</v>
      </c>
      <c r="C207" s="1053" t="s">
        <v>462</v>
      </c>
      <c r="D207" s="1054" t="s">
        <v>462</v>
      </c>
      <c r="E207" s="1055">
        <f t="shared" si="72"/>
        <v>341425.72879999998</v>
      </c>
      <c r="F207" s="1055">
        <v>491081</v>
      </c>
      <c r="G207" s="1056">
        <f t="shared" si="71"/>
        <v>832506.72879999992</v>
      </c>
      <c r="H207" s="1053" t="s">
        <v>10</v>
      </c>
      <c r="I207" s="1054" t="s">
        <v>1416</v>
      </c>
      <c r="J207" s="1054" t="s">
        <v>1412</v>
      </c>
      <c r="K207" s="1054" t="s">
        <v>464</v>
      </c>
      <c r="L207" s="1054" t="s">
        <v>1412</v>
      </c>
      <c r="M207" s="1057">
        <v>99</v>
      </c>
      <c r="N207" s="1057">
        <v>0.88800000000000001</v>
      </c>
      <c r="O207" s="1057">
        <v>0.90100000000000002</v>
      </c>
      <c r="P207" s="1057">
        <v>0.91200000000000003</v>
      </c>
      <c r="Q207" s="1057">
        <v>0.86399999999999999</v>
      </c>
      <c r="R207" s="1057">
        <v>1185727</v>
      </c>
      <c r="S207" s="1057">
        <v>979982</v>
      </c>
      <c r="T207" s="1058">
        <f t="shared" si="74"/>
        <v>352753.78249999997</v>
      </c>
      <c r="U207" s="1057">
        <v>640797</v>
      </c>
      <c r="V207" s="1057">
        <v>339185</v>
      </c>
      <c r="W207" s="1057">
        <v>5527</v>
      </c>
      <c r="X207" s="1057">
        <v>843834.78249999997</v>
      </c>
      <c r="Y207" s="1057">
        <v>352753.78249999997</v>
      </c>
      <c r="Z207" s="1057">
        <v>491081</v>
      </c>
      <c r="AA207" s="1057">
        <v>488901</v>
      </c>
      <c r="AB207" s="1057">
        <v>0</v>
      </c>
      <c r="AC207" s="1057">
        <v>488901</v>
      </c>
      <c r="AD207" s="1057">
        <v>491081</v>
      </c>
      <c r="AE207" s="1057">
        <v>0</v>
      </c>
      <c r="AF207" s="1057">
        <v>488901</v>
      </c>
      <c r="AG207" s="1057">
        <v>0</v>
      </c>
      <c r="AH207" s="1057">
        <v>1362000</v>
      </c>
      <c r="AI207" s="1057">
        <v>1303000</v>
      </c>
      <c r="AJ207" s="1053" t="s">
        <v>908</v>
      </c>
      <c r="AK207" s="1053" t="s">
        <v>909</v>
      </c>
      <c r="AL207" s="1054" t="s">
        <v>1416</v>
      </c>
      <c r="AM207" s="1053" t="s">
        <v>10</v>
      </c>
      <c r="AN207" s="1054" t="s">
        <v>462</v>
      </c>
      <c r="AO207" s="1054">
        <v>843834.78249999997</v>
      </c>
      <c r="AP207" s="1059">
        <f t="shared" si="73"/>
        <v>743.0915</v>
      </c>
      <c r="AQ207" s="1059">
        <f t="shared" si="75"/>
        <v>751.0915</v>
      </c>
      <c r="AR207" s="1052">
        <v>328</v>
      </c>
      <c r="AS207" s="1052">
        <v>1303</v>
      </c>
      <c r="AT207" s="1052">
        <v>109</v>
      </c>
      <c r="AU207" s="1052">
        <v>0</v>
      </c>
      <c r="AV207" s="1052">
        <v>1</v>
      </c>
      <c r="AW207" s="1052">
        <v>22</v>
      </c>
      <c r="AX207" s="1052">
        <v>0</v>
      </c>
      <c r="AY207" s="1052">
        <v>0</v>
      </c>
      <c r="AZ207" s="1052">
        <v>18</v>
      </c>
      <c r="BA207" s="1052">
        <v>36</v>
      </c>
      <c r="BB207" s="1052">
        <v>8</v>
      </c>
      <c r="BC207" s="1052">
        <v>0</v>
      </c>
      <c r="BD207" s="1052">
        <v>45</v>
      </c>
      <c r="BE207" s="1052">
        <v>0</v>
      </c>
      <c r="BF207" s="1052">
        <v>0</v>
      </c>
      <c r="BG207" s="1052">
        <v>0</v>
      </c>
      <c r="BH207" s="1052">
        <v>76</v>
      </c>
      <c r="BI207" s="1052">
        <v>0</v>
      </c>
      <c r="BJ207" s="1052">
        <v>0</v>
      </c>
      <c r="BK207" s="1052">
        <v>0</v>
      </c>
      <c r="BL207" s="1052">
        <v>25000</v>
      </c>
      <c r="BM207" s="1052">
        <v>0</v>
      </c>
      <c r="BN207" s="1052">
        <v>25937</v>
      </c>
      <c r="BO207" s="1052">
        <v>1151.5450000000001</v>
      </c>
      <c r="BR207" s="1140">
        <f t="shared" si="76"/>
        <v>4555555.555555556</v>
      </c>
      <c r="BS207" s="1140">
        <f t="shared" si="77"/>
        <v>1513888.888888889</v>
      </c>
      <c r="BT207" s="1140">
        <f t="shared" si="78"/>
        <v>0</v>
      </c>
      <c r="BU207" s="1140">
        <f t="shared" si="79"/>
        <v>6069444.444444445</v>
      </c>
      <c r="BV207" s="1140">
        <f t="shared" si="89"/>
        <v>200</v>
      </c>
      <c r="BW207" s="1140">
        <f t="shared" si="90"/>
        <v>0</v>
      </c>
      <c r="BX207" s="1140">
        <f t="shared" si="91"/>
        <v>0</v>
      </c>
      <c r="BY207" s="1140">
        <f t="shared" si="80"/>
        <v>200</v>
      </c>
      <c r="CA207" s="1140">
        <f t="shared" si="81"/>
        <v>4555555.555555556</v>
      </c>
      <c r="CB207" s="1140">
        <f t="shared" si="82"/>
        <v>1513888.888888889</v>
      </c>
      <c r="CC207" s="1140">
        <f t="shared" si="83"/>
        <v>0</v>
      </c>
      <c r="CD207" s="1140">
        <f t="shared" si="84"/>
        <v>6069444.444444445</v>
      </c>
      <c r="CE207" s="1140">
        <f t="shared" si="85"/>
        <v>200</v>
      </c>
      <c r="CF207" s="1140">
        <f t="shared" si="86"/>
        <v>0</v>
      </c>
      <c r="CG207" s="1140">
        <f t="shared" si="87"/>
        <v>0</v>
      </c>
      <c r="CH207" s="1140">
        <f t="shared" si="88"/>
        <v>200</v>
      </c>
    </row>
    <row r="208" spans="1:86" ht="15" customHeight="1" x14ac:dyDescent="0.2">
      <c r="A208" s="1052">
        <v>3881</v>
      </c>
      <c r="B208" s="1052" t="s">
        <v>1412</v>
      </c>
      <c r="C208" s="1053" t="s">
        <v>958</v>
      </c>
      <c r="D208" s="1054" t="s">
        <v>667</v>
      </c>
      <c r="E208" s="1055">
        <f t="shared" si="72"/>
        <v>337746.97320000001</v>
      </c>
      <c r="F208" s="1055">
        <v>1130444</v>
      </c>
      <c r="G208" s="1056">
        <f t="shared" si="71"/>
        <v>1468190.9731999999</v>
      </c>
      <c r="H208" s="1053" t="s">
        <v>1417</v>
      </c>
      <c r="I208" s="1054" t="s">
        <v>1416</v>
      </c>
      <c r="J208" s="1054" t="s">
        <v>1412</v>
      </c>
      <c r="K208" s="1054" t="s">
        <v>1418</v>
      </c>
      <c r="L208" s="1054" t="s">
        <v>1412</v>
      </c>
      <c r="M208" s="1057">
        <v>155</v>
      </c>
      <c r="N208" s="1057">
        <v>0.34</v>
      </c>
      <c r="O208" s="1057">
        <v>0.503</v>
      </c>
      <c r="P208" s="1057">
        <v>0.46600000000000003</v>
      </c>
      <c r="Q208" s="1057">
        <v>0.53100000000000003</v>
      </c>
      <c r="R208" s="1057">
        <v>1198640</v>
      </c>
      <c r="S208" s="1057">
        <v>969423</v>
      </c>
      <c r="T208" s="1058">
        <f t="shared" si="74"/>
        <v>356595.39999999997</v>
      </c>
      <c r="U208" s="1057">
        <v>661270</v>
      </c>
      <c r="V208" s="1057">
        <v>308153</v>
      </c>
      <c r="W208" s="1057">
        <v>4808</v>
      </c>
      <c r="X208" s="1057">
        <v>1487039.4</v>
      </c>
      <c r="Y208" s="1057">
        <v>356595.4</v>
      </c>
      <c r="Z208" s="1057">
        <v>1130444</v>
      </c>
      <c r="AA208" s="1057">
        <v>-161021</v>
      </c>
      <c r="AB208" s="1057">
        <v>0</v>
      </c>
      <c r="AC208" s="1057">
        <v>-161021</v>
      </c>
      <c r="AD208" s="1057">
        <v>1130444</v>
      </c>
      <c r="AE208" s="1057">
        <v>0</v>
      </c>
      <c r="AF208" s="1057">
        <v>-161021</v>
      </c>
      <c r="AG208" s="1057">
        <v>0</v>
      </c>
      <c r="AH208" s="1057">
        <v>227000</v>
      </c>
      <c r="AI208" s="1057">
        <v>369000</v>
      </c>
      <c r="AJ208" s="1053">
        <v>4</v>
      </c>
      <c r="AK208" s="1053" t="s">
        <v>899</v>
      </c>
      <c r="AL208" s="1054" t="s">
        <v>1416</v>
      </c>
      <c r="AM208" s="1053" t="s">
        <v>1417</v>
      </c>
      <c r="AN208" s="1054" t="s">
        <v>667</v>
      </c>
      <c r="AO208" s="1054">
        <v>1487039.4</v>
      </c>
      <c r="AP208" s="1059">
        <f t="shared" si="73"/>
        <v>759.84979999999996</v>
      </c>
      <c r="AQ208" s="1059">
        <f t="shared" si="75"/>
        <v>790.84979999999996</v>
      </c>
      <c r="AR208" s="1052">
        <v>366</v>
      </c>
      <c r="AS208" s="1052">
        <v>369</v>
      </c>
      <c r="AT208" s="1052">
        <v>152</v>
      </c>
      <c r="AU208" s="1052">
        <v>4</v>
      </c>
      <c r="AV208" s="1052">
        <v>57</v>
      </c>
      <c r="AW208" s="1052">
        <v>15</v>
      </c>
      <c r="AX208" s="1052">
        <v>1</v>
      </c>
      <c r="AY208" s="1052">
        <v>0</v>
      </c>
      <c r="AZ208" s="1052">
        <v>8</v>
      </c>
      <c r="BA208" s="1052">
        <v>15</v>
      </c>
      <c r="BB208" s="1052">
        <v>31</v>
      </c>
      <c r="BC208" s="1052">
        <v>0</v>
      </c>
      <c r="BD208" s="1052">
        <v>34</v>
      </c>
      <c r="BE208" s="1052">
        <v>0</v>
      </c>
      <c r="BF208" s="1052">
        <v>0</v>
      </c>
      <c r="BG208" s="1052">
        <v>0</v>
      </c>
      <c r="BH208" s="1052">
        <v>61</v>
      </c>
      <c r="BI208" s="1052">
        <v>0</v>
      </c>
      <c r="BJ208" s="1052">
        <v>0</v>
      </c>
      <c r="BK208" s="1052">
        <v>0</v>
      </c>
      <c r="BL208" s="1052">
        <v>0</v>
      </c>
      <c r="BM208" s="1052">
        <v>0</v>
      </c>
      <c r="BN208" s="1052">
        <v>0</v>
      </c>
      <c r="BO208" s="1052">
        <v>768.49800000000005</v>
      </c>
      <c r="BR208" s="1140">
        <f t="shared" si="76"/>
        <v>5083333.333333334</v>
      </c>
      <c r="BS208" s="1140">
        <f t="shared" si="77"/>
        <v>2111111.1111111115</v>
      </c>
      <c r="BT208" s="1140">
        <f t="shared" si="78"/>
        <v>55555.555555555562</v>
      </c>
      <c r="BU208" s="1140">
        <f t="shared" si="79"/>
        <v>7250000.0000000019</v>
      </c>
      <c r="BV208" s="1140">
        <f t="shared" si="89"/>
        <v>11400</v>
      </c>
      <c r="BW208" s="1140">
        <f t="shared" si="90"/>
        <v>200</v>
      </c>
      <c r="BX208" s="1140">
        <f t="shared" si="91"/>
        <v>0</v>
      </c>
      <c r="BY208" s="1140">
        <f t="shared" si="80"/>
        <v>11600</v>
      </c>
      <c r="CA208" s="1140">
        <f t="shared" si="81"/>
        <v>0</v>
      </c>
      <c r="CB208" s="1140">
        <f t="shared" si="82"/>
        <v>0</v>
      </c>
      <c r="CC208" s="1140">
        <f t="shared" si="83"/>
        <v>0</v>
      </c>
      <c r="CD208" s="1140">
        <f t="shared" si="84"/>
        <v>0</v>
      </c>
      <c r="CE208" s="1140">
        <f t="shared" si="85"/>
        <v>11400</v>
      </c>
      <c r="CF208" s="1140">
        <f t="shared" si="86"/>
        <v>200</v>
      </c>
      <c r="CG208" s="1140">
        <f t="shared" si="87"/>
        <v>0</v>
      </c>
      <c r="CH208" s="1140">
        <f t="shared" si="88"/>
        <v>11600</v>
      </c>
    </row>
    <row r="209" spans="1:87" ht="15" customHeight="1" x14ac:dyDescent="0.2">
      <c r="A209" s="1052">
        <v>3762</v>
      </c>
      <c r="B209" s="1052"/>
      <c r="C209" s="1053" t="s">
        <v>468</v>
      </c>
      <c r="D209" s="1054" t="s">
        <v>468</v>
      </c>
      <c r="E209" s="1055">
        <f t="shared" si="72"/>
        <v>79764.2552</v>
      </c>
      <c r="F209" s="1055">
        <v>0</v>
      </c>
      <c r="G209" s="1056">
        <f t="shared" si="71"/>
        <v>79764.2552</v>
      </c>
      <c r="H209" s="1053" t="s">
        <v>10</v>
      </c>
      <c r="I209" s="1054" t="s">
        <v>1512</v>
      </c>
      <c r="J209" s="1054" t="s">
        <v>10</v>
      </c>
      <c r="K209" s="1054" t="s">
        <v>469</v>
      </c>
      <c r="L209" s="1054" t="s">
        <v>10</v>
      </c>
      <c r="M209" s="1057">
        <v>39</v>
      </c>
      <c r="N209" s="1057">
        <v>0.94199999999999995</v>
      </c>
      <c r="O209" s="1057">
        <v>0.94499999999999995</v>
      </c>
      <c r="P209" s="1057">
        <v>0.97</v>
      </c>
      <c r="Q209" s="1057">
        <v>0.95899999999999996</v>
      </c>
      <c r="R209" s="1057">
        <v>0</v>
      </c>
      <c r="S209" s="1057">
        <v>411368</v>
      </c>
      <c r="T209" s="1058">
        <f t="shared" si="74"/>
        <v>79764.2552</v>
      </c>
      <c r="U209" s="1057">
        <v>321705</v>
      </c>
      <c r="V209" s="1057">
        <v>89663</v>
      </c>
      <c r="W209" s="1057">
        <v>2065</v>
      </c>
      <c r="X209" s="1057">
        <v>0</v>
      </c>
      <c r="Y209" s="1057">
        <v>0</v>
      </c>
      <c r="Z209" s="1057">
        <v>0</v>
      </c>
      <c r="AA209" s="1057">
        <v>491132.25520000001</v>
      </c>
      <c r="AB209" s="1057">
        <v>79764.2552</v>
      </c>
      <c r="AC209" s="1057">
        <v>411368</v>
      </c>
      <c r="AD209" s="1057">
        <v>0</v>
      </c>
      <c r="AE209" s="1057">
        <v>0</v>
      </c>
      <c r="AF209" s="1057">
        <v>0</v>
      </c>
      <c r="AG209" s="1057">
        <v>411368</v>
      </c>
      <c r="AH209" s="1057">
        <v>0</v>
      </c>
      <c r="AI209" s="1057">
        <v>0</v>
      </c>
      <c r="AJ209" s="1053" t="s">
        <v>908</v>
      </c>
      <c r="AK209" s="1053" t="s">
        <v>909</v>
      </c>
      <c r="AL209" s="1054" t="s">
        <v>1512</v>
      </c>
      <c r="AM209" s="1053" t="s">
        <v>10</v>
      </c>
      <c r="AN209" s="1054" t="s">
        <v>468</v>
      </c>
      <c r="AO209" s="1054">
        <v>79764.2552</v>
      </c>
      <c r="AP209" s="1059">
        <f t="shared" si="73"/>
        <v>38.884399999999999</v>
      </c>
      <c r="AQ209" s="1059">
        <f t="shared" si="75"/>
        <v>38.884399999999999</v>
      </c>
      <c r="AR209" s="1052">
        <v>0</v>
      </c>
      <c r="AS209" s="1052">
        <v>0</v>
      </c>
      <c r="AT209" s="1052">
        <v>23</v>
      </c>
      <c r="AU209" s="1052">
        <v>5</v>
      </c>
      <c r="AV209" s="1052">
        <v>0</v>
      </c>
      <c r="AW209" s="1052">
        <v>0</v>
      </c>
      <c r="AX209" s="1052">
        <v>0</v>
      </c>
      <c r="AY209" s="1052">
        <v>0</v>
      </c>
      <c r="AZ209" s="1052">
        <v>0</v>
      </c>
      <c r="BA209" s="1052">
        <v>14</v>
      </c>
      <c r="BB209" s="1052">
        <v>0</v>
      </c>
      <c r="BC209" s="1052">
        <v>0</v>
      </c>
      <c r="BD209" s="1052">
        <v>0</v>
      </c>
      <c r="BE209" s="1052">
        <v>0</v>
      </c>
      <c r="BF209" s="1052">
        <v>0</v>
      </c>
      <c r="BG209" s="1052">
        <v>0</v>
      </c>
      <c r="BH209" s="1052">
        <v>0</v>
      </c>
      <c r="BI209" s="1052">
        <v>0</v>
      </c>
      <c r="BJ209" s="1052">
        <v>0</v>
      </c>
      <c r="BK209" s="1052">
        <v>0</v>
      </c>
      <c r="BL209" s="1052">
        <v>0</v>
      </c>
      <c r="BM209" s="1052">
        <v>0</v>
      </c>
      <c r="BN209" s="1052">
        <v>0</v>
      </c>
      <c r="BO209" s="1052">
        <v>108.84399999999999</v>
      </c>
      <c r="BR209" s="1140">
        <f t="shared" si="76"/>
        <v>0</v>
      </c>
      <c r="BS209" s="1140">
        <f t="shared" si="77"/>
        <v>319444.4444444445</v>
      </c>
      <c r="BT209" s="1140">
        <f t="shared" si="78"/>
        <v>69444.444444444453</v>
      </c>
      <c r="BU209" s="1140">
        <f t="shared" si="79"/>
        <v>388888.88888888893</v>
      </c>
      <c r="BV209" s="1140">
        <f t="shared" si="89"/>
        <v>0</v>
      </c>
      <c r="BW209" s="1140">
        <f t="shared" si="90"/>
        <v>0</v>
      </c>
      <c r="BX209" s="1140">
        <f t="shared" si="91"/>
        <v>0</v>
      </c>
      <c r="BY209" s="1140">
        <f t="shared" si="80"/>
        <v>0</v>
      </c>
      <c r="CA209" s="1140">
        <f t="shared" si="81"/>
        <v>0</v>
      </c>
      <c r="CB209" s="1140">
        <f t="shared" si="82"/>
        <v>319444.4444444445</v>
      </c>
      <c r="CC209" s="1140">
        <f t="shared" si="83"/>
        <v>69444.444444444453</v>
      </c>
      <c r="CD209" s="1140">
        <f t="shared" si="84"/>
        <v>388888.88888888893</v>
      </c>
      <c r="CE209" s="1140">
        <f t="shared" si="85"/>
        <v>0</v>
      </c>
      <c r="CF209" s="1140">
        <f t="shared" si="86"/>
        <v>0</v>
      </c>
      <c r="CG209" s="1140">
        <f t="shared" si="87"/>
        <v>0</v>
      </c>
      <c r="CH209" s="1140">
        <f t="shared" si="88"/>
        <v>0</v>
      </c>
    </row>
    <row r="210" spans="1:87" ht="15" customHeight="1" x14ac:dyDescent="0.2">
      <c r="A210" s="1052">
        <v>9570</v>
      </c>
      <c r="B210" s="1052"/>
      <c r="C210" s="1053" t="s">
        <v>470</v>
      </c>
      <c r="D210" s="1054" t="s">
        <v>470</v>
      </c>
      <c r="E210" s="1055">
        <f t="shared" si="72"/>
        <v>316232.228</v>
      </c>
      <c r="F210" s="1055">
        <v>0</v>
      </c>
      <c r="G210" s="1056">
        <f t="shared" si="71"/>
        <v>316232.228</v>
      </c>
      <c r="H210" s="1053" t="s">
        <v>10</v>
      </c>
      <c r="I210" s="1054" t="s">
        <v>1416</v>
      </c>
      <c r="J210" s="1054" t="s">
        <v>1417</v>
      </c>
      <c r="K210" s="1054" t="s">
        <v>1549</v>
      </c>
      <c r="L210" s="1054" t="s">
        <v>10</v>
      </c>
      <c r="M210" s="1057">
        <v>116</v>
      </c>
      <c r="N210" s="1057">
        <v>0.879</v>
      </c>
      <c r="O210" s="1057">
        <v>0.90800000000000003</v>
      </c>
      <c r="P210" s="1057">
        <v>0.85799999999999998</v>
      </c>
      <c r="Q210" s="1057">
        <v>0.82799999999999996</v>
      </c>
      <c r="R210" s="1057">
        <v>1209833</v>
      </c>
      <c r="S210" s="1057">
        <v>907670</v>
      </c>
      <c r="T210" s="1058">
        <f t="shared" si="74"/>
        <v>359925.3175</v>
      </c>
      <c r="U210" s="1057">
        <v>370057</v>
      </c>
      <c r="V210" s="1057">
        <v>537613</v>
      </c>
      <c r="W210" s="1057">
        <v>3957</v>
      </c>
      <c r="X210" s="1057">
        <v>0</v>
      </c>
      <c r="Y210" s="1057">
        <v>0</v>
      </c>
      <c r="Z210" s="1057">
        <v>0</v>
      </c>
      <c r="AA210" s="1057">
        <v>1267595.318</v>
      </c>
      <c r="AB210" s="1057">
        <v>359925.3175</v>
      </c>
      <c r="AC210" s="1057">
        <v>907670</v>
      </c>
      <c r="AD210" s="1057">
        <v>0</v>
      </c>
      <c r="AE210" s="1057">
        <v>0</v>
      </c>
      <c r="AF210" s="1057">
        <v>0</v>
      </c>
      <c r="AG210" s="1057">
        <v>907670</v>
      </c>
      <c r="AH210" s="1057">
        <v>0</v>
      </c>
      <c r="AI210" s="1057">
        <v>0</v>
      </c>
      <c r="AJ210" s="1053">
        <v>4</v>
      </c>
      <c r="AK210" s="1053" t="s">
        <v>913</v>
      </c>
      <c r="AL210" s="1054" t="s">
        <v>1416</v>
      </c>
      <c r="AM210" s="1053" t="s">
        <v>10</v>
      </c>
      <c r="AN210" s="1054" t="s">
        <v>470</v>
      </c>
      <c r="AO210" s="1054">
        <v>359925.3175</v>
      </c>
      <c r="AP210" s="1059">
        <f t="shared" si="73"/>
        <v>316.9153</v>
      </c>
      <c r="AQ210" s="1059">
        <f t="shared" si="75"/>
        <v>323.9153</v>
      </c>
      <c r="AR210" s="1052">
        <v>0</v>
      </c>
      <c r="AS210" s="1052">
        <v>0</v>
      </c>
      <c r="AT210" s="1052">
        <v>181</v>
      </c>
      <c r="AU210" s="1052">
        <v>44</v>
      </c>
      <c r="AV210" s="1052">
        <v>0</v>
      </c>
      <c r="AW210" s="1052">
        <v>0</v>
      </c>
      <c r="AX210" s="1052">
        <v>11</v>
      </c>
      <c r="AY210" s="1052">
        <v>13</v>
      </c>
      <c r="AZ210" s="1052">
        <v>0</v>
      </c>
      <c r="BA210" s="1052">
        <v>0</v>
      </c>
      <c r="BB210" s="1052">
        <v>51</v>
      </c>
      <c r="BC210" s="1052">
        <v>-44</v>
      </c>
      <c r="BD210" s="1052">
        <v>0</v>
      </c>
      <c r="BE210" s="1052">
        <v>0</v>
      </c>
      <c r="BF210" s="1052">
        <v>0</v>
      </c>
      <c r="BG210" s="1052">
        <v>0</v>
      </c>
      <c r="BH210" s="1052">
        <v>0</v>
      </c>
      <c r="BI210" s="1052">
        <v>0</v>
      </c>
      <c r="BJ210" s="1052">
        <v>0</v>
      </c>
      <c r="BK210" s="1052">
        <v>0</v>
      </c>
      <c r="BL210" s="1052">
        <v>0</v>
      </c>
      <c r="BM210" s="1052">
        <v>0</v>
      </c>
      <c r="BN210" s="1052">
        <v>0</v>
      </c>
      <c r="BO210" s="1052">
        <v>679.15300000000002</v>
      </c>
      <c r="BR210" s="1140">
        <f t="shared" si="76"/>
        <v>0</v>
      </c>
      <c r="BS210" s="1140">
        <f t="shared" si="77"/>
        <v>2513888.888888889</v>
      </c>
      <c r="BT210" s="1140">
        <f t="shared" si="78"/>
        <v>611111.11111111112</v>
      </c>
      <c r="BU210" s="1140">
        <f t="shared" si="79"/>
        <v>3125000</v>
      </c>
      <c r="BV210" s="1140">
        <f t="shared" si="89"/>
        <v>0</v>
      </c>
      <c r="BW210" s="1140">
        <f t="shared" si="90"/>
        <v>2200</v>
      </c>
      <c r="BX210" s="1140">
        <f t="shared" si="91"/>
        <v>2600</v>
      </c>
      <c r="BY210" s="1140">
        <f t="shared" si="80"/>
        <v>4800</v>
      </c>
      <c r="CA210" s="1140">
        <f t="shared" si="81"/>
        <v>0</v>
      </c>
      <c r="CB210" s="1140">
        <f t="shared" si="82"/>
        <v>2513888.888888889</v>
      </c>
      <c r="CC210" s="1140">
        <f t="shared" si="83"/>
        <v>611111.11111111112</v>
      </c>
      <c r="CD210" s="1140">
        <f t="shared" si="84"/>
        <v>3125000</v>
      </c>
      <c r="CE210" s="1140">
        <f t="shared" si="85"/>
        <v>0</v>
      </c>
      <c r="CF210" s="1140">
        <f t="shared" si="86"/>
        <v>2200</v>
      </c>
      <c r="CG210" s="1140">
        <f t="shared" si="87"/>
        <v>2600</v>
      </c>
      <c r="CH210" s="1140">
        <f t="shared" si="88"/>
        <v>4800</v>
      </c>
    </row>
    <row r="211" spans="1:87" ht="15" customHeight="1" x14ac:dyDescent="0.2">
      <c r="A211" s="1052">
        <v>2550</v>
      </c>
      <c r="B211" s="1052" t="s">
        <v>1412</v>
      </c>
      <c r="C211" s="1053" t="s">
        <v>472</v>
      </c>
      <c r="D211" s="1054" t="s">
        <v>472</v>
      </c>
      <c r="E211" s="1055">
        <f t="shared" si="72"/>
        <v>308545.8272</v>
      </c>
      <c r="F211" s="1055">
        <v>516572</v>
      </c>
      <c r="G211" s="1056">
        <f t="shared" si="71"/>
        <v>825117.82719999994</v>
      </c>
      <c r="H211" s="1053" t="s">
        <v>10</v>
      </c>
      <c r="I211" s="1054" t="s">
        <v>1416</v>
      </c>
      <c r="J211" s="1054" t="s">
        <v>1412</v>
      </c>
      <c r="K211" s="1054" t="s">
        <v>8</v>
      </c>
      <c r="L211" s="1054" t="s">
        <v>1412</v>
      </c>
      <c r="M211" s="1057">
        <v>140</v>
      </c>
      <c r="N211" s="1057">
        <v>0.73899999999999999</v>
      </c>
      <c r="O211" s="1057">
        <v>0.77800000000000002</v>
      </c>
      <c r="P211" s="1057">
        <v>0.76</v>
      </c>
      <c r="Q211" s="1057">
        <v>0.75700000000000001</v>
      </c>
      <c r="R211" s="1057">
        <v>193720</v>
      </c>
      <c r="S211" s="1057">
        <v>885608</v>
      </c>
      <c r="T211" s="1058">
        <f t="shared" si="74"/>
        <v>57631.7</v>
      </c>
      <c r="U211" s="1057">
        <v>575730</v>
      </c>
      <c r="V211" s="1057">
        <v>309878</v>
      </c>
      <c r="W211" s="1057">
        <v>4750</v>
      </c>
      <c r="X211" s="1057">
        <v>574203.69999999995</v>
      </c>
      <c r="Y211" s="1057">
        <v>57631.7</v>
      </c>
      <c r="Z211" s="1057">
        <v>516572</v>
      </c>
      <c r="AA211" s="1057">
        <v>369036</v>
      </c>
      <c r="AB211" s="1057">
        <v>0</v>
      </c>
      <c r="AC211" s="1057">
        <v>369036</v>
      </c>
      <c r="AD211" s="1057">
        <v>516572</v>
      </c>
      <c r="AE211" s="1057">
        <v>0</v>
      </c>
      <c r="AF211" s="1057">
        <v>369036</v>
      </c>
      <c r="AG211" s="1057">
        <v>0</v>
      </c>
      <c r="AH211" s="1057">
        <v>677000</v>
      </c>
      <c r="AI211" s="1057">
        <v>587000</v>
      </c>
      <c r="AJ211" s="1053" t="s">
        <v>900</v>
      </c>
      <c r="AK211" s="1053" t="s">
        <v>901</v>
      </c>
      <c r="AL211" s="1054" t="s">
        <v>1416</v>
      </c>
      <c r="AM211" s="1053" t="s">
        <v>10</v>
      </c>
      <c r="AN211" s="1054" t="s">
        <v>472</v>
      </c>
      <c r="AO211" s="1054">
        <v>574203.69999999995</v>
      </c>
      <c r="AP211" s="1059">
        <f t="shared" si="73"/>
        <v>831.40370000000007</v>
      </c>
      <c r="AQ211" s="1059">
        <f t="shared" si="75"/>
        <v>873.40370000000007</v>
      </c>
      <c r="AR211" s="1052">
        <v>412</v>
      </c>
      <c r="AS211" s="1052">
        <v>587</v>
      </c>
      <c r="AT211" s="1052">
        <v>224</v>
      </c>
      <c r="AU211" s="1052">
        <v>0</v>
      </c>
      <c r="AV211" s="1052">
        <v>0</v>
      </c>
      <c r="AW211" s="1052">
        <v>0</v>
      </c>
      <c r="AX211" s="1052">
        <v>0</v>
      </c>
      <c r="AY211" s="1052">
        <v>0</v>
      </c>
      <c r="AZ211" s="1052">
        <v>23</v>
      </c>
      <c r="BA211" s="1052">
        <v>12</v>
      </c>
      <c r="BB211" s="1052">
        <v>42</v>
      </c>
      <c r="BC211" s="1052">
        <v>0</v>
      </c>
      <c r="BD211" s="1052">
        <v>42</v>
      </c>
      <c r="BE211" s="1052">
        <v>0</v>
      </c>
      <c r="BF211" s="1052">
        <v>0</v>
      </c>
      <c r="BG211" s="1052">
        <v>0</v>
      </c>
      <c r="BH211" s="1052">
        <v>49</v>
      </c>
      <c r="BI211" s="1052">
        <v>1</v>
      </c>
      <c r="BJ211" s="1052">
        <v>0</v>
      </c>
      <c r="BK211" s="1052">
        <v>0</v>
      </c>
      <c r="BL211" s="1052">
        <v>0</v>
      </c>
      <c r="BM211" s="1052">
        <v>0</v>
      </c>
      <c r="BN211" s="1052">
        <v>0</v>
      </c>
      <c r="BO211" s="1052">
        <v>814.03700000000003</v>
      </c>
      <c r="BR211" s="1140">
        <f t="shared" si="76"/>
        <v>5722222.2222222229</v>
      </c>
      <c r="BS211" s="1140">
        <f t="shared" si="77"/>
        <v>3111111.1111111115</v>
      </c>
      <c r="BT211" s="1140">
        <f t="shared" si="78"/>
        <v>0</v>
      </c>
      <c r="BU211" s="1140">
        <f t="shared" si="79"/>
        <v>8833333.333333334</v>
      </c>
      <c r="BV211" s="1140">
        <f t="shared" si="89"/>
        <v>0</v>
      </c>
      <c r="BW211" s="1140">
        <f t="shared" si="90"/>
        <v>0</v>
      </c>
      <c r="BX211" s="1140">
        <f t="shared" si="91"/>
        <v>0</v>
      </c>
      <c r="BY211" s="1140">
        <f t="shared" si="80"/>
        <v>0</v>
      </c>
      <c r="CA211" s="1140">
        <f t="shared" si="81"/>
        <v>5722222.2222222229</v>
      </c>
      <c r="CB211" s="1140">
        <f t="shared" si="82"/>
        <v>3111111.1111111115</v>
      </c>
      <c r="CC211" s="1140">
        <f t="shared" si="83"/>
        <v>0</v>
      </c>
      <c r="CD211" s="1140">
        <f t="shared" si="84"/>
        <v>8833333.333333334</v>
      </c>
      <c r="CE211" s="1140">
        <f t="shared" si="85"/>
        <v>0</v>
      </c>
      <c r="CF211" s="1140">
        <f t="shared" si="86"/>
        <v>0</v>
      </c>
      <c r="CG211" s="1140">
        <f t="shared" si="87"/>
        <v>0</v>
      </c>
      <c r="CH211" s="1140">
        <f t="shared" si="88"/>
        <v>0</v>
      </c>
    </row>
    <row r="212" spans="1:87" ht="15" customHeight="1" x14ac:dyDescent="0.2">
      <c r="A212" s="1052">
        <v>9600</v>
      </c>
      <c r="B212" s="1052"/>
      <c r="C212" s="1053" t="s">
        <v>473</v>
      </c>
      <c r="D212" s="1054" t="s">
        <v>473</v>
      </c>
      <c r="E212" s="1055">
        <f t="shared" si="72"/>
        <v>436731.9424</v>
      </c>
      <c r="F212" s="1055">
        <v>0</v>
      </c>
      <c r="G212" s="1056">
        <f t="shared" si="71"/>
        <v>436731.9424</v>
      </c>
      <c r="H212" s="1053" t="s">
        <v>10</v>
      </c>
      <c r="I212" s="1054" t="s">
        <v>1416</v>
      </c>
      <c r="J212" s="1054" t="s">
        <v>1417</v>
      </c>
      <c r="K212" s="1054" t="s">
        <v>475</v>
      </c>
      <c r="L212" s="1054" t="s">
        <v>10</v>
      </c>
      <c r="M212" s="1057">
        <v>149</v>
      </c>
      <c r="N212" s="1057">
        <v>0.84399999999999997</v>
      </c>
      <c r="O212" s="1057">
        <v>0.85399999999999998</v>
      </c>
      <c r="P212" s="1057">
        <v>0.82</v>
      </c>
      <c r="Q212" s="1057">
        <v>0.77500000000000002</v>
      </c>
      <c r="R212" s="1057">
        <v>1402976</v>
      </c>
      <c r="S212" s="1057">
        <v>1253536</v>
      </c>
      <c r="T212" s="1058">
        <f t="shared" si="74"/>
        <v>417385.36</v>
      </c>
      <c r="U212" s="1057">
        <v>924045</v>
      </c>
      <c r="V212" s="1057">
        <v>329491</v>
      </c>
      <c r="W212" s="1057">
        <v>7800</v>
      </c>
      <c r="X212" s="1057">
        <v>0</v>
      </c>
      <c r="Y212" s="1057">
        <v>0</v>
      </c>
      <c r="Z212" s="1057">
        <v>0</v>
      </c>
      <c r="AA212" s="1057">
        <v>1670921.36</v>
      </c>
      <c r="AB212" s="1057">
        <v>417385.36</v>
      </c>
      <c r="AC212" s="1057">
        <v>1253536</v>
      </c>
      <c r="AD212" s="1057">
        <v>0</v>
      </c>
      <c r="AE212" s="1057">
        <v>0</v>
      </c>
      <c r="AF212" s="1057">
        <v>0</v>
      </c>
      <c r="AG212" s="1057">
        <v>1253536</v>
      </c>
      <c r="AH212" s="1057">
        <v>0</v>
      </c>
      <c r="AI212" s="1057">
        <v>0</v>
      </c>
      <c r="AJ212" s="1053">
        <v>4</v>
      </c>
      <c r="AK212" s="1053" t="s">
        <v>904</v>
      </c>
      <c r="AL212" s="1054" t="s">
        <v>1416</v>
      </c>
      <c r="AM212" s="1053" t="s">
        <v>10</v>
      </c>
      <c r="AN212" s="1054" t="s">
        <v>473</v>
      </c>
      <c r="AO212" s="1054">
        <v>417385.36</v>
      </c>
      <c r="AP212" s="1059">
        <f t="shared" si="73"/>
        <v>813.47550000000001</v>
      </c>
      <c r="AQ212" s="1059">
        <f t="shared" si="75"/>
        <v>978.47550000000001</v>
      </c>
      <c r="AR212" s="1052">
        <v>0</v>
      </c>
      <c r="AS212" s="1052">
        <v>0</v>
      </c>
      <c r="AT212" s="1052">
        <v>123</v>
      </c>
      <c r="AU212" s="1052">
        <v>21</v>
      </c>
      <c r="AV212" s="1052">
        <v>0</v>
      </c>
      <c r="AW212" s="1052">
        <v>0</v>
      </c>
      <c r="AX212" s="1052">
        <v>10</v>
      </c>
      <c r="AY212" s="1052">
        <v>18</v>
      </c>
      <c r="AZ212" s="1052">
        <v>0</v>
      </c>
      <c r="BA212" s="1052">
        <v>0</v>
      </c>
      <c r="BB212" s="1052">
        <v>161</v>
      </c>
      <c r="BC212" s="1052">
        <v>4</v>
      </c>
      <c r="BD212" s="1052">
        <v>0</v>
      </c>
      <c r="BE212" s="1052">
        <v>0</v>
      </c>
      <c r="BF212" s="1052">
        <v>0</v>
      </c>
      <c r="BG212" s="1052">
        <v>0</v>
      </c>
      <c r="BH212" s="1052">
        <v>0</v>
      </c>
      <c r="BI212" s="1052">
        <v>0</v>
      </c>
      <c r="BJ212" s="1052">
        <v>0</v>
      </c>
      <c r="BK212" s="1052">
        <v>0</v>
      </c>
      <c r="BL212" s="1052">
        <v>567938</v>
      </c>
      <c r="BM212" s="1052">
        <v>0</v>
      </c>
      <c r="BN212" s="1052">
        <v>0</v>
      </c>
      <c r="BO212" s="1052">
        <v>735.375</v>
      </c>
      <c r="BR212" s="1140">
        <f t="shared" si="76"/>
        <v>0</v>
      </c>
      <c r="BS212" s="1140">
        <f t="shared" si="77"/>
        <v>1708333.3333333335</v>
      </c>
      <c r="BT212" s="1140">
        <f t="shared" si="78"/>
        <v>291666.66666666669</v>
      </c>
      <c r="BU212" s="1140">
        <f t="shared" si="79"/>
        <v>2000000.0000000002</v>
      </c>
      <c r="BV212" s="1140">
        <f t="shared" si="89"/>
        <v>0</v>
      </c>
      <c r="BW212" s="1140">
        <f t="shared" si="90"/>
        <v>2000</v>
      </c>
      <c r="BX212" s="1140">
        <f t="shared" si="91"/>
        <v>3600</v>
      </c>
      <c r="BY212" s="1140">
        <f t="shared" si="80"/>
        <v>5600</v>
      </c>
      <c r="CA212" s="1140">
        <f t="shared" si="81"/>
        <v>0</v>
      </c>
      <c r="CB212" s="1140">
        <f t="shared" si="82"/>
        <v>1708333.3333333335</v>
      </c>
      <c r="CC212" s="1140">
        <f t="shared" si="83"/>
        <v>291666.66666666669</v>
      </c>
      <c r="CD212" s="1140">
        <f t="shared" si="84"/>
        <v>2000000.0000000002</v>
      </c>
      <c r="CE212" s="1140">
        <f t="shared" si="85"/>
        <v>0</v>
      </c>
      <c r="CF212" s="1140">
        <f t="shared" si="86"/>
        <v>2000</v>
      </c>
      <c r="CG212" s="1140">
        <f t="shared" si="87"/>
        <v>3600</v>
      </c>
      <c r="CH212" s="1140">
        <f t="shared" si="88"/>
        <v>5600</v>
      </c>
    </row>
    <row r="213" spans="1:87" s="1069" customFormat="1" ht="15" customHeight="1" x14ac:dyDescent="0.2">
      <c r="A213" s="1052">
        <v>3911</v>
      </c>
      <c r="B213" s="1052"/>
      <c r="C213" s="1053" t="s">
        <v>476</v>
      </c>
      <c r="D213" s="1054" t="s">
        <v>476</v>
      </c>
      <c r="E213" s="1055">
        <f t="shared" si="72"/>
        <v>20941.393899999999</v>
      </c>
      <c r="F213" s="1055">
        <v>0</v>
      </c>
      <c r="G213" s="1056">
        <f t="shared" si="71"/>
        <v>20941.393899999999</v>
      </c>
      <c r="H213" s="1053" t="s">
        <v>10</v>
      </c>
      <c r="I213" s="1054" t="s">
        <v>1512</v>
      </c>
      <c r="J213" s="1054" t="s">
        <v>10</v>
      </c>
      <c r="K213" s="1054" t="s">
        <v>19</v>
      </c>
      <c r="L213" s="1054" t="s">
        <v>10</v>
      </c>
      <c r="M213" s="1057">
        <v>0</v>
      </c>
      <c r="N213" s="1057">
        <v>1</v>
      </c>
      <c r="O213" s="1057">
        <v>1</v>
      </c>
      <c r="P213" s="1057">
        <v>0</v>
      </c>
      <c r="Q213" s="1057">
        <v>0</v>
      </c>
      <c r="R213" s="1057">
        <v>0</v>
      </c>
      <c r="S213" s="1057">
        <v>108001</v>
      </c>
      <c r="T213" s="1058">
        <f t="shared" si="74"/>
        <v>20941.393899999999</v>
      </c>
      <c r="U213" s="1057">
        <v>98083</v>
      </c>
      <c r="V213" s="1057">
        <v>9918</v>
      </c>
      <c r="W213" s="1057">
        <v>1600</v>
      </c>
      <c r="X213" s="1057">
        <v>0</v>
      </c>
      <c r="Y213" s="1057">
        <v>0</v>
      </c>
      <c r="Z213" s="1057">
        <v>0</v>
      </c>
      <c r="AA213" s="1057">
        <v>128942.3939</v>
      </c>
      <c r="AB213" s="1057">
        <v>20941.393899999999</v>
      </c>
      <c r="AC213" s="1057">
        <v>108001</v>
      </c>
      <c r="AD213" s="1057">
        <v>0</v>
      </c>
      <c r="AE213" s="1057">
        <v>0</v>
      </c>
      <c r="AF213" s="1057">
        <v>0</v>
      </c>
      <c r="AG213" s="1057">
        <v>108001</v>
      </c>
      <c r="AH213" s="1057">
        <v>0</v>
      </c>
      <c r="AI213" s="1057">
        <v>0</v>
      </c>
      <c r="AJ213" s="1053">
        <v>4</v>
      </c>
      <c r="AK213" s="1053" t="s">
        <v>913</v>
      </c>
      <c r="AL213" s="1054" t="s">
        <v>1512</v>
      </c>
      <c r="AM213" s="1053" t="s">
        <v>10</v>
      </c>
      <c r="AN213" s="1054" t="s">
        <v>476</v>
      </c>
      <c r="AO213" s="1054">
        <v>20941.393899999999</v>
      </c>
      <c r="AP213" s="1059">
        <f t="shared" si="73"/>
        <v>11.205508</v>
      </c>
      <c r="AQ213" s="1059">
        <f t="shared" si="75"/>
        <v>11.205508</v>
      </c>
      <c r="AR213" s="1052">
        <v>0</v>
      </c>
      <c r="AS213" s="1052">
        <v>0</v>
      </c>
      <c r="AT213" s="1052">
        <v>8</v>
      </c>
      <c r="AU213" s="1052">
        <v>0</v>
      </c>
      <c r="AV213" s="1052">
        <v>0</v>
      </c>
      <c r="AW213" s="1052">
        <v>0</v>
      </c>
      <c r="AX213" s="1052">
        <v>0</v>
      </c>
      <c r="AY213" s="1052">
        <v>2</v>
      </c>
      <c r="AZ213" s="1052">
        <v>0</v>
      </c>
      <c r="BA213" s="1052">
        <v>0</v>
      </c>
      <c r="BB213" s="1052">
        <v>0</v>
      </c>
      <c r="BC213" s="1052">
        <v>0</v>
      </c>
      <c r="BD213" s="1052">
        <v>0</v>
      </c>
      <c r="BE213" s="1052">
        <v>0</v>
      </c>
      <c r="BF213" s="1052">
        <v>0</v>
      </c>
      <c r="BG213" s="1052">
        <v>0</v>
      </c>
      <c r="BH213" s="1052">
        <v>0</v>
      </c>
      <c r="BI213" s="1052">
        <v>0</v>
      </c>
      <c r="BJ213" s="1052">
        <v>0</v>
      </c>
      <c r="BK213" s="1052">
        <v>0</v>
      </c>
      <c r="BL213" s="1052">
        <v>0</v>
      </c>
      <c r="BM213" s="1052">
        <v>0</v>
      </c>
      <c r="BN213" s="1052">
        <v>0</v>
      </c>
      <c r="BO213" s="1052">
        <v>12.05508</v>
      </c>
      <c r="BQ213" s="1136"/>
      <c r="BR213" s="1140">
        <f t="shared" si="76"/>
        <v>0</v>
      </c>
      <c r="BS213" s="1140">
        <f t="shared" si="77"/>
        <v>111111.11111111112</v>
      </c>
      <c r="BT213" s="1140">
        <f t="shared" si="78"/>
        <v>0</v>
      </c>
      <c r="BU213" s="1140">
        <f t="shared" si="79"/>
        <v>111111.11111111112</v>
      </c>
      <c r="BV213" s="1140">
        <f t="shared" si="89"/>
        <v>0</v>
      </c>
      <c r="BW213" s="1140">
        <f t="shared" si="90"/>
        <v>0</v>
      </c>
      <c r="BX213" s="1140">
        <f t="shared" si="91"/>
        <v>400</v>
      </c>
      <c r="BY213" s="1140">
        <f t="shared" si="80"/>
        <v>400</v>
      </c>
      <c r="BZ213" s="1136"/>
      <c r="CA213" s="1140">
        <f t="shared" si="81"/>
        <v>0</v>
      </c>
      <c r="CB213" s="1140">
        <f t="shared" si="82"/>
        <v>111111.11111111112</v>
      </c>
      <c r="CC213" s="1140">
        <f t="shared" si="83"/>
        <v>0</v>
      </c>
      <c r="CD213" s="1140">
        <f t="shared" si="84"/>
        <v>111111.11111111112</v>
      </c>
      <c r="CE213" s="1140">
        <f t="shared" si="85"/>
        <v>0</v>
      </c>
      <c r="CF213" s="1140">
        <f t="shared" si="86"/>
        <v>0</v>
      </c>
      <c r="CG213" s="1140">
        <f t="shared" si="87"/>
        <v>400</v>
      </c>
      <c r="CH213" s="1140">
        <f t="shared" si="88"/>
        <v>400</v>
      </c>
      <c r="CI213" s="1146"/>
    </row>
    <row r="214" spans="1:87" s="1069" customFormat="1" ht="15" customHeight="1" x14ac:dyDescent="0.2">
      <c r="A214" s="1052">
        <v>9620</v>
      </c>
      <c r="B214" s="1052"/>
      <c r="C214" s="1053" t="s">
        <v>478</v>
      </c>
      <c r="D214" s="1054" t="s">
        <v>478</v>
      </c>
      <c r="E214" s="1055">
        <f t="shared" si="72"/>
        <v>64564.821999999993</v>
      </c>
      <c r="F214" s="1055">
        <v>0</v>
      </c>
      <c r="G214" s="1056">
        <f t="shared" si="71"/>
        <v>64564.821999999993</v>
      </c>
      <c r="H214" s="1053" t="s">
        <v>10</v>
      </c>
      <c r="I214" s="1054" t="s">
        <v>1512</v>
      </c>
      <c r="J214" s="1054" t="s">
        <v>10</v>
      </c>
      <c r="K214" s="1054" t="s">
        <v>78</v>
      </c>
      <c r="L214" s="1054" t="s">
        <v>10</v>
      </c>
      <c r="M214" s="1057">
        <v>14</v>
      </c>
      <c r="N214" s="1057">
        <v>0.91100000000000003</v>
      </c>
      <c r="O214" s="1057">
        <v>0.91100000000000003</v>
      </c>
      <c r="P214" s="1057">
        <v>0.88</v>
      </c>
      <c r="Q214" s="1057">
        <v>0.95699999999999996</v>
      </c>
      <c r="R214" s="1057">
        <v>0</v>
      </c>
      <c r="S214" s="1057">
        <v>332980</v>
      </c>
      <c r="T214" s="1058">
        <f t="shared" si="74"/>
        <v>64564.821999999993</v>
      </c>
      <c r="U214" s="1057">
        <v>281831</v>
      </c>
      <c r="V214" s="1057">
        <v>51149</v>
      </c>
      <c r="W214" s="1057">
        <v>1700</v>
      </c>
      <c r="X214" s="1057">
        <v>0</v>
      </c>
      <c r="Y214" s="1057">
        <v>0</v>
      </c>
      <c r="Z214" s="1057">
        <v>0</v>
      </c>
      <c r="AA214" s="1057">
        <v>397544.82199999999</v>
      </c>
      <c r="AB214" s="1057">
        <v>64564.822</v>
      </c>
      <c r="AC214" s="1057">
        <v>332980</v>
      </c>
      <c r="AD214" s="1057">
        <v>0</v>
      </c>
      <c r="AE214" s="1057">
        <v>0</v>
      </c>
      <c r="AF214" s="1057">
        <v>0</v>
      </c>
      <c r="AG214" s="1057">
        <v>332980</v>
      </c>
      <c r="AH214" s="1057">
        <v>0</v>
      </c>
      <c r="AI214" s="1057">
        <v>0</v>
      </c>
      <c r="AJ214" s="1053" t="s">
        <v>900</v>
      </c>
      <c r="AK214" s="1053" t="s">
        <v>907</v>
      </c>
      <c r="AL214" s="1054" t="s">
        <v>1512</v>
      </c>
      <c r="AM214" s="1053" t="s">
        <v>10</v>
      </c>
      <c r="AN214" s="1054" t="s">
        <v>478</v>
      </c>
      <c r="AO214" s="1054">
        <v>64564.822</v>
      </c>
      <c r="AP214" s="1059">
        <f t="shared" si="73"/>
        <v>1.3515999999999999</v>
      </c>
      <c r="AQ214" s="1059">
        <f t="shared" si="75"/>
        <v>10.351599999999999</v>
      </c>
      <c r="AR214" s="1052">
        <v>0</v>
      </c>
      <c r="AS214" s="1052">
        <v>0</v>
      </c>
      <c r="AT214" s="1052">
        <v>1</v>
      </c>
      <c r="AU214" s="1052">
        <v>0</v>
      </c>
      <c r="AV214" s="1052">
        <v>0</v>
      </c>
      <c r="AW214" s="1052">
        <v>0</v>
      </c>
      <c r="AX214" s="1052">
        <v>0</v>
      </c>
      <c r="AY214" s="1052">
        <v>0</v>
      </c>
      <c r="AZ214" s="1052">
        <v>0</v>
      </c>
      <c r="BA214" s="1052">
        <v>0</v>
      </c>
      <c r="BB214" s="1052">
        <v>9</v>
      </c>
      <c r="BC214" s="1052">
        <v>0</v>
      </c>
      <c r="BD214" s="1052">
        <v>0</v>
      </c>
      <c r="BE214" s="1052">
        <v>0</v>
      </c>
      <c r="BF214" s="1052">
        <v>0</v>
      </c>
      <c r="BG214" s="1052">
        <v>0</v>
      </c>
      <c r="BH214" s="1052">
        <v>0</v>
      </c>
      <c r="BI214" s="1052">
        <v>0</v>
      </c>
      <c r="BJ214" s="1052">
        <v>0</v>
      </c>
      <c r="BK214" s="1052">
        <v>0</v>
      </c>
      <c r="BL214" s="1052">
        <v>0</v>
      </c>
      <c r="BM214" s="1052">
        <v>0</v>
      </c>
      <c r="BN214" s="1052">
        <v>0</v>
      </c>
      <c r="BO214" s="1052">
        <v>3.516</v>
      </c>
      <c r="BQ214" s="1136"/>
      <c r="BR214" s="1140">
        <f t="shared" si="76"/>
        <v>0</v>
      </c>
      <c r="BS214" s="1140">
        <f t="shared" si="77"/>
        <v>13888.888888888891</v>
      </c>
      <c r="BT214" s="1140">
        <f t="shared" si="78"/>
        <v>0</v>
      </c>
      <c r="BU214" s="1140">
        <f t="shared" si="79"/>
        <v>13888.888888888891</v>
      </c>
      <c r="BV214" s="1140">
        <f t="shared" si="89"/>
        <v>0</v>
      </c>
      <c r="BW214" s="1140">
        <f t="shared" si="90"/>
        <v>0</v>
      </c>
      <c r="BX214" s="1140">
        <f t="shared" si="91"/>
        <v>0</v>
      </c>
      <c r="BY214" s="1140">
        <f t="shared" si="80"/>
        <v>0</v>
      </c>
      <c r="BZ214" s="1136"/>
      <c r="CA214" s="1140">
        <f t="shared" si="81"/>
        <v>0</v>
      </c>
      <c r="CB214" s="1140">
        <f t="shared" si="82"/>
        <v>13888.888888888891</v>
      </c>
      <c r="CC214" s="1140">
        <f t="shared" si="83"/>
        <v>0</v>
      </c>
      <c r="CD214" s="1140">
        <f t="shared" si="84"/>
        <v>13888.888888888891</v>
      </c>
      <c r="CE214" s="1140">
        <f t="shared" si="85"/>
        <v>0</v>
      </c>
      <c r="CF214" s="1140">
        <f t="shared" si="86"/>
        <v>0</v>
      </c>
      <c r="CG214" s="1140">
        <f t="shared" si="87"/>
        <v>0</v>
      </c>
      <c r="CH214" s="1140">
        <f t="shared" si="88"/>
        <v>0</v>
      </c>
      <c r="CI214" s="1146"/>
    </row>
    <row r="215" spans="1:87" ht="15" customHeight="1" x14ac:dyDescent="0.2">
      <c r="A215" s="1075">
        <v>4602</v>
      </c>
      <c r="B215" s="1075"/>
      <c r="C215" s="1076" t="s">
        <v>959</v>
      </c>
      <c r="D215" s="1063" t="s">
        <v>959</v>
      </c>
      <c r="E215" s="1055" t="e">
        <f t="shared" si="72"/>
        <v>#VALUE!</v>
      </c>
      <c r="F215" s="1064" t="s">
        <v>10</v>
      </c>
      <c r="G215" s="1056" t="e">
        <f t="shared" si="71"/>
        <v>#VALUE!</v>
      </c>
      <c r="H215" s="1062" t="s">
        <v>1417</v>
      </c>
      <c r="I215" s="1063" t="s">
        <v>1416</v>
      </c>
      <c r="J215" s="1063" t="s">
        <v>10</v>
      </c>
      <c r="K215" s="1063" t="s">
        <v>10</v>
      </c>
      <c r="L215" s="1063" t="s">
        <v>10</v>
      </c>
      <c r="M215" s="1065" t="s">
        <v>10</v>
      </c>
      <c r="N215" s="1065" t="s">
        <v>10</v>
      </c>
      <c r="O215" s="1065" t="s">
        <v>10</v>
      </c>
      <c r="P215" s="1065" t="s">
        <v>10</v>
      </c>
      <c r="Q215" s="1065" t="s">
        <v>10</v>
      </c>
      <c r="R215" s="1065" t="s">
        <v>10</v>
      </c>
      <c r="S215" s="1065" t="s">
        <v>10</v>
      </c>
      <c r="T215" s="1058" t="e">
        <f t="shared" si="74"/>
        <v>#VALUE!</v>
      </c>
      <c r="U215" s="1065" t="s">
        <v>10</v>
      </c>
      <c r="V215" s="1065" t="s">
        <v>10</v>
      </c>
      <c r="W215" s="1065" t="s">
        <v>10</v>
      </c>
      <c r="X215" s="1065" t="s">
        <v>10</v>
      </c>
      <c r="Y215" s="1065" t="s">
        <v>10</v>
      </c>
      <c r="Z215" s="1065" t="s">
        <v>10</v>
      </c>
      <c r="AA215" s="1065" t="s">
        <v>10</v>
      </c>
      <c r="AB215" s="1065" t="s">
        <v>10</v>
      </c>
      <c r="AC215" s="1065" t="s">
        <v>10</v>
      </c>
      <c r="AD215" s="1065" t="s">
        <v>10</v>
      </c>
      <c r="AE215" s="1065" t="s">
        <v>10</v>
      </c>
      <c r="AF215" s="1065" t="s">
        <v>10</v>
      </c>
      <c r="AG215" s="1065" t="s">
        <v>10</v>
      </c>
      <c r="AH215" s="1065" t="s">
        <v>10</v>
      </c>
      <c r="AI215" s="1065" t="s">
        <v>10</v>
      </c>
      <c r="AJ215" s="1062" t="s">
        <v>900</v>
      </c>
      <c r="AK215" s="1062" t="s">
        <v>901</v>
      </c>
      <c r="AL215" s="1066" t="s">
        <v>1512</v>
      </c>
      <c r="AM215" s="1062" t="s">
        <v>1417</v>
      </c>
      <c r="AN215" s="1084" t="s">
        <v>959</v>
      </c>
      <c r="AO215" s="1084">
        <v>98889</v>
      </c>
      <c r="AP215" s="1067">
        <f t="shared" si="73"/>
        <v>28</v>
      </c>
      <c r="AQ215" s="1059">
        <f t="shared" si="75"/>
        <v>51</v>
      </c>
      <c r="AR215" s="1061">
        <v>0</v>
      </c>
      <c r="AS215" s="1061">
        <v>0</v>
      </c>
      <c r="AT215" s="1061">
        <v>28</v>
      </c>
      <c r="AU215" s="1061">
        <v>0</v>
      </c>
      <c r="AV215" s="1061">
        <v>0</v>
      </c>
      <c r="AW215" s="1061">
        <v>0</v>
      </c>
      <c r="AX215" s="1061">
        <v>0</v>
      </c>
      <c r="AY215" s="1061">
        <v>0</v>
      </c>
      <c r="AZ215" s="1061">
        <v>0</v>
      </c>
      <c r="BA215" s="1061">
        <v>23</v>
      </c>
      <c r="BB215" s="1061">
        <v>23</v>
      </c>
      <c r="BC215" s="1061">
        <v>0</v>
      </c>
      <c r="BD215" s="1061">
        <v>0</v>
      </c>
      <c r="BE215" s="1061">
        <v>0</v>
      </c>
      <c r="BF215" s="1061">
        <v>0</v>
      </c>
      <c r="BG215" s="1061">
        <v>0</v>
      </c>
      <c r="BH215" s="1061">
        <v>0</v>
      </c>
      <c r="BI215" s="1061">
        <v>0</v>
      </c>
      <c r="BJ215" s="1061">
        <v>0</v>
      </c>
      <c r="BK215" s="1061">
        <v>0</v>
      </c>
      <c r="BL215" s="1061">
        <v>0</v>
      </c>
      <c r="BM215" s="1061">
        <v>0</v>
      </c>
      <c r="BN215" s="1061">
        <v>0</v>
      </c>
      <c r="BO215" s="1061">
        <v>0</v>
      </c>
      <c r="BR215" s="1140">
        <f t="shared" si="76"/>
        <v>0</v>
      </c>
      <c r="BS215" s="1140">
        <f t="shared" si="77"/>
        <v>388888.88888888893</v>
      </c>
      <c r="BT215" s="1140">
        <f t="shared" si="78"/>
        <v>0</v>
      </c>
      <c r="BU215" s="1140">
        <f t="shared" si="79"/>
        <v>388888.88888888893</v>
      </c>
      <c r="BV215" s="1140">
        <f t="shared" si="89"/>
        <v>0</v>
      </c>
      <c r="BW215" s="1140">
        <f t="shared" si="90"/>
        <v>0</v>
      </c>
      <c r="BX215" s="1140">
        <f t="shared" si="91"/>
        <v>0</v>
      </c>
      <c r="BY215" s="1140">
        <f t="shared" si="80"/>
        <v>0</v>
      </c>
      <c r="CA215" s="1140">
        <f t="shared" si="81"/>
        <v>0</v>
      </c>
      <c r="CB215" s="1140">
        <f t="shared" si="82"/>
        <v>0</v>
      </c>
      <c r="CC215" s="1140">
        <f t="shared" si="83"/>
        <v>0</v>
      </c>
      <c r="CD215" s="1140">
        <f t="shared" si="84"/>
        <v>0</v>
      </c>
      <c r="CE215" s="1140">
        <f t="shared" si="85"/>
        <v>0</v>
      </c>
      <c r="CF215" s="1140">
        <f t="shared" si="86"/>
        <v>0</v>
      </c>
      <c r="CG215" s="1140">
        <f t="shared" si="87"/>
        <v>0</v>
      </c>
      <c r="CH215" s="1140">
        <f t="shared" si="88"/>
        <v>0</v>
      </c>
    </row>
    <row r="216" spans="1:87" ht="15" customHeight="1" x14ac:dyDescent="0.2">
      <c r="A216" s="1061">
        <v>2307</v>
      </c>
      <c r="B216" s="1061" t="s">
        <v>1412</v>
      </c>
      <c r="C216" s="1062" t="s">
        <v>479</v>
      </c>
      <c r="D216" s="1054" t="s">
        <v>479</v>
      </c>
      <c r="E216" s="1055">
        <f t="shared" si="72"/>
        <v>298114.38279999996</v>
      </c>
      <c r="F216" s="1055">
        <v>0</v>
      </c>
      <c r="G216" s="1056">
        <f t="shared" si="71"/>
        <v>298114.38279999996</v>
      </c>
      <c r="H216" s="1062" t="s">
        <v>10</v>
      </c>
      <c r="I216" s="1054" t="s">
        <v>1416</v>
      </c>
      <c r="J216" s="1054" t="s">
        <v>1412</v>
      </c>
      <c r="K216" s="1054" t="s">
        <v>19</v>
      </c>
      <c r="L216" s="1054" t="s">
        <v>10</v>
      </c>
      <c r="M216" s="1057">
        <v>75</v>
      </c>
      <c r="N216" s="1057">
        <v>0.879</v>
      </c>
      <c r="O216" s="1057">
        <v>0.93899999999999995</v>
      </c>
      <c r="P216" s="1057">
        <v>0.84499999999999997</v>
      </c>
      <c r="Q216" s="1057">
        <v>0.82099999999999995</v>
      </c>
      <c r="R216" s="1057">
        <v>984155</v>
      </c>
      <c r="S216" s="1057">
        <v>855667</v>
      </c>
      <c r="T216" s="1058">
        <f t="shared" si="74"/>
        <v>292786.11249999999</v>
      </c>
      <c r="U216" s="1057">
        <v>568373</v>
      </c>
      <c r="V216" s="1057">
        <v>287294</v>
      </c>
      <c r="W216" s="1057">
        <v>3000</v>
      </c>
      <c r="X216" s="1057">
        <v>0</v>
      </c>
      <c r="Y216" s="1057">
        <v>0</v>
      </c>
      <c r="Z216" s="1057">
        <v>0</v>
      </c>
      <c r="AA216" s="1057">
        <v>1148453.1129999999</v>
      </c>
      <c r="AB216" s="1057">
        <v>292786.11249999999</v>
      </c>
      <c r="AC216" s="1057">
        <v>855667</v>
      </c>
      <c r="AD216" s="1057">
        <v>0</v>
      </c>
      <c r="AE216" s="1057">
        <v>0</v>
      </c>
      <c r="AF216" s="1057">
        <v>855667</v>
      </c>
      <c r="AG216" s="1057">
        <v>0</v>
      </c>
      <c r="AH216" s="1057">
        <v>185000</v>
      </c>
      <c r="AI216" s="1057">
        <v>174000</v>
      </c>
      <c r="AJ216" s="1062">
        <v>4</v>
      </c>
      <c r="AK216" s="1062" t="s">
        <v>913</v>
      </c>
      <c r="AL216" s="1066" t="s">
        <v>1578</v>
      </c>
      <c r="AM216" s="1062" t="s">
        <v>10</v>
      </c>
      <c r="AN216" s="1066" t="s">
        <v>960</v>
      </c>
      <c r="AO216" s="1066">
        <v>0</v>
      </c>
      <c r="AP216" s="1067">
        <f t="shared" si="73"/>
        <v>135.41220000000001</v>
      </c>
      <c r="AQ216" s="1059">
        <f t="shared" si="75"/>
        <v>137.41220000000001</v>
      </c>
      <c r="AR216" s="1061">
        <v>38</v>
      </c>
      <c r="AS216" s="1061">
        <v>174</v>
      </c>
      <c r="AT216" s="1061">
        <v>62</v>
      </c>
      <c r="AU216" s="1061">
        <v>15</v>
      </c>
      <c r="AV216" s="1061">
        <v>0</v>
      </c>
      <c r="AW216" s="1061">
        <v>0</v>
      </c>
      <c r="AX216" s="1061">
        <v>0</v>
      </c>
      <c r="AY216" s="1061">
        <v>0</v>
      </c>
      <c r="AZ216" s="1061">
        <v>0</v>
      </c>
      <c r="BA216" s="1061">
        <v>14</v>
      </c>
      <c r="BB216" s="1061">
        <v>2</v>
      </c>
      <c r="BC216" s="1061">
        <v>0</v>
      </c>
      <c r="BD216" s="1061">
        <v>0</v>
      </c>
      <c r="BE216" s="1061">
        <v>0</v>
      </c>
      <c r="BF216" s="1061">
        <v>0</v>
      </c>
      <c r="BG216" s="1061">
        <v>0</v>
      </c>
      <c r="BH216" s="1061">
        <v>0</v>
      </c>
      <c r="BI216" s="1061">
        <v>0</v>
      </c>
      <c r="BJ216" s="1061">
        <v>0</v>
      </c>
      <c r="BK216" s="1061">
        <v>0</v>
      </c>
      <c r="BL216" s="1061">
        <v>0</v>
      </c>
      <c r="BM216" s="1061">
        <v>0</v>
      </c>
      <c r="BN216" s="1061">
        <v>0</v>
      </c>
      <c r="BO216" s="1061">
        <v>204.12200000000001</v>
      </c>
      <c r="BR216" s="1140">
        <f t="shared" si="76"/>
        <v>527777.77777777787</v>
      </c>
      <c r="BS216" s="1140">
        <f t="shared" si="77"/>
        <v>861111.11111111112</v>
      </c>
      <c r="BT216" s="1140">
        <f t="shared" si="78"/>
        <v>208333.33333333334</v>
      </c>
      <c r="BU216" s="1140">
        <f t="shared" si="79"/>
        <v>1597222.2222222222</v>
      </c>
      <c r="BV216" s="1140">
        <f t="shared" si="89"/>
        <v>0</v>
      </c>
      <c r="BW216" s="1140">
        <f t="shared" si="90"/>
        <v>0</v>
      </c>
      <c r="BX216" s="1140">
        <f t="shared" si="91"/>
        <v>0</v>
      </c>
      <c r="BY216" s="1140">
        <f t="shared" si="80"/>
        <v>0</v>
      </c>
      <c r="CA216" s="1140">
        <f t="shared" si="81"/>
        <v>527777.77777777787</v>
      </c>
      <c r="CB216" s="1140">
        <f t="shared" si="82"/>
        <v>861111.11111111112</v>
      </c>
      <c r="CC216" s="1140">
        <f t="shared" si="83"/>
        <v>208333.33333333334</v>
      </c>
      <c r="CD216" s="1140">
        <f t="shared" si="84"/>
        <v>1597222.2222222222</v>
      </c>
      <c r="CE216" s="1140">
        <f t="shared" si="85"/>
        <v>0</v>
      </c>
      <c r="CF216" s="1140">
        <f t="shared" si="86"/>
        <v>0</v>
      </c>
      <c r="CG216" s="1140">
        <f t="shared" si="87"/>
        <v>0</v>
      </c>
      <c r="CH216" s="1140">
        <f t="shared" si="88"/>
        <v>0</v>
      </c>
    </row>
    <row r="217" spans="1:87" ht="15" customHeight="1" x14ac:dyDescent="0.2">
      <c r="A217" s="1052">
        <v>2311</v>
      </c>
      <c r="B217" s="1052"/>
      <c r="C217" s="1053" t="s">
        <v>480</v>
      </c>
      <c r="D217" s="1054" t="s">
        <v>480</v>
      </c>
      <c r="E217" s="1055">
        <f t="shared" si="72"/>
        <v>16481.5</v>
      </c>
      <c r="F217" s="1055">
        <v>0</v>
      </c>
      <c r="G217" s="1056">
        <f t="shared" si="71"/>
        <v>16481.5</v>
      </c>
      <c r="H217" s="1053" t="s">
        <v>10</v>
      </c>
      <c r="I217" s="1054" t="s">
        <v>1512</v>
      </c>
      <c r="J217" s="1054" t="s">
        <v>1417</v>
      </c>
      <c r="K217" s="1054" t="s">
        <v>19</v>
      </c>
      <c r="L217" s="1054" t="s">
        <v>10</v>
      </c>
      <c r="M217" s="1057">
        <v>0</v>
      </c>
      <c r="N217" s="1057">
        <v>1</v>
      </c>
      <c r="O217" s="1057">
        <v>1</v>
      </c>
      <c r="P217" s="1057">
        <v>1</v>
      </c>
      <c r="Q217" s="1057">
        <v>1</v>
      </c>
      <c r="R217" s="1057">
        <v>0</v>
      </c>
      <c r="S217" s="1057">
        <v>85000</v>
      </c>
      <c r="T217" s="1058">
        <f t="shared" si="74"/>
        <v>16481.5</v>
      </c>
      <c r="U217" s="1057">
        <v>86676</v>
      </c>
      <c r="V217" s="1057">
        <v>-1676</v>
      </c>
      <c r="W217" s="1057">
        <v>952</v>
      </c>
      <c r="X217" s="1057">
        <v>0</v>
      </c>
      <c r="Y217" s="1057">
        <v>0</v>
      </c>
      <c r="Z217" s="1057">
        <v>0</v>
      </c>
      <c r="AA217" s="1057">
        <v>101481.5</v>
      </c>
      <c r="AB217" s="1057">
        <v>16481.5</v>
      </c>
      <c r="AC217" s="1057">
        <v>85000</v>
      </c>
      <c r="AD217" s="1057">
        <v>0</v>
      </c>
      <c r="AE217" s="1057">
        <v>0</v>
      </c>
      <c r="AF217" s="1057">
        <v>0</v>
      </c>
      <c r="AG217" s="1057">
        <v>85000</v>
      </c>
      <c r="AH217" s="1057">
        <v>0</v>
      </c>
      <c r="AI217" s="1057">
        <v>0</v>
      </c>
      <c r="AJ217" s="1053">
        <v>4</v>
      </c>
      <c r="AK217" s="1053" t="s">
        <v>913</v>
      </c>
      <c r="AL217" s="1054" t="s">
        <v>1512</v>
      </c>
      <c r="AM217" s="1053" t="s">
        <v>10</v>
      </c>
      <c r="AN217" s="1054" t="s">
        <v>480</v>
      </c>
      <c r="AO217" s="1054">
        <v>16481.5</v>
      </c>
      <c r="AP217" s="1059">
        <f t="shared" si="73"/>
        <v>8.2661639999999998</v>
      </c>
      <c r="AQ217" s="1059">
        <f t="shared" si="75"/>
        <v>8.2661639999999998</v>
      </c>
      <c r="AR217" s="1052">
        <v>0</v>
      </c>
      <c r="AS217" s="1052">
        <v>0</v>
      </c>
      <c r="AT217" s="1052">
        <v>0</v>
      </c>
      <c r="AU217" s="1052">
        <v>5</v>
      </c>
      <c r="AV217" s="1052">
        <v>0</v>
      </c>
      <c r="AW217" s="1052">
        <v>0</v>
      </c>
      <c r="AX217" s="1052">
        <v>2</v>
      </c>
      <c r="AY217" s="1052">
        <v>0</v>
      </c>
      <c r="AZ217" s="1052">
        <v>0</v>
      </c>
      <c r="BA217" s="1052">
        <v>0</v>
      </c>
      <c r="BB217" s="1052">
        <v>0</v>
      </c>
      <c r="BC217" s="1052">
        <v>0</v>
      </c>
      <c r="BD217" s="1052">
        <v>0</v>
      </c>
      <c r="BE217" s="1052">
        <v>0</v>
      </c>
      <c r="BF217" s="1052">
        <v>0</v>
      </c>
      <c r="BG217" s="1052">
        <v>0</v>
      </c>
      <c r="BH217" s="1052">
        <v>0</v>
      </c>
      <c r="BI217" s="1052">
        <v>0</v>
      </c>
      <c r="BJ217" s="1052">
        <v>0</v>
      </c>
      <c r="BK217" s="1052">
        <v>0</v>
      </c>
      <c r="BL217" s="1052">
        <v>0</v>
      </c>
      <c r="BM217" s="1052">
        <v>0</v>
      </c>
      <c r="BN217" s="1052">
        <v>0</v>
      </c>
      <c r="BO217" s="1052">
        <v>12.66164</v>
      </c>
      <c r="BR217" s="1140">
        <f t="shared" si="76"/>
        <v>0</v>
      </c>
      <c r="BS217" s="1140">
        <f t="shared" si="77"/>
        <v>0</v>
      </c>
      <c r="BT217" s="1140">
        <f t="shared" si="78"/>
        <v>69444.444444444453</v>
      </c>
      <c r="BU217" s="1140">
        <f t="shared" si="79"/>
        <v>69444.444444444453</v>
      </c>
      <c r="BV217" s="1140">
        <f t="shared" si="89"/>
        <v>0</v>
      </c>
      <c r="BW217" s="1140">
        <f t="shared" si="90"/>
        <v>400</v>
      </c>
      <c r="BX217" s="1140">
        <f t="shared" si="91"/>
        <v>0</v>
      </c>
      <c r="BY217" s="1140">
        <f t="shared" si="80"/>
        <v>400</v>
      </c>
      <c r="CA217" s="1140">
        <f t="shared" si="81"/>
        <v>0</v>
      </c>
      <c r="CB217" s="1140">
        <f t="shared" si="82"/>
        <v>0</v>
      </c>
      <c r="CC217" s="1140">
        <f t="shared" si="83"/>
        <v>69444.444444444453</v>
      </c>
      <c r="CD217" s="1140">
        <f t="shared" si="84"/>
        <v>69444.444444444453</v>
      </c>
      <c r="CE217" s="1140">
        <f t="shared" si="85"/>
        <v>0</v>
      </c>
      <c r="CF217" s="1140">
        <f t="shared" si="86"/>
        <v>400</v>
      </c>
      <c r="CG217" s="1140">
        <f t="shared" si="87"/>
        <v>0</v>
      </c>
      <c r="CH217" s="1140">
        <f t="shared" si="88"/>
        <v>400</v>
      </c>
    </row>
    <row r="218" spans="1:87" ht="15" customHeight="1" x14ac:dyDescent="0.2">
      <c r="A218" s="1052">
        <v>3633</v>
      </c>
      <c r="B218" s="1052" t="s">
        <v>1412</v>
      </c>
      <c r="C218" s="1053" t="s">
        <v>481</v>
      </c>
      <c r="D218" s="1054" t="s">
        <v>481</v>
      </c>
      <c r="E218" s="1055">
        <f t="shared" si="72"/>
        <v>20670.920399999999</v>
      </c>
      <c r="F218" s="1055">
        <v>0</v>
      </c>
      <c r="G218" s="1056">
        <f t="shared" si="71"/>
        <v>20670.920399999999</v>
      </c>
      <c r="H218" s="1053" t="s">
        <v>1417</v>
      </c>
      <c r="I218" s="1054" t="s">
        <v>1416</v>
      </c>
      <c r="J218" s="1054" t="s">
        <v>1412</v>
      </c>
      <c r="K218" s="1054" t="s">
        <v>10</v>
      </c>
      <c r="L218" s="1054" t="s">
        <v>10</v>
      </c>
      <c r="M218" s="1057">
        <v>54</v>
      </c>
      <c r="N218" s="1057">
        <v>0.92100000000000004</v>
      </c>
      <c r="O218" s="1057">
        <v>0.94799999999999995</v>
      </c>
      <c r="P218" s="1057">
        <v>0.95899999999999996</v>
      </c>
      <c r="Q218" s="1057">
        <v>0.82399999999999995</v>
      </c>
      <c r="R218" s="1057">
        <v>60273</v>
      </c>
      <c r="S218" s="1057">
        <v>59331</v>
      </c>
      <c r="T218" s="1058">
        <f t="shared" si="74"/>
        <v>17931.217499999999</v>
      </c>
      <c r="U218" s="1057">
        <v>0</v>
      </c>
      <c r="V218" s="1057">
        <v>59331</v>
      </c>
      <c r="W218" s="1057">
        <v>0</v>
      </c>
      <c r="X218" s="1057">
        <v>0</v>
      </c>
      <c r="Y218" s="1057">
        <v>0</v>
      </c>
      <c r="Z218" s="1057">
        <v>0</v>
      </c>
      <c r="AA218" s="1057">
        <v>77262.217499999999</v>
      </c>
      <c r="AB218" s="1057">
        <v>17931.217499999999</v>
      </c>
      <c r="AC218" s="1057">
        <v>59331</v>
      </c>
      <c r="AD218" s="1057">
        <v>0</v>
      </c>
      <c r="AE218" s="1057">
        <v>0</v>
      </c>
      <c r="AF218" s="1057">
        <v>59331</v>
      </c>
      <c r="AG218" s="1057">
        <v>0</v>
      </c>
      <c r="AH218" s="1057">
        <v>172000</v>
      </c>
      <c r="AI218" s="1057">
        <v>112000</v>
      </c>
      <c r="AJ218" s="1053" t="s">
        <v>914</v>
      </c>
      <c r="AK218" s="1053" t="s">
        <v>920</v>
      </c>
      <c r="AL218" s="1054" t="s">
        <v>1416</v>
      </c>
      <c r="AM218" s="1053" t="s">
        <v>1417</v>
      </c>
      <c r="AN218" s="1054" t="s">
        <v>481</v>
      </c>
      <c r="AO218" s="1054">
        <v>17931.217499999999</v>
      </c>
      <c r="AP218" s="1059">
        <f t="shared" si="73"/>
        <v>154</v>
      </c>
      <c r="AQ218" s="1059">
        <f t="shared" si="75"/>
        <v>154</v>
      </c>
      <c r="AR218" s="1052">
        <v>147</v>
      </c>
      <c r="AS218" s="1052">
        <v>112</v>
      </c>
      <c r="AT218" s="1052">
        <v>6</v>
      </c>
      <c r="AU218" s="1052">
        <v>0</v>
      </c>
      <c r="AV218" s="1052">
        <v>0</v>
      </c>
      <c r="AW218" s="1052">
        <v>0</v>
      </c>
      <c r="AX218" s="1052">
        <v>0</v>
      </c>
      <c r="AY218" s="1052">
        <v>0</v>
      </c>
      <c r="AZ218" s="1052">
        <v>0</v>
      </c>
      <c r="BA218" s="1052">
        <v>23</v>
      </c>
      <c r="BB218" s="1052">
        <v>0</v>
      </c>
      <c r="BC218" s="1052">
        <v>0</v>
      </c>
      <c r="BD218" s="1052">
        <v>1</v>
      </c>
      <c r="BE218" s="1052">
        <v>0</v>
      </c>
      <c r="BF218" s="1052">
        <v>0</v>
      </c>
      <c r="BG218" s="1052">
        <v>0</v>
      </c>
      <c r="BH218" s="1052">
        <v>0</v>
      </c>
      <c r="BI218" s="1052">
        <v>0</v>
      </c>
      <c r="BJ218" s="1052">
        <v>0</v>
      </c>
      <c r="BK218" s="1052">
        <v>0</v>
      </c>
      <c r="BL218" s="1052">
        <v>0</v>
      </c>
      <c r="BM218" s="1052">
        <v>0</v>
      </c>
      <c r="BN218" s="1052">
        <v>0</v>
      </c>
      <c r="BO218" s="1052">
        <v>0</v>
      </c>
      <c r="BR218" s="1140">
        <f t="shared" si="76"/>
        <v>2041666.6666666667</v>
      </c>
      <c r="BS218" s="1140">
        <f t="shared" si="77"/>
        <v>83333.333333333343</v>
      </c>
      <c r="BT218" s="1140">
        <f t="shared" si="78"/>
        <v>0</v>
      </c>
      <c r="BU218" s="1140">
        <f t="shared" si="79"/>
        <v>2125000</v>
      </c>
      <c r="BV218" s="1140">
        <f t="shared" si="89"/>
        <v>0</v>
      </c>
      <c r="BW218" s="1140">
        <f t="shared" si="90"/>
        <v>0</v>
      </c>
      <c r="BX218" s="1140">
        <f t="shared" si="91"/>
        <v>0</v>
      </c>
      <c r="BY218" s="1140">
        <f t="shared" si="80"/>
        <v>0</v>
      </c>
      <c r="CA218" s="1140">
        <f t="shared" si="81"/>
        <v>0</v>
      </c>
      <c r="CB218" s="1140">
        <f t="shared" si="82"/>
        <v>0</v>
      </c>
      <c r="CC218" s="1140">
        <f t="shared" si="83"/>
        <v>0</v>
      </c>
      <c r="CD218" s="1140">
        <f t="shared" si="84"/>
        <v>0</v>
      </c>
      <c r="CE218" s="1140">
        <f t="shared" si="85"/>
        <v>0</v>
      </c>
      <c r="CF218" s="1140">
        <f t="shared" si="86"/>
        <v>0</v>
      </c>
      <c r="CG218" s="1140">
        <f t="shared" si="87"/>
        <v>0</v>
      </c>
      <c r="CH218" s="1140">
        <f t="shared" si="88"/>
        <v>0</v>
      </c>
    </row>
    <row r="219" spans="1:87" ht="15" customHeight="1" x14ac:dyDescent="0.2">
      <c r="A219" s="1052">
        <v>4839</v>
      </c>
      <c r="B219" s="1052" t="s">
        <v>1412</v>
      </c>
      <c r="C219" s="1053" t="s">
        <v>482</v>
      </c>
      <c r="D219" s="1054" t="s">
        <v>482</v>
      </c>
      <c r="E219" s="1055">
        <f t="shared" si="72"/>
        <v>459888</v>
      </c>
      <c r="F219" s="1055">
        <v>0</v>
      </c>
      <c r="G219" s="1056">
        <f t="shared" si="71"/>
        <v>459888</v>
      </c>
      <c r="H219" s="1053" t="s">
        <v>10</v>
      </c>
      <c r="I219" s="1054" t="s">
        <v>1416</v>
      </c>
      <c r="J219" s="1054" t="s">
        <v>1412</v>
      </c>
      <c r="K219" s="1054" t="s">
        <v>325</v>
      </c>
      <c r="L219" s="1054" t="s">
        <v>10</v>
      </c>
      <c r="M219" s="1057">
        <v>184</v>
      </c>
      <c r="N219" s="1057">
        <v>0.90600000000000003</v>
      </c>
      <c r="O219" s="1057">
        <v>0.91700000000000004</v>
      </c>
      <c r="P219" s="1057">
        <v>0.92500000000000004</v>
      </c>
      <c r="Q219" s="1057">
        <v>0.95199999999999996</v>
      </c>
      <c r="R219" s="1057">
        <v>1207554</v>
      </c>
      <c r="S219" s="1057">
        <v>1320000</v>
      </c>
      <c r="T219" s="1058">
        <f t="shared" si="74"/>
        <v>359247.315</v>
      </c>
      <c r="U219" s="1057">
        <v>791000</v>
      </c>
      <c r="V219" s="1057">
        <v>529000</v>
      </c>
      <c r="W219" s="1057">
        <v>7000</v>
      </c>
      <c r="X219" s="1057">
        <v>0</v>
      </c>
      <c r="Y219" s="1057">
        <v>0</v>
      </c>
      <c r="Z219" s="1057">
        <v>0</v>
      </c>
      <c r="AA219" s="1057">
        <v>1679247.3149999999</v>
      </c>
      <c r="AB219" s="1057">
        <v>359247.315</v>
      </c>
      <c r="AC219" s="1057">
        <v>1320000</v>
      </c>
      <c r="AD219" s="1057">
        <v>0</v>
      </c>
      <c r="AE219" s="1057">
        <v>0</v>
      </c>
      <c r="AF219" s="1057">
        <v>1320000</v>
      </c>
      <c r="AG219" s="1057">
        <v>0</v>
      </c>
      <c r="AH219" s="1057">
        <v>1212000</v>
      </c>
      <c r="AI219" s="1057">
        <v>1001000</v>
      </c>
      <c r="AJ219" s="1053" t="s">
        <v>900</v>
      </c>
      <c r="AK219" s="1053" t="s">
        <v>907</v>
      </c>
      <c r="AL219" s="1054" t="s">
        <v>1416</v>
      </c>
      <c r="AM219" s="1053" t="s">
        <v>10</v>
      </c>
      <c r="AN219" s="1054" t="s">
        <v>482</v>
      </c>
      <c r="AO219" s="1054">
        <v>359247.315</v>
      </c>
      <c r="AP219" s="1059">
        <f t="shared" si="73"/>
        <v>571</v>
      </c>
      <c r="AQ219" s="1059">
        <f t="shared" si="75"/>
        <v>613</v>
      </c>
      <c r="AR219" s="1052">
        <v>0</v>
      </c>
      <c r="AS219" s="1052">
        <v>1001</v>
      </c>
      <c r="AT219" s="1052">
        <v>570</v>
      </c>
      <c r="AU219" s="1052">
        <v>1</v>
      </c>
      <c r="AV219" s="1052">
        <v>0</v>
      </c>
      <c r="AW219" s="1052">
        <v>0</v>
      </c>
      <c r="AX219" s="1052">
        <v>0</v>
      </c>
      <c r="AY219" s="1052">
        <v>0</v>
      </c>
      <c r="AZ219" s="1052">
        <v>0</v>
      </c>
      <c r="BA219" s="1052">
        <v>87</v>
      </c>
      <c r="BB219" s="1052">
        <v>37</v>
      </c>
      <c r="BC219" s="1052">
        <v>5</v>
      </c>
      <c r="BD219" s="1052">
        <v>0</v>
      </c>
      <c r="BE219" s="1052">
        <v>1</v>
      </c>
      <c r="BF219" s="1052">
        <v>0</v>
      </c>
      <c r="BG219" s="1052">
        <v>0</v>
      </c>
      <c r="BH219" s="1052">
        <v>0</v>
      </c>
      <c r="BI219" s="1052">
        <v>0</v>
      </c>
      <c r="BJ219" s="1052">
        <v>0</v>
      </c>
      <c r="BK219" s="1052">
        <v>0</v>
      </c>
      <c r="BL219" s="1052">
        <v>0</v>
      </c>
      <c r="BM219" s="1052">
        <v>0</v>
      </c>
      <c r="BN219" s="1052">
        <v>0</v>
      </c>
      <c r="BO219" s="1052">
        <v>0</v>
      </c>
      <c r="BR219" s="1140">
        <f t="shared" si="76"/>
        <v>0</v>
      </c>
      <c r="BS219" s="1140">
        <f t="shared" si="77"/>
        <v>7916666.666666667</v>
      </c>
      <c r="BT219" s="1140">
        <f t="shared" si="78"/>
        <v>13888.888888888891</v>
      </c>
      <c r="BU219" s="1140">
        <f t="shared" si="79"/>
        <v>7930555.555555556</v>
      </c>
      <c r="BV219" s="1140">
        <f t="shared" si="89"/>
        <v>0</v>
      </c>
      <c r="BW219" s="1140">
        <f t="shared" si="90"/>
        <v>0</v>
      </c>
      <c r="BX219" s="1140">
        <f t="shared" si="91"/>
        <v>0</v>
      </c>
      <c r="BY219" s="1140">
        <f t="shared" si="80"/>
        <v>0</v>
      </c>
      <c r="CA219" s="1140">
        <f t="shared" si="81"/>
        <v>0</v>
      </c>
      <c r="CB219" s="1140">
        <f t="shared" si="82"/>
        <v>7916666.666666667</v>
      </c>
      <c r="CC219" s="1140">
        <f t="shared" si="83"/>
        <v>13888.888888888891</v>
      </c>
      <c r="CD219" s="1140">
        <f t="shared" si="84"/>
        <v>7930555.555555556</v>
      </c>
      <c r="CE219" s="1140">
        <f t="shared" si="85"/>
        <v>0</v>
      </c>
      <c r="CF219" s="1140">
        <f t="shared" si="86"/>
        <v>0</v>
      </c>
      <c r="CG219" s="1140">
        <f t="shared" si="87"/>
        <v>0</v>
      </c>
      <c r="CH219" s="1140">
        <f t="shared" si="88"/>
        <v>0</v>
      </c>
    </row>
    <row r="220" spans="1:87" ht="15" customHeight="1" x14ac:dyDescent="0.2">
      <c r="A220" s="1052">
        <v>4840</v>
      </c>
      <c r="B220" s="1052" t="s">
        <v>1412</v>
      </c>
      <c r="C220" s="1053" t="s">
        <v>484</v>
      </c>
      <c r="D220" s="1054" t="s">
        <v>484</v>
      </c>
      <c r="E220" s="1055">
        <f t="shared" si="72"/>
        <v>444210</v>
      </c>
      <c r="F220" s="1055">
        <v>0</v>
      </c>
      <c r="G220" s="1056">
        <f t="shared" si="71"/>
        <v>444210</v>
      </c>
      <c r="H220" s="1053" t="s">
        <v>1417</v>
      </c>
      <c r="I220" s="1054" t="s">
        <v>1416</v>
      </c>
      <c r="J220" s="1054" t="s">
        <v>1412</v>
      </c>
      <c r="K220" s="1054" t="s">
        <v>126</v>
      </c>
      <c r="L220" s="1054" t="s">
        <v>10</v>
      </c>
      <c r="M220" s="1057">
        <v>182</v>
      </c>
      <c r="N220" s="1057">
        <v>0.94199999999999995</v>
      </c>
      <c r="O220" s="1057">
        <v>0.95699999999999996</v>
      </c>
      <c r="P220" s="1057">
        <v>0.92500000000000004</v>
      </c>
      <c r="Q220" s="1057">
        <v>0.95199999999999996</v>
      </c>
      <c r="R220" s="1057">
        <v>844738</v>
      </c>
      <c r="S220" s="1057">
        <v>1275000</v>
      </c>
      <c r="T220" s="1058">
        <f t="shared" si="74"/>
        <v>251309.55499999999</v>
      </c>
      <c r="U220" s="1057">
        <v>844738</v>
      </c>
      <c r="V220" s="1057">
        <v>430262</v>
      </c>
      <c r="W220" s="1057">
        <v>6787</v>
      </c>
      <c r="X220" s="1057">
        <v>0</v>
      </c>
      <c r="Y220" s="1057">
        <v>0</v>
      </c>
      <c r="Z220" s="1057">
        <v>0</v>
      </c>
      <c r="AA220" s="1057">
        <v>1526309.5549999999</v>
      </c>
      <c r="AB220" s="1057">
        <v>251309.55499999999</v>
      </c>
      <c r="AC220" s="1057">
        <v>1275000</v>
      </c>
      <c r="AD220" s="1057">
        <v>0</v>
      </c>
      <c r="AE220" s="1057">
        <v>0</v>
      </c>
      <c r="AF220" s="1057">
        <v>1275000</v>
      </c>
      <c r="AG220" s="1057">
        <v>0</v>
      </c>
      <c r="AH220" s="1057">
        <v>1027000</v>
      </c>
      <c r="AI220" s="1057">
        <v>1026000</v>
      </c>
      <c r="AJ220" s="1053" t="s">
        <v>900</v>
      </c>
      <c r="AK220" s="1053" t="s">
        <v>905</v>
      </c>
      <c r="AL220" s="1054" t="s">
        <v>1416</v>
      </c>
      <c r="AM220" s="1053" t="s">
        <v>1417</v>
      </c>
      <c r="AN220" s="1054" t="s">
        <v>484</v>
      </c>
      <c r="AO220" s="1054">
        <v>251309.55499999999</v>
      </c>
      <c r="AP220" s="1059">
        <f t="shared" si="73"/>
        <v>1114.2901999999999</v>
      </c>
      <c r="AQ220" s="1059">
        <f t="shared" si="75"/>
        <v>1139.2901999999999</v>
      </c>
      <c r="AR220" s="1052">
        <v>421</v>
      </c>
      <c r="AS220" s="1052">
        <v>1026</v>
      </c>
      <c r="AT220" s="1052">
        <v>238</v>
      </c>
      <c r="AU220" s="1052">
        <v>0</v>
      </c>
      <c r="AV220" s="1052">
        <v>0</v>
      </c>
      <c r="AW220" s="1052">
        <v>0</v>
      </c>
      <c r="AX220" s="1052">
        <v>0</v>
      </c>
      <c r="AY220" s="1052">
        <v>0</v>
      </c>
      <c r="AZ220" s="1052">
        <v>0</v>
      </c>
      <c r="BA220" s="1052">
        <v>199</v>
      </c>
      <c r="BB220" s="1052">
        <v>25</v>
      </c>
      <c r="BC220" s="1052">
        <v>0</v>
      </c>
      <c r="BD220" s="1052">
        <v>0</v>
      </c>
      <c r="BE220" s="1052">
        <v>0</v>
      </c>
      <c r="BF220" s="1052">
        <v>0</v>
      </c>
      <c r="BG220" s="1052">
        <v>0</v>
      </c>
      <c r="BH220" s="1052">
        <v>90</v>
      </c>
      <c r="BI220" s="1052">
        <v>0</v>
      </c>
      <c r="BJ220" s="1052">
        <v>0</v>
      </c>
      <c r="BK220" s="1052">
        <v>0</v>
      </c>
      <c r="BL220" s="1052">
        <v>0</v>
      </c>
      <c r="BM220" s="1052">
        <v>360068</v>
      </c>
      <c r="BN220" s="1052">
        <v>0</v>
      </c>
      <c r="BO220" s="1052">
        <v>52.222000000000001</v>
      </c>
      <c r="BR220" s="1140">
        <f t="shared" si="76"/>
        <v>5847222.2222222229</v>
      </c>
      <c r="BS220" s="1140">
        <f t="shared" si="77"/>
        <v>3305555.555555556</v>
      </c>
      <c r="BT220" s="1140">
        <f t="shared" si="78"/>
        <v>0</v>
      </c>
      <c r="BU220" s="1140">
        <f t="shared" si="79"/>
        <v>9152777.7777777798</v>
      </c>
      <c r="BV220" s="1140">
        <f t="shared" si="89"/>
        <v>0</v>
      </c>
      <c r="BW220" s="1140">
        <f t="shared" si="90"/>
        <v>0</v>
      </c>
      <c r="BX220" s="1140">
        <f t="shared" si="91"/>
        <v>0</v>
      </c>
      <c r="BY220" s="1140">
        <f t="shared" si="80"/>
        <v>0</v>
      </c>
      <c r="CA220" s="1140">
        <f t="shared" si="81"/>
        <v>0</v>
      </c>
      <c r="CB220" s="1140">
        <f t="shared" si="82"/>
        <v>0</v>
      </c>
      <c r="CC220" s="1140">
        <f t="shared" si="83"/>
        <v>0</v>
      </c>
      <c r="CD220" s="1140">
        <f t="shared" si="84"/>
        <v>0</v>
      </c>
      <c r="CE220" s="1140">
        <f t="shared" si="85"/>
        <v>0</v>
      </c>
      <c r="CF220" s="1140">
        <f t="shared" si="86"/>
        <v>0</v>
      </c>
      <c r="CG220" s="1140">
        <f t="shared" si="87"/>
        <v>0</v>
      </c>
      <c r="CH220" s="1140">
        <f t="shared" si="88"/>
        <v>0</v>
      </c>
    </row>
    <row r="221" spans="1:87" ht="15" customHeight="1" x14ac:dyDescent="0.2">
      <c r="A221" s="1052">
        <v>2105</v>
      </c>
      <c r="B221" s="1052" t="s">
        <v>1412</v>
      </c>
      <c r="C221" s="1053" t="s">
        <v>486</v>
      </c>
      <c r="D221" s="1054" t="s">
        <v>486</v>
      </c>
      <c r="E221" s="1055">
        <f t="shared" si="72"/>
        <v>377846.41959999996</v>
      </c>
      <c r="F221" s="1055">
        <v>541854</v>
      </c>
      <c r="G221" s="1056">
        <f t="shared" si="71"/>
        <v>919700.41959999991</v>
      </c>
      <c r="H221" s="1053" t="s">
        <v>10</v>
      </c>
      <c r="I221" s="1054" t="s">
        <v>1416</v>
      </c>
      <c r="J221" s="1054" t="s">
        <v>1412</v>
      </c>
      <c r="K221" s="1054" t="s">
        <v>488</v>
      </c>
      <c r="L221" s="1054" t="s">
        <v>1417</v>
      </c>
      <c r="M221" s="1057">
        <v>144</v>
      </c>
      <c r="N221" s="1057">
        <v>0.77300000000000002</v>
      </c>
      <c r="O221" s="1057">
        <v>0.85799999999999998</v>
      </c>
      <c r="P221" s="1057">
        <v>0.82599999999999996</v>
      </c>
      <c r="Q221" s="1057">
        <v>0.73099999999999998</v>
      </c>
      <c r="R221" s="1057">
        <v>1321540</v>
      </c>
      <c r="S221" s="1057">
        <v>1084519</v>
      </c>
      <c r="T221" s="1058">
        <f t="shared" si="74"/>
        <v>393158.14999999997</v>
      </c>
      <c r="U221" s="1057">
        <v>662313</v>
      </c>
      <c r="V221" s="1057">
        <v>422206</v>
      </c>
      <c r="W221" s="1057">
        <v>5000</v>
      </c>
      <c r="X221" s="1057">
        <v>541854</v>
      </c>
      <c r="Y221" s="1057">
        <v>0</v>
      </c>
      <c r="Z221" s="1057">
        <v>541854</v>
      </c>
      <c r="AA221" s="1057">
        <v>935823.15</v>
      </c>
      <c r="AB221" s="1057">
        <v>393158.15</v>
      </c>
      <c r="AC221" s="1057">
        <v>542665</v>
      </c>
      <c r="AD221" s="1057">
        <v>541854</v>
      </c>
      <c r="AE221" s="1057">
        <v>0</v>
      </c>
      <c r="AF221" s="1057">
        <v>542665</v>
      </c>
      <c r="AG221" s="1057">
        <v>0</v>
      </c>
      <c r="AH221" s="1057">
        <v>905000</v>
      </c>
      <c r="AI221" s="1057">
        <v>876000</v>
      </c>
      <c r="AJ221" s="1053" t="s">
        <v>900</v>
      </c>
      <c r="AK221" s="1053" t="s">
        <v>922</v>
      </c>
      <c r="AL221" s="1054" t="s">
        <v>1416</v>
      </c>
      <c r="AM221" s="1053" t="s">
        <v>10</v>
      </c>
      <c r="AN221" s="1054" t="s">
        <v>486</v>
      </c>
      <c r="AO221" s="1054">
        <v>935012.15</v>
      </c>
      <c r="AP221" s="1059">
        <f t="shared" si="73"/>
        <v>653.1191</v>
      </c>
      <c r="AQ221" s="1059">
        <f t="shared" si="75"/>
        <v>677.1191</v>
      </c>
      <c r="AR221" s="1052">
        <v>278</v>
      </c>
      <c r="AS221" s="1052">
        <v>876</v>
      </c>
      <c r="AT221" s="1052">
        <v>127</v>
      </c>
      <c r="AU221" s="1052">
        <v>1</v>
      </c>
      <c r="AV221" s="1052">
        <v>0</v>
      </c>
      <c r="AW221" s="1052">
        <v>0</v>
      </c>
      <c r="AX221" s="1052">
        <v>0</v>
      </c>
      <c r="AY221" s="1052">
        <v>0</v>
      </c>
      <c r="AZ221" s="1052">
        <v>5</v>
      </c>
      <c r="BA221" s="1052">
        <v>12</v>
      </c>
      <c r="BB221" s="1052">
        <v>20</v>
      </c>
      <c r="BC221" s="1052">
        <v>4</v>
      </c>
      <c r="BD221" s="1052">
        <v>39</v>
      </c>
      <c r="BE221" s="1052">
        <v>0</v>
      </c>
      <c r="BF221" s="1052">
        <v>0</v>
      </c>
      <c r="BG221" s="1052">
        <v>0</v>
      </c>
      <c r="BH221" s="1052">
        <v>68</v>
      </c>
      <c r="BI221" s="1052">
        <v>0</v>
      </c>
      <c r="BJ221" s="1052">
        <v>0</v>
      </c>
      <c r="BK221" s="1052">
        <v>0</v>
      </c>
      <c r="BL221" s="1052">
        <v>0</v>
      </c>
      <c r="BM221" s="1052">
        <v>36100</v>
      </c>
      <c r="BN221" s="1052">
        <v>51262</v>
      </c>
      <c r="BO221" s="1052">
        <v>477.57100000000003</v>
      </c>
      <c r="BR221" s="1140">
        <f t="shared" si="76"/>
        <v>3861111.1111111115</v>
      </c>
      <c r="BS221" s="1140">
        <f t="shared" si="77"/>
        <v>1763888.888888889</v>
      </c>
      <c r="BT221" s="1140">
        <f t="shared" si="78"/>
        <v>13888.888888888891</v>
      </c>
      <c r="BU221" s="1140">
        <f t="shared" si="79"/>
        <v>5638888.888888889</v>
      </c>
      <c r="BV221" s="1140">
        <f t="shared" si="89"/>
        <v>0</v>
      </c>
      <c r="BW221" s="1140">
        <f t="shared" si="90"/>
        <v>0</v>
      </c>
      <c r="BX221" s="1140">
        <f t="shared" si="91"/>
        <v>0</v>
      </c>
      <c r="BY221" s="1140">
        <f t="shared" si="80"/>
        <v>0</v>
      </c>
      <c r="CA221" s="1140">
        <f t="shared" si="81"/>
        <v>3861111.1111111115</v>
      </c>
      <c r="CB221" s="1140">
        <f t="shared" si="82"/>
        <v>1763888.888888889</v>
      </c>
      <c r="CC221" s="1140">
        <f t="shared" si="83"/>
        <v>13888.888888888891</v>
      </c>
      <c r="CD221" s="1140">
        <f t="shared" si="84"/>
        <v>5638888.888888889</v>
      </c>
      <c r="CE221" s="1140">
        <f t="shared" si="85"/>
        <v>0</v>
      </c>
      <c r="CF221" s="1140">
        <f t="shared" si="86"/>
        <v>0</v>
      </c>
      <c r="CG221" s="1140">
        <f t="shared" si="87"/>
        <v>0</v>
      </c>
      <c r="CH221" s="1140">
        <f t="shared" si="88"/>
        <v>0</v>
      </c>
    </row>
    <row r="222" spans="1:87" ht="15" customHeight="1" x14ac:dyDescent="0.2">
      <c r="A222" s="1052">
        <v>3920</v>
      </c>
      <c r="B222" s="1052" t="s">
        <v>1412</v>
      </c>
      <c r="C222" s="1053" t="s">
        <v>489</v>
      </c>
      <c r="D222" s="1054" t="s">
        <v>489</v>
      </c>
      <c r="E222" s="1055">
        <f t="shared" si="72"/>
        <v>328044.73</v>
      </c>
      <c r="F222" s="1055">
        <v>0</v>
      </c>
      <c r="G222" s="1056">
        <f t="shared" si="71"/>
        <v>328044.73</v>
      </c>
      <c r="H222" s="1053" t="s">
        <v>10</v>
      </c>
      <c r="I222" s="1054" t="s">
        <v>1416</v>
      </c>
      <c r="J222" s="1054" t="s">
        <v>1412</v>
      </c>
      <c r="K222" s="1054" t="s">
        <v>490</v>
      </c>
      <c r="L222" s="1054" t="s">
        <v>10</v>
      </c>
      <c r="M222" s="1057">
        <v>120</v>
      </c>
      <c r="N222" s="1057">
        <v>0.92200000000000004</v>
      </c>
      <c r="O222" s="1057">
        <v>0.92500000000000004</v>
      </c>
      <c r="P222" s="1057">
        <v>0.89400000000000002</v>
      </c>
      <c r="Q222" s="1057">
        <v>0.877</v>
      </c>
      <c r="R222" s="1057">
        <v>1072563</v>
      </c>
      <c r="S222" s="1057">
        <v>941575</v>
      </c>
      <c r="T222" s="1058">
        <f t="shared" si="74"/>
        <v>319087.49249999999</v>
      </c>
      <c r="U222" s="1057">
        <v>654711</v>
      </c>
      <c r="V222" s="1057">
        <v>286864</v>
      </c>
      <c r="W222" s="1057">
        <v>4852</v>
      </c>
      <c r="X222" s="1057">
        <v>0</v>
      </c>
      <c r="Y222" s="1057">
        <v>0</v>
      </c>
      <c r="Z222" s="1057">
        <v>0</v>
      </c>
      <c r="AA222" s="1057">
        <v>1260662.493</v>
      </c>
      <c r="AB222" s="1057">
        <v>319087.49249999999</v>
      </c>
      <c r="AC222" s="1057">
        <v>941575</v>
      </c>
      <c r="AD222" s="1057">
        <v>0</v>
      </c>
      <c r="AE222" s="1057">
        <v>0</v>
      </c>
      <c r="AF222" s="1057">
        <v>941575</v>
      </c>
      <c r="AG222" s="1057">
        <v>0</v>
      </c>
      <c r="AH222" s="1057">
        <v>772000</v>
      </c>
      <c r="AI222" s="1057">
        <v>695000</v>
      </c>
      <c r="AJ222" s="1053" t="s">
        <v>900</v>
      </c>
      <c r="AK222" s="1053" t="s">
        <v>922</v>
      </c>
      <c r="AL222" s="1054" t="s">
        <v>1416</v>
      </c>
      <c r="AM222" s="1053" t="s">
        <v>10</v>
      </c>
      <c r="AN222" s="1054" t="s">
        <v>489</v>
      </c>
      <c r="AO222" s="1054">
        <v>319087.49249999999</v>
      </c>
      <c r="AP222" s="1059">
        <f t="shared" si="73"/>
        <v>235.59139199999998</v>
      </c>
      <c r="AQ222" s="1059">
        <f t="shared" si="75"/>
        <v>282.59139199999998</v>
      </c>
      <c r="AR222" s="1052">
        <v>94</v>
      </c>
      <c r="AS222" s="1052">
        <v>695</v>
      </c>
      <c r="AT222" s="1052">
        <v>104</v>
      </c>
      <c r="AU222" s="1052">
        <v>1</v>
      </c>
      <c r="AV222" s="1052">
        <v>0</v>
      </c>
      <c r="AW222" s="1052">
        <v>0</v>
      </c>
      <c r="AX222" s="1052">
        <v>0</v>
      </c>
      <c r="AY222" s="1052">
        <v>0</v>
      </c>
      <c r="AZ222" s="1052">
        <v>0</v>
      </c>
      <c r="BA222" s="1052">
        <v>12</v>
      </c>
      <c r="BB222" s="1052">
        <v>47</v>
      </c>
      <c r="BC222" s="1052">
        <v>0</v>
      </c>
      <c r="BD222" s="1052">
        <v>0</v>
      </c>
      <c r="BE222" s="1052">
        <v>0</v>
      </c>
      <c r="BF222" s="1052">
        <v>0</v>
      </c>
      <c r="BG222" s="1052">
        <v>0</v>
      </c>
      <c r="BH222" s="1052">
        <v>0</v>
      </c>
      <c r="BI222" s="1052">
        <v>0</v>
      </c>
      <c r="BJ222" s="1052">
        <v>0</v>
      </c>
      <c r="BK222" s="1052">
        <v>0</v>
      </c>
      <c r="BL222" s="1052">
        <v>0</v>
      </c>
      <c r="BM222" s="1052">
        <v>0</v>
      </c>
      <c r="BN222" s="1052">
        <v>2039</v>
      </c>
      <c r="BO222" s="1052">
        <v>345.52391999999998</v>
      </c>
      <c r="BR222" s="1140">
        <f t="shared" si="76"/>
        <v>1305555.5555555557</v>
      </c>
      <c r="BS222" s="1140">
        <f t="shared" si="77"/>
        <v>1444444.4444444445</v>
      </c>
      <c r="BT222" s="1140">
        <f t="shared" si="78"/>
        <v>13888.888888888891</v>
      </c>
      <c r="BU222" s="1140">
        <f t="shared" si="79"/>
        <v>2763888.888888889</v>
      </c>
      <c r="BV222" s="1140">
        <f t="shared" si="89"/>
        <v>0</v>
      </c>
      <c r="BW222" s="1140">
        <f t="shared" si="90"/>
        <v>0</v>
      </c>
      <c r="BX222" s="1140">
        <f t="shared" si="91"/>
        <v>0</v>
      </c>
      <c r="BY222" s="1140">
        <f t="shared" si="80"/>
        <v>0</v>
      </c>
      <c r="CA222" s="1140">
        <f t="shared" si="81"/>
        <v>1305555.5555555557</v>
      </c>
      <c r="CB222" s="1140">
        <f t="shared" si="82"/>
        <v>1444444.4444444445</v>
      </c>
      <c r="CC222" s="1140">
        <f t="shared" si="83"/>
        <v>13888.888888888891</v>
      </c>
      <c r="CD222" s="1140">
        <f t="shared" si="84"/>
        <v>2763888.888888889</v>
      </c>
      <c r="CE222" s="1140">
        <f t="shared" si="85"/>
        <v>0</v>
      </c>
      <c r="CF222" s="1140">
        <f t="shared" si="86"/>
        <v>0</v>
      </c>
      <c r="CG222" s="1140">
        <f t="shared" si="87"/>
        <v>0</v>
      </c>
      <c r="CH222" s="1140">
        <f t="shared" si="88"/>
        <v>0</v>
      </c>
    </row>
    <row r="223" spans="1:87" ht="15" customHeight="1" x14ac:dyDescent="0.2">
      <c r="A223" s="1052">
        <v>9896</v>
      </c>
      <c r="B223" s="1052"/>
      <c r="C223" s="1053" t="s">
        <v>491</v>
      </c>
      <c r="D223" s="1054" t="s">
        <v>491</v>
      </c>
      <c r="E223" s="1055">
        <f t="shared" si="72"/>
        <v>308443.04920000001</v>
      </c>
      <c r="F223" s="1055">
        <v>0</v>
      </c>
      <c r="G223" s="1056">
        <f t="shared" si="71"/>
        <v>308443.04920000001</v>
      </c>
      <c r="H223" s="1053" t="s">
        <v>10</v>
      </c>
      <c r="I223" s="1054" t="s">
        <v>1416</v>
      </c>
      <c r="J223" s="1054" t="s">
        <v>10</v>
      </c>
      <c r="K223" s="1054" t="s">
        <v>325</v>
      </c>
      <c r="L223" s="1054" t="s">
        <v>10</v>
      </c>
      <c r="M223" s="1057">
        <v>139</v>
      </c>
      <c r="N223" s="1057">
        <v>0.79400000000000004</v>
      </c>
      <c r="O223" s="1057">
        <v>0.79300000000000004</v>
      </c>
      <c r="P223" s="1057">
        <v>0.84099999999999997</v>
      </c>
      <c r="Q223" s="1057">
        <v>0.84699999999999998</v>
      </c>
      <c r="R223" s="1057">
        <v>1062497</v>
      </c>
      <c r="S223" s="1057">
        <v>885313</v>
      </c>
      <c r="T223" s="1058">
        <f t="shared" si="74"/>
        <v>316092.85749999998</v>
      </c>
      <c r="U223" s="1057">
        <v>595468</v>
      </c>
      <c r="V223" s="1057">
        <v>289845</v>
      </c>
      <c r="W223" s="1057">
        <v>4458</v>
      </c>
      <c r="X223" s="1057">
        <v>0</v>
      </c>
      <c r="Y223" s="1057">
        <v>0</v>
      </c>
      <c r="Z223" s="1057">
        <v>0</v>
      </c>
      <c r="AA223" s="1057">
        <v>1201405.858</v>
      </c>
      <c r="AB223" s="1057">
        <v>316092.85749999998</v>
      </c>
      <c r="AC223" s="1057">
        <v>885313</v>
      </c>
      <c r="AD223" s="1057">
        <v>0</v>
      </c>
      <c r="AE223" s="1057">
        <v>0</v>
      </c>
      <c r="AF223" s="1057">
        <v>0</v>
      </c>
      <c r="AG223" s="1057">
        <v>885313</v>
      </c>
      <c r="AH223" s="1057">
        <v>0</v>
      </c>
      <c r="AI223" s="1057">
        <v>0</v>
      </c>
      <c r="AJ223" s="1053" t="s">
        <v>900</v>
      </c>
      <c r="AK223" s="1053" t="s">
        <v>907</v>
      </c>
      <c r="AL223" s="1054" t="s">
        <v>1416</v>
      </c>
      <c r="AM223" s="1053" t="s">
        <v>10</v>
      </c>
      <c r="AN223" s="1054" t="s">
        <v>491</v>
      </c>
      <c r="AO223" s="1054">
        <v>316092.85749999998</v>
      </c>
      <c r="AP223" s="1059">
        <f t="shared" si="73"/>
        <v>366.09119999999996</v>
      </c>
      <c r="AQ223" s="1059">
        <f t="shared" si="75"/>
        <v>465.09119999999996</v>
      </c>
      <c r="AR223" s="1052">
        <v>0</v>
      </c>
      <c r="AS223" s="1052">
        <v>0</v>
      </c>
      <c r="AT223" s="1052">
        <v>273</v>
      </c>
      <c r="AU223" s="1052">
        <v>3</v>
      </c>
      <c r="AV223" s="1052">
        <v>0</v>
      </c>
      <c r="AW223" s="1052">
        <v>0</v>
      </c>
      <c r="AX223" s="1052">
        <v>1</v>
      </c>
      <c r="AY223" s="1052">
        <v>0</v>
      </c>
      <c r="AZ223" s="1052">
        <v>0</v>
      </c>
      <c r="BA223" s="1052">
        <v>0</v>
      </c>
      <c r="BB223" s="1052">
        <v>24</v>
      </c>
      <c r="BC223" s="1052">
        <v>75</v>
      </c>
      <c r="BD223" s="1052">
        <v>0</v>
      </c>
      <c r="BE223" s="1052">
        <v>0</v>
      </c>
      <c r="BF223" s="1052">
        <v>0</v>
      </c>
      <c r="BG223" s="1052">
        <v>0</v>
      </c>
      <c r="BH223" s="1052">
        <v>0</v>
      </c>
      <c r="BI223" s="1052">
        <v>0</v>
      </c>
      <c r="BJ223" s="1052">
        <v>0</v>
      </c>
      <c r="BK223" s="1052">
        <v>0</v>
      </c>
      <c r="BL223" s="1052">
        <v>7900</v>
      </c>
      <c r="BM223" s="1052">
        <v>0</v>
      </c>
      <c r="BN223" s="1052">
        <v>0</v>
      </c>
      <c r="BO223" s="1052">
        <v>811.91200000000003</v>
      </c>
      <c r="BR223" s="1140">
        <f t="shared" si="76"/>
        <v>0</v>
      </c>
      <c r="BS223" s="1140">
        <f t="shared" si="77"/>
        <v>3791666.666666667</v>
      </c>
      <c r="BT223" s="1140">
        <f t="shared" si="78"/>
        <v>41666.666666666672</v>
      </c>
      <c r="BU223" s="1140">
        <f t="shared" si="79"/>
        <v>3833333.3333333335</v>
      </c>
      <c r="BV223" s="1140">
        <f t="shared" si="89"/>
        <v>0</v>
      </c>
      <c r="BW223" s="1140">
        <f t="shared" si="90"/>
        <v>200</v>
      </c>
      <c r="BX223" s="1140">
        <f t="shared" si="91"/>
        <v>0</v>
      </c>
      <c r="BY223" s="1140">
        <f t="shared" si="80"/>
        <v>200</v>
      </c>
      <c r="CA223" s="1140">
        <f t="shared" si="81"/>
        <v>0</v>
      </c>
      <c r="CB223" s="1140">
        <f t="shared" si="82"/>
        <v>3791666.666666667</v>
      </c>
      <c r="CC223" s="1140">
        <f t="shared" si="83"/>
        <v>41666.666666666672</v>
      </c>
      <c r="CD223" s="1140">
        <f t="shared" si="84"/>
        <v>3833333.3333333335</v>
      </c>
      <c r="CE223" s="1140">
        <f t="shared" si="85"/>
        <v>0</v>
      </c>
      <c r="CF223" s="1140">
        <f t="shared" si="86"/>
        <v>200</v>
      </c>
      <c r="CG223" s="1140">
        <f t="shared" si="87"/>
        <v>0</v>
      </c>
      <c r="CH223" s="1140">
        <f t="shared" si="88"/>
        <v>200</v>
      </c>
    </row>
    <row r="224" spans="1:87" ht="15" customHeight="1" x14ac:dyDescent="0.2">
      <c r="A224" s="1052">
        <v>3951</v>
      </c>
      <c r="B224" s="1052"/>
      <c r="C224" s="1062" t="s">
        <v>493</v>
      </c>
      <c r="D224" s="1054" t="s">
        <v>493</v>
      </c>
      <c r="E224" s="1055">
        <f t="shared" si="72"/>
        <v>85255.918799999999</v>
      </c>
      <c r="F224" s="1055">
        <v>235391</v>
      </c>
      <c r="G224" s="1056">
        <f t="shared" si="71"/>
        <v>320646.91879999998</v>
      </c>
      <c r="H224" s="1053" t="s">
        <v>1417</v>
      </c>
      <c r="I224" s="1054" t="s">
        <v>1416</v>
      </c>
      <c r="J224" s="1054" t="s">
        <v>1417</v>
      </c>
      <c r="K224" s="1054" t="s">
        <v>496</v>
      </c>
      <c r="L224" s="1054" t="s">
        <v>1412</v>
      </c>
      <c r="M224" s="1057">
        <v>98</v>
      </c>
      <c r="N224" s="1057">
        <v>0.82299999999999995</v>
      </c>
      <c r="O224" s="1057">
        <v>0.83499999999999996</v>
      </c>
      <c r="P224" s="1057">
        <v>0.85099999999999998</v>
      </c>
      <c r="Q224" s="1057">
        <v>0.75800000000000001</v>
      </c>
      <c r="R224" s="1057">
        <v>259829</v>
      </c>
      <c r="S224" s="1057">
        <v>244707</v>
      </c>
      <c r="T224" s="1058">
        <f t="shared" si="74"/>
        <v>77299.127500000002</v>
      </c>
      <c r="U224" s="1057">
        <v>214110</v>
      </c>
      <c r="V224" s="1057">
        <v>30597</v>
      </c>
      <c r="W224" s="1057">
        <v>943</v>
      </c>
      <c r="X224" s="1057">
        <v>312690.1275</v>
      </c>
      <c r="Y224" s="1057">
        <v>77299.127500000002</v>
      </c>
      <c r="Z224" s="1057">
        <v>235391</v>
      </c>
      <c r="AA224" s="1057">
        <v>9316</v>
      </c>
      <c r="AB224" s="1057">
        <v>0</v>
      </c>
      <c r="AC224" s="1057">
        <v>9316</v>
      </c>
      <c r="AD224" s="1057">
        <v>0</v>
      </c>
      <c r="AE224" s="1057">
        <v>235391</v>
      </c>
      <c r="AF224" s="1057">
        <v>0</v>
      </c>
      <c r="AG224" s="1057">
        <v>9316</v>
      </c>
      <c r="AH224" s="1057">
        <v>0</v>
      </c>
      <c r="AI224" s="1057">
        <v>0</v>
      </c>
      <c r="AJ224" s="1053">
        <v>4</v>
      </c>
      <c r="AK224" s="1053" t="s">
        <v>906</v>
      </c>
      <c r="AL224" s="1054" t="s">
        <v>1416</v>
      </c>
      <c r="AM224" s="1053" t="s">
        <v>1417</v>
      </c>
      <c r="AN224" s="1054" t="s">
        <v>493</v>
      </c>
      <c r="AO224" s="1054">
        <v>312690.1275</v>
      </c>
      <c r="AP224" s="1059">
        <f t="shared" si="73"/>
        <v>588.93769999999995</v>
      </c>
      <c r="AQ224" s="1059">
        <f t="shared" si="75"/>
        <v>601.93769999999995</v>
      </c>
      <c r="AR224" s="1052">
        <v>115</v>
      </c>
      <c r="AS224" s="1052">
        <v>0</v>
      </c>
      <c r="AT224" s="1052">
        <v>67</v>
      </c>
      <c r="AU224" s="1052">
        <v>7</v>
      </c>
      <c r="AV224" s="1052">
        <v>64</v>
      </c>
      <c r="AW224" s="1052">
        <v>24</v>
      </c>
      <c r="AX224" s="1052">
        <v>2</v>
      </c>
      <c r="AY224" s="1052">
        <v>0</v>
      </c>
      <c r="AZ224" s="1052">
        <v>32</v>
      </c>
      <c r="BA224" s="1052">
        <v>5</v>
      </c>
      <c r="BB224" s="1052">
        <v>12</v>
      </c>
      <c r="BC224" s="1052">
        <v>1</v>
      </c>
      <c r="BD224" s="1052">
        <v>108</v>
      </c>
      <c r="BE224" s="1052">
        <v>0</v>
      </c>
      <c r="BF224" s="1052">
        <v>0</v>
      </c>
      <c r="BG224" s="1052">
        <v>0</v>
      </c>
      <c r="BH224" s="1052">
        <v>35</v>
      </c>
      <c r="BI224" s="1052">
        <v>0</v>
      </c>
      <c r="BJ224" s="1052">
        <v>0</v>
      </c>
      <c r="BK224" s="1052">
        <v>0</v>
      </c>
      <c r="BL224" s="1052">
        <v>135688</v>
      </c>
      <c r="BM224" s="1052">
        <v>0</v>
      </c>
      <c r="BN224" s="1052">
        <v>0</v>
      </c>
      <c r="BO224" s="1052">
        <v>232.49700000000001</v>
      </c>
      <c r="BR224" s="1140">
        <f t="shared" si="76"/>
        <v>1597222.2222222222</v>
      </c>
      <c r="BS224" s="1140">
        <f t="shared" si="77"/>
        <v>930555.55555555562</v>
      </c>
      <c r="BT224" s="1140">
        <f t="shared" si="78"/>
        <v>97222.222222222234</v>
      </c>
      <c r="BU224" s="1140">
        <f t="shared" si="79"/>
        <v>2625000</v>
      </c>
      <c r="BV224" s="1140">
        <f t="shared" si="89"/>
        <v>12800</v>
      </c>
      <c r="BW224" s="1140">
        <f t="shared" si="90"/>
        <v>400</v>
      </c>
      <c r="BX224" s="1140">
        <f t="shared" si="91"/>
        <v>0</v>
      </c>
      <c r="BY224" s="1140">
        <f t="shared" si="80"/>
        <v>13200</v>
      </c>
      <c r="CA224" s="1140">
        <f t="shared" si="81"/>
        <v>0</v>
      </c>
      <c r="CB224" s="1140">
        <f t="shared" si="82"/>
        <v>0</v>
      </c>
      <c r="CC224" s="1140">
        <f t="shared" si="83"/>
        <v>0</v>
      </c>
      <c r="CD224" s="1140">
        <f t="shared" si="84"/>
        <v>0</v>
      </c>
      <c r="CE224" s="1140">
        <f t="shared" si="85"/>
        <v>12800</v>
      </c>
      <c r="CF224" s="1140">
        <f t="shared" si="86"/>
        <v>400</v>
      </c>
      <c r="CG224" s="1140">
        <f t="shared" si="87"/>
        <v>0</v>
      </c>
      <c r="CH224" s="1140">
        <f t="shared" si="88"/>
        <v>13200</v>
      </c>
    </row>
    <row r="225" spans="1:181" ht="15" customHeight="1" x14ac:dyDescent="0.2">
      <c r="A225" s="1052">
        <v>9690</v>
      </c>
      <c r="B225" s="1052"/>
      <c r="C225" s="1053" t="s">
        <v>497</v>
      </c>
      <c r="D225" s="1054" t="s">
        <v>497</v>
      </c>
      <c r="E225" s="1055">
        <f t="shared" si="72"/>
        <v>391186.6556</v>
      </c>
      <c r="F225" s="1055">
        <v>0</v>
      </c>
      <c r="G225" s="1056">
        <f t="shared" si="71"/>
        <v>391186.6556</v>
      </c>
      <c r="H225" s="1053" t="s">
        <v>10</v>
      </c>
      <c r="I225" s="1054" t="s">
        <v>1416</v>
      </c>
      <c r="J225" s="1054" t="s">
        <v>1417</v>
      </c>
      <c r="K225" s="1054" t="s">
        <v>78</v>
      </c>
      <c r="L225" s="1054" t="s">
        <v>10</v>
      </c>
      <c r="M225" s="1057">
        <v>0</v>
      </c>
      <c r="N225" s="1057">
        <v>0.90700000000000003</v>
      </c>
      <c r="O225" s="1057">
        <v>0.92400000000000004</v>
      </c>
      <c r="P225" s="1057">
        <v>0.92500000000000004</v>
      </c>
      <c r="Q225" s="1057">
        <v>0.93</v>
      </c>
      <c r="R225" s="1057">
        <v>1379609</v>
      </c>
      <c r="S225" s="1057">
        <v>1122809</v>
      </c>
      <c r="T225" s="1058">
        <f t="shared" si="74"/>
        <v>410433.67749999999</v>
      </c>
      <c r="U225" s="1057">
        <v>748269</v>
      </c>
      <c r="V225" s="1057">
        <v>374540</v>
      </c>
      <c r="W225" s="1057">
        <v>7000</v>
      </c>
      <c r="X225" s="1057">
        <v>0</v>
      </c>
      <c r="Y225" s="1057">
        <v>0</v>
      </c>
      <c r="Z225" s="1057">
        <v>0</v>
      </c>
      <c r="AA225" s="1057">
        <v>1533242.6780000001</v>
      </c>
      <c r="AB225" s="1057">
        <v>410433.67749999999</v>
      </c>
      <c r="AC225" s="1057">
        <v>1122809</v>
      </c>
      <c r="AD225" s="1057">
        <v>0</v>
      </c>
      <c r="AE225" s="1057">
        <v>0</v>
      </c>
      <c r="AF225" s="1057">
        <v>0</v>
      </c>
      <c r="AG225" s="1057">
        <v>1122809</v>
      </c>
      <c r="AH225" s="1057">
        <v>0</v>
      </c>
      <c r="AI225" s="1057">
        <v>0</v>
      </c>
      <c r="AJ225" s="1053" t="s">
        <v>900</v>
      </c>
      <c r="AK225" s="1053" t="s">
        <v>907</v>
      </c>
      <c r="AL225" s="1054" t="s">
        <v>1416</v>
      </c>
      <c r="AM225" s="1053" t="s">
        <v>10</v>
      </c>
      <c r="AN225" s="1054" t="s">
        <v>497</v>
      </c>
      <c r="AO225" s="1054">
        <v>410433.67749999999</v>
      </c>
      <c r="AP225" s="1059">
        <f t="shared" si="73"/>
        <v>245.46969999999999</v>
      </c>
      <c r="AQ225" s="1059">
        <f t="shared" si="75"/>
        <v>445.46969999999999</v>
      </c>
      <c r="AR225" s="1052">
        <v>0</v>
      </c>
      <c r="AS225" s="1052">
        <v>0</v>
      </c>
      <c r="AT225" s="1052">
        <v>234</v>
      </c>
      <c r="AU225" s="1052">
        <v>1</v>
      </c>
      <c r="AV225" s="1052">
        <v>0</v>
      </c>
      <c r="AW225" s="1052">
        <v>0</v>
      </c>
      <c r="AX225" s="1052">
        <v>0</v>
      </c>
      <c r="AY225" s="1052">
        <v>0</v>
      </c>
      <c r="AZ225" s="1052">
        <v>0</v>
      </c>
      <c r="BA225" s="1052">
        <v>0</v>
      </c>
      <c r="BB225" s="1052">
        <v>200</v>
      </c>
      <c r="BC225" s="1052">
        <v>0</v>
      </c>
      <c r="BD225" s="1052">
        <v>0</v>
      </c>
      <c r="BE225" s="1052">
        <v>0</v>
      </c>
      <c r="BF225" s="1052">
        <v>0</v>
      </c>
      <c r="BG225" s="1052">
        <v>0</v>
      </c>
      <c r="BH225" s="1052">
        <v>0</v>
      </c>
      <c r="BI225" s="1052">
        <v>0</v>
      </c>
      <c r="BJ225" s="1052">
        <v>0</v>
      </c>
      <c r="BK225" s="1052">
        <v>0</v>
      </c>
      <c r="BL225" s="1052">
        <v>0</v>
      </c>
      <c r="BM225" s="1052">
        <v>0</v>
      </c>
      <c r="BN225" s="1052">
        <v>10000</v>
      </c>
      <c r="BO225" s="1052">
        <v>4.6970000000000001</v>
      </c>
      <c r="BR225" s="1140">
        <f t="shared" si="76"/>
        <v>0</v>
      </c>
      <c r="BS225" s="1140">
        <f t="shared" si="77"/>
        <v>3250000.0000000005</v>
      </c>
      <c r="BT225" s="1140">
        <f t="shared" si="78"/>
        <v>13888.888888888891</v>
      </c>
      <c r="BU225" s="1140">
        <f t="shared" si="79"/>
        <v>3263888.8888888895</v>
      </c>
      <c r="BV225" s="1140">
        <f t="shared" si="89"/>
        <v>0</v>
      </c>
      <c r="BW225" s="1140">
        <f t="shared" si="90"/>
        <v>0</v>
      </c>
      <c r="BX225" s="1140">
        <f t="shared" si="91"/>
        <v>0</v>
      </c>
      <c r="BY225" s="1140">
        <f t="shared" si="80"/>
        <v>0</v>
      </c>
      <c r="CA225" s="1140">
        <f t="shared" si="81"/>
        <v>0</v>
      </c>
      <c r="CB225" s="1140">
        <f t="shared" si="82"/>
        <v>3250000.0000000005</v>
      </c>
      <c r="CC225" s="1140">
        <f t="shared" si="83"/>
        <v>13888.888888888891</v>
      </c>
      <c r="CD225" s="1140">
        <f t="shared" si="84"/>
        <v>3263888.8888888895</v>
      </c>
      <c r="CE225" s="1140">
        <f t="shared" si="85"/>
        <v>0</v>
      </c>
      <c r="CF225" s="1140">
        <f t="shared" si="86"/>
        <v>0</v>
      </c>
      <c r="CG225" s="1140">
        <f t="shared" si="87"/>
        <v>0</v>
      </c>
      <c r="CH225" s="1140">
        <f t="shared" si="88"/>
        <v>0</v>
      </c>
    </row>
    <row r="226" spans="1:181" ht="15" customHeight="1" x14ac:dyDescent="0.2">
      <c r="A226" s="1052">
        <v>9711</v>
      </c>
      <c r="B226" s="1052"/>
      <c r="C226" s="1053" t="s">
        <v>499</v>
      </c>
      <c r="D226" s="1054" t="s">
        <v>499</v>
      </c>
      <c r="E226" s="1055">
        <f t="shared" si="72"/>
        <v>29188.348699999999</v>
      </c>
      <c r="F226" s="1055">
        <v>0</v>
      </c>
      <c r="G226" s="1056">
        <f t="shared" si="71"/>
        <v>29188.348699999999</v>
      </c>
      <c r="H226" s="1053" t="s">
        <v>1417</v>
      </c>
      <c r="I226" s="1054" t="s">
        <v>1512</v>
      </c>
      <c r="J226" s="1054" t="s">
        <v>10</v>
      </c>
      <c r="K226" s="1054" t="s">
        <v>501</v>
      </c>
      <c r="L226" s="1054" t="s">
        <v>10</v>
      </c>
      <c r="M226" s="1057">
        <v>15</v>
      </c>
      <c r="N226" s="1057">
        <v>0.93300000000000005</v>
      </c>
      <c r="O226" s="1057">
        <v>0.93300000000000005</v>
      </c>
      <c r="P226" s="1057">
        <v>0.91500000000000004</v>
      </c>
      <c r="Q226" s="1057">
        <v>0.97799999999999998</v>
      </c>
      <c r="R226" s="1057">
        <v>0</v>
      </c>
      <c r="S226" s="1057">
        <v>150533</v>
      </c>
      <c r="T226" s="1058">
        <f t="shared" si="74"/>
        <v>29188.348699999999</v>
      </c>
      <c r="U226" s="1057">
        <v>104359</v>
      </c>
      <c r="V226" s="1057">
        <v>46174</v>
      </c>
      <c r="W226" s="1057">
        <v>750</v>
      </c>
      <c r="X226" s="1057">
        <v>0</v>
      </c>
      <c r="Y226" s="1057">
        <v>0</v>
      </c>
      <c r="Z226" s="1057">
        <v>0</v>
      </c>
      <c r="AA226" s="1057">
        <v>179721.3487</v>
      </c>
      <c r="AB226" s="1057">
        <v>29188.348699999999</v>
      </c>
      <c r="AC226" s="1057">
        <v>150533</v>
      </c>
      <c r="AD226" s="1057">
        <v>0</v>
      </c>
      <c r="AE226" s="1057">
        <v>0</v>
      </c>
      <c r="AF226" s="1057">
        <v>0</v>
      </c>
      <c r="AG226" s="1057">
        <v>150533</v>
      </c>
      <c r="AH226" s="1057">
        <v>0</v>
      </c>
      <c r="AI226" s="1057">
        <v>0</v>
      </c>
      <c r="AJ226" s="1053">
        <v>4</v>
      </c>
      <c r="AK226" s="1053" t="s">
        <v>913</v>
      </c>
      <c r="AL226" s="1054" t="s">
        <v>1512</v>
      </c>
      <c r="AM226" s="1053" t="s">
        <v>1417</v>
      </c>
      <c r="AN226" s="1054" t="s">
        <v>499</v>
      </c>
      <c r="AO226" s="1054">
        <v>29188.348699999999</v>
      </c>
      <c r="AP226" s="1059">
        <f t="shared" si="73"/>
        <v>14.680700000000002</v>
      </c>
      <c r="AQ226" s="1059">
        <f t="shared" si="75"/>
        <v>14.680700000000002</v>
      </c>
      <c r="AR226" s="1052">
        <v>0</v>
      </c>
      <c r="AS226" s="1052">
        <v>0</v>
      </c>
      <c r="AT226" s="1052">
        <v>7</v>
      </c>
      <c r="AU226" s="1052">
        <v>1</v>
      </c>
      <c r="AV226" s="1052">
        <v>0</v>
      </c>
      <c r="AW226" s="1052">
        <v>0</v>
      </c>
      <c r="AX226" s="1052">
        <v>0</v>
      </c>
      <c r="AY226" s="1052">
        <v>0</v>
      </c>
      <c r="AZ226" s="1052">
        <v>0</v>
      </c>
      <c r="BA226" s="1052">
        <v>0</v>
      </c>
      <c r="BB226" s="1052">
        <v>0</v>
      </c>
      <c r="BC226" s="1052">
        <v>0</v>
      </c>
      <c r="BD226" s="1052">
        <v>0</v>
      </c>
      <c r="BE226" s="1052">
        <v>0</v>
      </c>
      <c r="BF226" s="1052">
        <v>0</v>
      </c>
      <c r="BG226" s="1052">
        <v>0</v>
      </c>
      <c r="BH226" s="1052">
        <v>0</v>
      </c>
      <c r="BI226" s="1052">
        <v>0</v>
      </c>
      <c r="BJ226" s="1052">
        <v>0</v>
      </c>
      <c r="BK226" s="1052">
        <v>0</v>
      </c>
      <c r="BL226" s="1052">
        <v>0</v>
      </c>
      <c r="BM226" s="1052">
        <v>0</v>
      </c>
      <c r="BN226" s="1052">
        <v>0</v>
      </c>
      <c r="BO226" s="1052">
        <v>66.807000000000002</v>
      </c>
      <c r="BR226" s="1140">
        <f t="shared" si="76"/>
        <v>0</v>
      </c>
      <c r="BS226" s="1140">
        <f t="shared" si="77"/>
        <v>97222.222222222234</v>
      </c>
      <c r="BT226" s="1140">
        <f t="shared" si="78"/>
        <v>13888.888888888891</v>
      </c>
      <c r="BU226" s="1140">
        <f t="shared" si="79"/>
        <v>111111.11111111112</v>
      </c>
      <c r="BV226" s="1140">
        <f t="shared" si="89"/>
        <v>0</v>
      </c>
      <c r="BW226" s="1140">
        <f t="shared" si="90"/>
        <v>0</v>
      </c>
      <c r="BX226" s="1140">
        <f t="shared" si="91"/>
        <v>0</v>
      </c>
      <c r="BY226" s="1140">
        <f t="shared" si="80"/>
        <v>0</v>
      </c>
      <c r="CA226" s="1140">
        <f t="shared" si="81"/>
        <v>0</v>
      </c>
      <c r="CB226" s="1140">
        <f t="shared" si="82"/>
        <v>0</v>
      </c>
      <c r="CC226" s="1140">
        <f t="shared" si="83"/>
        <v>0</v>
      </c>
      <c r="CD226" s="1140">
        <f t="shared" si="84"/>
        <v>0</v>
      </c>
      <c r="CE226" s="1140">
        <f t="shared" si="85"/>
        <v>0</v>
      </c>
      <c r="CF226" s="1140">
        <f t="shared" si="86"/>
        <v>0</v>
      </c>
      <c r="CG226" s="1140">
        <f t="shared" si="87"/>
        <v>0</v>
      </c>
      <c r="CH226" s="1140">
        <f t="shared" si="88"/>
        <v>0</v>
      </c>
    </row>
    <row r="227" spans="1:181" ht="15" customHeight="1" x14ac:dyDescent="0.2">
      <c r="A227" s="1052">
        <v>2520</v>
      </c>
      <c r="B227" s="1052" t="s">
        <v>1412</v>
      </c>
      <c r="C227" s="1053" t="s">
        <v>504</v>
      </c>
      <c r="D227" s="1054" t="s">
        <v>504</v>
      </c>
      <c r="E227" s="1055">
        <f t="shared" si="72"/>
        <v>245864.83479999998</v>
      </c>
      <c r="F227" s="1055">
        <v>0</v>
      </c>
      <c r="G227" s="1056">
        <f t="shared" si="71"/>
        <v>245864.83479999998</v>
      </c>
      <c r="H227" s="1053" t="s">
        <v>10</v>
      </c>
      <c r="I227" s="1054" t="s">
        <v>1416</v>
      </c>
      <c r="J227" s="1054" t="s">
        <v>1417</v>
      </c>
      <c r="K227" s="1054" t="s">
        <v>506</v>
      </c>
      <c r="L227" s="1054" t="s">
        <v>10</v>
      </c>
      <c r="M227" s="1057">
        <v>90</v>
      </c>
      <c r="N227" s="1057">
        <v>0.877</v>
      </c>
      <c r="O227" s="1057">
        <v>0.89400000000000002</v>
      </c>
      <c r="P227" s="1057">
        <v>0.84799999999999998</v>
      </c>
      <c r="Q227" s="1057">
        <v>0.80100000000000005</v>
      </c>
      <c r="R227" s="1057">
        <v>830190</v>
      </c>
      <c r="S227" s="1057">
        <v>705697</v>
      </c>
      <c r="T227" s="1058">
        <f t="shared" si="74"/>
        <v>246981.52499999999</v>
      </c>
      <c r="U227" s="1057">
        <v>478449</v>
      </c>
      <c r="V227" s="1057">
        <v>227248</v>
      </c>
      <c r="W227" s="1057">
        <v>3585</v>
      </c>
      <c r="X227" s="1057">
        <v>0</v>
      </c>
      <c r="Y227" s="1057">
        <v>0</v>
      </c>
      <c r="Z227" s="1057">
        <v>0</v>
      </c>
      <c r="AA227" s="1057">
        <v>952678.52500000002</v>
      </c>
      <c r="AB227" s="1057">
        <v>246981.52499999999</v>
      </c>
      <c r="AC227" s="1057">
        <v>705697</v>
      </c>
      <c r="AD227" s="1057">
        <v>0</v>
      </c>
      <c r="AE227" s="1057">
        <v>0</v>
      </c>
      <c r="AF227" s="1057">
        <v>0</v>
      </c>
      <c r="AG227" s="1057">
        <v>705697</v>
      </c>
      <c r="AH227" s="1057">
        <v>0</v>
      </c>
      <c r="AI227" s="1057">
        <v>0</v>
      </c>
      <c r="AJ227" s="1053" t="s">
        <v>900</v>
      </c>
      <c r="AK227" s="1053" t="s">
        <v>922</v>
      </c>
      <c r="AL227" s="1054" t="s">
        <v>1416</v>
      </c>
      <c r="AM227" s="1053" t="s">
        <v>10</v>
      </c>
      <c r="AN227" s="1054" t="s">
        <v>504</v>
      </c>
      <c r="AO227" s="1054">
        <v>513036.95750000002</v>
      </c>
      <c r="AP227" s="1059">
        <f t="shared" si="73"/>
        <v>382.48869999999999</v>
      </c>
      <c r="AQ227" s="1059">
        <f t="shared" si="75"/>
        <v>403.48869999999999</v>
      </c>
      <c r="AR227" s="1052">
        <v>203</v>
      </c>
      <c r="AS227" s="1052">
        <v>185</v>
      </c>
      <c r="AT227" s="1052">
        <v>82</v>
      </c>
      <c r="AU227" s="1052">
        <v>3</v>
      </c>
      <c r="AV227" s="1052">
        <v>9</v>
      </c>
      <c r="AW227" s="1052">
        <v>7</v>
      </c>
      <c r="AX227" s="1052">
        <v>1</v>
      </c>
      <c r="AY227" s="1052">
        <v>1</v>
      </c>
      <c r="AZ227" s="1052">
        <v>2</v>
      </c>
      <c r="BA227" s="1052">
        <v>7</v>
      </c>
      <c r="BB227" s="1052">
        <v>21</v>
      </c>
      <c r="BC227" s="1052">
        <v>0</v>
      </c>
      <c r="BD227" s="1052">
        <v>25</v>
      </c>
      <c r="BE227" s="1052">
        <v>0</v>
      </c>
      <c r="BF227" s="1052">
        <v>0</v>
      </c>
      <c r="BG227" s="1052">
        <v>0</v>
      </c>
      <c r="BH227" s="1052">
        <v>39</v>
      </c>
      <c r="BI227" s="1052">
        <v>0</v>
      </c>
      <c r="BJ227" s="1052">
        <v>0</v>
      </c>
      <c r="BK227" s="1052">
        <v>0</v>
      </c>
      <c r="BL227" s="1052">
        <v>0</v>
      </c>
      <c r="BM227" s="1052">
        <v>0</v>
      </c>
      <c r="BN227" s="1052">
        <v>9737</v>
      </c>
      <c r="BO227" s="1052">
        <v>77.516999999999996</v>
      </c>
      <c r="BR227" s="1140">
        <f t="shared" si="76"/>
        <v>2819444.4444444445</v>
      </c>
      <c r="BS227" s="1140">
        <f t="shared" si="77"/>
        <v>1138888.888888889</v>
      </c>
      <c r="BT227" s="1140">
        <f t="shared" si="78"/>
        <v>41666.666666666672</v>
      </c>
      <c r="BU227" s="1140">
        <f t="shared" si="79"/>
        <v>4000000</v>
      </c>
      <c r="BV227" s="1140">
        <f t="shared" si="89"/>
        <v>1800</v>
      </c>
      <c r="BW227" s="1140">
        <f t="shared" si="90"/>
        <v>200</v>
      </c>
      <c r="BX227" s="1140">
        <f t="shared" si="91"/>
        <v>200</v>
      </c>
      <c r="BY227" s="1140">
        <f t="shared" si="80"/>
        <v>2200</v>
      </c>
      <c r="CA227" s="1140">
        <f t="shared" si="81"/>
        <v>2819444.4444444445</v>
      </c>
      <c r="CB227" s="1140">
        <f t="shared" si="82"/>
        <v>1138888.888888889</v>
      </c>
      <c r="CC227" s="1140">
        <f t="shared" si="83"/>
        <v>41666.666666666672</v>
      </c>
      <c r="CD227" s="1140">
        <f t="shared" si="84"/>
        <v>4000000</v>
      </c>
      <c r="CE227" s="1140">
        <f t="shared" si="85"/>
        <v>1800</v>
      </c>
      <c r="CF227" s="1140">
        <f t="shared" si="86"/>
        <v>200</v>
      </c>
      <c r="CG227" s="1140">
        <f t="shared" si="87"/>
        <v>200</v>
      </c>
      <c r="CH227" s="1140">
        <f t="shared" si="88"/>
        <v>2200</v>
      </c>
    </row>
    <row r="228" spans="1:181" ht="15" customHeight="1" x14ac:dyDescent="0.2">
      <c r="A228" s="1052">
        <v>4116</v>
      </c>
      <c r="B228" s="1052"/>
      <c r="C228" s="1053" t="s">
        <v>504</v>
      </c>
      <c r="D228" s="1054" t="s">
        <v>504</v>
      </c>
      <c r="E228" s="1055">
        <f t="shared" si="72"/>
        <v>197358.84479999999</v>
      </c>
      <c r="F228" s="1055">
        <v>315718</v>
      </c>
      <c r="G228" s="1056">
        <f t="shared" si="71"/>
        <v>513076.84479999996</v>
      </c>
      <c r="H228" s="1053" t="s">
        <v>10</v>
      </c>
      <c r="I228" s="1054" t="s">
        <v>1416</v>
      </c>
      <c r="J228" s="1054" t="s">
        <v>1412</v>
      </c>
      <c r="K228" s="1054" t="s">
        <v>506</v>
      </c>
      <c r="L228" s="1054" t="s">
        <v>1412</v>
      </c>
      <c r="M228" s="1057">
        <v>69</v>
      </c>
      <c r="N228" s="1057">
        <v>0.65300000000000002</v>
      </c>
      <c r="O228" s="1057">
        <v>0.78400000000000003</v>
      </c>
      <c r="P228" s="1057">
        <v>0.748</v>
      </c>
      <c r="Q228" s="1057">
        <v>0.85799999999999998</v>
      </c>
      <c r="R228" s="1057">
        <v>663257</v>
      </c>
      <c r="S228" s="1057">
        <v>566472</v>
      </c>
      <c r="T228" s="1058">
        <f t="shared" si="74"/>
        <v>197318.95749999999</v>
      </c>
      <c r="U228" s="1057">
        <v>412761</v>
      </c>
      <c r="V228" s="1057">
        <v>153711</v>
      </c>
      <c r="W228" s="1057">
        <v>1927</v>
      </c>
      <c r="X228" s="1057">
        <v>513036.95750000002</v>
      </c>
      <c r="Y228" s="1057">
        <v>197318.95749999999</v>
      </c>
      <c r="Z228" s="1057">
        <v>315718</v>
      </c>
      <c r="AA228" s="1057">
        <v>250754</v>
      </c>
      <c r="AB228" s="1057">
        <v>0</v>
      </c>
      <c r="AC228" s="1057">
        <v>250754</v>
      </c>
      <c r="AD228" s="1057">
        <v>315718</v>
      </c>
      <c r="AE228" s="1057">
        <v>0</v>
      </c>
      <c r="AF228" s="1057">
        <v>250754</v>
      </c>
      <c r="AG228" s="1057">
        <v>0</v>
      </c>
      <c r="AH228" s="1057">
        <v>138000</v>
      </c>
      <c r="AI228" s="1057">
        <v>185000</v>
      </c>
      <c r="AJ228" s="1053" t="s">
        <v>900</v>
      </c>
      <c r="AK228" s="1053" t="s">
        <v>907</v>
      </c>
      <c r="AL228" s="1054" t="s">
        <v>1416</v>
      </c>
      <c r="AM228" s="1053" t="s">
        <v>10</v>
      </c>
      <c r="AN228" s="1054" t="s">
        <v>504</v>
      </c>
      <c r="AO228" s="1054">
        <v>246981.52499999999</v>
      </c>
      <c r="AP228" s="1059">
        <f t="shared" si="73"/>
        <v>131.36940000000001</v>
      </c>
      <c r="AQ228" s="1059">
        <f t="shared" si="75"/>
        <v>131.36940000000001</v>
      </c>
      <c r="AR228" s="1052">
        <v>31</v>
      </c>
      <c r="AS228" s="1052">
        <v>0</v>
      </c>
      <c r="AT228" s="1052">
        <v>50</v>
      </c>
      <c r="AU228" s="1052">
        <v>2</v>
      </c>
      <c r="AV228" s="1052">
        <v>0</v>
      </c>
      <c r="AW228" s="1052">
        <v>0</v>
      </c>
      <c r="AX228" s="1052">
        <v>1</v>
      </c>
      <c r="AY228" s="1052">
        <v>0</v>
      </c>
      <c r="AZ228" s="1052">
        <v>0</v>
      </c>
      <c r="BA228" s="1052">
        <v>0</v>
      </c>
      <c r="BB228" s="1052">
        <v>0</v>
      </c>
      <c r="BC228" s="1052">
        <v>0</v>
      </c>
      <c r="BD228" s="1052">
        <v>0</v>
      </c>
      <c r="BE228" s="1052">
        <v>0</v>
      </c>
      <c r="BF228" s="1052">
        <v>0</v>
      </c>
      <c r="BG228" s="1052">
        <v>0</v>
      </c>
      <c r="BH228" s="1052">
        <v>0</v>
      </c>
      <c r="BI228" s="1052">
        <v>0</v>
      </c>
      <c r="BJ228" s="1052">
        <v>0</v>
      </c>
      <c r="BK228" s="1052">
        <v>0</v>
      </c>
      <c r="BL228" s="1052">
        <v>2661</v>
      </c>
      <c r="BM228" s="1052">
        <v>0</v>
      </c>
      <c r="BN228" s="1052">
        <v>6769</v>
      </c>
      <c r="BO228" s="1052">
        <v>379.39400000000001</v>
      </c>
      <c r="BR228" s="1140">
        <f t="shared" si="76"/>
        <v>430555.55555555556</v>
      </c>
      <c r="BS228" s="1140">
        <f t="shared" si="77"/>
        <v>694444.4444444445</v>
      </c>
      <c r="BT228" s="1140">
        <f t="shared" si="78"/>
        <v>27777.777777777781</v>
      </c>
      <c r="BU228" s="1140">
        <f t="shared" si="79"/>
        <v>1152777.7777777778</v>
      </c>
      <c r="BV228" s="1140">
        <f t="shared" si="89"/>
        <v>0</v>
      </c>
      <c r="BW228" s="1140">
        <f t="shared" si="90"/>
        <v>200</v>
      </c>
      <c r="BX228" s="1140">
        <f t="shared" si="91"/>
        <v>0</v>
      </c>
      <c r="BY228" s="1140">
        <f t="shared" si="80"/>
        <v>200</v>
      </c>
      <c r="CA228" s="1140">
        <f t="shared" si="81"/>
        <v>430555.55555555556</v>
      </c>
      <c r="CB228" s="1140">
        <f t="shared" si="82"/>
        <v>694444.4444444445</v>
      </c>
      <c r="CC228" s="1140">
        <f t="shared" si="83"/>
        <v>27777.777777777781</v>
      </c>
      <c r="CD228" s="1140">
        <f t="shared" si="84"/>
        <v>1152777.7777777778</v>
      </c>
      <c r="CE228" s="1140">
        <f t="shared" si="85"/>
        <v>0</v>
      </c>
      <c r="CF228" s="1140">
        <f t="shared" si="86"/>
        <v>200</v>
      </c>
      <c r="CG228" s="1140">
        <f t="shared" si="87"/>
        <v>0</v>
      </c>
      <c r="CH228" s="1140">
        <f t="shared" si="88"/>
        <v>200</v>
      </c>
    </row>
    <row r="229" spans="1:181" ht="15" customHeight="1" x14ac:dyDescent="0.2">
      <c r="A229" s="1052">
        <v>9710</v>
      </c>
      <c r="B229" s="1052"/>
      <c r="C229" s="1053" t="s">
        <v>507</v>
      </c>
      <c r="D229" s="1054" t="s">
        <v>507</v>
      </c>
      <c r="E229" s="1055">
        <f t="shared" si="72"/>
        <v>328138.10119999998</v>
      </c>
      <c r="F229" s="1055">
        <v>0</v>
      </c>
      <c r="G229" s="1056">
        <f t="shared" si="71"/>
        <v>328138.10119999998</v>
      </c>
      <c r="H229" s="1053" t="s">
        <v>1417</v>
      </c>
      <c r="I229" s="1054" t="s">
        <v>1416</v>
      </c>
      <c r="J229" s="1054" t="s">
        <v>10</v>
      </c>
      <c r="K229" s="1054" t="s">
        <v>501</v>
      </c>
      <c r="L229" s="1054" t="s">
        <v>10</v>
      </c>
      <c r="M229" s="1057">
        <v>115</v>
      </c>
      <c r="N229" s="1057">
        <v>0.92200000000000004</v>
      </c>
      <c r="O229" s="1057">
        <v>0.92600000000000005</v>
      </c>
      <c r="P229" s="1057">
        <v>0.89300000000000002</v>
      </c>
      <c r="Q229" s="1057">
        <v>0.86099999999999999</v>
      </c>
      <c r="R229" s="1057">
        <v>640283</v>
      </c>
      <c r="S229" s="1057">
        <v>941843</v>
      </c>
      <c r="T229" s="1058">
        <f t="shared" si="74"/>
        <v>190484.1925</v>
      </c>
      <c r="U229" s="1057">
        <v>622508</v>
      </c>
      <c r="V229" s="1057">
        <v>319335</v>
      </c>
      <c r="W229" s="1057">
        <v>4681</v>
      </c>
      <c r="X229" s="1057">
        <v>0</v>
      </c>
      <c r="Y229" s="1057">
        <v>0</v>
      </c>
      <c r="Z229" s="1057">
        <v>0</v>
      </c>
      <c r="AA229" s="1057">
        <v>1132327.193</v>
      </c>
      <c r="AB229" s="1057">
        <v>190484.1925</v>
      </c>
      <c r="AC229" s="1057">
        <v>941843</v>
      </c>
      <c r="AD229" s="1057">
        <v>0</v>
      </c>
      <c r="AE229" s="1057">
        <v>0</v>
      </c>
      <c r="AF229" s="1057">
        <v>0</v>
      </c>
      <c r="AG229" s="1057">
        <v>941843</v>
      </c>
      <c r="AH229" s="1057">
        <v>0</v>
      </c>
      <c r="AI229" s="1057">
        <v>0</v>
      </c>
      <c r="AJ229" s="1053">
        <v>4</v>
      </c>
      <c r="AK229" s="1053" t="s">
        <v>913</v>
      </c>
      <c r="AL229" s="1054" t="s">
        <v>1416</v>
      </c>
      <c r="AM229" s="1053" t="s">
        <v>1417</v>
      </c>
      <c r="AN229" s="1054" t="s">
        <v>507</v>
      </c>
      <c r="AO229" s="1054">
        <v>190484.1925</v>
      </c>
      <c r="AP229" s="1059">
        <f t="shared" si="73"/>
        <v>296.05240000000003</v>
      </c>
      <c r="AQ229" s="1059">
        <f t="shared" si="75"/>
        <v>314.05240000000003</v>
      </c>
      <c r="AR229" s="1052">
        <v>0</v>
      </c>
      <c r="AS229" s="1052">
        <v>0</v>
      </c>
      <c r="AT229" s="1052">
        <v>225</v>
      </c>
      <c r="AU229" s="1052">
        <v>3</v>
      </c>
      <c r="AV229" s="1052">
        <v>0</v>
      </c>
      <c r="AW229" s="1052">
        <v>0</v>
      </c>
      <c r="AX229" s="1052">
        <v>9</v>
      </c>
      <c r="AY229" s="1052">
        <v>0</v>
      </c>
      <c r="AZ229" s="1052">
        <v>0</v>
      </c>
      <c r="BA229" s="1052">
        <v>0</v>
      </c>
      <c r="BB229" s="1052">
        <v>18</v>
      </c>
      <c r="BC229" s="1052">
        <v>0</v>
      </c>
      <c r="BD229" s="1052">
        <v>0</v>
      </c>
      <c r="BE229" s="1052">
        <v>0</v>
      </c>
      <c r="BF229" s="1052">
        <v>0</v>
      </c>
      <c r="BG229" s="1052">
        <v>0</v>
      </c>
      <c r="BH229" s="1052">
        <v>0</v>
      </c>
      <c r="BI229" s="1052">
        <v>0</v>
      </c>
      <c r="BJ229" s="1052">
        <v>0</v>
      </c>
      <c r="BK229" s="1052">
        <v>0</v>
      </c>
      <c r="BL229" s="1052">
        <v>0</v>
      </c>
      <c r="BM229" s="1052">
        <v>0</v>
      </c>
      <c r="BN229" s="1052">
        <v>0</v>
      </c>
      <c r="BO229" s="1052">
        <v>590.524</v>
      </c>
      <c r="BR229" s="1140">
        <f t="shared" si="76"/>
        <v>0</v>
      </c>
      <c r="BS229" s="1140">
        <f t="shared" si="77"/>
        <v>3125000.0000000005</v>
      </c>
      <c r="BT229" s="1140">
        <f t="shared" si="78"/>
        <v>41666.666666666672</v>
      </c>
      <c r="BU229" s="1140">
        <f t="shared" si="79"/>
        <v>3166666.666666667</v>
      </c>
      <c r="BV229" s="1140">
        <f t="shared" si="89"/>
        <v>0</v>
      </c>
      <c r="BW229" s="1140">
        <f t="shared" si="90"/>
        <v>1800</v>
      </c>
      <c r="BX229" s="1140">
        <f t="shared" si="91"/>
        <v>0</v>
      </c>
      <c r="BY229" s="1140">
        <f t="shared" si="80"/>
        <v>1800</v>
      </c>
      <c r="CA229" s="1140">
        <f t="shared" si="81"/>
        <v>0</v>
      </c>
      <c r="CB229" s="1140">
        <f t="shared" si="82"/>
        <v>0</v>
      </c>
      <c r="CC229" s="1140">
        <f t="shared" si="83"/>
        <v>0</v>
      </c>
      <c r="CD229" s="1140">
        <f t="shared" si="84"/>
        <v>0</v>
      </c>
      <c r="CE229" s="1140">
        <f t="shared" si="85"/>
        <v>0</v>
      </c>
      <c r="CF229" s="1140">
        <f t="shared" si="86"/>
        <v>1800</v>
      </c>
      <c r="CG229" s="1140">
        <f t="shared" si="87"/>
        <v>0</v>
      </c>
      <c r="CH229" s="1140">
        <f t="shared" si="88"/>
        <v>1800</v>
      </c>
    </row>
    <row r="230" spans="1:181" s="1082" customFormat="1" ht="15" customHeight="1" x14ac:dyDescent="0.2">
      <c r="A230" s="1052">
        <v>9750</v>
      </c>
      <c r="B230" s="1052"/>
      <c r="C230" s="1053" t="s">
        <v>509</v>
      </c>
      <c r="D230" s="1054" t="s">
        <v>509</v>
      </c>
      <c r="E230" s="1055">
        <f t="shared" si="72"/>
        <v>262539.25880000001</v>
      </c>
      <c r="F230" s="1055">
        <v>0</v>
      </c>
      <c r="G230" s="1056">
        <f t="shared" si="71"/>
        <v>262539.25880000001</v>
      </c>
      <c r="H230" s="1053" t="s">
        <v>10</v>
      </c>
      <c r="I230" s="1054" t="s">
        <v>1416</v>
      </c>
      <c r="J230" s="1054" t="s">
        <v>1417</v>
      </c>
      <c r="K230" s="1054" t="s">
        <v>1549</v>
      </c>
      <c r="L230" s="1054" t="s">
        <v>10</v>
      </c>
      <c r="M230" s="1057">
        <v>87</v>
      </c>
      <c r="N230" s="1057">
        <v>0.80100000000000005</v>
      </c>
      <c r="O230" s="1057">
        <v>0.80100000000000005</v>
      </c>
      <c r="P230" s="1057">
        <v>0.72699999999999998</v>
      </c>
      <c r="Q230" s="1057">
        <v>0.877</v>
      </c>
      <c r="R230" s="1057">
        <v>848939</v>
      </c>
      <c r="S230" s="1057">
        <v>753557</v>
      </c>
      <c r="T230" s="1058">
        <f t="shared" si="74"/>
        <v>252559.35249999998</v>
      </c>
      <c r="U230" s="1057">
        <v>479418</v>
      </c>
      <c r="V230" s="1057">
        <v>274139</v>
      </c>
      <c r="W230" s="1057">
        <v>4365</v>
      </c>
      <c r="X230" s="1057">
        <v>0</v>
      </c>
      <c r="Y230" s="1057">
        <v>0</v>
      </c>
      <c r="Z230" s="1057">
        <v>0</v>
      </c>
      <c r="AA230" s="1057">
        <v>1006116.353</v>
      </c>
      <c r="AB230" s="1057">
        <v>252559.35250000001</v>
      </c>
      <c r="AC230" s="1057">
        <v>753557</v>
      </c>
      <c r="AD230" s="1057">
        <v>0</v>
      </c>
      <c r="AE230" s="1057">
        <v>0</v>
      </c>
      <c r="AF230" s="1057">
        <v>0</v>
      </c>
      <c r="AG230" s="1057">
        <v>753557</v>
      </c>
      <c r="AH230" s="1057">
        <v>0</v>
      </c>
      <c r="AI230" s="1057">
        <v>0</v>
      </c>
      <c r="AJ230" s="1053">
        <v>4</v>
      </c>
      <c r="AK230" s="1053" t="s">
        <v>913</v>
      </c>
      <c r="AL230" s="1054" t="s">
        <v>1416</v>
      </c>
      <c r="AM230" s="1053" t="s">
        <v>10</v>
      </c>
      <c r="AN230" s="1054" t="s">
        <v>509</v>
      </c>
      <c r="AO230" s="1054">
        <v>252559.35250000001</v>
      </c>
      <c r="AP230" s="1059">
        <f t="shared" si="73"/>
        <v>138.017</v>
      </c>
      <c r="AQ230" s="1059">
        <f t="shared" si="75"/>
        <v>142.017</v>
      </c>
      <c r="AR230" s="1081">
        <v>0</v>
      </c>
      <c r="AS230" s="1081">
        <v>0</v>
      </c>
      <c r="AT230" s="1081">
        <v>81</v>
      </c>
      <c r="AU230" s="1081">
        <v>11</v>
      </c>
      <c r="AV230" s="1081">
        <v>0</v>
      </c>
      <c r="AW230" s="1081">
        <v>0</v>
      </c>
      <c r="AX230" s="1081">
        <v>8</v>
      </c>
      <c r="AY230" s="1081">
        <v>6</v>
      </c>
      <c r="AZ230" s="1081">
        <v>0</v>
      </c>
      <c r="BA230" s="1081">
        <v>0</v>
      </c>
      <c r="BB230" s="1081">
        <v>2</v>
      </c>
      <c r="BC230" s="1081">
        <v>2</v>
      </c>
      <c r="BD230" s="1052">
        <v>0</v>
      </c>
      <c r="BE230" s="1052">
        <v>0</v>
      </c>
      <c r="BF230" s="1052">
        <v>0</v>
      </c>
      <c r="BG230" s="1052">
        <v>0</v>
      </c>
      <c r="BH230" s="1052">
        <v>0</v>
      </c>
      <c r="BI230" s="1052">
        <v>0</v>
      </c>
      <c r="BJ230" s="1052">
        <v>0</v>
      </c>
      <c r="BK230" s="1052">
        <v>0</v>
      </c>
      <c r="BL230" s="1081">
        <v>32017</v>
      </c>
      <c r="BM230" s="1081">
        <v>0</v>
      </c>
      <c r="BN230" s="1081">
        <v>0</v>
      </c>
      <c r="BO230" s="1052">
        <v>0</v>
      </c>
      <c r="BP230" s="1069"/>
      <c r="BQ230" s="1136"/>
      <c r="BR230" s="1140">
        <f t="shared" si="76"/>
        <v>0</v>
      </c>
      <c r="BS230" s="1140">
        <f t="shared" si="77"/>
        <v>1125000</v>
      </c>
      <c r="BT230" s="1140">
        <f t="shared" si="78"/>
        <v>152777.77777777778</v>
      </c>
      <c r="BU230" s="1140">
        <f t="shared" si="79"/>
        <v>1277777.7777777778</v>
      </c>
      <c r="BV230" s="1140">
        <f t="shared" si="89"/>
        <v>0</v>
      </c>
      <c r="BW230" s="1140">
        <f t="shared" si="90"/>
        <v>1600</v>
      </c>
      <c r="BX230" s="1140">
        <f t="shared" si="91"/>
        <v>1200</v>
      </c>
      <c r="BY230" s="1140">
        <f t="shared" si="80"/>
        <v>2800</v>
      </c>
      <c r="BZ230" s="1136"/>
      <c r="CA230" s="1140">
        <f t="shared" si="81"/>
        <v>0</v>
      </c>
      <c r="CB230" s="1140">
        <f t="shared" si="82"/>
        <v>1125000</v>
      </c>
      <c r="CC230" s="1140">
        <f t="shared" si="83"/>
        <v>152777.77777777778</v>
      </c>
      <c r="CD230" s="1140">
        <f t="shared" si="84"/>
        <v>1277777.7777777778</v>
      </c>
      <c r="CE230" s="1140">
        <f t="shared" si="85"/>
        <v>0</v>
      </c>
      <c r="CF230" s="1140">
        <f t="shared" si="86"/>
        <v>1600</v>
      </c>
      <c r="CG230" s="1140">
        <f t="shared" si="87"/>
        <v>1200</v>
      </c>
      <c r="CH230" s="1140">
        <f t="shared" si="88"/>
        <v>2800</v>
      </c>
      <c r="CI230" s="1146"/>
      <c r="CJ230" s="1069"/>
      <c r="CK230" s="1069"/>
      <c r="CL230" s="1069"/>
      <c r="CM230" s="1069"/>
      <c r="CN230" s="1069"/>
      <c r="CO230" s="1069"/>
      <c r="CP230" s="1069"/>
      <c r="CQ230" s="1069"/>
      <c r="CR230" s="1069"/>
      <c r="CS230" s="1069"/>
      <c r="CT230" s="1069"/>
      <c r="CU230" s="1069"/>
      <c r="CV230" s="1069"/>
      <c r="CW230" s="1069"/>
      <c r="CX230" s="1069"/>
      <c r="CY230" s="1069"/>
      <c r="CZ230" s="1069"/>
      <c r="DA230" s="1069"/>
      <c r="DB230" s="1069"/>
      <c r="DC230" s="1069"/>
      <c r="DD230" s="1069"/>
      <c r="DE230" s="1069"/>
      <c r="DF230" s="1069"/>
      <c r="DG230" s="1069"/>
      <c r="DH230" s="1069"/>
      <c r="DI230" s="1069"/>
      <c r="DJ230" s="1069"/>
      <c r="DK230" s="1069"/>
      <c r="DL230" s="1069"/>
      <c r="DM230" s="1069"/>
      <c r="DN230" s="1069"/>
      <c r="DO230" s="1069"/>
      <c r="DP230" s="1069"/>
      <c r="DQ230" s="1069"/>
      <c r="DR230" s="1069"/>
      <c r="DS230" s="1069"/>
      <c r="DT230" s="1069"/>
      <c r="DU230" s="1069"/>
      <c r="DV230" s="1069"/>
      <c r="DW230" s="1069"/>
      <c r="DX230" s="1069"/>
      <c r="DY230" s="1069"/>
      <c r="DZ230" s="1069"/>
      <c r="EA230" s="1069"/>
      <c r="EB230" s="1069"/>
      <c r="EC230" s="1069"/>
      <c r="ED230" s="1069"/>
      <c r="EE230" s="1069"/>
      <c r="EF230" s="1069"/>
      <c r="EG230" s="1069"/>
      <c r="EH230" s="1069"/>
      <c r="EI230" s="1069"/>
      <c r="EJ230" s="1069"/>
      <c r="EK230" s="1069"/>
      <c r="EL230" s="1069"/>
      <c r="EM230" s="1069"/>
      <c r="EN230" s="1069"/>
      <c r="EO230" s="1069"/>
      <c r="EP230" s="1069"/>
      <c r="EQ230" s="1069"/>
      <c r="ER230" s="1069"/>
      <c r="ES230" s="1069"/>
      <c r="ET230" s="1069"/>
      <c r="EU230" s="1069"/>
      <c r="EV230" s="1069"/>
      <c r="EW230" s="1069"/>
      <c r="EX230" s="1069"/>
      <c r="EY230" s="1069"/>
      <c r="EZ230" s="1069"/>
      <c r="FA230" s="1069"/>
      <c r="FB230" s="1069"/>
      <c r="FC230" s="1069"/>
      <c r="FD230" s="1069"/>
      <c r="FE230" s="1069"/>
      <c r="FF230" s="1069"/>
      <c r="FG230" s="1069"/>
      <c r="FH230" s="1069"/>
      <c r="FI230" s="1069"/>
      <c r="FJ230" s="1069"/>
      <c r="FK230" s="1069"/>
      <c r="FL230" s="1069"/>
      <c r="FM230" s="1069"/>
      <c r="FN230" s="1069"/>
      <c r="FO230" s="1069"/>
      <c r="FP230" s="1069"/>
      <c r="FQ230" s="1069"/>
      <c r="FR230" s="1069"/>
      <c r="FS230" s="1069"/>
      <c r="FT230" s="1069"/>
      <c r="FU230" s="1069"/>
      <c r="FV230" s="1069"/>
      <c r="FW230" s="1069"/>
      <c r="FX230" s="1069"/>
      <c r="FY230" s="1069"/>
    </row>
    <row r="231" spans="1:181" ht="15" customHeight="1" x14ac:dyDescent="0.2">
      <c r="A231" s="1052">
        <v>1511</v>
      </c>
      <c r="B231" s="1052" t="s">
        <v>1412</v>
      </c>
      <c r="C231" s="1053" t="s">
        <v>510</v>
      </c>
      <c r="D231" s="1054" t="s">
        <v>510</v>
      </c>
      <c r="E231" s="1055">
        <f t="shared" si="72"/>
        <v>228462.9516</v>
      </c>
      <c r="F231" s="1055">
        <v>0</v>
      </c>
      <c r="G231" s="1056">
        <f t="shared" si="71"/>
        <v>228462.9516</v>
      </c>
      <c r="H231" s="1053" t="s">
        <v>10</v>
      </c>
      <c r="I231" s="1054" t="s">
        <v>1416</v>
      </c>
      <c r="J231" s="1054" t="s">
        <v>1412</v>
      </c>
      <c r="K231" s="1054" t="s">
        <v>512</v>
      </c>
      <c r="L231" s="1054" t="s">
        <v>10</v>
      </c>
      <c r="M231" s="1057">
        <v>102</v>
      </c>
      <c r="N231" s="1057">
        <v>0.88600000000000001</v>
      </c>
      <c r="O231" s="1057">
        <v>0.91500000000000004</v>
      </c>
      <c r="P231" s="1057">
        <v>0.91900000000000004</v>
      </c>
      <c r="Q231" s="1057">
        <v>0.876</v>
      </c>
      <c r="R231" s="1057">
        <v>743306</v>
      </c>
      <c r="S231" s="1057">
        <v>655749</v>
      </c>
      <c r="T231" s="1058">
        <f t="shared" si="74"/>
        <v>221133.535</v>
      </c>
      <c r="U231" s="1057">
        <v>389781</v>
      </c>
      <c r="V231" s="1057">
        <v>265968</v>
      </c>
      <c r="W231" s="1057">
        <v>3741</v>
      </c>
      <c r="X231" s="1057">
        <v>0</v>
      </c>
      <c r="Y231" s="1057">
        <v>0</v>
      </c>
      <c r="Z231" s="1057">
        <v>0</v>
      </c>
      <c r="AA231" s="1057">
        <v>876882.53500000003</v>
      </c>
      <c r="AB231" s="1057">
        <v>221133.535</v>
      </c>
      <c r="AC231" s="1057">
        <v>655749</v>
      </c>
      <c r="AD231" s="1057">
        <v>0</v>
      </c>
      <c r="AE231" s="1057">
        <v>0</v>
      </c>
      <c r="AF231" s="1057">
        <v>655749</v>
      </c>
      <c r="AG231" s="1057">
        <v>0</v>
      </c>
      <c r="AH231" s="1057">
        <v>1008000</v>
      </c>
      <c r="AI231" s="1057">
        <v>895000</v>
      </c>
      <c r="AJ231" s="1053" t="s">
        <v>900</v>
      </c>
      <c r="AK231" s="1053" t="s">
        <v>901</v>
      </c>
      <c r="AL231" s="1054" t="s">
        <v>1416</v>
      </c>
      <c r="AM231" s="1053" t="s">
        <v>10</v>
      </c>
      <c r="AN231" s="1054" t="s">
        <v>510</v>
      </c>
      <c r="AO231" s="1054">
        <v>221133.535</v>
      </c>
      <c r="AP231" s="1059">
        <f>AR231+AT231+AU231+AV231+AX231+AY231+AZ231+BD231+BF231+BG231+BH231+BJ231+BK231+(BL231+BM231+BN231)/1000+(0.1*BO231)</f>
        <v>204.7604</v>
      </c>
      <c r="AQ231" s="1059">
        <f t="shared" si="75"/>
        <v>236.7604</v>
      </c>
      <c r="AR231" s="1052">
        <v>78</v>
      </c>
      <c r="AS231" s="1052">
        <v>895</v>
      </c>
      <c r="AT231" s="1052">
        <v>60</v>
      </c>
      <c r="AU231" s="1052">
        <v>9</v>
      </c>
      <c r="AV231" s="1052">
        <v>0</v>
      </c>
      <c r="AW231" s="1052">
        <v>0</v>
      </c>
      <c r="AX231" s="1052">
        <v>0</v>
      </c>
      <c r="AY231" s="1052">
        <v>0</v>
      </c>
      <c r="AZ231" s="1052">
        <v>0</v>
      </c>
      <c r="BA231" s="1052">
        <v>13</v>
      </c>
      <c r="BB231" s="1052">
        <v>32</v>
      </c>
      <c r="BC231" s="1052">
        <v>0</v>
      </c>
      <c r="BD231" s="1052">
        <v>0</v>
      </c>
      <c r="BE231" s="1052">
        <v>0</v>
      </c>
      <c r="BF231" s="1052">
        <v>0</v>
      </c>
      <c r="BG231" s="1052">
        <v>0</v>
      </c>
      <c r="BH231" s="1052">
        <v>0</v>
      </c>
      <c r="BI231" s="1052">
        <v>0</v>
      </c>
      <c r="BJ231" s="1052">
        <v>0</v>
      </c>
      <c r="BK231" s="1052">
        <v>0</v>
      </c>
      <c r="BL231" s="1052">
        <v>8500</v>
      </c>
      <c r="BM231" s="1052">
        <v>0</v>
      </c>
      <c r="BN231" s="1052">
        <v>3597</v>
      </c>
      <c r="BO231" s="1052">
        <v>456.63400000000001</v>
      </c>
      <c r="BR231" s="1140">
        <f t="shared" si="76"/>
        <v>1083333.3333333335</v>
      </c>
      <c r="BS231" s="1140">
        <f t="shared" si="77"/>
        <v>833333.33333333337</v>
      </c>
      <c r="BT231" s="1140">
        <f t="shared" si="78"/>
        <v>125000.00000000001</v>
      </c>
      <c r="BU231" s="1140">
        <f t="shared" si="79"/>
        <v>2041666.666666667</v>
      </c>
      <c r="BV231" s="1140">
        <f t="shared" si="89"/>
        <v>0</v>
      </c>
      <c r="BW231" s="1140">
        <f t="shared" si="90"/>
        <v>0</v>
      </c>
      <c r="BX231" s="1140">
        <f t="shared" si="91"/>
        <v>0</v>
      </c>
      <c r="BY231" s="1140">
        <f t="shared" si="80"/>
        <v>0</v>
      </c>
      <c r="CA231" s="1140">
        <f t="shared" si="81"/>
        <v>1083333.3333333335</v>
      </c>
      <c r="CB231" s="1140">
        <f t="shared" si="82"/>
        <v>833333.33333333337</v>
      </c>
      <c r="CC231" s="1140">
        <f t="shared" si="83"/>
        <v>125000.00000000001</v>
      </c>
      <c r="CD231" s="1140">
        <f t="shared" si="84"/>
        <v>2041666.666666667</v>
      </c>
      <c r="CE231" s="1140">
        <f t="shared" si="85"/>
        <v>0</v>
      </c>
      <c r="CF231" s="1140">
        <f t="shared" si="86"/>
        <v>0</v>
      </c>
      <c r="CG231" s="1140">
        <f t="shared" si="87"/>
        <v>0</v>
      </c>
      <c r="CH231" s="1140">
        <f t="shared" si="88"/>
        <v>0</v>
      </c>
    </row>
    <row r="232" spans="1:181" ht="15" customHeight="1" x14ac:dyDescent="0.2">
      <c r="A232" s="1075">
        <v>4775</v>
      </c>
      <c r="B232" s="1075"/>
      <c r="C232" s="1076" t="s">
        <v>513</v>
      </c>
      <c r="D232" s="1054" t="s">
        <v>513</v>
      </c>
      <c r="E232" s="1055">
        <f t="shared" si="72"/>
        <v>0</v>
      </c>
      <c r="F232" s="1055">
        <v>0</v>
      </c>
      <c r="G232" s="1056">
        <f t="shared" si="71"/>
        <v>0</v>
      </c>
      <c r="H232" s="1062" t="s">
        <v>1417</v>
      </c>
      <c r="I232" s="1063" t="s">
        <v>1416</v>
      </c>
      <c r="J232" s="1054" t="s">
        <v>10</v>
      </c>
      <c r="K232" s="1054" t="s">
        <v>1411</v>
      </c>
      <c r="L232" s="1054" t="s">
        <v>10</v>
      </c>
      <c r="M232" s="1057">
        <v>0</v>
      </c>
      <c r="N232" s="1057">
        <v>0</v>
      </c>
      <c r="O232" s="1057">
        <v>0</v>
      </c>
      <c r="P232" s="1057">
        <v>0</v>
      </c>
      <c r="Q232" s="1057">
        <v>0</v>
      </c>
      <c r="R232" s="1065">
        <v>560732</v>
      </c>
      <c r="S232" s="1057">
        <v>0</v>
      </c>
      <c r="T232" s="1058">
        <f t="shared" si="74"/>
        <v>166817.76999999999</v>
      </c>
      <c r="U232" s="1057">
        <v>0</v>
      </c>
      <c r="V232" s="1057">
        <v>0</v>
      </c>
      <c r="W232" s="1057">
        <v>0</v>
      </c>
      <c r="X232" s="1057">
        <v>0</v>
      </c>
      <c r="Y232" s="1057">
        <v>0</v>
      </c>
      <c r="Z232" s="1057">
        <v>0</v>
      </c>
      <c r="AA232" s="1057">
        <v>0</v>
      </c>
      <c r="AB232" s="1057">
        <v>0</v>
      </c>
      <c r="AC232" s="1057">
        <v>0</v>
      </c>
      <c r="AD232" s="1057">
        <v>0</v>
      </c>
      <c r="AE232" s="1057">
        <v>0</v>
      </c>
      <c r="AF232" s="1057">
        <v>0</v>
      </c>
      <c r="AG232" s="1057">
        <v>0</v>
      </c>
      <c r="AH232" s="1057">
        <v>0</v>
      </c>
      <c r="AI232" s="1057">
        <v>0</v>
      </c>
      <c r="AJ232" s="1062" t="s">
        <v>900</v>
      </c>
      <c r="AK232" s="1062" t="s">
        <v>905</v>
      </c>
      <c r="AL232" s="1084" t="s">
        <v>1416</v>
      </c>
      <c r="AM232" s="1062" t="s">
        <v>1417</v>
      </c>
      <c r="AN232" s="1077" t="s">
        <v>513</v>
      </c>
      <c r="AO232" s="1078">
        <v>0</v>
      </c>
      <c r="AP232" s="1079">
        <v>0</v>
      </c>
      <c r="AQ232" s="1059">
        <f t="shared" si="75"/>
        <v>134.3887</v>
      </c>
      <c r="AR232" s="753">
        <v>0</v>
      </c>
      <c r="AS232" s="753">
        <v>0</v>
      </c>
      <c r="AT232" s="753">
        <v>110</v>
      </c>
      <c r="AU232" s="753">
        <v>4</v>
      </c>
      <c r="AV232" s="753">
        <v>0</v>
      </c>
      <c r="AW232" s="753">
        <v>0</v>
      </c>
      <c r="AX232" s="753">
        <v>3</v>
      </c>
      <c r="AY232" s="753">
        <v>1</v>
      </c>
      <c r="AZ232" s="753">
        <v>0</v>
      </c>
      <c r="BA232" s="753">
        <v>61</v>
      </c>
      <c r="BB232" s="753">
        <v>6</v>
      </c>
      <c r="BC232" s="753">
        <v>0</v>
      </c>
      <c r="BD232" s="753">
        <v>0</v>
      </c>
      <c r="BE232" s="753">
        <v>0</v>
      </c>
      <c r="BF232" s="753">
        <v>0</v>
      </c>
      <c r="BG232" s="753">
        <v>0</v>
      </c>
      <c r="BH232" s="753">
        <v>0</v>
      </c>
      <c r="BI232" s="753">
        <v>0</v>
      </c>
      <c r="BJ232" s="753">
        <v>0</v>
      </c>
      <c r="BK232" s="753">
        <v>0</v>
      </c>
      <c r="BL232" s="1088">
        <v>0</v>
      </c>
      <c r="BM232" s="1088">
        <v>0</v>
      </c>
      <c r="BN232" s="1088">
        <v>9000</v>
      </c>
      <c r="BO232" s="1061">
        <v>13.887</v>
      </c>
      <c r="BR232" s="1140">
        <f t="shared" si="76"/>
        <v>0</v>
      </c>
      <c r="BS232" s="1140">
        <f t="shared" si="77"/>
        <v>1527777.777777778</v>
      </c>
      <c r="BT232" s="1140">
        <f t="shared" si="78"/>
        <v>55555.555555555562</v>
      </c>
      <c r="BU232" s="1140">
        <f t="shared" si="79"/>
        <v>1583333.3333333335</v>
      </c>
      <c r="BV232" s="1140">
        <f t="shared" si="89"/>
        <v>0</v>
      </c>
      <c r="BW232" s="1140">
        <f t="shared" si="90"/>
        <v>600</v>
      </c>
      <c r="BX232" s="1140">
        <f t="shared" si="91"/>
        <v>200</v>
      </c>
      <c r="BY232" s="1140">
        <f t="shared" si="80"/>
        <v>800</v>
      </c>
      <c r="CA232" s="1140">
        <f t="shared" si="81"/>
        <v>0</v>
      </c>
      <c r="CB232" s="1140">
        <f t="shared" si="82"/>
        <v>0</v>
      </c>
      <c r="CC232" s="1140">
        <f t="shared" si="83"/>
        <v>0</v>
      </c>
      <c r="CD232" s="1140">
        <f t="shared" si="84"/>
        <v>0</v>
      </c>
      <c r="CE232" s="1140">
        <f t="shared" si="85"/>
        <v>0</v>
      </c>
      <c r="CF232" s="1140">
        <f t="shared" si="86"/>
        <v>600</v>
      </c>
      <c r="CG232" s="1140">
        <f t="shared" si="87"/>
        <v>200</v>
      </c>
      <c r="CH232" s="1140">
        <f t="shared" si="88"/>
        <v>800</v>
      </c>
    </row>
    <row r="233" spans="1:181" ht="15" customHeight="1" x14ac:dyDescent="0.2">
      <c r="A233" s="1052">
        <v>4316</v>
      </c>
      <c r="B233" s="1052"/>
      <c r="C233" s="1053" t="s">
        <v>514</v>
      </c>
      <c r="D233" s="1054" t="s">
        <v>514</v>
      </c>
      <c r="E233" s="1055">
        <f t="shared" si="72"/>
        <v>95345.089699999997</v>
      </c>
      <c r="F233" s="1055">
        <v>0</v>
      </c>
      <c r="G233" s="1056">
        <f t="shared" si="71"/>
        <v>95345.089699999997</v>
      </c>
      <c r="H233" s="1053" t="s">
        <v>1417</v>
      </c>
      <c r="I233" s="1054" t="s">
        <v>1512</v>
      </c>
      <c r="J233" s="1054" t="s">
        <v>10</v>
      </c>
      <c r="K233" s="1054" t="s">
        <v>19</v>
      </c>
      <c r="L233" s="1054" t="s">
        <v>10</v>
      </c>
      <c r="M233" s="1057">
        <v>26</v>
      </c>
      <c r="N233" s="1057">
        <v>0.97899999999999998</v>
      </c>
      <c r="O233" s="1057">
        <v>0.98799999999999999</v>
      </c>
      <c r="P233" s="1057">
        <v>1</v>
      </c>
      <c r="Q233" s="1057">
        <v>0.96399999999999997</v>
      </c>
      <c r="R233" s="1057">
        <v>0</v>
      </c>
      <c r="S233" s="1057">
        <v>491723</v>
      </c>
      <c r="T233" s="1058">
        <f t="shared" si="74"/>
        <v>95345.089699999997</v>
      </c>
      <c r="U233" s="1057">
        <v>356418</v>
      </c>
      <c r="V233" s="1057">
        <v>135305</v>
      </c>
      <c r="W233" s="1057">
        <v>1626</v>
      </c>
      <c r="X233" s="1057">
        <v>0</v>
      </c>
      <c r="Y233" s="1057">
        <v>0</v>
      </c>
      <c r="Z233" s="1057">
        <v>0</v>
      </c>
      <c r="AA233" s="1057">
        <v>587068.08970000001</v>
      </c>
      <c r="AB233" s="1057">
        <v>95345.089699999997</v>
      </c>
      <c r="AC233" s="1057">
        <v>491723</v>
      </c>
      <c r="AD233" s="1057">
        <v>0</v>
      </c>
      <c r="AE233" s="1057">
        <v>0</v>
      </c>
      <c r="AF233" s="1057">
        <v>0</v>
      </c>
      <c r="AG233" s="1057">
        <v>491723</v>
      </c>
      <c r="AH233" s="1057">
        <v>0</v>
      </c>
      <c r="AI233" s="1057">
        <v>0</v>
      </c>
      <c r="AJ233" s="1053">
        <v>4</v>
      </c>
      <c r="AK233" s="1053" t="s">
        <v>913</v>
      </c>
      <c r="AL233" s="1054" t="s">
        <v>1512</v>
      </c>
      <c r="AM233" s="1053" t="s">
        <v>1417</v>
      </c>
      <c r="AN233" s="1054" t="s">
        <v>514</v>
      </c>
      <c r="AO233" s="1054">
        <v>95345.089699999997</v>
      </c>
      <c r="AP233" s="1059">
        <f t="shared" ref="AP233:AP242" si="92">AR233+AT233+AU233+AV233+AX233+AY233+AZ233+BD233+BF233+BG233+BH233+BJ233+BK233+(BL233+BM233+BN233)/1000+(0.1*BO233)</f>
        <v>25</v>
      </c>
      <c r="AQ233" s="1059">
        <f t="shared" si="75"/>
        <v>25</v>
      </c>
      <c r="AR233" s="1052">
        <v>0</v>
      </c>
      <c r="AS233" s="1052">
        <v>0</v>
      </c>
      <c r="AT233" s="1052">
        <v>24</v>
      </c>
      <c r="AU233" s="1052">
        <v>0</v>
      </c>
      <c r="AV233" s="1052">
        <v>0</v>
      </c>
      <c r="AW233" s="1052">
        <v>0</v>
      </c>
      <c r="AX233" s="1052">
        <v>0</v>
      </c>
      <c r="AY233" s="1052">
        <v>1</v>
      </c>
      <c r="AZ233" s="1052">
        <v>0</v>
      </c>
      <c r="BA233" s="1052">
        <v>8</v>
      </c>
      <c r="BB233" s="1052">
        <v>0</v>
      </c>
      <c r="BC233" s="1052">
        <v>0</v>
      </c>
      <c r="BD233" s="1052">
        <v>0</v>
      </c>
      <c r="BE233" s="1052">
        <v>0</v>
      </c>
      <c r="BF233" s="1052">
        <v>0</v>
      </c>
      <c r="BG233" s="1052">
        <v>0</v>
      </c>
      <c r="BH233" s="1052">
        <v>0</v>
      </c>
      <c r="BI233" s="1052">
        <v>0</v>
      </c>
      <c r="BJ233" s="1052">
        <v>0</v>
      </c>
      <c r="BK233" s="1052">
        <v>0</v>
      </c>
      <c r="BL233" s="1052">
        <v>0</v>
      </c>
      <c r="BM233" s="1052">
        <v>0</v>
      </c>
      <c r="BN233" s="1052">
        <v>0</v>
      </c>
      <c r="BO233" s="1052">
        <v>0</v>
      </c>
      <c r="BR233" s="1140">
        <f t="shared" si="76"/>
        <v>0</v>
      </c>
      <c r="BS233" s="1140">
        <f t="shared" si="77"/>
        <v>333333.33333333337</v>
      </c>
      <c r="BT233" s="1140">
        <f t="shared" si="78"/>
        <v>0</v>
      </c>
      <c r="BU233" s="1140">
        <f t="shared" si="79"/>
        <v>333333.33333333337</v>
      </c>
      <c r="BV233" s="1140">
        <f t="shared" si="89"/>
        <v>0</v>
      </c>
      <c r="BW233" s="1140">
        <f t="shared" si="90"/>
        <v>0</v>
      </c>
      <c r="BX233" s="1140">
        <f t="shared" si="91"/>
        <v>200</v>
      </c>
      <c r="BY233" s="1140">
        <f t="shared" si="80"/>
        <v>200</v>
      </c>
      <c r="CA233" s="1140">
        <f t="shared" si="81"/>
        <v>0</v>
      </c>
      <c r="CB233" s="1140">
        <f t="shared" si="82"/>
        <v>0</v>
      </c>
      <c r="CC233" s="1140">
        <f t="shared" si="83"/>
        <v>0</v>
      </c>
      <c r="CD233" s="1140">
        <f t="shared" si="84"/>
        <v>0</v>
      </c>
      <c r="CE233" s="1140">
        <f t="shared" si="85"/>
        <v>0</v>
      </c>
      <c r="CF233" s="1140">
        <f t="shared" si="86"/>
        <v>0</v>
      </c>
      <c r="CG233" s="1140">
        <f t="shared" si="87"/>
        <v>200</v>
      </c>
      <c r="CH233" s="1140">
        <f t="shared" si="88"/>
        <v>200</v>
      </c>
    </row>
    <row r="234" spans="1:181" ht="15" customHeight="1" x14ac:dyDescent="0.2">
      <c r="A234" s="1052">
        <v>9270</v>
      </c>
      <c r="B234" s="1052" t="s">
        <v>1412</v>
      </c>
      <c r="C234" s="1053" t="s">
        <v>516</v>
      </c>
      <c r="D234" s="1054" t="s">
        <v>516</v>
      </c>
      <c r="E234" s="1055">
        <f t="shared" si="72"/>
        <v>274441.9964</v>
      </c>
      <c r="F234" s="1055">
        <v>0</v>
      </c>
      <c r="G234" s="1056">
        <f t="shared" si="71"/>
        <v>274441.9964</v>
      </c>
      <c r="H234" s="1053"/>
      <c r="I234" s="1054" t="s">
        <v>1416</v>
      </c>
      <c r="J234" s="1054" t="s">
        <v>1412</v>
      </c>
      <c r="K234" s="1054" t="s">
        <v>517</v>
      </c>
      <c r="L234" s="1054" t="s">
        <v>10</v>
      </c>
      <c r="M234" s="1057">
        <v>115</v>
      </c>
      <c r="N234" s="1057">
        <v>0.83199999999999996</v>
      </c>
      <c r="O234" s="1057">
        <v>0.83199999999999996</v>
      </c>
      <c r="P234" s="1057">
        <v>0.81299999999999994</v>
      </c>
      <c r="Q234" s="1057">
        <v>0.76800000000000002</v>
      </c>
      <c r="R234" s="1057">
        <v>922805</v>
      </c>
      <c r="S234" s="1057">
        <v>787721</v>
      </c>
      <c r="T234" s="1058">
        <f t="shared" si="74"/>
        <v>274534.48749999999</v>
      </c>
      <c r="U234" s="1057">
        <v>506639</v>
      </c>
      <c r="V234" s="1057">
        <v>281082</v>
      </c>
      <c r="W234" s="1057">
        <v>4060</v>
      </c>
      <c r="X234" s="1057">
        <v>0</v>
      </c>
      <c r="Y234" s="1057">
        <v>0</v>
      </c>
      <c r="Z234" s="1057">
        <v>0</v>
      </c>
      <c r="AA234" s="1057">
        <v>1062255.4879999999</v>
      </c>
      <c r="AB234" s="1057">
        <v>274534.48749999999</v>
      </c>
      <c r="AC234" s="1057">
        <v>787721</v>
      </c>
      <c r="AD234" s="1057">
        <v>0</v>
      </c>
      <c r="AE234" s="1057">
        <v>0</v>
      </c>
      <c r="AF234" s="1057">
        <v>787721</v>
      </c>
      <c r="AG234" s="1057">
        <v>0</v>
      </c>
      <c r="AH234" s="1057">
        <v>688000</v>
      </c>
      <c r="AI234" s="1057">
        <v>314000</v>
      </c>
      <c r="AJ234" s="1053" t="s">
        <v>900</v>
      </c>
      <c r="AK234" s="1053" t="s">
        <v>905</v>
      </c>
      <c r="AL234" s="1054" t="s">
        <v>1416</v>
      </c>
      <c r="AM234" s="1053"/>
      <c r="AN234" s="1054" t="s">
        <v>516</v>
      </c>
      <c r="AO234" s="1054">
        <v>274534.48749999999</v>
      </c>
      <c r="AP234" s="1059">
        <f t="shared" si="92"/>
        <v>406.76700000000005</v>
      </c>
      <c r="AQ234" s="1059">
        <f t="shared" si="75"/>
        <v>429.76700000000005</v>
      </c>
      <c r="AR234" s="1052">
        <v>4</v>
      </c>
      <c r="AS234" s="1052">
        <v>314</v>
      </c>
      <c r="AT234" s="1052">
        <v>240</v>
      </c>
      <c r="AU234" s="1052">
        <v>66</v>
      </c>
      <c r="AV234" s="1052">
        <v>0</v>
      </c>
      <c r="AW234" s="1052">
        <v>0</v>
      </c>
      <c r="AX234" s="1052">
        <v>2</v>
      </c>
      <c r="AY234" s="1052">
        <v>0</v>
      </c>
      <c r="AZ234" s="1052">
        <v>0</v>
      </c>
      <c r="BA234" s="1052">
        <v>0</v>
      </c>
      <c r="BB234" s="1052">
        <v>23</v>
      </c>
      <c r="BC234" s="1052">
        <v>0</v>
      </c>
      <c r="BD234" s="1052">
        <v>21</v>
      </c>
      <c r="BE234" s="1052">
        <v>0</v>
      </c>
      <c r="BF234" s="1052">
        <v>0</v>
      </c>
      <c r="BG234" s="1052">
        <v>0</v>
      </c>
      <c r="BH234" s="1052">
        <v>0</v>
      </c>
      <c r="BI234" s="1052">
        <v>0</v>
      </c>
      <c r="BJ234" s="1052">
        <v>0</v>
      </c>
      <c r="BK234" s="1052">
        <v>0</v>
      </c>
      <c r="BL234" s="1052">
        <v>0</v>
      </c>
      <c r="BM234" s="1052">
        <v>0</v>
      </c>
      <c r="BN234" s="1052">
        <v>4735</v>
      </c>
      <c r="BO234" s="1052">
        <v>690.32</v>
      </c>
      <c r="BR234" s="1140">
        <f t="shared" si="76"/>
        <v>55555.555555555562</v>
      </c>
      <c r="BS234" s="1140">
        <f t="shared" si="77"/>
        <v>3333333.3333333335</v>
      </c>
      <c r="BT234" s="1140">
        <f t="shared" si="78"/>
        <v>916666.66666666674</v>
      </c>
      <c r="BU234" s="1140">
        <f t="shared" si="79"/>
        <v>4305555.555555556</v>
      </c>
      <c r="BV234" s="1140">
        <f t="shared" si="89"/>
        <v>0</v>
      </c>
      <c r="BW234" s="1140">
        <f t="shared" si="90"/>
        <v>400</v>
      </c>
      <c r="BX234" s="1140">
        <f t="shared" si="91"/>
        <v>0</v>
      </c>
      <c r="BY234" s="1140">
        <f t="shared" si="80"/>
        <v>400</v>
      </c>
      <c r="CA234" s="1140">
        <f t="shared" si="81"/>
        <v>55555.555555555562</v>
      </c>
      <c r="CB234" s="1140">
        <f t="shared" si="82"/>
        <v>3333333.3333333335</v>
      </c>
      <c r="CC234" s="1140">
        <f t="shared" si="83"/>
        <v>916666.66666666674</v>
      </c>
      <c r="CD234" s="1140">
        <f t="shared" si="84"/>
        <v>4305555.555555556</v>
      </c>
      <c r="CE234" s="1140">
        <f t="shared" si="85"/>
        <v>0</v>
      </c>
      <c r="CF234" s="1140">
        <f t="shared" si="86"/>
        <v>400</v>
      </c>
      <c r="CG234" s="1140">
        <f t="shared" si="87"/>
        <v>0</v>
      </c>
      <c r="CH234" s="1140">
        <f t="shared" si="88"/>
        <v>400</v>
      </c>
    </row>
    <row r="235" spans="1:181" ht="15" customHeight="1" x14ac:dyDescent="0.2">
      <c r="A235" s="1052">
        <v>1582</v>
      </c>
      <c r="B235" s="1052"/>
      <c r="C235" s="1053" t="s">
        <v>518</v>
      </c>
      <c r="D235" s="1054" t="s">
        <v>518</v>
      </c>
      <c r="E235" s="1055">
        <f t="shared" si="72"/>
        <v>23199.747199999998</v>
      </c>
      <c r="F235" s="1055">
        <v>0</v>
      </c>
      <c r="G235" s="1056">
        <f t="shared" si="71"/>
        <v>23199.747199999998</v>
      </c>
      <c r="H235" s="1053" t="s">
        <v>10</v>
      </c>
      <c r="I235" s="1054" t="s">
        <v>1512</v>
      </c>
      <c r="J235" s="1054" t="s">
        <v>10</v>
      </c>
      <c r="K235" s="1054" t="s">
        <v>19</v>
      </c>
      <c r="L235" s="1054" t="s">
        <v>10</v>
      </c>
      <c r="M235" s="1057">
        <v>4</v>
      </c>
      <c r="N235" s="1057">
        <v>0.98599999999999999</v>
      </c>
      <c r="O235" s="1057">
        <v>0.98599999999999999</v>
      </c>
      <c r="P235" s="1057">
        <v>0.98599999999999999</v>
      </c>
      <c r="Q235" s="1057">
        <v>0.96199999999999997</v>
      </c>
      <c r="R235" s="1057">
        <v>0</v>
      </c>
      <c r="S235" s="1057">
        <v>119648</v>
      </c>
      <c r="T235" s="1058">
        <f t="shared" si="74"/>
        <v>23199.747199999998</v>
      </c>
      <c r="U235" s="1057">
        <v>109388</v>
      </c>
      <c r="V235" s="1057">
        <v>10260</v>
      </c>
      <c r="W235" s="1057">
        <v>600</v>
      </c>
      <c r="X235" s="1057">
        <v>0</v>
      </c>
      <c r="Y235" s="1057">
        <v>0</v>
      </c>
      <c r="Z235" s="1057">
        <v>0</v>
      </c>
      <c r="AA235" s="1057">
        <v>142847.74720000001</v>
      </c>
      <c r="AB235" s="1057">
        <v>23199.747200000002</v>
      </c>
      <c r="AC235" s="1057">
        <v>119648</v>
      </c>
      <c r="AD235" s="1057">
        <v>0</v>
      </c>
      <c r="AE235" s="1057">
        <v>0</v>
      </c>
      <c r="AF235" s="1057">
        <v>0</v>
      </c>
      <c r="AG235" s="1057">
        <v>119648</v>
      </c>
      <c r="AH235" s="1057">
        <v>0</v>
      </c>
      <c r="AI235" s="1057">
        <v>0</v>
      </c>
      <c r="AJ235" s="1053">
        <v>4</v>
      </c>
      <c r="AK235" s="1053" t="s">
        <v>913</v>
      </c>
      <c r="AL235" s="1054" t="s">
        <v>1512</v>
      </c>
      <c r="AM235" s="1053" t="s">
        <v>10</v>
      </c>
      <c r="AN235" s="1054" t="s">
        <v>518</v>
      </c>
      <c r="AO235" s="1054">
        <v>23199.747200000002</v>
      </c>
      <c r="AP235" s="1059">
        <f t="shared" si="92"/>
        <v>8.444700000000001</v>
      </c>
      <c r="AQ235" s="1059">
        <f t="shared" si="75"/>
        <v>8.444700000000001</v>
      </c>
      <c r="AR235" s="1052">
        <v>0</v>
      </c>
      <c r="AS235" s="1052">
        <v>0</v>
      </c>
      <c r="AT235" s="1052">
        <v>6</v>
      </c>
      <c r="AU235" s="1052">
        <v>0</v>
      </c>
      <c r="AV235" s="1052">
        <v>0</v>
      </c>
      <c r="AW235" s="1052">
        <v>0</v>
      </c>
      <c r="AX235" s="1052">
        <v>0</v>
      </c>
      <c r="AY235" s="1052">
        <v>1</v>
      </c>
      <c r="AZ235" s="1052">
        <v>0</v>
      </c>
      <c r="BA235" s="1052">
        <v>0</v>
      </c>
      <c r="BB235" s="1052">
        <v>0</v>
      </c>
      <c r="BC235" s="1052">
        <v>0</v>
      </c>
      <c r="BD235" s="1052">
        <v>0</v>
      </c>
      <c r="BE235" s="1052">
        <v>0</v>
      </c>
      <c r="BF235" s="1052">
        <v>0</v>
      </c>
      <c r="BG235" s="1052">
        <v>0</v>
      </c>
      <c r="BH235" s="1052">
        <v>0</v>
      </c>
      <c r="BI235" s="1052">
        <v>0</v>
      </c>
      <c r="BJ235" s="1052">
        <v>0</v>
      </c>
      <c r="BK235" s="1052">
        <v>0</v>
      </c>
      <c r="BL235" s="1052">
        <v>0</v>
      </c>
      <c r="BM235" s="1052">
        <v>0</v>
      </c>
      <c r="BN235" s="1052">
        <v>0</v>
      </c>
      <c r="BO235" s="1052">
        <v>14.446999999999999</v>
      </c>
      <c r="BR235" s="1140">
        <f t="shared" si="76"/>
        <v>0</v>
      </c>
      <c r="BS235" s="1140">
        <f t="shared" si="77"/>
        <v>83333.333333333343</v>
      </c>
      <c r="BT235" s="1140">
        <f t="shared" si="78"/>
        <v>0</v>
      </c>
      <c r="BU235" s="1140">
        <f t="shared" si="79"/>
        <v>83333.333333333343</v>
      </c>
      <c r="BV235" s="1140">
        <f t="shared" si="89"/>
        <v>0</v>
      </c>
      <c r="BW235" s="1140">
        <f t="shared" si="90"/>
        <v>0</v>
      </c>
      <c r="BX235" s="1140">
        <f t="shared" si="91"/>
        <v>200</v>
      </c>
      <c r="BY235" s="1140">
        <f t="shared" si="80"/>
        <v>200</v>
      </c>
      <c r="CA235" s="1140">
        <f t="shared" si="81"/>
        <v>0</v>
      </c>
      <c r="CB235" s="1140">
        <f t="shared" si="82"/>
        <v>83333.333333333343</v>
      </c>
      <c r="CC235" s="1140">
        <f t="shared" si="83"/>
        <v>0</v>
      </c>
      <c r="CD235" s="1140">
        <f t="shared" si="84"/>
        <v>83333.333333333343</v>
      </c>
      <c r="CE235" s="1140">
        <f t="shared" si="85"/>
        <v>0</v>
      </c>
      <c r="CF235" s="1140">
        <f t="shared" si="86"/>
        <v>0</v>
      </c>
      <c r="CG235" s="1140">
        <f t="shared" si="87"/>
        <v>200</v>
      </c>
      <c r="CH235" s="1140">
        <f t="shared" si="88"/>
        <v>200</v>
      </c>
    </row>
    <row r="236" spans="1:181" ht="15" customHeight="1" x14ac:dyDescent="0.2">
      <c r="A236" s="1052">
        <v>4841</v>
      </c>
      <c r="B236" s="1052"/>
      <c r="C236" s="1053" t="s">
        <v>520</v>
      </c>
      <c r="D236" s="1054" t="s">
        <v>520</v>
      </c>
      <c r="E236" s="1055">
        <f t="shared" si="72"/>
        <v>336206</v>
      </c>
      <c r="F236" s="1055">
        <v>0</v>
      </c>
      <c r="G236" s="1056">
        <f t="shared" si="71"/>
        <v>336206</v>
      </c>
      <c r="H236" s="1053" t="s">
        <v>1417</v>
      </c>
      <c r="I236" s="1054" t="s">
        <v>1416</v>
      </c>
      <c r="J236" s="1054" t="s">
        <v>1417</v>
      </c>
      <c r="K236" s="1054" t="s">
        <v>422</v>
      </c>
      <c r="L236" s="1054" t="s">
        <v>10</v>
      </c>
      <c r="M236" s="1057">
        <v>106</v>
      </c>
      <c r="N236" s="1057">
        <v>0.80900000000000005</v>
      </c>
      <c r="O236" s="1057">
        <v>0.83599999999999997</v>
      </c>
      <c r="P236" s="1057">
        <v>0.92500000000000004</v>
      </c>
      <c r="Q236" s="1057">
        <v>0.95199999999999996</v>
      </c>
      <c r="R236" s="1057">
        <v>771000</v>
      </c>
      <c r="S236" s="1057">
        <v>965000</v>
      </c>
      <c r="T236" s="1058">
        <f t="shared" si="74"/>
        <v>229372.5</v>
      </c>
      <c r="U236" s="1057">
        <v>771000</v>
      </c>
      <c r="V236" s="1057">
        <v>194000</v>
      </c>
      <c r="W236" s="1057">
        <v>5043</v>
      </c>
      <c r="X236" s="1057">
        <v>0</v>
      </c>
      <c r="Y236" s="1057">
        <v>0</v>
      </c>
      <c r="Z236" s="1057">
        <v>0</v>
      </c>
      <c r="AA236" s="1057">
        <v>1194372.5</v>
      </c>
      <c r="AB236" s="1057">
        <v>229372.5</v>
      </c>
      <c r="AC236" s="1057">
        <v>965000</v>
      </c>
      <c r="AD236" s="1057">
        <v>0</v>
      </c>
      <c r="AE236" s="1057">
        <v>0</v>
      </c>
      <c r="AF236" s="1057">
        <v>0</v>
      </c>
      <c r="AG236" s="1057">
        <v>965000</v>
      </c>
      <c r="AH236" s="1057">
        <v>0</v>
      </c>
      <c r="AI236" s="1057">
        <v>0</v>
      </c>
      <c r="AJ236" s="1053">
        <v>4</v>
      </c>
      <c r="AK236" s="1053" t="s">
        <v>917</v>
      </c>
      <c r="AL236" s="1054" t="s">
        <v>1416</v>
      </c>
      <c r="AM236" s="1053" t="s">
        <v>1417</v>
      </c>
      <c r="AN236" s="1054" t="s">
        <v>520</v>
      </c>
      <c r="AO236" s="1054">
        <v>229372.5</v>
      </c>
      <c r="AP236" s="1059">
        <f t="shared" si="92"/>
        <v>348.13800000000003</v>
      </c>
      <c r="AQ236" s="1059">
        <f t="shared" si="75"/>
        <v>360.13800000000003</v>
      </c>
      <c r="AR236" s="1052">
        <v>0</v>
      </c>
      <c r="AS236" s="1052">
        <v>0</v>
      </c>
      <c r="AT236" s="1052">
        <v>191</v>
      </c>
      <c r="AU236" s="1052">
        <v>13</v>
      </c>
      <c r="AV236" s="1052">
        <v>0</v>
      </c>
      <c r="AW236" s="1052">
        <v>0</v>
      </c>
      <c r="AX236" s="1052">
        <v>33</v>
      </c>
      <c r="AY236" s="1052">
        <v>0</v>
      </c>
      <c r="AZ236" s="1052">
        <v>0</v>
      </c>
      <c r="BA236" s="1052">
        <v>62</v>
      </c>
      <c r="BB236" s="1052">
        <v>12</v>
      </c>
      <c r="BC236" s="1052">
        <v>0</v>
      </c>
      <c r="BD236" s="1052">
        <v>0</v>
      </c>
      <c r="BE236" s="1052">
        <v>1</v>
      </c>
      <c r="BF236" s="1052">
        <v>0</v>
      </c>
      <c r="BG236" s="1052">
        <v>0</v>
      </c>
      <c r="BH236" s="1052">
        <v>0</v>
      </c>
      <c r="BI236" s="1052">
        <v>0</v>
      </c>
      <c r="BJ236" s="1052">
        <v>0</v>
      </c>
      <c r="BK236" s="1052">
        <v>0</v>
      </c>
      <c r="BL236" s="1052">
        <v>111138</v>
      </c>
      <c r="BM236" s="1052">
        <v>0</v>
      </c>
      <c r="BN236" s="1052">
        <v>0</v>
      </c>
      <c r="BO236" s="1052">
        <v>0</v>
      </c>
      <c r="BR236" s="1140">
        <f t="shared" si="76"/>
        <v>0</v>
      </c>
      <c r="BS236" s="1140">
        <f t="shared" si="77"/>
        <v>2652777.777777778</v>
      </c>
      <c r="BT236" s="1140">
        <f t="shared" si="78"/>
        <v>180555.55555555556</v>
      </c>
      <c r="BU236" s="1140">
        <f t="shared" si="79"/>
        <v>2833333.3333333335</v>
      </c>
      <c r="BV236" s="1140">
        <f t="shared" si="89"/>
        <v>0</v>
      </c>
      <c r="BW236" s="1140">
        <f t="shared" si="90"/>
        <v>6600</v>
      </c>
      <c r="BX236" s="1140">
        <f t="shared" si="91"/>
        <v>0</v>
      </c>
      <c r="BY236" s="1140">
        <f t="shared" si="80"/>
        <v>6600</v>
      </c>
      <c r="CA236" s="1140">
        <f t="shared" si="81"/>
        <v>0</v>
      </c>
      <c r="CB236" s="1140">
        <f t="shared" si="82"/>
        <v>0</v>
      </c>
      <c r="CC236" s="1140">
        <f t="shared" si="83"/>
        <v>0</v>
      </c>
      <c r="CD236" s="1140">
        <f t="shared" si="84"/>
        <v>0</v>
      </c>
      <c r="CE236" s="1140">
        <f t="shared" si="85"/>
        <v>0</v>
      </c>
      <c r="CF236" s="1140">
        <f t="shared" si="86"/>
        <v>6600</v>
      </c>
      <c r="CG236" s="1140">
        <f t="shared" si="87"/>
        <v>0</v>
      </c>
      <c r="CH236" s="1140">
        <f t="shared" si="88"/>
        <v>6600</v>
      </c>
    </row>
    <row r="237" spans="1:181" ht="15" customHeight="1" x14ac:dyDescent="0.2">
      <c r="A237" s="1052">
        <v>9774</v>
      </c>
      <c r="B237" s="1052"/>
      <c r="C237" s="1053" t="s">
        <v>522</v>
      </c>
      <c r="D237" s="1054" t="s">
        <v>522</v>
      </c>
      <c r="E237" s="1055">
        <f t="shared" si="72"/>
        <v>9753.5577999999987</v>
      </c>
      <c r="F237" s="1055">
        <v>0</v>
      </c>
      <c r="G237" s="1056">
        <f t="shared" si="71"/>
        <v>9753.5577999999987</v>
      </c>
      <c r="H237" s="1053" t="s">
        <v>1412</v>
      </c>
      <c r="I237" s="1054" t="s">
        <v>1512</v>
      </c>
      <c r="J237" s="1054" t="s">
        <v>10</v>
      </c>
      <c r="K237" s="1054" t="s">
        <v>523</v>
      </c>
      <c r="L237" s="1054" t="s">
        <v>10</v>
      </c>
      <c r="M237" s="1057">
        <v>8</v>
      </c>
      <c r="N237" s="1057">
        <v>0.81100000000000005</v>
      </c>
      <c r="O237" s="1057">
        <v>0.81100000000000005</v>
      </c>
      <c r="P237" s="1057">
        <v>0.95299999999999996</v>
      </c>
      <c r="Q237" s="1057">
        <v>0.91200000000000003</v>
      </c>
      <c r="R237" s="1057">
        <v>0</v>
      </c>
      <c r="S237" s="1057">
        <v>50302</v>
      </c>
      <c r="T237" s="1058">
        <f t="shared" si="74"/>
        <v>9753.5577999999987</v>
      </c>
      <c r="U237" s="1057">
        <v>21500</v>
      </c>
      <c r="V237" s="1057">
        <v>28802</v>
      </c>
      <c r="W237" s="1057">
        <v>250</v>
      </c>
      <c r="X237" s="1057">
        <v>0</v>
      </c>
      <c r="Y237" s="1057">
        <v>0</v>
      </c>
      <c r="Z237" s="1057">
        <v>0</v>
      </c>
      <c r="AA237" s="1057">
        <v>60055.557800000002</v>
      </c>
      <c r="AB237" s="1057">
        <v>9753.5578000000005</v>
      </c>
      <c r="AC237" s="1057">
        <v>50302</v>
      </c>
      <c r="AD237" s="1057">
        <v>0</v>
      </c>
      <c r="AE237" s="1057">
        <v>0</v>
      </c>
      <c r="AF237" s="1057">
        <v>0</v>
      </c>
      <c r="AG237" s="1057">
        <v>50302</v>
      </c>
      <c r="AH237" s="1057">
        <v>0</v>
      </c>
      <c r="AI237" s="1057">
        <v>0</v>
      </c>
      <c r="AJ237" s="1053">
        <v>4</v>
      </c>
      <c r="AK237" s="1053" t="s">
        <v>913</v>
      </c>
      <c r="AL237" s="1054" t="s">
        <v>1512</v>
      </c>
      <c r="AM237" s="1053"/>
      <c r="AN237" s="1054" t="s">
        <v>522</v>
      </c>
      <c r="AO237" s="1054">
        <v>9753.5578000000005</v>
      </c>
      <c r="AP237" s="1059">
        <f t="shared" si="92"/>
        <v>0</v>
      </c>
      <c r="AQ237" s="1059">
        <f t="shared" si="75"/>
        <v>0</v>
      </c>
      <c r="AR237" s="1052">
        <v>0</v>
      </c>
      <c r="AS237" s="1052">
        <v>0</v>
      </c>
      <c r="AT237" s="1052">
        <v>0</v>
      </c>
      <c r="AU237" s="1052">
        <v>0</v>
      </c>
      <c r="AV237" s="1052">
        <v>0</v>
      </c>
      <c r="AW237" s="1052">
        <v>0</v>
      </c>
      <c r="AX237" s="1052">
        <v>0</v>
      </c>
      <c r="AY237" s="1052">
        <v>0</v>
      </c>
      <c r="AZ237" s="1052">
        <v>0</v>
      </c>
      <c r="BA237" s="1052">
        <v>0</v>
      </c>
      <c r="BB237" s="1052">
        <v>0</v>
      </c>
      <c r="BC237" s="1052">
        <v>0</v>
      </c>
      <c r="BD237" s="1052">
        <v>0</v>
      </c>
      <c r="BE237" s="1052">
        <v>0</v>
      </c>
      <c r="BF237" s="1052">
        <v>0</v>
      </c>
      <c r="BG237" s="1052">
        <v>0</v>
      </c>
      <c r="BH237" s="1052">
        <v>0</v>
      </c>
      <c r="BI237" s="1052">
        <v>0</v>
      </c>
      <c r="BJ237" s="1052">
        <v>0</v>
      </c>
      <c r="BK237" s="1052">
        <v>0</v>
      </c>
      <c r="BL237" s="1052">
        <v>0</v>
      </c>
      <c r="BM237" s="1052">
        <v>0</v>
      </c>
      <c r="BN237" s="1052">
        <v>0</v>
      </c>
      <c r="BO237" s="1052">
        <v>0</v>
      </c>
      <c r="BR237" s="1140">
        <f t="shared" si="76"/>
        <v>0</v>
      </c>
      <c r="BS237" s="1140">
        <f t="shared" si="77"/>
        <v>0</v>
      </c>
      <c r="BT237" s="1140">
        <f t="shared" si="78"/>
        <v>0</v>
      </c>
      <c r="BU237" s="1140">
        <f t="shared" si="79"/>
        <v>0</v>
      </c>
      <c r="BV237" s="1140">
        <f t="shared" si="89"/>
        <v>0</v>
      </c>
      <c r="BW237" s="1140">
        <f t="shared" si="90"/>
        <v>0</v>
      </c>
      <c r="BX237" s="1140">
        <f t="shared" si="91"/>
        <v>0</v>
      </c>
      <c r="BY237" s="1140">
        <f t="shared" si="80"/>
        <v>0</v>
      </c>
      <c r="CA237" s="1140">
        <f t="shared" si="81"/>
        <v>0</v>
      </c>
      <c r="CB237" s="1140">
        <f t="shared" si="82"/>
        <v>0</v>
      </c>
      <c r="CC237" s="1140">
        <f t="shared" si="83"/>
        <v>0</v>
      </c>
      <c r="CD237" s="1140">
        <f t="shared" si="84"/>
        <v>0</v>
      </c>
      <c r="CE237" s="1140">
        <f t="shared" si="85"/>
        <v>0</v>
      </c>
      <c r="CF237" s="1140">
        <f t="shared" si="86"/>
        <v>0</v>
      </c>
      <c r="CG237" s="1140">
        <f t="shared" si="87"/>
        <v>0</v>
      </c>
      <c r="CH237" s="1140">
        <f t="shared" si="88"/>
        <v>0</v>
      </c>
    </row>
    <row r="238" spans="1:181" ht="15" customHeight="1" x14ac:dyDescent="0.2">
      <c r="A238" s="1052">
        <v>9773</v>
      </c>
      <c r="B238" s="1052"/>
      <c r="C238" s="1053" t="s">
        <v>524</v>
      </c>
      <c r="D238" s="1054" t="s">
        <v>524</v>
      </c>
      <c r="E238" s="1055">
        <f t="shared" si="72"/>
        <v>415536.68</v>
      </c>
      <c r="F238" s="1055">
        <v>0</v>
      </c>
      <c r="G238" s="1056">
        <f t="shared" si="71"/>
        <v>415536.68</v>
      </c>
      <c r="H238" s="1053" t="s">
        <v>10</v>
      </c>
      <c r="I238" s="1054" t="s">
        <v>1416</v>
      </c>
      <c r="J238" s="1054" t="s">
        <v>1417</v>
      </c>
      <c r="K238" s="1054" t="s">
        <v>523</v>
      </c>
      <c r="L238" s="1054" t="s">
        <v>10</v>
      </c>
      <c r="M238" s="1057">
        <v>134</v>
      </c>
      <c r="N238" s="1057">
        <v>0.70399999999999996</v>
      </c>
      <c r="O238" s="1057">
        <v>0.69299999999999995</v>
      </c>
      <c r="P238" s="1057">
        <v>0.56299999999999994</v>
      </c>
      <c r="Q238" s="1057">
        <v>0.626</v>
      </c>
      <c r="R238" s="1057">
        <v>1288538</v>
      </c>
      <c r="S238" s="1057">
        <v>1192700</v>
      </c>
      <c r="T238" s="1058">
        <f t="shared" si="74"/>
        <v>383340.05499999999</v>
      </c>
      <c r="U238" s="1057">
        <v>931236</v>
      </c>
      <c r="V238" s="1057">
        <v>261464</v>
      </c>
      <c r="W238" s="1057">
        <v>6964</v>
      </c>
      <c r="X238" s="1057">
        <v>0</v>
      </c>
      <c r="Y238" s="1057">
        <v>0</v>
      </c>
      <c r="Z238" s="1057">
        <v>0</v>
      </c>
      <c r="AA238" s="1057">
        <v>1576040.0549999999</v>
      </c>
      <c r="AB238" s="1057">
        <v>383340.05499999999</v>
      </c>
      <c r="AC238" s="1057">
        <v>1192700</v>
      </c>
      <c r="AD238" s="1057">
        <v>0</v>
      </c>
      <c r="AE238" s="1057">
        <v>0</v>
      </c>
      <c r="AF238" s="1057">
        <v>0</v>
      </c>
      <c r="AG238" s="1057">
        <v>1192700</v>
      </c>
      <c r="AH238" s="1057">
        <v>0</v>
      </c>
      <c r="AI238" s="1057">
        <v>0</v>
      </c>
      <c r="AJ238" s="1053">
        <v>4</v>
      </c>
      <c r="AK238" s="1053" t="s">
        <v>913</v>
      </c>
      <c r="AL238" s="1054" t="s">
        <v>1416</v>
      </c>
      <c r="AM238" s="1053" t="s">
        <v>10</v>
      </c>
      <c r="AN238" s="1054" t="s">
        <v>524</v>
      </c>
      <c r="AO238" s="1054">
        <v>383340.05499999999</v>
      </c>
      <c r="AP238" s="1059">
        <f t="shared" si="92"/>
        <v>264.85660000000001</v>
      </c>
      <c r="AQ238" s="1059">
        <f t="shared" si="75"/>
        <v>273.85660000000001</v>
      </c>
      <c r="AR238" s="1052">
        <v>0</v>
      </c>
      <c r="AS238" s="1052">
        <v>0</v>
      </c>
      <c r="AT238" s="1052">
        <v>130</v>
      </c>
      <c r="AU238" s="1052">
        <v>38</v>
      </c>
      <c r="AV238" s="1052">
        <v>0</v>
      </c>
      <c r="AW238" s="1052">
        <v>0</v>
      </c>
      <c r="AX238" s="1052">
        <v>0</v>
      </c>
      <c r="AY238" s="1052">
        <v>0</v>
      </c>
      <c r="AZ238" s="1052">
        <v>0</v>
      </c>
      <c r="BA238" s="1052">
        <v>0</v>
      </c>
      <c r="BB238" s="1052">
        <v>5</v>
      </c>
      <c r="BC238" s="1052">
        <v>4</v>
      </c>
      <c r="BD238" s="1052">
        <v>0</v>
      </c>
      <c r="BE238" s="1052">
        <v>0</v>
      </c>
      <c r="BF238" s="1052">
        <v>0</v>
      </c>
      <c r="BG238" s="1052">
        <v>0</v>
      </c>
      <c r="BH238" s="1052">
        <v>0</v>
      </c>
      <c r="BI238" s="1052">
        <v>0</v>
      </c>
      <c r="BJ238" s="1052">
        <v>0</v>
      </c>
      <c r="BK238" s="1052">
        <v>0</v>
      </c>
      <c r="BL238" s="1052">
        <v>21985</v>
      </c>
      <c r="BM238" s="1052">
        <v>0</v>
      </c>
      <c r="BN238" s="1052">
        <v>0</v>
      </c>
      <c r="BO238" s="1052">
        <v>748.71600000000001</v>
      </c>
      <c r="BR238" s="1140">
        <f t="shared" si="76"/>
        <v>0</v>
      </c>
      <c r="BS238" s="1140">
        <f t="shared" si="77"/>
        <v>1805555.5555555557</v>
      </c>
      <c r="BT238" s="1140">
        <f t="shared" si="78"/>
        <v>527777.77777777787</v>
      </c>
      <c r="BU238" s="1140">
        <f t="shared" si="79"/>
        <v>2333333.3333333335</v>
      </c>
      <c r="BV238" s="1140">
        <f t="shared" si="89"/>
        <v>0</v>
      </c>
      <c r="BW238" s="1140">
        <f t="shared" si="90"/>
        <v>0</v>
      </c>
      <c r="BX238" s="1140">
        <f t="shared" si="91"/>
        <v>0</v>
      </c>
      <c r="BY238" s="1140">
        <f t="shared" si="80"/>
        <v>0</v>
      </c>
      <c r="CA238" s="1140">
        <f t="shared" si="81"/>
        <v>0</v>
      </c>
      <c r="CB238" s="1140">
        <f t="shared" si="82"/>
        <v>1805555.5555555557</v>
      </c>
      <c r="CC238" s="1140">
        <f t="shared" si="83"/>
        <v>527777.77777777787</v>
      </c>
      <c r="CD238" s="1140">
        <f t="shared" si="84"/>
        <v>2333333.3333333335</v>
      </c>
      <c r="CE238" s="1140">
        <f t="shared" si="85"/>
        <v>0</v>
      </c>
      <c r="CF238" s="1140">
        <f t="shared" si="86"/>
        <v>0</v>
      </c>
      <c r="CG238" s="1140">
        <f t="shared" si="87"/>
        <v>0</v>
      </c>
      <c r="CH238" s="1140">
        <f t="shared" si="88"/>
        <v>0</v>
      </c>
    </row>
    <row r="239" spans="1:181" ht="15" customHeight="1" x14ac:dyDescent="0.2">
      <c r="A239" s="1052">
        <v>3917</v>
      </c>
      <c r="B239" s="1052" t="s">
        <v>1412</v>
      </c>
      <c r="C239" s="1053" t="s">
        <v>525</v>
      </c>
      <c r="D239" s="1054" t="s">
        <v>525</v>
      </c>
      <c r="E239" s="1055">
        <f t="shared" si="72"/>
        <v>355510.49559999997</v>
      </c>
      <c r="F239" s="1055">
        <v>490459</v>
      </c>
      <c r="G239" s="1056">
        <f t="shared" si="71"/>
        <v>845969.49560000002</v>
      </c>
      <c r="H239" s="1053" t="s">
        <v>10</v>
      </c>
      <c r="I239" s="1054" t="s">
        <v>1416</v>
      </c>
      <c r="J239" s="1054" t="s">
        <v>1412</v>
      </c>
      <c r="K239" s="1054" t="s">
        <v>527</v>
      </c>
      <c r="L239" s="1054" t="s">
        <v>1412</v>
      </c>
      <c r="M239" s="1057">
        <v>152</v>
      </c>
      <c r="N239" s="1057">
        <v>0.73099999999999998</v>
      </c>
      <c r="O239" s="1057">
        <v>0.83299999999999996</v>
      </c>
      <c r="P239" s="1057">
        <v>0.80700000000000005</v>
      </c>
      <c r="Q239" s="1057">
        <v>0.755</v>
      </c>
      <c r="R239" s="1057">
        <v>1283965</v>
      </c>
      <c r="S239" s="1057">
        <v>1020409</v>
      </c>
      <c r="T239" s="1058">
        <f t="shared" si="74"/>
        <v>381979.58749999997</v>
      </c>
      <c r="U239" s="1057">
        <v>716811</v>
      </c>
      <c r="V239" s="1057">
        <v>303598</v>
      </c>
      <c r="W239" s="1057">
        <v>5338</v>
      </c>
      <c r="X239" s="1057">
        <v>872438.58750000002</v>
      </c>
      <c r="Y239" s="1057">
        <v>381979.58750000002</v>
      </c>
      <c r="Z239" s="1057">
        <v>490459</v>
      </c>
      <c r="AA239" s="1057">
        <v>529950</v>
      </c>
      <c r="AB239" s="1057">
        <v>0</v>
      </c>
      <c r="AC239" s="1057">
        <v>529950</v>
      </c>
      <c r="AD239" s="1057">
        <v>490459</v>
      </c>
      <c r="AE239" s="1057">
        <v>0</v>
      </c>
      <c r="AF239" s="1057">
        <v>529950</v>
      </c>
      <c r="AG239" s="1057">
        <v>0</v>
      </c>
      <c r="AH239" s="1057">
        <v>393000</v>
      </c>
      <c r="AI239" s="1057">
        <v>315000</v>
      </c>
      <c r="AJ239" s="1053" t="s">
        <v>900</v>
      </c>
      <c r="AK239" s="1053" t="s">
        <v>922</v>
      </c>
      <c r="AL239" s="1054" t="s">
        <v>1416</v>
      </c>
      <c r="AM239" s="1053" t="s">
        <v>10</v>
      </c>
      <c r="AN239" s="1054" t="s">
        <v>525</v>
      </c>
      <c r="AO239" s="1054">
        <v>872438.58750000002</v>
      </c>
      <c r="AP239" s="1059">
        <f t="shared" si="92"/>
        <v>530.06849999999997</v>
      </c>
      <c r="AQ239" s="1059">
        <f t="shared" si="75"/>
        <v>555.06849999999997</v>
      </c>
      <c r="AR239" s="1052">
        <v>208</v>
      </c>
      <c r="AS239" s="1052">
        <v>315</v>
      </c>
      <c r="AT239" s="1052">
        <v>127</v>
      </c>
      <c r="AU239" s="1052">
        <v>0</v>
      </c>
      <c r="AV239" s="1052">
        <v>0</v>
      </c>
      <c r="AW239" s="1052">
        <v>17</v>
      </c>
      <c r="AX239" s="1052">
        <v>0</v>
      </c>
      <c r="AY239" s="1052">
        <v>0</v>
      </c>
      <c r="AZ239" s="1052">
        <v>15</v>
      </c>
      <c r="BA239" s="1052">
        <v>32</v>
      </c>
      <c r="BB239" s="1052">
        <v>25</v>
      </c>
      <c r="BC239" s="1052">
        <v>0</v>
      </c>
      <c r="BD239" s="1052">
        <v>21</v>
      </c>
      <c r="BE239" s="1052">
        <v>0</v>
      </c>
      <c r="BF239" s="1052">
        <v>0</v>
      </c>
      <c r="BG239" s="1052">
        <v>0</v>
      </c>
      <c r="BH239" s="1052">
        <v>75</v>
      </c>
      <c r="BI239" s="1052">
        <v>0</v>
      </c>
      <c r="BJ239" s="1052">
        <v>0</v>
      </c>
      <c r="BK239" s="1052">
        <v>0</v>
      </c>
      <c r="BL239" s="1052">
        <v>0</v>
      </c>
      <c r="BM239" s="1052">
        <v>0</v>
      </c>
      <c r="BN239" s="1052">
        <v>8045</v>
      </c>
      <c r="BO239" s="1052">
        <v>760.23500000000001</v>
      </c>
      <c r="BR239" s="1140">
        <f t="shared" si="76"/>
        <v>2888888.888888889</v>
      </c>
      <c r="BS239" s="1140">
        <f t="shared" si="77"/>
        <v>1763888.888888889</v>
      </c>
      <c r="BT239" s="1140">
        <f t="shared" si="78"/>
        <v>0</v>
      </c>
      <c r="BU239" s="1140">
        <f t="shared" si="79"/>
        <v>4652777.777777778</v>
      </c>
      <c r="BV239" s="1140">
        <f t="shared" si="89"/>
        <v>0</v>
      </c>
      <c r="BW239" s="1140">
        <f t="shared" si="90"/>
        <v>0</v>
      </c>
      <c r="BX239" s="1140">
        <f t="shared" si="91"/>
        <v>0</v>
      </c>
      <c r="BY239" s="1140">
        <f t="shared" si="80"/>
        <v>0</v>
      </c>
      <c r="CA239" s="1140">
        <f t="shared" si="81"/>
        <v>2888888.888888889</v>
      </c>
      <c r="CB239" s="1140">
        <f t="shared" si="82"/>
        <v>1763888.888888889</v>
      </c>
      <c r="CC239" s="1140">
        <f t="shared" si="83"/>
        <v>0</v>
      </c>
      <c r="CD239" s="1140">
        <f t="shared" si="84"/>
        <v>4652777.777777778</v>
      </c>
      <c r="CE239" s="1140">
        <f t="shared" si="85"/>
        <v>0</v>
      </c>
      <c r="CF239" s="1140">
        <f t="shared" si="86"/>
        <v>0</v>
      </c>
      <c r="CG239" s="1140">
        <f t="shared" si="87"/>
        <v>0</v>
      </c>
      <c r="CH239" s="1140">
        <f t="shared" si="88"/>
        <v>0</v>
      </c>
    </row>
    <row r="240" spans="1:181" ht="15" customHeight="1" x14ac:dyDescent="0.2">
      <c r="A240" s="1052">
        <v>3915</v>
      </c>
      <c r="B240" s="1052"/>
      <c r="C240" s="1053" t="s">
        <v>528</v>
      </c>
      <c r="D240" s="1054" t="s">
        <v>528</v>
      </c>
      <c r="E240" s="1055">
        <f t="shared" si="72"/>
        <v>45421.074999999997</v>
      </c>
      <c r="F240" s="1055">
        <v>0</v>
      </c>
      <c r="G240" s="1056">
        <f t="shared" si="71"/>
        <v>45421.074999999997</v>
      </c>
      <c r="H240" s="1053" t="s">
        <v>10</v>
      </c>
      <c r="I240" s="1054" t="s">
        <v>1512</v>
      </c>
      <c r="J240" s="1054" t="s">
        <v>10</v>
      </c>
      <c r="K240" s="1054" t="s">
        <v>527</v>
      </c>
      <c r="L240" s="1054" t="s">
        <v>10</v>
      </c>
      <c r="M240" s="1057">
        <v>19</v>
      </c>
      <c r="N240" s="1057">
        <v>0.95399999999999996</v>
      </c>
      <c r="O240" s="1057">
        <v>0.91400000000000003</v>
      </c>
      <c r="P240" s="1057">
        <v>0.93700000000000006</v>
      </c>
      <c r="Q240" s="1057">
        <v>1</v>
      </c>
      <c r="R240" s="1057">
        <v>0</v>
      </c>
      <c r="S240" s="1057">
        <v>234250</v>
      </c>
      <c r="T240" s="1058">
        <f t="shared" si="74"/>
        <v>45421.074999999997</v>
      </c>
      <c r="U240" s="1057">
        <v>172179</v>
      </c>
      <c r="V240" s="1057">
        <v>62071</v>
      </c>
      <c r="W240" s="1057">
        <v>1150</v>
      </c>
      <c r="X240" s="1057">
        <v>0</v>
      </c>
      <c r="Y240" s="1057">
        <v>0</v>
      </c>
      <c r="Z240" s="1057">
        <v>0</v>
      </c>
      <c r="AA240" s="1057">
        <v>279671.07500000001</v>
      </c>
      <c r="AB240" s="1057">
        <v>45421.074999999997</v>
      </c>
      <c r="AC240" s="1057">
        <v>234250</v>
      </c>
      <c r="AD240" s="1057">
        <v>0</v>
      </c>
      <c r="AE240" s="1057">
        <v>0</v>
      </c>
      <c r="AF240" s="1057">
        <v>0</v>
      </c>
      <c r="AG240" s="1057">
        <v>234250</v>
      </c>
      <c r="AH240" s="1057">
        <v>0</v>
      </c>
      <c r="AI240" s="1057">
        <v>0</v>
      </c>
      <c r="AJ240" s="1053" t="s">
        <v>900</v>
      </c>
      <c r="AK240" s="1053" t="s">
        <v>922</v>
      </c>
      <c r="AL240" s="1054" t="s">
        <v>1512</v>
      </c>
      <c r="AM240" s="1053" t="s">
        <v>10</v>
      </c>
      <c r="AN240" s="1054" t="s">
        <v>528</v>
      </c>
      <c r="AO240" s="1054">
        <v>45421.074999999997</v>
      </c>
      <c r="AP240" s="1059">
        <f t="shared" si="92"/>
        <v>12.921900000000001</v>
      </c>
      <c r="AQ240" s="1059">
        <f t="shared" si="75"/>
        <v>19.921900000000001</v>
      </c>
      <c r="AR240" s="1052">
        <v>0</v>
      </c>
      <c r="AS240" s="1052">
        <v>0</v>
      </c>
      <c r="AT240" s="1052">
        <v>8</v>
      </c>
      <c r="AU240" s="1052">
        <v>0</v>
      </c>
      <c r="AV240" s="1052">
        <v>0</v>
      </c>
      <c r="AW240" s="1052">
        <v>0</v>
      </c>
      <c r="AX240" s="1052">
        <v>0</v>
      </c>
      <c r="AY240" s="1052">
        <v>0</v>
      </c>
      <c r="AZ240" s="1052">
        <v>0</v>
      </c>
      <c r="BA240" s="1052">
        <v>0</v>
      </c>
      <c r="BB240" s="1052">
        <v>1</v>
      </c>
      <c r="BC240" s="1052">
        <v>6</v>
      </c>
      <c r="BD240" s="1052">
        <v>0</v>
      </c>
      <c r="BE240" s="1052">
        <v>0</v>
      </c>
      <c r="BF240" s="1052">
        <v>0</v>
      </c>
      <c r="BG240" s="1052">
        <v>0</v>
      </c>
      <c r="BH240" s="1052">
        <v>0</v>
      </c>
      <c r="BI240" s="1052">
        <v>0</v>
      </c>
      <c r="BJ240" s="1052">
        <v>0</v>
      </c>
      <c r="BK240" s="1052">
        <v>0</v>
      </c>
      <c r="BL240" s="1052">
        <v>0</v>
      </c>
      <c r="BM240" s="1052">
        <v>0</v>
      </c>
      <c r="BN240" s="1052">
        <v>0</v>
      </c>
      <c r="BO240" s="1052">
        <v>49.219000000000001</v>
      </c>
      <c r="BR240" s="1140">
        <f t="shared" si="76"/>
        <v>0</v>
      </c>
      <c r="BS240" s="1140">
        <f t="shared" si="77"/>
        <v>111111.11111111112</v>
      </c>
      <c r="BT240" s="1140">
        <f t="shared" si="78"/>
        <v>0</v>
      </c>
      <c r="BU240" s="1140">
        <f t="shared" si="79"/>
        <v>111111.11111111112</v>
      </c>
      <c r="BV240" s="1140">
        <f t="shared" si="89"/>
        <v>0</v>
      </c>
      <c r="BW240" s="1140">
        <f t="shared" si="90"/>
        <v>0</v>
      </c>
      <c r="BX240" s="1140">
        <f t="shared" si="91"/>
        <v>0</v>
      </c>
      <c r="BY240" s="1140">
        <f t="shared" si="80"/>
        <v>0</v>
      </c>
      <c r="CA240" s="1140">
        <f t="shared" si="81"/>
        <v>0</v>
      </c>
      <c r="CB240" s="1140">
        <f t="shared" si="82"/>
        <v>111111.11111111112</v>
      </c>
      <c r="CC240" s="1140">
        <f t="shared" si="83"/>
        <v>0</v>
      </c>
      <c r="CD240" s="1140">
        <f t="shared" si="84"/>
        <v>111111.11111111112</v>
      </c>
      <c r="CE240" s="1140">
        <f t="shared" si="85"/>
        <v>0</v>
      </c>
      <c r="CF240" s="1140">
        <f t="shared" si="86"/>
        <v>0</v>
      </c>
      <c r="CG240" s="1140">
        <f t="shared" si="87"/>
        <v>0</v>
      </c>
      <c r="CH240" s="1140">
        <f t="shared" si="88"/>
        <v>0</v>
      </c>
    </row>
    <row r="241" spans="1:195" s="1082" customFormat="1" ht="15" customHeight="1" x14ac:dyDescent="0.2">
      <c r="A241" s="1052">
        <v>519</v>
      </c>
      <c r="B241" s="1052"/>
      <c r="C241" s="1053" t="s">
        <v>529</v>
      </c>
      <c r="D241" s="1054" t="s">
        <v>529</v>
      </c>
      <c r="E241" s="1055">
        <f t="shared" si="72"/>
        <v>73843.130899999989</v>
      </c>
      <c r="F241" s="1055">
        <v>0</v>
      </c>
      <c r="G241" s="1056">
        <f t="shared" si="71"/>
        <v>73843.130899999989</v>
      </c>
      <c r="H241" s="1053" t="s">
        <v>1417</v>
      </c>
      <c r="I241" s="1054" t="s">
        <v>1512</v>
      </c>
      <c r="J241" s="1054" t="s">
        <v>10</v>
      </c>
      <c r="K241" s="1054" t="s">
        <v>325</v>
      </c>
      <c r="L241" s="1054" t="s">
        <v>10</v>
      </c>
      <c r="M241" s="1057">
        <v>41</v>
      </c>
      <c r="N241" s="1057">
        <v>0.67800000000000005</v>
      </c>
      <c r="O241" s="1057">
        <v>0.67100000000000004</v>
      </c>
      <c r="P241" s="1057">
        <v>0.72</v>
      </c>
      <c r="Q241" s="1057">
        <v>0.99199999999999999</v>
      </c>
      <c r="R241" s="1057">
        <v>0</v>
      </c>
      <c r="S241" s="1057">
        <v>380831</v>
      </c>
      <c r="T241" s="1058">
        <f t="shared" si="74"/>
        <v>73843.130899999989</v>
      </c>
      <c r="U241" s="1057">
        <v>263436</v>
      </c>
      <c r="V241" s="1057">
        <v>117395</v>
      </c>
      <c r="W241" s="1057">
        <v>1875</v>
      </c>
      <c r="X241" s="1057">
        <v>0</v>
      </c>
      <c r="Y241" s="1057">
        <v>0</v>
      </c>
      <c r="Z241" s="1057">
        <v>0</v>
      </c>
      <c r="AA241" s="1057">
        <v>454674.13089999999</v>
      </c>
      <c r="AB241" s="1057">
        <v>73843.130900000004</v>
      </c>
      <c r="AC241" s="1057">
        <v>380831</v>
      </c>
      <c r="AD241" s="1057">
        <v>0</v>
      </c>
      <c r="AE241" s="1057">
        <v>0</v>
      </c>
      <c r="AF241" s="1057">
        <v>0</v>
      </c>
      <c r="AG241" s="1057">
        <v>380831</v>
      </c>
      <c r="AH241" s="1057">
        <v>0</v>
      </c>
      <c r="AI241" s="1057">
        <v>0</v>
      </c>
      <c r="AJ241" s="1053" t="s">
        <v>900</v>
      </c>
      <c r="AK241" s="1053" t="s">
        <v>907</v>
      </c>
      <c r="AL241" s="1054" t="s">
        <v>1512</v>
      </c>
      <c r="AM241" s="1053" t="s">
        <v>1417</v>
      </c>
      <c r="AN241" s="1054" t="s">
        <v>529</v>
      </c>
      <c r="AO241" s="1054">
        <v>73843.130900000004</v>
      </c>
      <c r="AP241" s="1059">
        <f t="shared" si="92"/>
        <v>46</v>
      </c>
      <c r="AQ241" s="1059">
        <f t="shared" si="75"/>
        <v>62</v>
      </c>
      <c r="AR241" s="1081">
        <v>0</v>
      </c>
      <c r="AS241" s="1081">
        <v>0</v>
      </c>
      <c r="AT241" s="1081">
        <v>46</v>
      </c>
      <c r="AU241" s="1081">
        <v>0</v>
      </c>
      <c r="AV241" s="1052">
        <v>0</v>
      </c>
      <c r="AW241" s="1052">
        <v>0</v>
      </c>
      <c r="AX241" s="1052">
        <v>0</v>
      </c>
      <c r="AY241" s="1052">
        <v>0</v>
      </c>
      <c r="AZ241" s="1081">
        <v>0</v>
      </c>
      <c r="BA241" s="1081">
        <v>29</v>
      </c>
      <c r="BB241" s="1081">
        <v>16</v>
      </c>
      <c r="BC241" s="1081">
        <v>0</v>
      </c>
      <c r="BD241" s="1081">
        <v>0</v>
      </c>
      <c r="BE241" s="1081">
        <v>0</v>
      </c>
      <c r="BF241" s="1081">
        <v>0</v>
      </c>
      <c r="BG241" s="1081">
        <v>0</v>
      </c>
      <c r="BH241" s="1081">
        <v>0</v>
      </c>
      <c r="BI241" s="1081">
        <v>0</v>
      </c>
      <c r="BJ241" s="1081">
        <v>0</v>
      </c>
      <c r="BK241" s="1081">
        <v>0</v>
      </c>
      <c r="BL241" s="1052">
        <v>0</v>
      </c>
      <c r="BM241" s="1052">
        <v>0</v>
      </c>
      <c r="BN241" s="1052">
        <v>0</v>
      </c>
      <c r="BO241" s="1052">
        <v>0</v>
      </c>
      <c r="BP241" s="1069"/>
      <c r="BQ241" s="1136"/>
      <c r="BR241" s="1140">
        <f t="shared" si="76"/>
        <v>0</v>
      </c>
      <c r="BS241" s="1140">
        <f t="shared" si="77"/>
        <v>638888.88888888899</v>
      </c>
      <c r="BT241" s="1140">
        <f t="shared" si="78"/>
        <v>0</v>
      </c>
      <c r="BU241" s="1140">
        <f t="shared" si="79"/>
        <v>638888.88888888899</v>
      </c>
      <c r="BV241" s="1140">
        <f t="shared" si="89"/>
        <v>0</v>
      </c>
      <c r="BW241" s="1140">
        <f t="shared" si="90"/>
        <v>0</v>
      </c>
      <c r="BX241" s="1140">
        <f t="shared" si="91"/>
        <v>0</v>
      </c>
      <c r="BY241" s="1140">
        <f t="shared" si="80"/>
        <v>0</v>
      </c>
      <c r="BZ241" s="1136"/>
      <c r="CA241" s="1140">
        <f t="shared" si="81"/>
        <v>0</v>
      </c>
      <c r="CB241" s="1140">
        <f t="shared" si="82"/>
        <v>0</v>
      </c>
      <c r="CC241" s="1140">
        <f t="shared" si="83"/>
        <v>0</v>
      </c>
      <c r="CD241" s="1140">
        <f t="shared" si="84"/>
        <v>0</v>
      </c>
      <c r="CE241" s="1140">
        <f t="shared" si="85"/>
        <v>0</v>
      </c>
      <c r="CF241" s="1140">
        <f t="shared" si="86"/>
        <v>0</v>
      </c>
      <c r="CG241" s="1140">
        <f t="shared" si="87"/>
        <v>0</v>
      </c>
      <c r="CH241" s="1140">
        <f t="shared" si="88"/>
        <v>0</v>
      </c>
      <c r="CI241" s="1146"/>
      <c r="CJ241" s="1069"/>
      <c r="CK241" s="1069"/>
      <c r="CL241" s="1069"/>
      <c r="CM241" s="1069"/>
      <c r="CN241" s="1069"/>
      <c r="CO241" s="1069"/>
      <c r="CP241" s="1069"/>
      <c r="CQ241" s="1069"/>
      <c r="CR241" s="1069"/>
      <c r="CS241" s="1069"/>
      <c r="CT241" s="1069"/>
      <c r="CU241" s="1069"/>
      <c r="CV241" s="1069"/>
      <c r="CW241" s="1069"/>
      <c r="CX241" s="1069"/>
      <c r="CY241" s="1069"/>
      <c r="CZ241" s="1069"/>
      <c r="DA241" s="1069"/>
      <c r="DB241" s="1069"/>
      <c r="DC241" s="1069"/>
      <c r="DD241" s="1069"/>
      <c r="DE241" s="1069"/>
      <c r="DF241" s="1069"/>
      <c r="DG241" s="1069"/>
      <c r="DH241" s="1069"/>
      <c r="DI241" s="1069"/>
      <c r="DJ241" s="1069"/>
      <c r="DK241" s="1069"/>
      <c r="DL241" s="1069"/>
      <c r="DM241" s="1069"/>
      <c r="DN241" s="1069"/>
      <c r="DO241" s="1069"/>
      <c r="DP241" s="1069"/>
      <c r="DQ241" s="1069"/>
      <c r="DR241" s="1069"/>
      <c r="DS241" s="1069"/>
      <c r="DT241" s="1069"/>
      <c r="DU241" s="1069"/>
      <c r="DV241" s="1069"/>
      <c r="DW241" s="1069"/>
      <c r="DX241" s="1069"/>
      <c r="DY241" s="1069"/>
      <c r="DZ241" s="1069"/>
      <c r="EA241" s="1069"/>
      <c r="EB241" s="1069"/>
      <c r="EC241" s="1069"/>
      <c r="ED241" s="1069"/>
      <c r="EE241" s="1069"/>
      <c r="EF241" s="1069"/>
      <c r="EG241" s="1069"/>
      <c r="EH241" s="1069"/>
      <c r="EI241" s="1069"/>
      <c r="EJ241" s="1069"/>
      <c r="EK241" s="1069"/>
      <c r="EL241" s="1069"/>
      <c r="EM241" s="1069"/>
      <c r="EN241" s="1069"/>
      <c r="EO241" s="1069"/>
      <c r="EP241" s="1069"/>
      <c r="EQ241" s="1069"/>
      <c r="ER241" s="1069"/>
      <c r="ES241" s="1069"/>
      <c r="ET241" s="1069"/>
      <c r="EU241" s="1069"/>
      <c r="EV241" s="1069"/>
      <c r="EW241" s="1069"/>
      <c r="EX241" s="1069"/>
      <c r="EY241" s="1069"/>
      <c r="EZ241" s="1069"/>
      <c r="FA241" s="1069"/>
      <c r="FB241" s="1069"/>
      <c r="FC241" s="1069"/>
      <c r="FD241" s="1069"/>
      <c r="FE241" s="1069"/>
      <c r="FF241" s="1069"/>
      <c r="FG241" s="1069"/>
      <c r="FH241" s="1069"/>
      <c r="FI241" s="1069"/>
      <c r="FJ241" s="1069"/>
      <c r="FK241" s="1069"/>
      <c r="FL241" s="1069"/>
      <c r="FM241" s="1069"/>
      <c r="FN241" s="1069"/>
      <c r="FO241" s="1069"/>
      <c r="FP241" s="1069"/>
      <c r="FQ241" s="1069"/>
      <c r="FR241" s="1069"/>
      <c r="FS241" s="1069"/>
      <c r="FT241" s="1069"/>
      <c r="FU241" s="1069"/>
      <c r="FV241" s="1069"/>
      <c r="FW241" s="1069"/>
      <c r="FX241" s="1069"/>
      <c r="FY241" s="1069"/>
      <c r="FZ241" s="1069"/>
      <c r="GA241" s="1069"/>
      <c r="GB241" s="1069"/>
      <c r="GC241" s="1069"/>
      <c r="GD241" s="1069"/>
      <c r="GE241" s="1069"/>
      <c r="GF241" s="1069"/>
      <c r="GG241" s="1069"/>
      <c r="GH241" s="1069"/>
      <c r="GI241" s="1069"/>
      <c r="GJ241" s="1069"/>
      <c r="GK241" s="1069"/>
      <c r="GL241" s="1069"/>
      <c r="GM241" s="1069"/>
    </row>
    <row r="242" spans="1:195" ht="15" customHeight="1" x14ac:dyDescent="0.2">
      <c r="A242" s="1052">
        <v>9805</v>
      </c>
      <c r="B242" s="1052"/>
      <c r="C242" s="1053" t="s">
        <v>531</v>
      </c>
      <c r="D242" s="1054" t="s">
        <v>531</v>
      </c>
      <c r="E242" s="1055">
        <f t="shared" si="72"/>
        <v>466287.41119999997</v>
      </c>
      <c r="F242" s="1055">
        <v>0</v>
      </c>
      <c r="G242" s="1056">
        <f t="shared" si="71"/>
        <v>466287.41119999997</v>
      </c>
      <c r="H242" s="1053" t="s">
        <v>1417</v>
      </c>
      <c r="I242" s="1054" t="s">
        <v>1416</v>
      </c>
      <c r="J242" s="1054" t="s">
        <v>1417</v>
      </c>
      <c r="K242" s="1054" t="s">
        <v>532</v>
      </c>
      <c r="L242" s="1054" t="s">
        <v>10</v>
      </c>
      <c r="M242" s="1057">
        <v>143</v>
      </c>
      <c r="N242" s="1057">
        <v>0.94699999999999995</v>
      </c>
      <c r="O242" s="1057">
        <v>0.95699999999999996</v>
      </c>
      <c r="P242" s="1057">
        <v>0.93899999999999995</v>
      </c>
      <c r="Q242" s="1057">
        <v>0.88900000000000001</v>
      </c>
      <c r="R242" s="1057">
        <v>1500930</v>
      </c>
      <c r="S242" s="1057">
        <v>1338368</v>
      </c>
      <c r="T242" s="1058">
        <f t="shared" si="74"/>
        <v>446526.67499999999</v>
      </c>
      <c r="U242" s="1057">
        <v>878311</v>
      </c>
      <c r="V242" s="1057">
        <v>460057</v>
      </c>
      <c r="W242" s="1057">
        <v>6956</v>
      </c>
      <c r="X242" s="1057">
        <v>0</v>
      </c>
      <c r="Y242" s="1057">
        <v>0</v>
      </c>
      <c r="Z242" s="1057">
        <v>0</v>
      </c>
      <c r="AA242" s="1057">
        <v>1784894.675</v>
      </c>
      <c r="AB242" s="1057">
        <v>446526.67499999999</v>
      </c>
      <c r="AC242" s="1057">
        <v>1338368</v>
      </c>
      <c r="AD242" s="1057">
        <v>0</v>
      </c>
      <c r="AE242" s="1057">
        <v>0</v>
      </c>
      <c r="AF242" s="1057">
        <v>0</v>
      </c>
      <c r="AG242" s="1057">
        <v>1338368</v>
      </c>
      <c r="AH242" s="1057">
        <v>0</v>
      </c>
      <c r="AI242" s="1057">
        <v>0</v>
      </c>
      <c r="AJ242" s="1053" t="s">
        <v>900</v>
      </c>
      <c r="AK242" s="1053" t="s">
        <v>905</v>
      </c>
      <c r="AL242" s="1054" t="s">
        <v>1416</v>
      </c>
      <c r="AM242" s="1053" t="s">
        <v>1417</v>
      </c>
      <c r="AN242" s="1054" t="s">
        <v>531</v>
      </c>
      <c r="AO242" s="1054">
        <v>446526.67499999999</v>
      </c>
      <c r="AP242" s="1059">
        <f t="shared" si="92"/>
        <v>367.54939999999999</v>
      </c>
      <c r="AQ242" s="1059">
        <f t="shared" si="75"/>
        <v>519.54939999999999</v>
      </c>
      <c r="AR242" s="1052">
        <v>0</v>
      </c>
      <c r="AS242" s="1052">
        <v>0</v>
      </c>
      <c r="AT242" s="1052">
        <v>252</v>
      </c>
      <c r="AU242" s="1052">
        <v>0</v>
      </c>
      <c r="AV242" s="1052">
        <v>0</v>
      </c>
      <c r="AW242" s="1052">
        <v>0</v>
      </c>
      <c r="AX242" s="1052">
        <v>11</v>
      </c>
      <c r="AY242" s="1052">
        <v>0</v>
      </c>
      <c r="AZ242" s="1052">
        <v>0</v>
      </c>
      <c r="BA242" s="1052">
        <v>0</v>
      </c>
      <c r="BB242" s="1052">
        <v>152</v>
      </c>
      <c r="BC242" s="1052">
        <v>0</v>
      </c>
      <c r="BD242" s="1052">
        <v>0</v>
      </c>
      <c r="BE242" s="1052">
        <v>0</v>
      </c>
      <c r="BF242" s="1052">
        <v>0</v>
      </c>
      <c r="BG242" s="1052">
        <v>0</v>
      </c>
      <c r="BH242" s="1052">
        <v>0</v>
      </c>
      <c r="BI242" s="1052">
        <v>0</v>
      </c>
      <c r="BJ242" s="1052">
        <v>0</v>
      </c>
      <c r="BK242" s="1052">
        <v>0</v>
      </c>
      <c r="BL242" s="1052">
        <v>5000</v>
      </c>
      <c r="BM242" s="1052">
        <v>0</v>
      </c>
      <c r="BN242" s="1052">
        <v>0</v>
      </c>
      <c r="BO242" s="1052">
        <v>995.49400000000003</v>
      </c>
      <c r="BR242" s="1140">
        <f t="shared" si="76"/>
        <v>0</v>
      </c>
      <c r="BS242" s="1140">
        <f t="shared" si="77"/>
        <v>3500000.0000000005</v>
      </c>
      <c r="BT242" s="1140">
        <f t="shared" si="78"/>
        <v>0</v>
      </c>
      <c r="BU242" s="1140">
        <f t="shared" si="79"/>
        <v>3500000.0000000005</v>
      </c>
      <c r="BV242" s="1140">
        <f t="shared" si="89"/>
        <v>0</v>
      </c>
      <c r="BW242" s="1140">
        <f t="shared" si="90"/>
        <v>2200</v>
      </c>
      <c r="BX242" s="1140">
        <f t="shared" si="91"/>
        <v>0</v>
      </c>
      <c r="BY242" s="1140">
        <f t="shared" si="80"/>
        <v>2200</v>
      </c>
      <c r="CA242" s="1140">
        <f t="shared" si="81"/>
        <v>0</v>
      </c>
      <c r="CB242" s="1140">
        <f t="shared" si="82"/>
        <v>0</v>
      </c>
      <c r="CC242" s="1140">
        <f t="shared" si="83"/>
        <v>0</v>
      </c>
      <c r="CD242" s="1140">
        <f t="shared" si="84"/>
        <v>0</v>
      </c>
      <c r="CE242" s="1140">
        <f t="shared" si="85"/>
        <v>0</v>
      </c>
      <c r="CF242" s="1140">
        <f t="shared" si="86"/>
        <v>2200</v>
      </c>
      <c r="CG242" s="1140">
        <f t="shared" si="87"/>
        <v>0</v>
      </c>
      <c r="CH242" s="1140">
        <f t="shared" si="88"/>
        <v>2200</v>
      </c>
    </row>
    <row r="243" spans="1:195" ht="15" customHeight="1" x14ac:dyDescent="0.2">
      <c r="A243" s="1101">
        <v>4676</v>
      </c>
      <c r="B243" s="1101"/>
      <c r="C243" s="1118" t="s">
        <v>533</v>
      </c>
      <c r="D243" s="1054" t="s">
        <v>533</v>
      </c>
      <c r="E243" s="1055">
        <f t="shared" si="72"/>
        <v>288290.54800000001</v>
      </c>
      <c r="F243" s="1055">
        <v>0</v>
      </c>
      <c r="G243" s="1056">
        <f t="shared" si="71"/>
        <v>288290.54800000001</v>
      </c>
      <c r="H243" s="1053" t="s">
        <v>1417</v>
      </c>
      <c r="I243" s="1054" t="s">
        <v>1416</v>
      </c>
      <c r="J243" s="1054" t="s">
        <v>1417</v>
      </c>
      <c r="K243" s="1054" t="s">
        <v>160</v>
      </c>
      <c r="L243" s="1054" t="s">
        <v>10</v>
      </c>
      <c r="M243" s="1057">
        <v>152</v>
      </c>
      <c r="N243" s="1057">
        <v>0.95699999999999996</v>
      </c>
      <c r="O243" s="1057">
        <v>0.94399999999999995</v>
      </c>
      <c r="P243" s="1057">
        <v>0.92500000000000004</v>
      </c>
      <c r="Q243" s="1057">
        <v>0.95199999999999996</v>
      </c>
      <c r="R243" s="1057">
        <v>1200354</v>
      </c>
      <c r="S243" s="1057">
        <v>827470</v>
      </c>
      <c r="T243" s="1058">
        <f t="shared" si="74"/>
        <v>357105.315</v>
      </c>
      <c r="U243" s="1057">
        <v>349393</v>
      </c>
      <c r="V243" s="1057">
        <v>478077</v>
      </c>
      <c r="W243" s="1057">
        <v>4000</v>
      </c>
      <c r="X243" s="1057">
        <v>0</v>
      </c>
      <c r="Y243" s="1057">
        <v>0</v>
      </c>
      <c r="Z243" s="1057">
        <v>0</v>
      </c>
      <c r="AA243" s="1057">
        <v>1184575.3149999999</v>
      </c>
      <c r="AB243" s="1057">
        <v>357105.315</v>
      </c>
      <c r="AC243" s="1057">
        <v>827470</v>
      </c>
      <c r="AD243" s="1057">
        <v>0</v>
      </c>
      <c r="AE243" s="1057">
        <v>0</v>
      </c>
      <c r="AF243" s="1057">
        <v>0</v>
      </c>
      <c r="AG243" s="1057">
        <v>827470</v>
      </c>
      <c r="AH243" s="1057">
        <v>0</v>
      </c>
      <c r="AI243" s="1057">
        <v>0</v>
      </c>
      <c r="AJ243" s="1118">
        <v>4</v>
      </c>
      <c r="AK243" s="1118" t="s">
        <v>917</v>
      </c>
      <c r="AL243" s="1054" t="s">
        <v>1416</v>
      </c>
      <c r="AM243" s="1053" t="s">
        <v>1417</v>
      </c>
      <c r="AN243" s="1099" t="s">
        <v>533</v>
      </c>
      <c r="AO243" s="1099">
        <v>357105.315</v>
      </c>
      <c r="AP243" s="1079">
        <v>0</v>
      </c>
      <c r="AQ243" s="1059">
        <f t="shared" si="75"/>
        <v>1695</v>
      </c>
      <c r="AR243" s="753">
        <v>618</v>
      </c>
      <c r="AS243" s="753">
        <v>0</v>
      </c>
      <c r="AT243" s="753">
        <v>978</v>
      </c>
      <c r="AU243" s="753">
        <v>0</v>
      </c>
      <c r="AV243" s="1052">
        <v>0</v>
      </c>
      <c r="AW243" s="1052">
        <v>0</v>
      </c>
      <c r="AX243" s="1052">
        <v>0</v>
      </c>
      <c r="AY243" s="1052">
        <v>0</v>
      </c>
      <c r="AZ243" s="753">
        <v>0</v>
      </c>
      <c r="BA243" s="753">
        <v>12</v>
      </c>
      <c r="BB243" s="753">
        <v>8</v>
      </c>
      <c r="BC243" s="753">
        <v>0</v>
      </c>
      <c r="BD243" s="753">
        <v>5</v>
      </c>
      <c r="BE243" s="753">
        <v>0</v>
      </c>
      <c r="BF243" s="753">
        <v>0</v>
      </c>
      <c r="BG243" s="753">
        <v>0</v>
      </c>
      <c r="BH243" s="753">
        <v>86</v>
      </c>
      <c r="BI243" s="753">
        <v>0</v>
      </c>
      <c r="BJ243" s="753">
        <v>0</v>
      </c>
      <c r="BK243" s="753">
        <v>0</v>
      </c>
      <c r="BL243" s="753">
        <v>0</v>
      </c>
      <c r="BM243" s="753">
        <v>0</v>
      </c>
      <c r="BN243" s="753">
        <v>0</v>
      </c>
      <c r="BO243" s="1052">
        <v>0</v>
      </c>
      <c r="BR243" s="1140">
        <f t="shared" si="76"/>
        <v>8583333.333333334</v>
      </c>
      <c r="BS243" s="1140">
        <f t="shared" si="77"/>
        <v>13583333.333333334</v>
      </c>
      <c r="BT243" s="1140">
        <f t="shared" si="78"/>
        <v>0</v>
      </c>
      <c r="BU243" s="1140">
        <f t="shared" si="79"/>
        <v>22166666.666666668</v>
      </c>
      <c r="BV243" s="1140">
        <f t="shared" si="89"/>
        <v>0</v>
      </c>
      <c r="BW243" s="1140">
        <f t="shared" si="90"/>
        <v>0</v>
      </c>
      <c r="BX243" s="1140">
        <f t="shared" si="91"/>
        <v>0</v>
      </c>
      <c r="BY243" s="1140">
        <f t="shared" si="80"/>
        <v>0</v>
      </c>
      <c r="CA243" s="1140">
        <f t="shared" si="81"/>
        <v>0</v>
      </c>
      <c r="CB243" s="1140">
        <f t="shared" si="82"/>
        <v>0</v>
      </c>
      <c r="CC243" s="1140">
        <f t="shared" si="83"/>
        <v>0</v>
      </c>
      <c r="CD243" s="1140">
        <f t="shared" si="84"/>
        <v>0</v>
      </c>
      <c r="CE243" s="1140">
        <f t="shared" si="85"/>
        <v>0</v>
      </c>
      <c r="CF243" s="1140">
        <f t="shared" si="86"/>
        <v>0</v>
      </c>
      <c r="CG243" s="1140">
        <f t="shared" si="87"/>
        <v>0</v>
      </c>
      <c r="CH243" s="1140">
        <f t="shared" si="88"/>
        <v>0</v>
      </c>
    </row>
    <row r="244" spans="1:195" ht="15" customHeight="1" x14ac:dyDescent="0.2">
      <c r="A244" s="1052">
        <v>4514</v>
      </c>
      <c r="B244" s="1052"/>
      <c r="C244" s="1053" t="s">
        <v>535</v>
      </c>
      <c r="D244" s="1054" t="s">
        <v>535</v>
      </c>
      <c r="E244" s="1055">
        <f t="shared" si="72"/>
        <v>31635.560599999997</v>
      </c>
      <c r="F244" s="1055">
        <v>0</v>
      </c>
      <c r="G244" s="1056">
        <f t="shared" si="71"/>
        <v>31635.560599999997</v>
      </c>
      <c r="H244" s="1053" t="s">
        <v>1417</v>
      </c>
      <c r="I244" s="1054" t="s">
        <v>1512</v>
      </c>
      <c r="J244" s="1054" t="s">
        <v>10</v>
      </c>
      <c r="K244" s="1054" t="s">
        <v>537</v>
      </c>
      <c r="L244" s="1054" t="s">
        <v>10</v>
      </c>
      <c r="M244" s="1057">
        <v>10</v>
      </c>
      <c r="N244" s="1057">
        <v>0.96599999999999997</v>
      </c>
      <c r="O244" s="1057">
        <v>0.96599999999999997</v>
      </c>
      <c r="P244" s="1057">
        <v>0.94699999999999995</v>
      </c>
      <c r="Q244" s="1057">
        <v>0.96599999999999997</v>
      </c>
      <c r="R244" s="1057">
        <v>0</v>
      </c>
      <c r="S244" s="1057">
        <v>163154</v>
      </c>
      <c r="T244" s="1058">
        <f t="shared" si="74"/>
        <v>31635.560599999997</v>
      </c>
      <c r="U244" s="1057">
        <v>139108</v>
      </c>
      <c r="V244" s="1057">
        <v>24046</v>
      </c>
      <c r="W244" s="1057">
        <v>800</v>
      </c>
      <c r="X244" s="1057">
        <v>0</v>
      </c>
      <c r="Y244" s="1057">
        <v>0</v>
      </c>
      <c r="Z244" s="1057">
        <v>0</v>
      </c>
      <c r="AA244" s="1057">
        <v>194789.5606</v>
      </c>
      <c r="AB244" s="1057">
        <v>31635.560600000001</v>
      </c>
      <c r="AC244" s="1057">
        <v>163154</v>
      </c>
      <c r="AD244" s="1057">
        <v>0</v>
      </c>
      <c r="AE244" s="1057">
        <v>0</v>
      </c>
      <c r="AF244" s="1057">
        <v>0</v>
      </c>
      <c r="AG244" s="1057">
        <v>163154</v>
      </c>
      <c r="AH244" s="1057">
        <v>0</v>
      </c>
      <c r="AI244" s="1057">
        <v>0</v>
      </c>
      <c r="AJ244" s="1053" t="s">
        <v>900</v>
      </c>
      <c r="AK244" s="1053" t="s">
        <v>907</v>
      </c>
      <c r="AL244" s="1054" t="s">
        <v>1512</v>
      </c>
      <c r="AM244" s="1053" t="s">
        <v>1417</v>
      </c>
      <c r="AN244" s="1054" t="s">
        <v>535</v>
      </c>
      <c r="AO244" s="1054">
        <v>31635.560600000001</v>
      </c>
      <c r="AP244" s="1059">
        <f t="shared" ref="AP244:AP253" si="93">AR244+AT244+AU244+AV244+AX244+AY244+AZ244+BD244+BF244+BG244+BH244+BJ244+BK244+(BL244+BM244+BN244)/1000+(0.1*BO244)</f>
        <v>8.7791999999999994</v>
      </c>
      <c r="AQ244" s="1059">
        <f t="shared" si="75"/>
        <v>8.7791999999999994</v>
      </c>
      <c r="AR244" s="1052">
        <v>0</v>
      </c>
      <c r="AS244" s="1052">
        <v>0</v>
      </c>
      <c r="AT244" s="1052">
        <v>8</v>
      </c>
      <c r="AU244" s="1052">
        <v>0</v>
      </c>
      <c r="AV244" s="1052">
        <v>0</v>
      </c>
      <c r="AW244" s="1052">
        <v>0</v>
      </c>
      <c r="AX244" s="1052">
        <v>0</v>
      </c>
      <c r="AY244" s="1052">
        <v>0</v>
      </c>
      <c r="AZ244" s="1052">
        <v>0</v>
      </c>
      <c r="BA244" s="1052">
        <v>0</v>
      </c>
      <c r="BB244" s="1052">
        <v>0</v>
      </c>
      <c r="BC244" s="1052">
        <v>0</v>
      </c>
      <c r="BD244" s="1052">
        <v>0</v>
      </c>
      <c r="BE244" s="1052">
        <v>0</v>
      </c>
      <c r="BF244" s="1052">
        <v>0</v>
      </c>
      <c r="BG244" s="1052">
        <v>0</v>
      </c>
      <c r="BH244" s="1052">
        <v>0</v>
      </c>
      <c r="BI244" s="1052">
        <v>0</v>
      </c>
      <c r="BJ244" s="1052">
        <v>0</v>
      </c>
      <c r="BK244" s="1052">
        <v>0</v>
      </c>
      <c r="BL244" s="1052">
        <v>0</v>
      </c>
      <c r="BM244" s="1052">
        <v>0</v>
      </c>
      <c r="BN244" s="1052">
        <v>0</v>
      </c>
      <c r="BO244" s="1052">
        <v>7.7919999999999998</v>
      </c>
      <c r="BR244" s="1140">
        <f t="shared" si="76"/>
        <v>0</v>
      </c>
      <c r="BS244" s="1140">
        <f t="shared" si="77"/>
        <v>111111.11111111112</v>
      </c>
      <c r="BT244" s="1140">
        <f t="shared" si="78"/>
        <v>0</v>
      </c>
      <c r="BU244" s="1140">
        <f t="shared" si="79"/>
        <v>111111.11111111112</v>
      </c>
      <c r="BV244" s="1140">
        <f t="shared" si="89"/>
        <v>0</v>
      </c>
      <c r="BW244" s="1140">
        <f t="shared" si="90"/>
        <v>0</v>
      </c>
      <c r="BX244" s="1140">
        <f t="shared" si="91"/>
        <v>0</v>
      </c>
      <c r="BY244" s="1140">
        <f t="shared" si="80"/>
        <v>0</v>
      </c>
      <c r="CA244" s="1140">
        <f t="shared" si="81"/>
        <v>0</v>
      </c>
      <c r="CB244" s="1140">
        <f t="shared" si="82"/>
        <v>0</v>
      </c>
      <c r="CC244" s="1140">
        <f t="shared" si="83"/>
        <v>0</v>
      </c>
      <c r="CD244" s="1140">
        <f t="shared" si="84"/>
        <v>0</v>
      </c>
      <c r="CE244" s="1140">
        <f t="shared" si="85"/>
        <v>0</v>
      </c>
      <c r="CF244" s="1140">
        <f t="shared" si="86"/>
        <v>0</v>
      </c>
      <c r="CG244" s="1140">
        <f t="shared" si="87"/>
        <v>0</v>
      </c>
      <c r="CH244" s="1140">
        <f t="shared" si="88"/>
        <v>0</v>
      </c>
    </row>
    <row r="245" spans="1:195" ht="15" customHeight="1" x14ac:dyDescent="0.2">
      <c r="A245" s="1052">
        <v>4842</v>
      </c>
      <c r="B245" s="1052" t="s">
        <v>1412</v>
      </c>
      <c r="C245" s="1053" t="s">
        <v>961</v>
      </c>
      <c r="D245" s="1054" t="s">
        <v>961</v>
      </c>
      <c r="E245" s="1055">
        <f t="shared" si="72"/>
        <v>381498</v>
      </c>
      <c r="F245" s="1055">
        <v>663000</v>
      </c>
      <c r="G245" s="1056">
        <f t="shared" si="71"/>
        <v>1044498</v>
      </c>
      <c r="H245" s="1053" t="s">
        <v>10</v>
      </c>
      <c r="I245" s="1054" t="s">
        <v>1416</v>
      </c>
      <c r="J245" s="1054" t="s">
        <v>1412</v>
      </c>
      <c r="K245" s="1054" t="s">
        <v>540</v>
      </c>
      <c r="L245" s="1054" t="s">
        <v>1412</v>
      </c>
      <c r="M245" s="1057">
        <v>38</v>
      </c>
      <c r="N245" s="1057">
        <v>0.78700000000000003</v>
      </c>
      <c r="O245" s="1057">
        <v>0.78900000000000003</v>
      </c>
      <c r="P245" s="1057">
        <v>0.92500000000000004</v>
      </c>
      <c r="Q245" s="1057">
        <v>0.95199999999999996</v>
      </c>
      <c r="R245" s="1057">
        <v>1152038</v>
      </c>
      <c r="S245" s="1057">
        <v>1095000</v>
      </c>
      <c r="T245" s="1058">
        <f t="shared" si="74"/>
        <v>342731.30499999999</v>
      </c>
      <c r="U245" s="1057">
        <v>564100</v>
      </c>
      <c r="V245" s="1057">
        <v>530900</v>
      </c>
      <c r="W245" s="1057">
        <v>6400</v>
      </c>
      <c r="X245" s="1057">
        <v>1005731.3050000001</v>
      </c>
      <c r="Y245" s="1057">
        <v>342731.30499999999</v>
      </c>
      <c r="Z245" s="1057">
        <v>663000</v>
      </c>
      <c r="AA245" s="1057">
        <v>432000</v>
      </c>
      <c r="AB245" s="1057">
        <v>0</v>
      </c>
      <c r="AC245" s="1057">
        <v>432000</v>
      </c>
      <c r="AD245" s="1057">
        <v>663000</v>
      </c>
      <c r="AE245" s="1057">
        <v>0</v>
      </c>
      <c r="AF245" s="1057">
        <v>432000</v>
      </c>
      <c r="AG245" s="1057">
        <v>0</v>
      </c>
      <c r="AH245" s="1057">
        <v>1564000</v>
      </c>
      <c r="AI245" s="1057">
        <v>976000</v>
      </c>
      <c r="AJ245" s="1053" t="s">
        <v>914</v>
      </c>
      <c r="AK245" s="1053" t="s">
        <v>1555</v>
      </c>
      <c r="AL245" s="1054" t="s">
        <v>1416</v>
      </c>
      <c r="AM245" s="1053" t="s">
        <v>10</v>
      </c>
      <c r="AN245" s="1054" t="s">
        <v>961</v>
      </c>
      <c r="AO245" s="1054">
        <v>1005731.3049999999</v>
      </c>
      <c r="AP245" s="1059">
        <f t="shared" si="93"/>
        <v>927</v>
      </c>
      <c r="AQ245" s="1059">
        <f t="shared" si="75"/>
        <v>947</v>
      </c>
      <c r="AR245" s="1052">
        <v>400</v>
      </c>
      <c r="AS245" s="1052">
        <v>976</v>
      </c>
      <c r="AT245" s="1052">
        <v>395</v>
      </c>
      <c r="AU245" s="1052">
        <v>0</v>
      </c>
      <c r="AV245" s="1052">
        <v>0</v>
      </c>
      <c r="AW245" s="1052">
        <v>0</v>
      </c>
      <c r="AX245" s="1052">
        <v>0</v>
      </c>
      <c r="AY245" s="1052">
        <v>0</v>
      </c>
      <c r="AZ245" s="1052">
        <v>28</v>
      </c>
      <c r="BA245" s="1052">
        <v>19</v>
      </c>
      <c r="BB245" s="1052">
        <v>20</v>
      </c>
      <c r="BC245" s="1052">
        <v>0</v>
      </c>
      <c r="BD245" s="1052">
        <v>17</v>
      </c>
      <c r="BE245" s="1052">
        <v>2</v>
      </c>
      <c r="BF245" s="1052">
        <v>0</v>
      </c>
      <c r="BG245" s="1052">
        <v>0</v>
      </c>
      <c r="BH245" s="1052">
        <v>87</v>
      </c>
      <c r="BI245" s="1052">
        <v>0</v>
      </c>
      <c r="BJ245" s="1052">
        <v>0</v>
      </c>
      <c r="BK245" s="1052">
        <v>0</v>
      </c>
      <c r="BL245" s="1052">
        <v>0</v>
      </c>
      <c r="BM245" s="1052">
        <v>0</v>
      </c>
      <c r="BN245" s="1052">
        <v>0</v>
      </c>
      <c r="BO245" s="1052">
        <v>0</v>
      </c>
      <c r="BR245" s="1140">
        <f t="shared" si="76"/>
        <v>5555555.555555556</v>
      </c>
      <c r="BS245" s="1140">
        <f t="shared" si="77"/>
        <v>5486111.1111111119</v>
      </c>
      <c r="BT245" s="1140">
        <f t="shared" si="78"/>
        <v>0</v>
      </c>
      <c r="BU245" s="1140">
        <f t="shared" si="79"/>
        <v>11041666.666666668</v>
      </c>
      <c r="BV245" s="1140">
        <f t="shared" si="89"/>
        <v>0</v>
      </c>
      <c r="BW245" s="1140">
        <f t="shared" si="90"/>
        <v>0</v>
      </c>
      <c r="BX245" s="1140">
        <f t="shared" si="91"/>
        <v>0</v>
      </c>
      <c r="BY245" s="1140">
        <f t="shared" si="80"/>
        <v>0</v>
      </c>
      <c r="CA245" s="1140">
        <f t="shared" si="81"/>
        <v>5555555.555555556</v>
      </c>
      <c r="CB245" s="1140">
        <f t="shared" si="82"/>
        <v>5486111.1111111119</v>
      </c>
      <c r="CC245" s="1140">
        <f t="shared" si="83"/>
        <v>0</v>
      </c>
      <c r="CD245" s="1140">
        <f t="shared" si="84"/>
        <v>11041666.666666668</v>
      </c>
      <c r="CE245" s="1140">
        <f t="shared" si="85"/>
        <v>0</v>
      </c>
      <c r="CF245" s="1140">
        <f t="shared" si="86"/>
        <v>0</v>
      </c>
      <c r="CG245" s="1140">
        <f t="shared" si="87"/>
        <v>0</v>
      </c>
      <c r="CH245" s="1140">
        <f t="shared" si="88"/>
        <v>0</v>
      </c>
    </row>
    <row r="246" spans="1:195" ht="15" customHeight="1" x14ac:dyDescent="0.2">
      <c r="A246" s="1052">
        <v>4536</v>
      </c>
      <c r="B246" s="1052" t="s">
        <v>1412</v>
      </c>
      <c r="C246" s="1053" t="s">
        <v>541</v>
      </c>
      <c r="D246" s="1054" t="s">
        <v>541</v>
      </c>
      <c r="E246" s="1055">
        <f t="shared" si="72"/>
        <v>313270.1312</v>
      </c>
      <c r="F246" s="1055">
        <v>0</v>
      </c>
      <c r="G246" s="1056">
        <f t="shared" si="71"/>
        <v>313270.1312</v>
      </c>
      <c r="H246" s="1053" t="s">
        <v>1417</v>
      </c>
      <c r="I246" s="1054" t="s">
        <v>1416</v>
      </c>
      <c r="J246" s="1054" t="s">
        <v>1412</v>
      </c>
      <c r="K246" s="1054" t="s">
        <v>542</v>
      </c>
      <c r="L246" s="1054" t="s">
        <v>10</v>
      </c>
      <c r="M246" s="1057">
        <v>111</v>
      </c>
      <c r="N246" s="1057">
        <v>0.96099999999999997</v>
      </c>
      <c r="O246" s="1057">
        <v>0.96</v>
      </c>
      <c r="P246" s="1057">
        <v>0.95799999999999996</v>
      </c>
      <c r="Q246" s="1057">
        <v>0.95299999999999996</v>
      </c>
      <c r="R246" s="1057">
        <v>1125920</v>
      </c>
      <c r="S246" s="1057">
        <v>899168</v>
      </c>
      <c r="T246" s="1058">
        <f t="shared" si="74"/>
        <v>334961.2</v>
      </c>
      <c r="U246" s="1057">
        <v>554638</v>
      </c>
      <c r="V246" s="1057">
        <v>344530</v>
      </c>
      <c r="W246" s="1057">
        <v>5100</v>
      </c>
      <c r="X246" s="1057">
        <v>0</v>
      </c>
      <c r="Y246" s="1057">
        <v>0</v>
      </c>
      <c r="Z246" s="1057">
        <v>0</v>
      </c>
      <c r="AA246" s="1057">
        <v>1234129.2</v>
      </c>
      <c r="AB246" s="1057">
        <v>334961.2</v>
      </c>
      <c r="AC246" s="1057">
        <v>899168</v>
      </c>
      <c r="AD246" s="1057">
        <v>0</v>
      </c>
      <c r="AE246" s="1057">
        <v>0</v>
      </c>
      <c r="AF246" s="1057">
        <v>899168</v>
      </c>
      <c r="AG246" s="1057">
        <v>0</v>
      </c>
      <c r="AH246" s="1057">
        <v>775000</v>
      </c>
      <c r="AI246" s="1057">
        <v>724000</v>
      </c>
      <c r="AJ246" s="1053">
        <v>4</v>
      </c>
      <c r="AK246" s="1053" t="s">
        <v>899</v>
      </c>
      <c r="AL246" s="1054" t="s">
        <v>1416</v>
      </c>
      <c r="AM246" s="1053" t="s">
        <v>1417</v>
      </c>
      <c r="AN246" s="1054" t="s">
        <v>541</v>
      </c>
      <c r="AO246" s="1054">
        <v>334961.2</v>
      </c>
      <c r="AP246" s="1059">
        <f t="shared" si="93"/>
        <v>289.67570000000001</v>
      </c>
      <c r="AQ246" s="1059">
        <f t="shared" si="75"/>
        <v>297.67570000000001</v>
      </c>
      <c r="AR246" s="1052">
        <v>91</v>
      </c>
      <c r="AS246" s="1052">
        <v>724</v>
      </c>
      <c r="AT246" s="1052">
        <v>70</v>
      </c>
      <c r="AU246" s="1052">
        <v>0</v>
      </c>
      <c r="AV246" s="1052">
        <v>13</v>
      </c>
      <c r="AW246" s="1052">
        <v>8</v>
      </c>
      <c r="AX246" s="1052">
        <v>0</v>
      </c>
      <c r="AY246" s="1052">
        <v>0</v>
      </c>
      <c r="AZ246" s="1052">
        <v>0</v>
      </c>
      <c r="BA246" s="1052">
        <v>29</v>
      </c>
      <c r="BB246" s="1052">
        <v>8</v>
      </c>
      <c r="BC246" s="1052">
        <v>0</v>
      </c>
      <c r="BD246" s="1052">
        <v>0</v>
      </c>
      <c r="BE246" s="1052">
        <v>0</v>
      </c>
      <c r="BF246" s="1052">
        <v>0</v>
      </c>
      <c r="BG246" s="1052">
        <v>0</v>
      </c>
      <c r="BH246" s="1052">
        <v>0</v>
      </c>
      <c r="BI246" s="1052">
        <v>0</v>
      </c>
      <c r="BJ246" s="1052">
        <v>0</v>
      </c>
      <c r="BK246" s="1052">
        <v>0</v>
      </c>
      <c r="BL246" s="1052">
        <v>13935</v>
      </c>
      <c r="BM246" s="1052">
        <v>0</v>
      </c>
      <c r="BN246" s="1052">
        <v>70755</v>
      </c>
      <c r="BO246" s="1052">
        <v>309.85700000000003</v>
      </c>
      <c r="BR246" s="1140">
        <f t="shared" si="76"/>
        <v>1263888.888888889</v>
      </c>
      <c r="BS246" s="1140">
        <f t="shared" si="77"/>
        <v>972222.22222222225</v>
      </c>
      <c r="BT246" s="1140">
        <f t="shared" si="78"/>
        <v>0</v>
      </c>
      <c r="BU246" s="1140">
        <f t="shared" si="79"/>
        <v>2236111.111111111</v>
      </c>
      <c r="BV246" s="1140">
        <f t="shared" si="89"/>
        <v>2600</v>
      </c>
      <c r="BW246" s="1140">
        <f t="shared" si="90"/>
        <v>0</v>
      </c>
      <c r="BX246" s="1140">
        <f t="shared" si="91"/>
        <v>0</v>
      </c>
      <c r="BY246" s="1140">
        <f t="shared" si="80"/>
        <v>2600</v>
      </c>
      <c r="CA246" s="1140">
        <f t="shared" si="81"/>
        <v>0</v>
      </c>
      <c r="CB246" s="1140">
        <f t="shared" si="82"/>
        <v>0</v>
      </c>
      <c r="CC246" s="1140">
        <f t="shared" si="83"/>
        <v>0</v>
      </c>
      <c r="CD246" s="1140">
        <f t="shared" si="84"/>
        <v>0</v>
      </c>
      <c r="CE246" s="1140">
        <f t="shared" si="85"/>
        <v>2600</v>
      </c>
      <c r="CF246" s="1140">
        <f t="shared" si="86"/>
        <v>0</v>
      </c>
      <c r="CG246" s="1140">
        <f t="shared" si="87"/>
        <v>0</v>
      </c>
      <c r="CH246" s="1140">
        <f t="shared" si="88"/>
        <v>2600</v>
      </c>
    </row>
    <row r="247" spans="1:195" ht="15" customHeight="1" x14ac:dyDescent="0.2">
      <c r="A247" s="1052">
        <v>3764</v>
      </c>
      <c r="B247" s="1052"/>
      <c r="C247" s="1053" t="s">
        <v>543</v>
      </c>
      <c r="D247" s="1054" t="s">
        <v>543</v>
      </c>
      <c r="E247" s="1055">
        <f t="shared" si="72"/>
        <v>69704.141499999998</v>
      </c>
      <c r="F247" s="1055">
        <v>0</v>
      </c>
      <c r="G247" s="1056">
        <f t="shared" si="71"/>
        <v>69704.141499999998</v>
      </c>
      <c r="H247" s="1053" t="s">
        <v>10</v>
      </c>
      <c r="I247" s="1054" t="s">
        <v>1512</v>
      </c>
      <c r="J247" s="1054" t="s">
        <v>10</v>
      </c>
      <c r="K247" s="1054" t="s">
        <v>542</v>
      </c>
      <c r="L247" s="1054" t="s">
        <v>10</v>
      </c>
      <c r="M247" s="1057">
        <v>30</v>
      </c>
      <c r="N247" s="1057">
        <v>0.96399999999999997</v>
      </c>
      <c r="O247" s="1057">
        <v>0.97699999999999998</v>
      </c>
      <c r="P247" s="1057">
        <v>0.98799999999999999</v>
      </c>
      <c r="Q247" s="1057">
        <v>0.98899999999999999</v>
      </c>
      <c r="R247" s="1057">
        <v>0</v>
      </c>
      <c r="S247" s="1057">
        <v>359485</v>
      </c>
      <c r="T247" s="1058">
        <f t="shared" si="74"/>
        <v>69704.141499999998</v>
      </c>
      <c r="U247" s="1057">
        <v>257363</v>
      </c>
      <c r="V247" s="1057">
        <v>102122</v>
      </c>
      <c r="W247" s="1057">
        <v>1600</v>
      </c>
      <c r="X247" s="1057">
        <v>0</v>
      </c>
      <c r="Y247" s="1057">
        <v>0</v>
      </c>
      <c r="Z247" s="1057">
        <v>0</v>
      </c>
      <c r="AA247" s="1057">
        <v>429189.14150000003</v>
      </c>
      <c r="AB247" s="1057">
        <v>69704.141499999998</v>
      </c>
      <c r="AC247" s="1057">
        <v>359485</v>
      </c>
      <c r="AD247" s="1057">
        <v>0</v>
      </c>
      <c r="AE247" s="1057">
        <v>0</v>
      </c>
      <c r="AF247" s="1057">
        <v>0</v>
      </c>
      <c r="AG247" s="1057">
        <v>359485</v>
      </c>
      <c r="AH247" s="1057">
        <v>0</v>
      </c>
      <c r="AI247" s="1057">
        <v>0</v>
      </c>
      <c r="AJ247" s="1053">
        <v>4</v>
      </c>
      <c r="AK247" s="1053" t="s">
        <v>899</v>
      </c>
      <c r="AL247" s="1054" t="s">
        <v>1512</v>
      </c>
      <c r="AM247" s="1053" t="s">
        <v>10</v>
      </c>
      <c r="AN247" s="1054" t="s">
        <v>543</v>
      </c>
      <c r="AO247" s="1054">
        <v>69704.141499999998</v>
      </c>
      <c r="AP247" s="1059">
        <f t="shared" si="93"/>
        <v>31</v>
      </c>
      <c r="AQ247" s="1059">
        <f t="shared" si="75"/>
        <v>31</v>
      </c>
      <c r="AR247" s="1052">
        <v>0</v>
      </c>
      <c r="AS247" s="1052">
        <v>0</v>
      </c>
      <c r="AT247" s="1052">
        <v>24</v>
      </c>
      <c r="AU247" s="1052">
        <v>5</v>
      </c>
      <c r="AV247" s="1052">
        <v>0</v>
      </c>
      <c r="AW247" s="1052">
        <v>-1</v>
      </c>
      <c r="AX247" s="1052">
        <v>0</v>
      </c>
      <c r="AY247" s="1052">
        <v>2</v>
      </c>
      <c r="AZ247" s="1052">
        <v>0</v>
      </c>
      <c r="BA247" s="1052">
        <v>21</v>
      </c>
      <c r="BB247" s="1052">
        <v>0</v>
      </c>
      <c r="BC247" s="1052">
        <v>0</v>
      </c>
      <c r="BD247" s="1052">
        <v>0</v>
      </c>
      <c r="BE247" s="1052">
        <v>0</v>
      </c>
      <c r="BF247" s="1052">
        <v>0</v>
      </c>
      <c r="BG247" s="1052">
        <v>0</v>
      </c>
      <c r="BH247" s="1052">
        <v>0</v>
      </c>
      <c r="BI247" s="1052">
        <v>0</v>
      </c>
      <c r="BJ247" s="1052">
        <v>0</v>
      </c>
      <c r="BK247" s="1052">
        <v>0</v>
      </c>
      <c r="BL247" s="1052">
        <v>0</v>
      </c>
      <c r="BM247" s="1052">
        <v>0</v>
      </c>
      <c r="BN247" s="1052">
        <v>0</v>
      </c>
      <c r="BO247" s="1052">
        <v>0</v>
      </c>
      <c r="BR247" s="1140">
        <f t="shared" si="76"/>
        <v>0</v>
      </c>
      <c r="BS247" s="1140">
        <f t="shared" si="77"/>
        <v>333333.33333333337</v>
      </c>
      <c r="BT247" s="1140">
        <f t="shared" si="78"/>
        <v>69444.444444444453</v>
      </c>
      <c r="BU247" s="1140">
        <f t="shared" si="79"/>
        <v>402777.77777777781</v>
      </c>
      <c r="BV247" s="1140">
        <f t="shared" si="89"/>
        <v>0</v>
      </c>
      <c r="BW247" s="1140">
        <f t="shared" si="90"/>
        <v>0</v>
      </c>
      <c r="BX247" s="1140">
        <f t="shared" si="91"/>
        <v>400</v>
      </c>
      <c r="BY247" s="1140">
        <f t="shared" si="80"/>
        <v>400</v>
      </c>
      <c r="CA247" s="1140">
        <f t="shared" si="81"/>
        <v>0</v>
      </c>
      <c r="CB247" s="1140">
        <f t="shared" si="82"/>
        <v>333333.33333333337</v>
      </c>
      <c r="CC247" s="1140">
        <f t="shared" si="83"/>
        <v>69444.444444444453</v>
      </c>
      <c r="CD247" s="1140">
        <f t="shared" si="84"/>
        <v>402777.77777777781</v>
      </c>
      <c r="CE247" s="1140">
        <f t="shared" si="85"/>
        <v>0</v>
      </c>
      <c r="CF247" s="1140">
        <f t="shared" si="86"/>
        <v>0</v>
      </c>
      <c r="CG247" s="1140">
        <f t="shared" si="87"/>
        <v>400</v>
      </c>
      <c r="CH247" s="1140">
        <f t="shared" si="88"/>
        <v>400</v>
      </c>
    </row>
    <row r="248" spans="1:195" ht="15" customHeight="1" x14ac:dyDescent="0.2">
      <c r="A248" s="1052">
        <v>4530</v>
      </c>
      <c r="B248" s="1052" t="s">
        <v>1412</v>
      </c>
      <c r="C248" s="1053" t="s">
        <v>544</v>
      </c>
      <c r="D248" s="1054" t="s">
        <v>544</v>
      </c>
      <c r="E248" s="1055">
        <f t="shared" si="72"/>
        <v>119077.1972</v>
      </c>
      <c r="F248" s="1055">
        <v>0</v>
      </c>
      <c r="G248" s="1056">
        <f t="shared" si="71"/>
        <v>119077.1972</v>
      </c>
      <c r="H248" s="1053" t="s">
        <v>1412</v>
      </c>
      <c r="I248" s="1054" t="s">
        <v>1416</v>
      </c>
      <c r="J248" s="1054" t="s">
        <v>1412</v>
      </c>
      <c r="K248" s="1054" t="s">
        <v>490</v>
      </c>
      <c r="L248" s="1054" t="s">
        <v>10</v>
      </c>
      <c r="M248" s="1057">
        <v>45</v>
      </c>
      <c r="N248" s="1057">
        <v>0.79300000000000004</v>
      </c>
      <c r="O248" s="1057">
        <v>0.85299999999999998</v>
      </c>
      <c r="P248" s="1057">
        <v>0.85499999999999998</v>
      </c>
      <c r="Q248" s="1057">
        <v>0.47899999999999998</v>
      </c>
      <c r="R248" s="1057">
        <v>403389</v>
      </c>
      <c r="S248" s="1057">
        <v>341783</v>
      </c>
      <c r="T248" s="1058">
        <f t="shared" si="74"/>
        <v>120008.22749999999</v>
      </c>
      <c r="U248" s="1057">
        <v>192321</v>
      </c>
      <c r="V248" s="1057">
        <v>149462</v>
      </c>
      <c r="W248" s="1057">
        <v>1875</v>
      </c>
      <c r="X248" s="1057">
        <v>0</v>
      </c>
      <c r="Y248" s="1057">
        <v>0</v>
      </c>
      <c r="Z248" s="1057">
        <v>0</v>
      </c>
      <c r="AA248" s="1057">
        <v>461791.22749999998</v>
      </c>
      <c r="AB248" s="1057">
        <v>120008.22749999999</v>
      </c>
      <c r="AC248" s="1057">
        <v>341783</v>
      </c>
      <c r="AD248" s="1057">
        <v>0</v>
      </c>
      <c r="AE248" s="1057">
        <v>0</v>
      </c>
      <c r="AF248" s="1057">
        <v>341783</v>
      </c>
      <c r="AG248" s="1057">
        <v>0</v>
      </c>
      <c r="AH248" s="1057">
        <v>440000</v>
      </c>
      <c r="AI248" s="1057">
        <v>313000</v>
      </c>
      <c r="AJ248" s="1053" t="s">
        <v>900</v>
      </c>
      <c r="AK248" s="1053" t="s">
        <v>922</v>
      </c>
      <c r="AL248" s="1054" t="s">
        <v>1512</v>
      </c>
      <c r="AM248" s="1053"/>
      <c r="AN248" s="1054" t="s">
        <v>544</v>
      </c>
      <c r="AO248" s="1054">
        <v>120008.22749999999</v>
      </c>
      <c r="AP248" s="1059">
        <f t="shared" si="93"/>
        <v>149.34899999999999</v>
      </c>
      <c r="AQ248" s="1059">
        <f t="shared" si="75"/>
        <v>151.34899999999999</v>
      </c>
      <c r="AR248" s="1052">
        <v>5</v>
      </c>
      <c r="AS248" s="1052">
        <v>313</v>
      </c>
      <c r="AT248" s="1052">
        <v>66</v>
      </c>
      <c r="AU248" s="1052">
        <v>0</v>
      </c>
      <c r="AV248" s="1052">
        <v>5</v>
      </c>
      <c r="AW248" s="1052">
        <v>313</v>
      </c>
      <c r="AX248" s="1052">
        <v>66</v>
      </c>
      <c r="AY248" s="1052">
        <v>0</v>
      </c>
      <c r="AZ248" s="1052">
        <v>0</v>
      </c>
      <c r="BA248" s="1052">
        <v>0</v>
      </c>
      <c r="BB248" s="1052">
        <v>1</v>
      </c>
      <c r="BC248" s="1052">
        <v>1</v>
      </c>
      <c r="BD248" s="1052">
        <v>0</v>
      </c>
      <c r="BE248" s="1052">
        <v>0</v>
      </c>
      <c r="BF248" s="1052">
        <v>0</v>
      </c>
      <c r="BG248" s="1052">
        <v>0</v>
      </c>
      <c r="BH248" s="1052">
        <v>0</v>
      </c>
      <c r="BI248" s="1052">
        <v>0</v>
      </c>
      <c r="BJ248" s="1052">
        <v>0</v>
      </c>
      <c r="BK248" s="1052">
        <v>0</v>
      </c>
      <c r="BL248" s="1052">
        <v>0</v>
      </c>
      <c r="BM248" s="1052">
        <v>0</v>
      </c>
      <c r="BN248" s="1052">
        <v>0</v>
      </c>
      <c r="BO248" s="1052">
        <v>73.489999999999995</v>
      </c>
      <c r="BR248" s="1140">
        <f t="shared" si="76"/>
        <v>69444.444444444453</v>
      </c>
      <c r="BS248" s="1140">
        <f t="shared" si="77"/>
        <v>916666.66666666674</v>
      </c>
      <c r="BT248" s="1140">
        <f t="shared" si="78"/>
        <v>0</v>
      </c>
      <c r="BU248" s="1140">
        <f t="shared" si="79"/>
        <v>986111.11111111124</v>
      </c>
      <c r="BV248" s="1140">
        <f t="shared" si="89"/>
        <v>1000</v>
      </c>
      <c r="BW248" s="1140">
        <f t="shared" si="90"/>
        <v>13200</v>
      </c>
      <c r="BX248" s="1140">
        <f t="shared" si="91"/>
        <v>0</v>
      </c>
      <c r="BY248" s="1140">
        <f t="shared" si="80"/>
        <v>14200</v>
      </c>
      <c r="CA248" s="1140">
        <f t="shared" si="81"/>
        <v>69444.444444444453</v>
      </c>
      <c r="CB248" s="1140">
        <f t="shared" si="82"/>
        <v>916666.66666666674</v>
      </c>
      <c r="CC248" s="1140">
        <f t="shared" si="83"/>
        <v>0</v>
      </c>
      <c r="CD248" s="1140">
        <f t="shared" si="84"/>
        <v>986111.11111111124</v>
      </c>
      <c r="CE248" s="1140">
        <f t="shared" si="85"/>
        <v>1000</v>
      </c>
      <c r="CF248" s="1140">
        <f t="shared" si="86"/>
        <v>13200</v>
      </c>
      <c r="CG248" s="1140">
        <f t="shared" si="87"/>
        <v>0</v>
      </c>
      <c r="CH248" s="1140">
        <f t="shared" si="88"/>
        <v>14200</v>
      </c>
    </row>
    <row r="249" spans="1:195" ht="15" customHeight="1" x14ac:dyDescent="0.2">
      <c r="A249" s="1052">
        <v>4534</v>
      </c>
      <c r="B249" s="1052"/>
      <c r="C249" s="1053" t="s">
        <v>546</v>
      </c>
      <c r="D249" s="1054" t="s">
        <v>546</v>
      </c>
      <c r="E249" s="1055">
        <f t="shared" si="72"/>
        <v>74305.776299999998</v>
      </c>
      <c r="F249" s="1055">
        <v>0</v>
      </c>
      <c r="G249" s="1056">
        <f t="shared" si="71"/>
        <v>74305.776299999998</v>
      </c>
      <c r="H249" s="1053" t="s">
        <v>1417</v>
      </c>
      <c r="I249" s="1054" t="s">
        <v>1512</v>
      </c>
      <c r="J249" s="1054" t="s">
        <v>10</v>
      </c>
      <c r="K249" s="1054" t="s">
        <v>547</v>
      </c>
      <c r="L249" s="1054" t="s">
        <v>10</v>
      </c>
      <c r="M249" s="1057">
        <v>20</v>
      </c>
      <c r="N249" s="1057">
        <v>0.97399999999999998</v>
      </c>
      <c r="O249" s="1057">
        <v>0.97399999999999998</v>
      </c>
      <c r="P249" s="1057">
        <v>0.95699999999999996</v>
      </c>
      <c r="Q249" s="1057">
        <v>0.93799999999999994</v>
      </c>
      <c r="R249" s="1057">
        <v>0</v>
      </c>
      <c r="S249" s="1057">
        <v>383217</v>
      </c>
      <c r="T249" s="1058">
        <f t="shared" si="74"/>
        <v>74305.776299999998</v>
      </c>
      <c r="U249" s="1057">
        <v>302558</v>
      </c>
      <c r="V249" s="1057">
        <v>80659</v>
      </c>
      <c r="W249" s="1057">
        <v>1375</v>
      </c>
      <c r="X249" s="1057">
        <v>0</v>
      </c>
      <c r="Y249" s="1057">
        <v>0</v>
      </c>
      <c r="Z249" s="1057">
        <v>0</v>
      </c>
      <c r="AA249" s="1057">
        <v>457522.77630000003</v>
      </c>
      <c r="AB249" s="1057">
        <v>74305.776299999998</v>
      </c>
      <c r="AC249" s="1057">
        <v>383217</v>
      </c>
      <c r="AD249" s="1057">
        <v>0</v>
      </c>
      <c r="AE249" s="1057">
        <v>0</v>
      </c>
      <c r="AF249" s="1057">
        <v>0</v>
      </c>
      <c r="AG249" s="1057">
        <v>383217</v>
      </c>
      <c r="AH249" s="1057">
        <v>0</v>
      </c>
      <c r="AI249" s="1057">
        <v>0</v>
      </c>
      <c r="AJ249" s="1053">
        <v>4</v>
      </c>
      <c r="AK249" s="1053" t="s">
        <v>899</v>
      </c>
      <c r="AL249" s="1054" t="s">
        <v>1512</v>
      </c>
      <c r="AM249" s="1053" t="s">
        <v>1417</v>
      </c>
      <c r="AN249" s="1054" t="s">
        <v>546</v>
      </c>
      <c r="AO249" s="1054">
        <v>74305.776299999998</v>
      </c>
      <c r="AP249" s="1059">
        <f t="shared" si="93"/>
        <v>35.414400000000001</v>
      </c>
      <c r="AQ249" s="1059">
        <f t="shared" si="75"/>
        <v>46.414400000000001</v>
      </c>
      <c r="AR249" s="1052">
        <v>0</v>
      </c>
      <c r="AS249" s="1052">
        <v>0</v>
      </c>
      <c r="AT249" s="1052">
        <v>13</v>
      </c>
      <c r="AU249" s="1052">
        <v>7</v>
      </c>
      <c r="AV249" s="1052">
        <v>0</v>
      </c>
      <c r="AW249" s="1052">
        <v>0</v>
      </c>
      <c r="AX249" s="1052">
        <v>0</v>
      </c>
      <c r="AY249" s="1052">
        <v>3</v>
      </c>
      <c r="AZ249" s="1052">
        <v>0</v>
      </c>
      <c r="BA249" s="1052">
        <v>0</v>
      </c>
      <c r="BB249" s="1052">
        <v>8</v>
      </c>
      <c r="BC249" s="1052">
        <v>3</v>
      </c>
      <c r="BD249" s="1052">
        <v>0</v>
      </c>
      <c r="BE249" s="1052">
        <v>0</v>
      </c>
      <c r="BF249" s="1052">
        <v>0</v>
      </c>
      <c r="BG249" s="1052">
        <v>0</v>
      </c>
      <c r="BH249" s="1052">
        <v>0</v>
      </c>
      <c r="BI249" s="1052">
        <v>0</v>
      </c>
      <c r="BJ249" s="1052">
        <v>0</v>
      </c>
      <c r="BK249" s="1052">
        <v>0</v>
      </c>
      <c r="BL249" s="1052">
        <v>0</v>
      </c>
      <c r="BM249" s="1052">
        <v>0</v>
      </c>
      <c r="BN249" s="1052">
        <v>0</v>
      </c>
      <c r="BO249" s="1052">
        <v>124.14400000000001</v>
      </c>
      <c r="BR249" s="1140">
        <f t="shared" si="76"/>
        <v>0</v>
      </c>
      <c r="BS249" s="1140">
        <f t="shared" si="77"/>
        <v>180555.55555555556</v>
      </c>
      <c r="BT249" s="1140">
        <f t="shared" si="78"/>
        <v>97222.222222222234</v>
      </c>
      <c r="BU249" s="1140">
        <f t="shared" si="79"/>
        <v>277777.77777777781</v>
      </c>
      <c r="BV249" s="1140">
        <f t="shared" si="89"/>
        <v>0</v>
      </c>
      <c r="BW249" s="1140">
        <f t="shared" si="90"/>
        <v>0</v>
      </c>
      <c r="BX249" s="1140">
        <f t="shared" si="91"/>
        <v>600</v>
      </c>
      <c r="BY249" s="1140">
        <f t="shared" si="80"/>
        <v>600</v>
      </c>
      <c r="CA249" s="1140">
        <f t="shared" si="81"/>
        <v>0</v>
      </c>
      <c r="CB249" s="1140">
        <f t="shared" si="82"/>
        <v>0</v>
      </c>
      <c r="CC249" s="1140">
        <f t="shared" si="83"/>
        <v>0</v>
      </c>
      <c r="CD249" s="1140">
        <f t="shared" si="84"/>
        <v>0</v>
      </c>
      <c r="CE249" s="1140">
        <f t="shared" si="85"/>
        <v>0</v>
      </c>
      <c r="CF249" s="1140">
        <f t="shared" si="86"/>
        <v>0</v>
      </c>
      <c r="CG249" s="1140">
        <f t="shared" si="87"/>
        <v>600</v>
      </c>
      <c r="CH249" s="1140">
        <f t="shared" si="88"/>
        <v>600</v>
      </c>
    </row>
    <row r="250" spans="1:195" ht="15" customHeight="1" x14ac:dyDescent="0.2">
      <c r="A250" s="1052">
        <v>4523</v>
      </c>
      <c r="B250" s="1052" t="s">
        <v>1412</v>
      </c>
      <c r="C250" s="1053" t="s">
        <v>548</v>
      </c>
      <c r="D250" s="1054" t="s">
        <v>548</v>
      </c>
      <c r="E250" s="1055">
        <f t="shared" si="72"/>
        <v>375283.9376</v>
      </c>
      <c r="F250" s="1055">
        <v>59946</v>
      </c>
      <c r="G250" s="1056">
        <f t="shared" si="71"/>
        <v>435229.9376</v>
      </c>
      <c r="H250" s="1053" t="s">
        <v>10</v>
      </c>
      <c r="I250" s="1054" t="s">
        <v>1416</v>
      </c>
      <c r="J250" s="1054" t="s">
        <v>1412</v>
      </c>
      <c r="K250" s="1054" t="s">
        <v>962</v>
      </c>
      <c r="L250" s="1054" t="s">
        <v>1412</v>
      </c>
      <c r="M250" s="1057">
        <v>145</v>
      </c>
      <c r="N250" s="1057">
        <v>0.55700000000000005</v>
      </c>
      <c r="O250" s="1057">
        <v>0.55800000000000005</v>
      </c>
      <c r="P250" s="1057">
        <v>0.60199999999999998</v>
      </c>
      <c r="Q250" s="1057">
        <v>0.70499999999999996</v>
      </c>
      <c r="R250" s="1057">
        <v>1383318</v>
      </c>
      <c r="S250" s="1057">
        <v>1077164</v>
      </c>
      <c r="T250" s="1058">
        <f t="shared" si="74"/>
        <v>411537.10499999998</v>
      </c>
      <c r="U250" s="1057">
        <v>691883</v>
      </c>
      <c r="V250" s="1057">
        <v>385281</v>
      </c>
      <c r="W250" s="1057">
        <v>5214</v>
      </c>
      <c r="X250" s="1057">
        <v>471483.10499999998</v>
      </c>
      <c r="Y250" s="1057">
        <v>411537.10499999998</v>
      </c>
      <c r="Z250" s="1057">
        <v>59946</v>
      </c>
      <c r="AA250" s="1057">
        <v>1017218</v>
      </c>
      <c r="AB250" s="1057">
        <v>0</v>
      </c>
      <c r="AC250" s="1057">
        <v>1017218</v>
      </c>
      <c r="AD250" s="1057">
        <v>59946</v>
      </c>
      <c r="AE250" s="1057">
        <v>0</v>
      </c>
      <c r="AF250" s="1057">
        <v>1017218</v>
      </c>
      <c r="AG250" s="1057">
        <v>0</v>
      </c>
      <c r="AH250" s="1057">
        <v>473000</v>
      </c>
      <c r="AI250" s="1057">
        <v>515000</v>
      </c>
      <c r="AJ250" s="1053" t="s">
        <v>900</v>
      </c>
      <c r="AK250" s="1053" t="s">
        <v>901</v>
      </c>
      <c r="AL250" s="1054" t="s">
        <v>1416</v>
      </c>
      <c r="AM250" s="1053" t="s">
        <v>10</v>
      </c>
      <c r="AN250" s="1054" t="s">
        <v>548</v>
      </c>
      <c r="AO250" s="1054">
        <v>471483.10499999998</v>
      </c>
      <c r="AP250" s="1059">
        <f t="shared" si="93"/>
        <v>410.27209999999997</v>
      </c>
      <c r="AQ250" s="1059">
        <f t="shared" si="75"/>
        <v>410.27209999999997</v>
      </c>
      <c r="AR250" s="1052">
        <v>145</v>
      </c>
      <c r="AS250" s="1052">
        <v>515</v>
      </c>
      <c r="AT250" s="1052">
        <v>143</v>
      </c>
      <c r="AU250" s="1052">
        <v>0</v>
      </c>
      <c r="AV250" s="1052">
        <v>0</v>
      </c>
      <c r="AW250" s="1052">
        <v>0</v>
      </c>
      <c r="AX250" s="1052">
        <v>0</v>
      </c>
      <c r="AY250" s="1052">
        <v>0</v>
      </c>
      <c r="AZ250" s="1052">
        <v>0</v>
      </c>
      <c r="BA250" s="1052">
        <v>0</v>
      </c>
      <c r="BB250" s="1052">
        <v>0</v>
      </c>
      <c r="BC250" s="1052">
        <v>0</v>
      </c>
      <c r="BD250" s="1052">
        <v>0</v>
      </c>
      <c r="BE250" s="1052">
        <v>0</v>
      </c>
      <c r="BF250" s="1052">
        <v>0</v>
      </c>
      <c r="BG250" s="1052">
        <v>0</v>
      </c>
      <c r="BH250" s="1052">
        <v>14</v>
      </c>
      <c r="BI250" s="1052">
        <v>1</v>
      </c>
      <c r="BJ250" s="1052">
        <v>0</v>
      </c>
      <c r="BK250" s="1052">
        <v>0</v>
      </c>
      <c r="BL250" s="1052">
        <v>10352</v>
      </c>
      <c r="BM250" s="1052">
        <v>0</v>
      </c>
      <c r="BN250" s="1052">
        <v>0</v>
      </c>
      <c r="BO250" s="1052">
        <v>979.20100000000002</v>
      </c>
      <c r="BR250" s="1140">
        <f t="shared" si="76"/>
        <v>2013888.888888889</v>
      </c>
      <c r="BS250" s="1140">
        <f t="shared" si="77"/>
        <v>1986111.1111111112</v>
      </c>
      <c r="BT250" s="1140">
        <f t="shared" si="78"/>
        <v>0</v>
      </c>
      <c r="BU250" s="1140">
        <f t="shared" si="79"/>
        <v>4000000</v>
      </c>
      <c r="BV250" s="1140">
        <f t="shared" si="89"/>
        <v>0</v>
      </c>
      <c r="BW250" s="1140">
        <f t="shared" si="90"/>
        <v>0</v>
      </c>
      <c r="BX250" s="1140">
        <f t="shared" si="91"/>
        <v>0</v>
      </c>
      <c r="BY250" s="1140">
        <f t="shared" si="80"/>
        <v>0</v>
      </c>
      <c r="CA250" s="1140">
        <f t="shared" si="81"/>
        <v>2013888.888888889</v>
      </c>
      <c r="CB250" s="1140">
        <f t="shared" si="82"/>
        <v>1986111.1111111112</v>
      </c>
      <c r="CC250" s="1140">
        <f t="shared" si="83"/>
        <v>0</v>
      </c>
      <c r="CD250" s="1140">
        <f t="shared" si="84"/>
        <v>4000000</v>
      </c>
      <c r="CE250" s="1140">
        <f t="shared" si="85"/>
        <v>0</v>
      </c>
      <c r="CF250" s="1140">
        <f t="shared" si="86"/>
        <v>0</v>
      </c>
      <c r="CG250" s="1140">
        <f t="shared" si="87"/>
        <v>0</v>
      </c>
      <c r="CH250" s="1140">
        <f t="shared" si="88"/>
        <v>0</v>
      </c>
    </row>
    <row r="251" spans="1:195" ht="15" customHeight="1" x14ac:dyDescent="0.2">
      <c r="A251" s="1052">
        <v>4533</v>
      </c>
      <c r="B251" s="1052"/>
      <c r="C251" s="1053" t="s">
        <v>550</v>
      </c>
      <c r="D251" s="1054" t="s">
        <v>550</v>
      </c>
      <c r="E251" s="1055">
        <f t="shared" si="72"/>
        <v>16461.916099999999</v>
      </c>
      <c r="F251" s="1055">
        <v>0</v>
      </c>
      <c r="G251" s="1056">
        <f t="shared" si="71"/>
        <v>16461.916099999999</v>
      </c>
      <c r="H251" s="1053" t="s">
        <v>10</v>
      </c>
      <c r="I251" s="1054" t="s">
        <v>1512</v>
      </c>
      <c r="J251" s="1054" t="s">
        <v>10</v>
      </c>
      <c r="K251" s="1054" t="s">
        <v>450</v>
      </c>
      <c r="L251" s="1054" t="s">
        <v>10</v>
      </c>
      <c r="M251" s="1057">
        <v>5</v>
      </c>
      <c r="N251" s="1057">
        <v>0.92300000000000004</v>
      </c>
      <c r="O251" s="1057">
        <v>0.92300000000000004</v>
      </c>
      <c r="P251" s="1057">
        <v>0.92300000000000004</v>
      </c>
      <c r="Q251" s="1057">
        <v>1</v>
      </c>
      <c r="R251" s="1057">
        <v>0</v>
      </c>
      <c r="S251" s="1057">
        <v>84899</v>
      </c>
      <c r="T251" s="1058">
        <f t="shared" si="74"/>
        <v>16461.916099999999</v>
      </c>
      <c r="U251" s="1057">
        <v>60000</v>
      </c>
      <c r="V251" s="1057">
        <v>24899</v>
      </c>
      <c r="W251" s="1057">
        <v>530</v>
      </c>
      <c r="X251" s="1057">
        <v>0</v>
      </c>
      <c r="Y251" s="1057">
        <v>0</v>
      </c>
      <c r="Z251" s="1057">
        <v>0</v>
      </c>
      <c r="AA251" s="1057">
        <v>101360.9161</v>
      </c>
      <c r="AB251" s="1057">
        <v>16461.916099999999</v>
      </c>
      <c r="AC251" s="1057">
        <v>84899</v>
      </c>
      <c r="AD251" s="1057">
        <v>0</v>
      </c>
      <c r="AE251" s="1057">
        <v>0</v>
      </c>
      <c r="AF251" s="1057">
        <v>0</v>
      </c>
      <c r="AG251" s="1057">
        <v>84899</v>
      </c>
      <c r="AH251" s="1057">
        <v>0</v>
      </c>
      <c r="AI251" s="1057">
        <v>0</v>
      </c>
      <c r="AJ251" s="1053">
        <v>4</v>
      </c>
      <c r="AK251" s="1053" t="s">
        <v>921</v>
      </c>
      <c r="AL251" s="1054" t="s">
        <v>1512</v>
      </c>
      <c r="AM251" s="1053" t="s">
        <v>10</v>
      </c>
      <c r="AN251" s="1054" t="s">
        <v>550</v>
      </c>
      <c r="AO251" s="1054">
        <v>16461.916099999999</v>
      </c>
      <c r="AP251" s="1059">
        <f t="shared" si="93"/>
        <v>4</v>
      </c>
      <c r="AQ251" s="1059">
        <f t="shared" si="75"/>
        <v>6</v>
      </c>
      <c r="AR251" s="1052">
        <v>0</v>
      </c>
      <c r="AS251" s="1052">
        <v>0</v>
      </c>
      <c r="AT251" s="1052">
        <v>4</v>
      </c>
      <c r="AU251" s="1052">
        <v>0</v>
      </c>
      <c r="AV251" s="1052">
        <v>0</v>
      </c>
      <c r="AW251" s="1052">
        <v>0</v>
      </c>
      <c r="AX251" s="1052">
        <v>0</v>
      </c>
      <c r="AY251" s="1052">
        <v>0</v>
      </c>
      <c r="AZ251" s="1052">
        <v>0</v>
      </c>
      <c r="BA251" s="1052">
        <v>0</v>
      </c>
      <c r="BB251" s="1052">
        <v>1</v>
      </c>
      <c r="BC251" s="1052">
        <v>1</v>
      </c>
      <c r="BD251" s="1052">
        <v>0</v>
      </c>
      <c r="BE251" s="1052">
        <v>0</v>
      </c>
      <c r="BF251" s="1052">
        <v>0</v>
      </c>
      <c r="BG251" s="1052">
        <v>0</v>
      </c>
      <c r="BH251" s="1052">
        <v>0</v>
      </c>
      <c r="BI251" s="1052">
        <v>0</v>
      </c>
      <c r="BJ251" s="1052">
        <v>0</v>
      </c>
      <c r="BK251" s="1052">
        <v>0</v>
      </c>
      <c r="BL251" s="1052">
        <v>0</v>
      </c>
      <c r="BM251" s="1052">
        <v>0</v>
      </c>
      <c r="BN251" s="1052">
        <v>0</v>
      </c>
      <c r="BO251" s="1052">
        <v>0</v>
      </c>
      <c r="BR251" s="1140">
        <f t="shared" si="76"/>
        <v>0</v>
      </c>
      <c r="BS251" s="1140">
        <f t="shared" si="77"/>
        <v>55555.555555555562</v>
      </c>
      <c r="BT251" s="1140">
        <f t="shared" si="78"/>
        <v>0</v>
      </c>
      <c r="BU251" s="1140">
        <f t="shared" si="79"/>
        <v>55555.555555555562</v>
      </c>
      <c r="BV251" s="1140">
        <f t="shared" si="89"/>
        <v>0</v>
      </c>
      <c r="BW251" s="1140">
        <f t="shared" si="90"/>
        <v>0</v>
      </c>
      <c r="BX251" s="1140">
        <f t="shared" si="91"/>
        <v>0</v>
      </c>
      <c r="BY251" s="1140">
        <f t="shared" si="80"/>
        <v>0</v>
      </c>
      <c r="CA251" s="1140">
        <f t="shared" si="81"/>
        <v>0</v>
      </c>
      <c r="CB251" s="1140">
        <f t="shared" si="82"/>
        <v>55555.555555555562</v>
      </c>
      <c r="CC251" s="1140">
        <f t="shared" si="83"/>
        <v>0</v>
      </c>
      <c r="CD251" s="1140">
        <f t="shared" si="84"/>
        <v>55555.555555555562</v>
      </c>
      <c r="CE251" s="1140">
        <f t="shared" si="85"/>
        <v>0</v>
      </c>
      <c r="CF251" s="1140">
        <f t="shared" si="86"/>
        <v>0</v>
      </c>
      <c r="CG251" s="1140">
        <f t="shared" si="87"/>
        <v>0</v>
      </c>
      <c r="CH251" s="1140">
        <f t="shared" si="88"/>
        <v>0</v>
      </c>
    </row>
    <row r="252" spans="1:195" s="1087" customFormat="1" x14ac:dyDescent="0.2">
      <c r="A252" s="1081">
        <v>9855</v>
      </c>
      <c r="B252" s="1081"/>
      <c r="C252" s="1119" t="s">
        <v>553</v>
      </c>
      <c r="D252" s="1120" t="s">
        <v>553</v>
      </c>
      <c r="E252" s="1055">
        <f t="shared" si="72"/>
        <v>276371.78399999999</v>
      </c>
      <c r="F252" s="1121">
        <v>0</v>
      </c>
      <c r="G252" s="1056">
        <f>E252+F252</f>
        <v>276371.78399999999</v>
      </c>
      <c r="H252" s="1119" t="s">
        <v>10</v>
      </c>
      <c r="I252" s="1120" t="s">
        <v>1416</v>
      </c>
      <c r="J252" s="1120" t="s">
        <v>1417</v>
      </c>
      <c r="K252" s="1120" t="s">
        <v>297</v>
      </c>
      <c r="L252" s="1120" t="s">
        <v>10</v>
      </c>
      <c r="M252" s="1122">
        <v>102</v>
      </c>
      <c r="N252" s="1122">
        <v>0.57899999999999996</v>
      </c>
      <c r="O252" s="1122">
        <v>0.624</v>
      </c>
      <c r="P252" s="1122">
        <v>0.51100000000000001</v>
      </c>
      <c r="Q252" s="1122">
        <v>0.53300000000000003</v>
      </c>
      <c r="R252" s="1122">
        <v>825921</v>
      </c>
      <c r="S252" s="1122">
        <v>793260</v>
      </c>
      <c r="T252" s="1123">
        <f t="shared" si="74"/>
        <v>245711.4975</v>
      </c>
      <c r="U252" s="1122">
        <v>538792</v>
      </c>
      <c r="V252" s="1122">
        <v>254468</v>
      </c>
      <c r="W252" s="1122">
        <v>3520</v>
      </c>
      <c r="X252" s="1122">
        <v>0</v>
      </c>
      <c r="Y252" s="1122">
        <v>0</v>
      </c>
      <c r="Z252" s="1122">
        <v>0</v>
      </c>
      <c r="AA252" s="1122">
        <v>1038971.498</v>
      </c>
      <c r="AB252" s="1122">
        <v>245711.4975</v>
      </c>
      <c r="AC252" s="1122">
        <v>793260</v>
      </c>
      <c r="AD252" s="1122">
        <v>0</v>
      </c>
      <c r="AE252" s="1122">
        <v>0</v>
      </c>
      <c r="AF252" s="1122">
        <v>0</v>
      </c>
      <c r="AG252" s="1122">
        <v>793260</v>
      </c>
      <c r="AH252" s="1122">
        <v>0</v>
      </c>
      <c r="AI252" s="1122">
        <v>0</v>
      </c>
      <c r="AJ252" s="1119">
        <v>4</v>
      </c>
      <c r="AK252" s="1119" t="s">
        <v>913</v>
      </c>
      <c r="AL252" s="1120" t="s">
        <v>1416</v>
      </c>
      <c r="AM252" s="1119" t="s">
        <v>10</v>
      </c>
      <c r="AN252" s="1120" t="s">
        <v>553</v>
      </c>
      <c r="AO252" s="1120">
        <v>245711.4975</v>
      </c>
      <c r="AP252" s="1124">
        <f t="shared" si="93"/>
        <v>281</v>
      </c>
      <c r="AQ252" s="1059">
        <f t="shared" si="75"/>
        <v>291</v>
      </c>
      <c r="AR252" s="1081">
        <v>0</v>
      </c>
      <c r="AS252" s="1081">
        <v>0</v>
      </c>
      <c r="AT252" s="1081">
        <v>249</v>
      </c>
      <c r="AU252" s="1081">
        <v>22</v>
      </c>
      <c r="AV252" s="1081">
        <v>0</v>
      </c>
      <c r="AW252" s="1081">
        <v>0</v>
      </c>
      <c r="AX252" s="1081">
        <v>10</v>
      </c>
      <c r="AY252" s="1081">
        <v>0</v>
      </c>
      <c r="AZ252" s="1081">
        <v>0</v>
      </c>
      <c r="BA252" s="1081">
        <v>0</v>
      </c>
      <c r="BB252" s="1081">
        <v>7</v>
      </c>
      <c r="BC252" s="1081">
        <v>3</v>
      </c>
      <c r="BD252" s="1081">
        <v>0</v>
      </c>
      <c r="BE252" s="1081">
        <v>0</v>
      </c>
      <c r="BF252" s="1081">
        <v>0</v>
      </c>
      <c r="BG252" s="1081">
        <v>0</v>
      </c>
      <c r="BH252" s="1081">
        <v>0</v>
      </c>
      <c r="BI252" s="1081">
        <v>0</v>
      </c>
      <c r="BJ252" s="1081">
        <v>0</v>
      </c>
      <c r="BK252" s="1081">
        <v>0</v>
      </c>
      <c r="BL252" s="1081">
        <v>0</v>
      </c>
      <c r="BM252" s="1081">
        <v>0</v>
      </c>
      <c r="BN252" s="1081">
        <v>0</v>
      </c>
      <c r="BO252" s="1081">
        <v>0</v>
      </c>
      <c r="BP252" s="1069"/>
      <c r="BQ252" s="1136"/>
      <c r="BR252" s="1140">
        <f t="shared" si="76"/>
        <v>0</v>
      </c>
      <c r="BS252" s="1140">
        <f t="shared" si="77"/>
        <v>3458333.3333333335</v>
      </c>
      <c r="BT252" s="1140">
        <f t="shared" si="78"/>
        <v>305555.55555555556</v>
      </c>
      <c r="BU252" s="1140">
        <f t="shared" si="79"/>
        <v>3763888.888888889</v>
      </c>
      <c r="BV252" s="1140">
        <f t="shared" si="89"/>
        <v>0</v>
      </c>
      <c r="BW252" s="1140">
        <f t="shared" si="90"/>
        <v>2000</v>
      </c>
      <c r="BX252" s="1140">
        <f t="shared" si="91"/>
        <v>0</v>
      </c>
      <c r="BY252" s="1140">
        <f t="shared" si="80"/>
        <v>2000</v>
      </c>
      <c r="BZ252" s="1136"/>
      <c r="CA252" s="1140">
        <f t="shared" si="81"/>
        <v>0</v>
      </c>
      <c r="CB252" s="1140">
        <f t="shared" si="82"/>
        <v>3458333.3333333335</v>
      </c>
      <c r="CC252" s="1140">
        <f t="shared" si="83"/>
        <v>305555.55555555556</v>
      </c>
      <c r="CD252" s="1140">
        <f t="shared" si="84"/>
        <v>3763888.888888889</v>
      </c>
      <c r="CE252" s="1140">
        <f t="shared" si="85"/>
        <v>0</v>
      </c>
      <c r="CF252" s="1140">
        <f t="shared" si="86"/>
        <v>2000</v>
      </c>
      <c r="CG252" s="1140">
        <f t="shared" si="87"/>
        <v>0</v>
      </c>
      <c r="CH252" s="1140">
        <f t="shared" si="88"/>
        <v>2000</v>
      </c>
      <c r="CI252" s="1146"/>
      <c r="CJ252" s="1069"/>
      <c r="CK252" s="1069"/>
      <c r="CL252" s="1069"/>
      <c r="CM252" s="1069"/>
      <c r="CN252" s="1069"/>
      <c r="CO252" s="1069"/>
      <c r="CP252" s="1069"/>
      <c r="CQ252" s="1069"/>
      <c r="CR252" s="1069"/>
      <c r="CS252" s="1069"/>
      <c r="CT252" s="1069"/>
      <c r="CU252" s="1069"/>
      <c r="CV252" s="1069"/>
      <c r="CW252" s="1069"/>
      <c r="CX252" s="1069"/>
      <c r="CY252" s="1069"/>
      <c r="CZ252" s="1069"/>
      <c r="DA252" s="1069"/>
      <c r="DB252" s="1069"/>
      <c r="DC252" s="1069"/>
      <c r="DD252" s="1069"/>
      <c r="DE252" s="1069"/>
      <c r="DF252" s="1069"/>
      <c r="DG252" s="1069"/>
      <c r="DH252" s="1069"/>
      <c r="DI252" s="1069"/>
      <c r="DJ252" s="1069"/>
      <c r="DK252" s="1069"/>
    </row>
    <row r="253" spans="1:195" s="1087" customFormat="1" x14ac:dyDescent="0.2">
      <c r="A253" s="1081">
        <v>4612</v>
      </c>
      <c r="B253" s="1081"/>
      <c r="C253" s="1119" t="s">
        <v>554</v>
      </c>
      <c r="D253" s="1120" t="s">
        <v>554</v>
      </c>
      <c r="E253" s="1055">
        <f t="shared" si="72"/>
        <v>51471.142799999994</v>
      </c>
      <c r="F253" s="1121">
        <v>0</v>
      </c>
      <c r="G253" s="1125">
        <f>E253+F253</f>
        <v>51471.142799999994</v>
      </c>
      <c r="H253" s="1119" t="s">
        <v>1417</v>
      </c>
      <c r="I253" s="1120" t="s">
        <v>1512</v>
      </c>
      <c r="J253" s="1120" t="s">
        <v>10</v>
      </c>
      <c r="K253" s="1120" t="s">
        <v>1545</v>
      </c>
      <c r="L253" s="1120" t="s">
        <v>10</v>
      </c>
      <c r="M253" s="1122">
        <v>18</v>
      </c>
      <c r="N253" s="1122">
        <v>0.997</v>
      </c>
      <c r="O253" s="1122">
        <v>0.997</v>
      </c>
      <c r="P253" s="1122">
        <v>1</v>
      </c>
      <c r="Q253" s="1122">
        <v>0.95199999999999996</v>
      </c>
      <c r="R253" s="1122">
        <v>0</v>
      </c>
      <c r="S253" s="1122">
        <v>265452</v>
      </c>
      <c r="T253" s="1123">
        <f t="shared" si="74"/>
        <v>51471.142799999994</v>
      </c>
      <c r="U253" s="1122">
        <v>222664</v>
      </c>
      <c r="V253" s="1122">
        <v>42788</v>
      </c>
      <c r="W253" s="1122">
        <v>0</v>
      </c>
      <c r="X253" s="1122">
        <v>0</v>
      </c>
      <c r="Y253" s="1122">
        <v>0</v>
      </c>
      <c r="Z253" s="1122">
        <v>0</v>
      </c>
      <c r="AA253" s="1122">
        <v>316923.14279999997</v>
      </c>
      <c r="AB253" s="1122">
        <v>51471.142800000001</v>
      </c>
      <c r="AC253" s="1122">
        <v>265452</v>
      </c>
      <c r="AD253" s="1122">
        <v>0</v>
      </c>
      <c r="AE253" s="1122">
        <v>0</v>
      </c>
      <c r="AF253" s="1122">
        <v>0</v>
      </c>
      <c r="AG253" s="1122">
        <v>265452</v>
      </c>
      <c r="AH253" s="1122">
        <v>0</v>
      </c>
      <c r="AI253" s="1122">
        <v>0</v>
      </c>
      <c r="AJ253" s="1119">
        <v>4</v>
      </c>
      <c r="AK253" s="1119" t="s">
        <v>899</v>
      </c>
      <c r="AL253" s="1120" t="s">
        <v>1512</v>
      </c>
      <c r="AM253" s="1119" t="s">
        <v>1417</v>
      </c>
      <c r="AN253" s="1120" t="s">
        <v>554</v>
      </c>
      <c r="AO253" s="1120">
        <v>51471.142800000001</v>
      </c>
      <c r="AP253" s="1124">
        <f t="shared" si="93"/>
        <v>14</v>
      </c>
      <c r="AQ253" s="1059">
        <f t="shared" si="75"/>
        <v>22</v>
      </c>
      <c r="AR253" s="1081">
        <v>0</v>
      </c>
      <c r="AS253" s="1081">
        <v>0</v>
      </c>
      <c r="AT253" s="1081">
        <v>7</v>
      </c>
      <c r="AU253" s="1081">
        <v>7</v>
      </c>
      <c r="AV253" s="1081">
        <v>0</v>
      </c>
      <c r="AW253" s="1081">
        <v>0</v>
      </c>
      <c r="AX253" s="1081">
        <v>0</v>
      </c>
      <c r="AY253" s="1081">
        <v>0</v>
      </c>
      <c r="AZ253" s="1081">
        <v>0</v>
      </c>
      <c r="BA253" s="1081">
        <v>5</v>
      </c>
      <c r="BB253" s="1081">
        <v>8</v>
      </c>
      <c r="BC253" s="1081">
        <v>0</v>
      </c>
      <c r="BD253" s="1081">
        <v>0</v>
      </c>
      <c r="BE253" s="1081">
        <v>0</v>
      </c>
      <c r="BF253" s="1081">
        <v>0</v>
      </c>
      <c r="BG253" s="1081">
        <v>0</v>
      </c>
      <c r="BH253" s="1081">
        <v>0</v>
      </c>
      <c r="BI253" s="1081">
        <v>0</v>
      </c>
      <c r="BJ253" s="1081">
        <v>0</v>
      </c>
      <c r="BK253" s="1081">
        <v>0</v>
      </c>
      <c r="BL253" s="1081">
        <v>0</v>
      </c>
      <c r="BM253" s="1081">
        <v>0</v>
      </c>
      <c r="BN253" s="1081">
        <v>0</v>
      </c>
      <c r="BO253" s="1081">
        <v>0</v>
      </c>
      <c r="BP253" s="1069"/>
      <c r="BQ253" s="1136"/>
      <c r="BR253" s="1140">
        <f t="shared" si="76"/>
        <v>0</v>
      </c>
      <c r="BS253" s="1140">
        <f t="shared" si="77"/>
        <v>97222.222222222234</v>
      </c>
      <c r="BT253" s="1140">
        <f t="shared" si="78"/>
        <v>97222.222222222234</v>
      </c>
      <c r="BU253" s="1141">
        <f t="shared" si="79"/>
        <v>194444.44444444447</v>
      </c>
      <c r="BV253" s="1140">
        <f t="shared" si="89"/>
        <v>0</v>
      </c>
      <c r="BW253" s="1140">
        <f t="shared" si="90"/>
        <v>0</v>
      </c>
      <c r="BX253" s="1140">
        <f t="shared" si="91"/>
        <v>0</v>
      </c>
      <c r="BY253" s="1140">
        <f t="shared" si="80"/>
        <v>0</v>
      </c>
      <c r="BZ253" s="1136"/>
      <c r="CA253" s="1140">
        <f t="shared" si="81"/>
        <v>0</v>
      </c>
      <c r="CB253" s="1140">
        <f t="shared" si="82"/>
        <v>0</v>
      </c>
      <c r="CC253" s="1140">
        <f t="shared" si="83"/>
        <v>0</v>
      </c>
      <c r="CD253" s="1140">
        <f t="shared" si="84"/>
        <v>0</v>
      </c>
      <c r="CE253" s="1140">
        <f t="shared" si="85"/>
        <v>0</v>
      </c>
      <c r="CF253" s="1140">
        <f t="shared" si="86"/>
        <v>0</v>
      </c>
      <c r="CG253" s="1140">
        <f t="shared" si="87"/>
        <v>0</v>
      </c>
      <c r="CH253" s="1140">
        <f t="shared" si="88"/>
        <v>0</v>
      </c>
      <c r="CI253" s="1146"/>
      <c r="CJ253" s="1069"/>
      <c r="CK253" s="1069"/>
      <c r="CL253" s="1069"/>
      <c r="CM253" s="1069"/>
      <c r="CN253" s="1069"/>
      <c r="CO253" s="1069"/>
      <c r="CP253" s="1069"/>
      <c r="CQ253" s="1069"/>
      <c r="CR253" s="1069"/>
      <c r="CS253" s="1069"/>
      <c r="CT253" s="1069"/>
      <c r="CU253" s="1069"/>
      <c r="CV253" s="1069"/>
      <c r="CW253" s="1069"/>
      <c r="CX253" s="1069"/>
      <c r="CY253" s="1069"/>
      <c r="CZ253" s="1069"/>
      <c r="DA253" s="1069"/>
      <c r="DB253" s="1069"/>
      <c r="DC253" s="1069"/>
      <c r="DD253" s="1069"/>
      <c r="DE253" s="1069"/>
      <c r="DF253" s="1069"/>
      <c r="DG253" s="1069"/>
      <c r="DH253" s="1069"/>
      <c r="DI253" s="1069"/>
      <c r="DJ253" s="1069"/>
      <c r="DK253" s="1069"/>
    </row>
    <row r="254" spans="1:195" s="1129" customFormat="1" x14ac:dyDescent="0.2">
      <c r="A254" s="1126"/>
      <c r="B254" s="1126"/>
      <c r="C254" s="1127"/>
      <c r="D254" s="1127"/>
      <c r="E254" s="1127"/>
      <c r="F254" s="1127"/>
      <c r="G254" s="1127"/>
      <c r="H254" s="1127"/>
      <c r="I254" s="1127"/>
      <c r="J254" s="1127"/>
      <c r="K254" s="1127">
        <f>COUNTIF(L2:L253,"y")</f>
        <v>52</v>
      </c>
      <c r="L254" s="1127"/>
      <c r="M254" s="1127"/>
      <c r="N254" s="1127"/>
      <c r="O254" s="1127"/>
      <c r="P254" s="1127"/>
      <c r="Q254" s="1127"/>
      <c r="R254" s="1127"/>
      <c r="S254" s="1127"/>
      <c r="T254" s="1127"/>
      <c r="U254" s="1127"/>
      <c r="V254" s="1127"/>
      <c r="W254" s="1127"/>
      <c r="X254" s="1127"/>
      <c r="Y254" s="1127"/>
      <c r="Z254" s="1127"/>
      <c r="AA254" s="1127"/>
      <c r="AB254" s="1127"/>
      <c r="AC254" s="1127"/>
      <c r="AD254" s="1127"/>
      <c r="AE254" s="1127"/>
      <c r="AF254" s="1127"/>
      <c r="AG254" s="1127"/>
      <c r="AH254" s="1127"/>
      <c r="AI254" s="1127"/>
      <c r="AJ254" s="1127"/>
      <c r="AK254" s="1127"/>
      <c r="AL254" s="1127"/>
      <c r="AM254" s="1127"/>
      <c r="AN254" s="1127"/>
      <c r="AO254" s="1127"/>
      <c r="AP254" s="1127"/>
      <c r="AQ254" s="1127" t="e">
        <f>SUM(AQ2:AQ253)</f>
        <v>#VALUE!</v>
      </c>
      <c r="AR254" s="1127">
        <f>SUM(AR2:AR253)</f>
        <v>22774</v>
      </c>
      <c r="AS254" s="1127">
        <f t="shared" ref="AS254:BO254" si="94">SUM(AS2:AS253)</f>
        <v>50239</v>
      </c>
      <c r="AT254" s="1127">
        <f t="shared" si="94"/>
        <v>32961</v>
      </c>
      <c r="AU254" s="1127">
        <f t="shared" si="94"/>
        <v>2359</v>
      </c>
      <c r="AV254" s="1127">
        <f>SUM(AV2:AV253)</f>
        <v>871</v>
      </c>
      <c r="AW254" s="1128">
        <f t="shared" si="94"/>
        <v>928</v>
      </c>
      <c r="AX254" s="1127">
        <f t="shared" si="94"/>
        <v>1052</v>
      </c>
      <c r="AY254" s="1127">
        <f t="shared" si="94"/>
        <v>207</v>
      </c>
      <c r="AZ254" s="1127">
        <f t="shared" si="94"/>
        <v>2064</v>
      </c>
      <c r="BA254" s="1127">
        <f t="shared" si="94"/>
        <v>3952</v>
      </c>
      <c r="BB254" s="1127">
        <f t="shared" si="94"/>
        <v>6439</v>
      </c>
      <c r="BC254" s="1127">
        <f t="shared" si="94"/>
        <v>464</v>
      </c>
      <c r="BD254" s="1127">
        <f t="shared" si="94"/>
        <v>2694</v>
      </c>
      <c r="BE254" s="1127">
        <f t="shared" si="94"/>
        <v>24</v>
      </c>
      <c r="BF254" s="1127">
        <f t="shared" si="94"/>
        <v>0</v>
      </c>
      <c r="BG254" s="1127">
        <f t="shared" si="94"/>
        <v>0</v>
      </c>
      <c r="BH254" s="1127">
        <f t="shared" si="94"/>
        <v>5047</v>
      </c>
      <c r="BI254" s="1127">
        <f t="shared" si="94"/>
        <v>82</v>
      </c>
      <c r="BJ254" s="1127">
        <f t="shared" si="94"/>
        <v>0</v>
      </c>
      <c r="BK254" s="1127">
        <f t="shared" si="94"/>
        <v>0</v>
      </c>
      <c r="BL254" s="1127">
        <f t="shared" si="94"/>
        <v>1896076</v>
      </c>
      <c r="BM254" s="1127">
        <f t="shared" si="94"/>
        <v>684022</v>
      </c>
      <c r="BN254" s="1127">
        <f t="shared" si="94"/>
        <v>2696101</v>
      </c>
      <c r="BO254" s="1127">
        <f t="shared" si="94"/>
        <v>66841.652330000012</v>
      </c>
      <c r="BQ254" s="1137"/>
      <c r="BR254" s="1139">
        <f t="shared" ref="BR254:BY254" si="95">SUM(BR2:BR253)</f>
        <v>316305555.55555546</v>
      </c>
      <c r="BS254" s="1139">
        <f t="shared" si="95"/>
        <v>457791666.66666651</v>
      </c>
      <c r="BT254" s="1139">
        <f t="shared" si="95"/>
        <v>32763888.888888873</v>
      </c>
      <c r="BU254" s="1140">
        <f t="shared" si="95"/>
        <v>806861111.11111128</v>
      </c>
      <c r="BV254" s="1144">
        <f t="shared" si="95"/>
        <v>174200</v>
      </c>
      <c r="BW254" s="1144">
        <f t="shared" si="95"/>
        <v>210400</v>
      </c>
      <c r="BX254" s="1144">
        <f t="shared" si="95"/>
        <v>41400</v>
      </c>
      <c r="BY254" s="1144">
        <f t="shared" si="95"/>
        <v>426000</v>
      </c>
      <c r="BZ254" s="1137"/>
      <c r="CA254" s="1140">
        <f>SUM(CA2:CA253)</f>
        <v>233013888.88888887</v>
      </c>
      <c r="CB254" s="1140">
        <f>SUM(CB2:CB253)</f>
        <v>322388888.88888884</v>
      </c>
      <c r="CC254" s="1140">
        <f>SUM(CC2:CC253)</f>
        <v>27138888.888888881</v>
      </c>
      <c r="CD254" s="1129">
        <f>SUM(CA254:CC254)</f>
        <v>582541666.66666651</v>
      </c>
      <c r="CE254" s="1140">
        <f t="shared" si="85"/>
        <v>174200</v>
      </c>
      <c r="CF254" s="1140">
        <f t="shared" si="86"/>
        <v>210400</v>
      </c>
      <c r="CG254" s="1140">
        <f t="shared" si="87"/>
        <v>41400</v>
      </c>
      <c r="CH254" s="1140">
        <f t="shared" si="88"/>
        <v>426000</v>
      </c>
      <c r="CI254" s="1147"/>
    </row>
    <row r="255" spans="1:195" s="1135" customFormat="1" ht="12" thickBot="1" x14ac:dyDescent="0.25">
      <c r="A255" s="1130"/>
      <c r="B255" s="1130"/>
      <c r="C255" s="1131"/>
      <c r="D255" s="1131"/>
      <c r="E255" s="1131"/>
      <c r="F255" s="1131"/>
      <c r="G255" s="1131"/>
      <c r="H255" s="1131"/>
      <c r="I255" s="1131"/>
      <c r="J255" s="1131"/>
      <c r="K255" s="1131"/>
      <c r="L255" s="1131"/>
      <c r="M255" s="1131"/>
      <c r="N255" s="1131"/>
      <c r="O255" s="1131"/>
      <c r="P255" s="1131"/>
      <c r="Q255" s="1131"/>
      <c r="R255" s="1131"/>
      <c r="S255" s="1131"/>
      <c r="T255" s="1131"/>
      <c r="U255" s="1131"/>
      <c r="V255" s="1131"/>
      <c r="W255" s="1131"/>
      <c r="X255" s="1131"/>
      <c r="Y255" s="1131"/>
      <c r="Z255" s="1131"/>
      <c r="AA255" s="1131"/>
      <c r="AB255" s="1131"/>
      <c r="AC255" s="1131"/>
      <c r="AD255" s="1131"/>
      <c r="AE255" s="1131"/>
      <c r="AF255" s="1131"/>
      <c r="AG255" s="1131"/>
      <c r="AH255" s="1131"/>
      <c r="AI255" s="1131"/>
      <c r="AJ255" s="1131"/>
      <c r="AK255" s="1131"/>
      <c r="AL255" s="1131"/>
      <c r="AM255" s="1131"/>
      <c r="AN255" s="1131"/>
      <c r="AO255" s="1131"/>
      <c r="AP255" s="1132"/>
      <c r="AQ255" s="1132"/>
      <c r="AR255" s="1133">
        <f>AR254-SUMIF($AM$2:$AM$253,"n",AR2:AR253)</f>
        <v>16777</v>
      </c>
      <c r="AS255" s="1134">
        <f t="shared" ref="AS255:BO255" si="96">AS254-SUMIF($AM$2:$AM$253,"n",AS2:AS253)</f>
        <v>34563</v>
      </c>
      <c r="AT255" s="1133">
        <f>AT254-SUMIF($AM$2:$AM$253,"n",AT2:AT253)</f>
        <v>23212</v>
      </c>
      <c r="AU255" s="1133">
        <f>AU254-SUMIF($AM$2:$AM$253,"n",AU2:AU253)</f>
        <v>1954</v>
      </c>
      <c r="AV255" s="1133">
        <f t="shared" si="96"/>
        <v>466</v>
      </c>
      <c r="AW255" s="1134">
        <f t="shared" si="96"/>
        <v>523</v>
      </c>
      <c r="AX255" s="1133">
        <f>AX254-SUMIF($AM$2:$AM$253,"n",AX2:AX253)</f>
        <v>845</v>
      </c>
      <c r="AY255" s="1133">
        <f t="shared" si="96"/>
        <v>175</v>
      </c>
      <c r="AZ255" s="1133">
        <f t="shared" si="96"/>
        <v>748</v>
      </c>
      <c r="BA255" s="1134">
        <f t="shared" si="96"/>
        <v>2348</v>
      </c>
      <c r="BB255" s="1134">
        <f t="shared" si="96"/>
        <v>4762</v>
      </c>
      <c r="BC255" s="1134">
        <f t="shared" si="96"/>
        <v>421</v>
      </c>
      <c r="BD255" s="1133">
        <f t="shared" si="96"/>
        <v>1915</v>
      </c>
      <c r="BE255" s="1134">
        <f t="shared" si="96"/>
        <v>23</v>
      </c>
      <c r="BF255" s="1134">
        <f t="shared" si="96"/>
        <v>0</v>
      </c>
      <c r="BG255" s="1134">
        <f t="shared" si="96"/>
        <v>0</v>
      </c>
      <c r="BH255" s="1133">
        <f t="shared" si="96"/>
        <v>3526</v>
      </c>
      <c r="BI255" s="1134">
        <f t="shared" si="96"/>
        <v>43</v>
      </c>
      <c r="BJ255" s="1134">
        <f t="shared" si="96"/>
        <v>0</v>
      </c>
      <c r="BK255" s="1134">
        <f t="shared" si="96"/>
        <v>0</v>
      </c>
      <c r="BL255" s="1133">
        <f>BL254-SUMIF($AM$2:$AM$253,"n",BL2:BL253)</f>
        <v>1417657</v>
      </c>
      <c r="BM255" s="1133">
        <f t="shared" si="96"/>
        <v>184376</v>
      </c>
      <c r="BN255" s="1133">
        <f t="shared" si="96"/>
        <v>2196215</v>
      </c>
      <c r="BO255" s="1133">
        <f t="shared" si="96"/>
        <v>50061.323560000012</v>
      </c>
      <c r="BQ255" s="1138"/>
      <c r="BR255" s="1140">
        <f>BR254-SUMIF($AM$2:$AM$253,"n",BR2:BR253)</f>
        <v>233013888.88888878</v>
      </c>
      <c r="BS255" s="1140">
        <f>BS254-SUMIF($AM$2:$AM$253,"n",BS2:BS253)</f>
        <v>322388888.88888872</v>
      </c>
      <c r="BT255" s="1140">
        <f>BT254-SUMIF($AM$2:$AM$253,"n",BT2:BT253)</f>
        <v>27138888.888888869</v>
      </c>
      <c r="BU255" s="1140">
        <f>SUM(BR255:BT255)</f>
        <v>582541666.66666627</v>
      </c>
      <c r="BV255" s="1140">
        <f>BV254-SUMIF($AM$2:$AM$253,"n",BV2:BV253)</f>
        <v>93200</v>
      </c>
      <c r="BW255" s="1140">
        <f>BW254-SUMIF($AM$2:$AM$253,"n",BW2:BW253)</f>
        <v>169000</v>
      </c>
      <c r="BX255" s="1140">
        <f>BX254-SUMIF($AM$2:$AM$253,"n",BX2:BX253)</f>
        <v>35000</v>
      </c>
      <c r="BY255" s="1140">
        <f>BY254-SUMIF($AM$2:$AM$253,"n",BY2:BY253)</f>
        <v>297200</v>
      </c>
      <c r="BZ255" s="1138"/>
      <c r="CA255" s="1140"/>
      <c r="CB255" s="1140"/>
      <c r="CC255" s="1140"/>
      <c r="CI255" s="1148"/>
    </row>
    <row r="256" spans="1:195" ht="12" thickTop="1" x14ac:dyDescent="0.2"/>
  </sheetData>
  <pageMargins left="0.75" right="0.75" top="1" bottom="1" header="0.5" footer="0.5"/>
  <pageSetup scale="10" fitToHeight="5" orientation="landscape" verticalDpi="0" r:id="rId1"/>
  <headerFooter alignWithMargins="0"/>
  <colBreaks count="1" manualBreakCount="1">
    <brk id="9" max="1048575" man="1"/>
  </colBreaks>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N84"/>
  <sheetViews>
    <sheetView workbookViewId="0">
      <selection activeCell="D6" sqref="D6"/>
    </sheetView>
  </sheetViews>
  <sheetFormatPr defaultColWidth="8" defaultRowHeight="12.75" x14ac:dyDescent="0.2"/>
  <cols>
    <col min="1" max="1" width="8" style="11" customWidth="1"/>
    <col min="2" max="2" width="44.85546875" style="11" customWidth="1"/>
    <col min="3" max="3" width="12.85546875" style="11" customWidth="1"/>
    <col min="4" max="4" width="15.7109375" style="11" bestFit="1" customWidth="1"/>
    <col min="5" max="5" width="13.28515625" style="11" customWidth="1"/>
    <col min="6" max="6" width="14.85546875" style="11" customWidth="1"/>
    <col min="7" max="7" width="18.7109375" style="11" customWidth="1"/>
    <col min="8" max="8" width="15" style="11" customWidth="1"/>
    <col min="9" max="16384" width="8" style="11"/>
  </cols>
  <sheetData>
    <row r="1" spans="1:12" ht="18.75" x14ac:dyDescent="0.3">
      <c r="A1" s="187" t="s">
        <v>722</v>
      </c>
    </row>
    <row r="2" spans="1:12" s="213" customFormat="1" ht="20.25" x14ac:dyDescent="0.3">
      <c r="A2" s="147" t="s">
        <v>1411</v>
      </c>
      <c r="D2" s="374" t="s">
        <v>717</v>
      </c>
      <c r="E2" s="374" t="s">
        <v>717</v>
      </c>
      <c r="F2" s="374" t="s">
        <v>717</v>
      </c>
      <c r="G2" s="374" t="s">
        <v>717</v>
      </c>
    </row>
    <row r="3" spans="1:12" s="213" customFormat="1" x14ac:dyDescent="0.2">
      <c r="D3" s="374" t="s">
        <v>718</v>
      </c>
      <c r="E3" s="374" t="s">
        <v>719</v>
      </c>
      <c r="F3" s="213" t="s">
        <v>720</v>
      </c>
      <c r="G3" s="374" t="s">
        <v>721</v>
      </c>
    </row>
    <row r="4" spans="1:12" ht="27" customHeight="1" x14ac:dyDescent="0.2">
      <c r="B4" s="186"/>
      <c r="C4" s="185" t="s">
        <v>682</v>
      </c>
      <c r="E4" s="188" t="s">
        <v>729</v>
      </c>
      <c r="G4" s="188" t="s">
        <v>730</v>
      </c>
      <c r="I4" s="186"/>
      <c r="J4" s="186"/>
      <c r="K4" s="186"/>
      <c r="L4" s="186"/>
    </row>
    <row r="5" spans="1:12" x14ac:dyDescent="0.2">
      <c r="A5" s="186"/>
      <c r="B5" s="186" t="s">
        <v>731</v>
      </c>
      <c r="C5" s="189">
        <f>SUM(D5:G5)</f>
        <v>92182</v>
      </c>
      <c r="D5" s="991">
        <f>IF('general info'!B46="y",'Total Baseline'!B35,'Total Baseline'!B12)</f>
        <v>16777</v>
      </c>
      <c r="E5" s="991">
        <f>IF('general info'!B46="y",'Total Baseline'!D35,'Total Baseline'!D12)</f>
        <v>23212</v>
      </c>
      <c r="F5" s="991">
        <f>IF('general info'!B46="y",'Total Baseline'!E35,'Total Baseline'!E12)</f>
        <v>1954</v>
      </c>
      <c r="G5" s="190">
        <f>'Total Baseline'!C12</f>
        <v>50239</v>
      </c>
      <c r="I5" s="186"/>
      <c r="J5" s="186"/>
      <c r="K5" s="186"/>
      <c r="L5" s="186"/>
    </row>
    <row r="6" spans="1:12" x14ac:dyDescent="0.2">
      <c r="A6" s="186"/>
      <c r="B6" s="186" t="s">
        <v>732</v>
      </c>
      <c r="C6" s="189">
        <f>SUM(D6:G6)</f>
        <v>2414</v>
      </c>
      <c r="D6" s="991">
        <f>IF('general info'!B46="y",'Total Baseline'!B36,'Total Baseline'!B13)</f>
        <v>466</v>
      </c>
      <c r="E6" s="991">
        <f>IF('general info'!B46="y",'Total Baseline'!D36,'Total Baseline'!D13)</f>
        <v>845</v>
      </c>
      <c r="F6" s="991">
        <f>IF('general info'!B46="y",'Total Baseline'!E36,'Total Baseline'!E13)</f>
        <v>175</v>
      </c>
      <c r="G6" s="1008">
        <f>'Total Baseline'!C13</f>
        <v>928</v>
      </c>
      <c r="I6" s="186"/>
      <c r="J6" s="186"/>
      <c r="K6" s="186"/>
      <c r="L6" s="186"/>
    </row>
    <row r="7" spans="1:12" x14ac:dyDescent="0.2">
      <c r="A7" s="186"/>
      <c r="B7" s="186" t="s">
        <v>733</v>
      </c>
      <c r="C7" s="189">
        <f>SUM(D7:G7)</f>
        <v>9883</v>
      </c>
      <c r="D7" s="991">
        <f>IF('general info'!B46="y",'Total Baseline'!B37,'Total Baseline'!B14)</f>
        <v>748</v>
      </c>
      <c r="E7" s="190">
        <f>IF('general info'!B46="y",'Total Baseline'!D37,'Total Baseline'!D14)</f>
        <v>4762</v>
      </c>
      <c r="F7" s="190">
        <f>IF('general info'!B46="y",'Total Baseline'!E37,'Total Baseline'!E14)</f>
        <v>421</v>
      </c>
      <c r="G7" s="190">
        <f>'Total Baseline'!C14</f>
        <v>3952</v>
      </c>
      <c r="I7" s="186"/>
      <c r="J7" s="186"/>
      <c r="K7" s="186"/>
      <c r="L7" s="186"/>
    </row>
    <row r="8" spans="1:12" x14ac:dyDescent="0.2">
      <c r="A8" s="186"/>
      <c r="B8" s="186"/>
      <c r="C8" s="189"/>
      <c r="D8" s="191"/>
      <c r="E8" s="191"/>
      <c r="F8" s="191"/>
      <c r="G8" s="191"/>
      <c r="I8" s="186"/>
      <c r="J8" s="186"/>
      <c r="K8" s="186"/>
      <c r="L8" s="186"/>
    </row>
    <row r="9" spans="1:12" x14ac:dyDescent="0.2">
      <c r="A9" s="186"/>
      <c r="B9" s="192" t="s">
        <v>1411</v>
      </c>
      <c r="C9" s="189"/>
      <c r="D9" s="191"/>
      <c r="E9" s="191"/>
      <c r="F9" s="191"/>
      <c r="G9" s="191"/>
      <c r="I9" s="186"/>
      <c r="J9" s="186"/>
      <c r="K9" s="186"/>
      <c r="L9" s="186"/>
    </row>
    <row r="10" spans="1:12" x14ac:dyDescent="0.2">
      <c r="A10" s="186"/>
      <c r="B10" s="186"/>
      <c r="C10" s="189"/>
      <c r="D10" s="191"/>
      <c r="E10" s="191"/>
      <c r="F10" s="191"/>
      <c r="G10" s="191"/>
      <c r="H10" s="191"/>
      <c r="I10" s="186"/>
      <c r="J10" s="186"/>
      <c r="K10" s="186"/>
      <c r="L10" s="186"/>
    </row>
    <row r="11" spans="1:12" x14ac:dyDescent="0.2">
      <c r="A11" s="186"/>
      <c r="B11" s="186"/>
      <c r="C11" s="193" t="s">
        <v>734</v>
      </c>
      <c r="D11" s="194" t="s">
        <v>735</v>
      </c>
      <c r="E11" s="195"/>
      <c r="F11" s="195"/>
      <c r="G11" s="186"/>
      <c r="H11" s="186"/>
      <c r="I11" s="186"/>
      <c r="J11" s="186"/>
      <c r="K11" s="186"/>
      <c r="L11" s="186"/>
    </row>
    <row r="12" spans="1:12" x14ac:dyDescent="0.2">
      <c r="A12" s="186"/>
      <c r="B12" s="186"/>
      <c r="C12" s="196" t="s">
        <v>736</v>
      </c>
      <c r="D12" s="197" t="s">
        <v>737</v>
      </c>
      <c r="G12" s="186"/>
      <c r="H12" s="186"/>
      <c r="I12" s="186"/>
      <c r="J12" s="186"/>
      <c r="K12" s="186"/>
      <c r="L12" s="186"/>
    </row>
    <row r="13" spans="1:12" x14ac:dyDescent="0.2">
      <c r="A13" s="186"/>
      <c r="B13" s="186" t="s">
        <v>738</v>
      </c>
      <c r="C13" s="1020">
        <v>7.1999999999999995E-2</v>
      </c>
      <c r="D13" s="198">
        <f>C5/C13</f>
        <v>1280305.5555555557</v>
      </c>
      <c r="G13" s="186"/>
      <c r="H13" s="186"/>
      <c r="I13" s="186"/>
      <c r="J13" s="186"/>
      <c r="K13" s="186"/>
      <c r="L13" s="186"/>
    </row>
    <row r="14" spans="1:12" x14ac:dyDescent="0.2">
      <c r="A14" s="186"/>
      <c r="B14" s="186"/>
      <c r="C14" s="199"/>
      <c r="D14" s="200"/>
      <c r="G14" s="186"/>
      <c r="H14" s="186"/>
      <c r="I14" s="186"/>
      <c r="J14" s="186"/>
      <c r="K14" s="186"/>
      <c r="L14" s="186"/>
    </row>
    <row r="15" spans="1:12" x14ac:dyDescent="0.2">
      <c r="A15" s="186"/>
      <c r="B15" s="186"/>
      <c r="C15" s="199"/>
      <c r="D15" s="194" t="s">
        <v>735</v>
      </c>
      <c r="G15" s="186"/>
      <c r="H15" s="186"/>
      <c r="I15" s="186"/>
      <c r="J15" s="186"/>
      <c r="K15" s="186"/>
      <c r="L15" s="186"/>
    </row>
    <row r="16" spans="1:12" x14ac:dyDescent="0.2">
      <c r="A16" s="186"/>
      <c r="B16" s="186"/>
      <c r="C16" s="201" t="s">
        <v>739</v>
      </c>
      <c r="D16" s="202" t="s">
        <v>740</v>
      </c>
      <c r="G16" s="186"/>
      <c r="H16" s="186"/>
      <c r="I16" s="186"/>
      <c r="J16" s="186"/>
      <c r="K16" s="186"/>
      <c r="L16" s="186"/>
    </row>
    <row r="17" spans="1:14" x14ac:dyDescent="0.2">
      <c r="A17" s="186"/>
      <c r="B17" s="186" t="s">
        <v>741</v>
      </c>
      <c r="C17" s="1032">
        <v>5</v>
      </c>
      <c r="D17" s="198">
        <f>C6/C17</f>
        <v>482.8</v>
      </c>
      <c r="G17" s="186"/>
      <c r="H17" s="186"/>
      <c r="I17" s="186"/>
      <c r="J17" s="186"/>
      <c r="K17" s="186"/>
      <c r="L17" s="186"/>
    </row>
    <row r="18" spans="1:14" x14ac:dyDescent="0.2">
      <c r="A18" s="186"/>
      <c r="B18" s="186"/>
      <c r="C18" s="199"/>
      <c r="D18" s="186"/>
      <c r="G18" s="186"/>
      <c r="H18" s="186"/>
      <c r="I18" s="186"/>
      <c r="J18" s="186"/>
      <c r="K18" s="186"/>
      <c r="L18" s="186"/>
    </row>
    <row r="19" spans="1:14" x14ac:dyDescent="0.2">
      <c r="A19" s="186"/>
      <c r="B19" s="186"/>
      <c r="C19" s="11" t="s">
        <v>742</v>
      </c>
      <c r="D19" s="186">
        <v>1</v>
      </c>
      <c r="E19" s="186">
        <f t="shared" ref="E19:M19" si="0">D19+1</f>
        <v>2</v>
      </c>
      <c r="F19" s="186">
        <f t="shared" si="0"/>
        <v>3</v>
      </c>
      <c r="G19" s="186">
        <f t="shared" si="0"/>
        <v>4</v>
      </c>
      <c r="H19" s="186">
        <f t="shared" si="0"/>
        <v>5</v>
      </c>
      <c r="I19" s="186">
        <f t="shared" si="0"/>
        <v>6</v>
      </c>
      <c r="J19" s="186">
        <f t="shared" si="0"/>
        <v>7</v>
      </c>
      <c r="K19" s="186">
        <f t="shared" si="0"/>
        <v>8</v>
      </c>
      <c r="L19" s="186">
        <f t="shared" si="0"/>
        <v>9</v>
      </c>
      <c r="M19" s="186">
        <f t="shared" si="0"/>
        <v>10</v>
      </c>
    </row>
    <row r="20" spans="1:14" x14ac:dyDescent="0.2">
      <c r="A20" s="186"/>
      <c r="B20" s="186" t="s">
        <v>743</v>
      </c>
      <c r="C20" s="203">
        <v>1</v>
      </c>
      <c r="D20" s="204">
        <f t="shared" ref="D20:M20" si="1">D22-0.02</f>
        <v>0.92999999999999994</v>
      </c>
      <c r="E20" s="204">
        <f t="shared" si="1"/>
        <v>0.92999999999999994</v>
      </c>
      <c r="F20" s="1017">
        <f t="shared" si="1"/>
        <v>0.92999999999999994</v>
      </c>
      <c r="G20" s="204">
        <f t="shared" si="1"/>
        <v>0.92999999999999994</v>
      </c>
      <c r="H20" s="204">
        <f t="shared" si="1"/>
        <v>0.92999999999999994</v>
      </c>
      <c r="I20" s="204">
        <f t="shared" si="1"/>
        <v>0.92999999999999994</v>
      </c>
      <c r="J20" s="204">
        <f t="shared" si="1"/>
        <v>0.92999999999999994</v>
      </c>
      <c r="K20" s="204">
        <f t="shared" si="1"/>
        <v>0.92999999999999994</v>
      </c>
      <c r="L20" s="204">
        <f t="shared" si="1"/>
        <v>0.92999999999999994</v>
      </c>
      <c r="M20" s="204">
        <f t="shared" si="1"/>
        <v>0.92999999999999994</v>
      </c>
    </row>
    <row r="21" spans="1:14" x14ac:dyDescent="0.2">
      <c r="A21" s="186"/>
      <c r="B21" s="186" t="s">
        <v>744</v>
      </c>
      <c r="C21" s="186">
        <f t="shared" ref="C21:M21" si="2">$C$13*C20</f>
        <v>7.1999999999999995E-2</v>
      </c>
      <c r="D21" s="186">
        <f t="shared" si="2"/>
        <v>6.6959999999999992E-2</v>
      </c>
      <c r="E21" s="186">
        <f t="shared" si="2"/>
        <v>6.6959999999999992E-2</v>
      </c>
      <c r="F21" s="1029">
        <f>$C$13*F20</f>
        <v>6.6959999999999992E-2</v>
      </c>
      <c r="G21" s="186">
        <f t="shared" si="2"/>
        <v>6.6959999999999992E-2</v>
      </c>
      <c r="H21" s="186">
        <f t="shared" si="2"/>
        <v>6.6959999999999992E-2</v>
      </c>
      <c r="I21" s="186">
        <f t="shared" si="2"/>
        <v>6.6959999999999992E-2</v>
      </c>
      <c r="J21" s="186">
        <f t="shared" si="2"/>
        <v>6.6959999999999992E-2</v>
      </c>
      <c r="K21" s="186">
        <f t="shared" si="2"/>
        <v>6.6959999999999992E-2</v>
      </c>
      <c r="L21" s="186">
        <f t="shared" si="2"/>
        <v>6.6959999999999992E-2</v>
      </c>
      <c r="M21" s="186">
        <f t="shared" si="2"/>
        <v>6.6959999999999992E-2</v>
      </c>
    </row>
    <row r="22" spans="1:14" x14ac:dyDescent="0.2">
      <c r="A22" s="186"/>
      <c r="B22" s="186" t="s">
        <v>745</v>
      </c>
      <c r="C22" s="203">
        <v>1</v>
      </c>
      <c r="D22" s="889">
        <v>0.95</v>
      </c>
      <c r="E22" s="206">
        <f t="shared" ref="E22:M22" si="3">D22</f>
        <v>0.95</v>
      </c>
      <c r="F22" s="1028">
        <f t="shared" si="3"/>
        <v>0.95</v>
      </c>
      <c r="G22" s="206">
        <f t="shared" si="3"/>
        <v>0.95</v>
      </c>
      <c r="H22" s="206">
        <f t="shared" si="3"/>
        <v>0.95</v>
      </c>
      <c r="I22" s="206">
        <f t="shared" si="3"/>
        <v>0.95</v>
      </c>
      <c r="J22" s="206">
        <f t="shared" si="3"/>
        <v>0.95</v>
      </c>
      <c r="K22" s="206">
        <f t="shared" si="3"/>
        <v>0.95</v>
      </c>
      <c r="L22" s="206">
        <f t="shared" si="3"/>
        <v>0.95</v>
      </c>
      <c r="M22" s="206">
        <f t="shared" si="3"/>
        <v>0.95</v>
      </c>
    </row>
    <row r="23" spans="1:14" x14ac:dyDescent="0.2">
      <c r="A23" s="186"/>
      <c r="B23" s="186" t="s">
        <v>746</v>
      </c>
      <c r="C23" s="207">
        <f t="shared" ref="C23:M23" si="4">$C$13*C22</f>
        <v>7.1999999999999995E-2</v>
      </c>
      <c r="D23" s="207">
        <f t="shared" si="4"/>
        <v>6.8399999999999989E-2</v>
      </c>
      <c r="E23" s="207">
        <f t="shared" si="4"/>
        <v>6.8399999999999989E-2</v>
      </c>
      <c r="F23" s="207">
        <f t="shared" si="4"/>
        <v>6.8399999999999989E-2</v>
      </c>
      <c r="G23" s="207">
        <f t="shared" si="4"/>
        <v>6.8399999999999989E-2</v>
      </c>
      <c r="H23" s="207">
        <f t="shared" si="4"/>
        <v>6.8399999999999989E-2</v>
      </c>
      <c r="I23" s="207">
        <f t="shared" si="4"/>
        <v>6.8399999999999989E-2</v>
      </c>
      <c r="J23" s="207">
        <f t="shared" si="4"/>
        <v>6.8399999999999989E-2</v>
      </c>
      <c r="K23" s="207">
        <f t="shared" si="4"/>
        <v>6.8399999999999989E-2</v>
      </c>
      <c r="L23" s="207">
        <f t="shared" si="4"/>
        <v>6.8399999999999989E-2</v>
      </c>
      <c r="M23" s="207">
        <f t="shared" si="4"/>
        <v>6.8399999999999989E-2</v>
      </c>
    </row>
    <row r="24" spans="1:14" x14ac:dyDescent="0.2">
      <c r="A24" s="186"/>
      <c r="B24" s="186"/>
      <c r="C24" s="207"/>
      <c r="D24" s="207"/>
      <c r="E24" s="207"/>
      <c r="F24" s="207"/>
      <c r="G24" s="207"/>
      <c r="H24" s="207"/>
      <c r="I24" s="207"/>
      <c r="J24" s="207"/>
      <c r="K24" s="207"/>
      <c r="L24" s="207"/>
      <c r="M24" s="207"/>
    </row>
    <row r="25" spans="1:14" x14ac:dyDescent="0.2">
      <c r="A25" s="186"/>
      <c r="B25" s="186"/>
      <c r="C25" s="207"/>
      <c r="D25" s="207"/>
      <c r="E25" s="207"/>
      <c r="F25" s="207"/>
      <c r="G25" s="207"/>
      <c r="H25" s="207"/>
      <c r="I25" s="207"/>
      <c r="J25" s="207"/>
      <c r="K25" s="207"/>
      <c r="L25" s="207"/>
      <c r="M25" s="207"/>
    </row>
    <row r="26" spans="1:14" x14ac:dyDescent="0.2">
      <c r="A26" s="186"/>
      <c r="B26" s="186"/>
      <c r="D26" s="186"/>
      <c r="E26" s="186"/>
      <c r="H26" s="186"/>
      <c r="I26" s="186"/>
      <c r="J26" s="186"/>
      <c r="K26" s="186"/>
      <c r="L26" s="186"/>
      <c r="M26" s="186"/>
    </row>
    <row r="27" spans="1:14" x14ac:dyDescent="0.2">
      <c r="A27" s="186"/>
      <c r="B27" s="186"/>
      <c r="C27" s="11" t="s">
        <v>742</v>
      </c>
      <c r="D27" s="186">
        <v>1</v>
      </c>
      <c r="E27" s="186">
        <f t="shared" ref="E27:M27" si="5">D27+1</f>
        <v>2</v>
      </c>
      <c r="F27" s="186">
        <f t="shared" si="5"/>
        <v>3</v>
      </c>
      <c r="G27" s="186">
        <f t="shared" si="5"/>
        <v>4</v>
      </c>
      <c r="H27" s="186">
        <f t="shared" si="5"/>
        <v>5</v>
      </c>
      <c r="I27" s="186">
        <f t="shared" si="5"/>
        <v>6</v>
      </c>
      <c r="J27" s="186">
        <f t="shared" si="5"/>
        <v>7</v>
      </c>
      <c r="K27" s="186">
        <f t="shared" si="5"/>
        <v>8</v>
      </c>
      <c r="L27" s="186">
        <f t="shared" si="5"/>
        <v>9</v>
      </c>
      <c r="M27" s="186">
        <f t="shared" si="5"/>
        <v>10</v>
      </c>
      <c r="N27" s="11" t="s">
        <v>747</v>
      </c>
    </row>
    <row r="28" spans="1:14" x14ac:dyDescent="0.2">
      <c r="A28" s="186"/>
      <c r="B28" s="186" t="s">
        <v>748</v>
      </c>
      <c r="C28" s="1035">
        <v>1</v>
      </c>
      <c r="D28" s="206">
        <f t="shared" ref="D28:M28" si="6">D30*0.98</f>
        <v>1.1495366828455227</v>
      </c>
      <c r="E28" s="206">
        <f t="shared" si="6"/>
        <v>1.153253703056571</v>
      </c>
      <c r="F28" s="1028">
        <f>F30*0.98</f>
        <v>1.166066992118941</v>
      </c>
      <c r="G28" s="206">
        <f t="shared" si="6"/>
        <v>1.1860506749884194</v>
      </c>
      <c r="H28" s="206">
        <f t="shared" si="6"/>
        <v>1.2103840670334183</v>
      </c>
      <c r="I28" s="206">
        <f t="shared" si="6"/>
        <v>1.2390369786993594</v>
      </c>
      <c r="J28" s="206">
        <f t="shared" si="6"/>
        <v>1.2719808258075926</v>
      </c>
      <c r="K28" s="206">
        <f t="shared" si="6"/>
        <v>1.3091886964632025</v>
      </c>
      <c r="L28" s="206">
        <f t="shared" si="6"/>
        <v>1.3506353827408657</v>
      </c>
      <c r="M28" s="206">
        <f t="shared" si="6"/>
        <v>1.3962973811637902</v>
      </c>
      <c r="N28" s="208">
        <f>NPV(D37,D28:M28)</f>
        <v>9.5147678855926401</v>
      </c>
    </row>
    <row r="29" spans="1:14" x14ac:dyDescent="0.2">
      <c r="A29" s="186"/>
      <c r="B29" s="186" t="s">
        <v>749</v>
      </c>
      <c r="C29" s="1034">
        <f>C17*C28</f>
        <v>5</v>
      </c>
      <c r="D29" s="209">
        <f t="shared" ref="D29:M29" si="7">$C$29*D28</f>
        <v>5.7476834142276134</v>
      </c>
      <c r="E29" s="209">
        <f t="shared" si="7"/>
        <v>5.7662685152828548</v>
      </c>
      <c r="F29" s="1034">
        <f>$C$29*F28</f>
        <v>5.8303349605947048</v>
      </c>
      <c r="G29" s="209">
        <f t="shared" si="7"/>
        <v>5.9302533749420974</v>
      </c>
      <c r="H29" s="209">
        <f t="shared" si="7"/>
        <v>6.0519203351670914</v>
      </c>
      <c r="I29" s="209">
        <f t="shared" si="7"/>
        <v>6.1951848934967968</v>
      </c>
      <c r="J29" s="209">
        <f t="shared" si="7"/>
        <v>6.3599041290379628</v>
      </c>
      <c r="K29" s="209">
        <f t="shared" si="7"/>
        <v>6.5459434823160123</v>
      </c>
      <c r="L29" s="209">
        <f t="shared" si="7"/>
        <v>6.753176913704328</v>
      </c>
      <c r="M29" s="209">
        <f t="shared" si="7"/>
        <v>6.9814869058189508</v>
      </c>
    </row>
    <row r="30" spans="1:14" x14ac:dyDescent="0.2">
      <c r="A30" s="186"/>
      <c r="B30" s="186" t="s">
        <v>750</v>
      </c>
      <c r="C30" s="205">
        <v>1</v>
      </c>
      <c r="D30" s="210">
        <f>1+D33</f>
        <v>1.1729966151484925</v>
      </c>
      <c r="E30" s="210">
        <f t="shared" ref="E30:M30" si="8">D30*(1+E33)</f>
        <v>1.1767894929148683</v>
      </c>
      <c r="F30" s="1011">
        <f>E30*(1+F33)</f>
        <v>1.1898642776723889</v>
      </c>
      <c r="G30" s="210">
        <f t="shared" si="8"/>
        <v>1.2102557908045097</v>
      </c>
      <c r="H30" s="210">
        <f t="shared" si="8"/>
        <v>1.2350857826871615</v>
      </c>
      <c r="I30" s="210">
        <f t="shared" si="8"/>
        <v>1.2643234476524075</v>
      </c>
      <c r="J30" s="210">
        <f t="shared" si="8"/>
        <v>1.297939618171013</v>
      </c>
      <c r="K30" s="210">
        <f t="shared" si="8"/>
        <v>1.3359068331257169</v>
      </c>
      <c r="L30" s="210">
        <f t="shared" si="8"/>
        <v>1.3781993701437405</v>
      </c>
      <c r="M30" s="210">
        <f t="shared" si="8"/>
        <v>1.4247932460855002</v>
      </c>
      <c r="N30" s="208">
        <f>NPV(D37,D30:M30)</f>
        <v>9.7089468220333082</v>
      </c>
    </row>
    <row r="31" spans="1:14" x14ac:dyDescent="0.2">
      <c r="A31" s="186"/>
      <c r="B31" s="186" t="s">
        <v>751</v>
      </c>
      <c r="C31" s="209">
        <f>$C$17*C30</f>
        <v>5</v>
      </c>
      <c r="D31" s="209">
        <f t="shared" ref="D31:M31" si="9">$C$31*D30</f>
        <v>5.8649830757424626</v>
      </c>
      <c r="E31" s="209">
        <f t="shared" si="9"/>
        <v>5.8839474645743417</v>
      </c>
      <c r="F31" s="209">
        <f t="shared" si="9"/>
        <v>5.9493213883619447</v>
      </c>
      <c r="G31" s="209">
        <f t="shared" si="9"/>
        <v>6.0512789540225489</v>
      </c>
      <c r="H31" s="209">
        <f t="shared" si="9"/>
        <v>6.1754289134358071</v>
      </c>
      <c r="I31" s="209">
        <f t="shared" si="9"/>
        <v>6.3216172382620375</v>
      </c>
      <c r="J31" s="209">
        <f t="shared" si="9"/>
        <v>6.4896980908550645</v>
      </c>
      <c r="K31" s="209">
        <f t="shared" si="9"/>
        <v>6.6795341656285849</v>
      </c>
      <c r="L31" s="209">
        <f t="shared" si="9"/>
        <v>6.890996850718702</v>
      </c>
      <c r="M31" s="209">
        <f t="shared" si="9"/>
        <v>7.1239662304275004</v>
      </c>
    </row>
    <row r="32" spans="1:14" x14ac:dyDescent="0.2">
      <c r="A32" s="186"/>
      <c r="B32" s="192" t="s">
        <v>1411</v>
      </c>
      <c r="C32" s="191"/>
      <c r="D32" s="186"/>
      <c r="G32" s="186"/>
      <c r="H32" s="186"/>
      <c r="I32" s="186"/>
      <c r="J32" s="186"/>
      <c r="K32" s="186"/>
      <c r="L32" s="186"/>
    </row>
    <row r="33" spans="2:14" x14ac:dyDescent="0.2">
      <c r="B33" s="186"/>
      <c r="C33" s="211" t="s">
        <v>752</v>
      </c>
      <c r="D33" s="194">
        <v>0.17299661514849263</v>
      </c>
      <c r="E33" s="194">
        <v>3.2334942125092914E-3</v>
      </c>
      <c r="F33" s="1012">
        <v>1.1110555317021653E-2</v>
      </c>
      <c r="G33" s="194">
        <v>1.7137679914225656E-2</v>
      </c>
      <c r="H33" s="194">
        <v>2.0516317353165836E-2</v>
      </c>
      <c r="I33" s="194">
        <v>2.3672578354544616E-2</v>
      </c>
      <c r="J33" s="194">
        <v>2.6588267884317007E-2</v>
      </c>
      <c r="K33" s="194">
        <v>2.9251911585999046E-2</v>
      </c>
      <c r="L33" s="194">
        <v>3.1658298295449749E-2</v>
      </c>
      <c r="M33" s="194">
        <v>3.3807790767528934E-2</v>
      </c>
      <c r="N33" s="194" t="s">
        <v>1411</v>
      </c>
    </row>
    <row r="34" spans="2:14" x14ac:dyDescent="0.2">
      <c r="B34" s="211" t="s">
        <v>753</v>
      </c>
      <c r="D34" s="194">
        <v>1.2315883784169184</v>
      </c>
      <c r="E34" s="194">
        <f t="shared" ref="E34:M34" si="10">D34</f>
        <v>1.2315883784169184</v>
      </c>
      <c r="F34" s="194">
        <f t="shared" si="10"/>
        <v>1.2315883784169184</v>
      </c>
      <c r="G34" s="194">
        <f t="shared" si="10"/>
        <v>1.2315883784169184</v>
      </c>
      <c r="H34" s="194">
        <f t="shared" si="10"/>
        <v>1.2315883784169184</v>
      </c>
      <c r="I34" s="194">
        <f t="shared" si="10"/>
        <v>1.2315883784169184</v>
      </c>
      <c r="J34" s="194">
        <f t="shared" si="10"/>
        <v>1.2315883784169184</v>
      </c>
      <c r="K34" s="194">
        <f t="shared" si="10"/>
        <v>1.2315883784169184</v>
      </c>
      <c r="L34" s="194">
        <f t="shared" si="10"/>
        <v>1.2315883784169184</v>
      </c>
      <c r="M34" s="194">
        <f t="shared" si="10"/>
        <v>1.2315883784169184</v>
      </c>
      <c r="N34" s="208">
        <f>NPV(D37,D34:M34)</f>
        <v>9.5099990000000005</v>
      </c>
    </row>
    <row r="35" spans="2:14" x14ac:dyDescent="0.2">
      <c r="B35" s="211" t="s">
        <v>754</v>
      </c>
      <c r="D35" s="194">
        <v>1.2574895524191596</v>
      </c>
      <c r="E35" s="194">
        <f t="shared" ref="E35:M35" si="11">D35</f>
        <v>1.2574895524191596</v>
      </c>
      <c r="F35" s="194">
        <f t="shared" si="11"/>
        <v>1.2574895524191596</v>
      </c>
      <c r="G35" s="194">
        <f t="shared" si="11"/>
        <v>1.2574895524191596</v>
      </c>
      <c r="H35" s="194">
        <f t="shared" si="11"/>
        <v>1.2574895524191596</v>
      </c>
      <c r="I35" s="194">
        <f t="shared" si="11"/>
        <v>1.2574895524191596</v>
      </c>
      <c r="J35" s="194">
        <f t="shared" si="11"/>
        <v>1.2574895524191596</v>
      </c>
      <c r="K35" s="194">
        <f t="shared" si="11"/>
        <v>1.2574895524191596</v>
      </c>
      <c r="L35" s="194">
        <f t="shared" si="11"/>
        <v>1.2574895524191596</v>
      </c>
      <c r="M35" s="194">
        <f t="shared" si="11"/>
        <v>1.2574895524191596</v>
      </c>
      <c r="N35" s="208">
        <f>NPV(D37,D35:M35)</f>
        <v>9.7100010000000001</v>
      </c>
    </row>
    <row r="36" spans="2:14" x14ac:dyDescent="0.2">
      <c r="B36" s="211"/>
    </row>
    <row r="37" spans="2:14" x14ac:dyDescent="0.2">
      <c r="C37" s="11" t="s">
        <v>755</v>
      </c>
      <c r="D37" s="206">
        <v>0.05</v>
      </c>
    </row>
    <row r="73" spans="2:2" x14ac:dyDescent="0.2">
      <c r="B73" s="208"/>
    </row>
    <row r="84" spans="2:2" x14ac:dyDescent="0.2">
      <c r="B84" s="208"/>
    </row>
  </sheetData>
  <pageMargins left="0.75" right="0.75" top="1" bottom="1" header="0.5" footer="0.5"/>
  <pageSetup scale="64" orientation="landscape" r:id="rId1"/>
  <headerFooter alignWithMargins="0">
    <oddFooter>&amp;L&amp;A&amp;C&amp;D &amp;T</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1:C84"/>
  <sheetViews>
    <sheetView workbookViewId="0">
      <selection activeCell="C6" sqref="C6"/>
    </sheetView>
  </sheetViews>
  <sheetFormatPr defaultColWidth="8" defaultRowHeight="12.75" x14ac:dyDescent="0.2"/>
  <cols>
    <col min="1" max="1" width="8" style="11" customWidth="1"/>
    <col min="2" max="2" width="21.28515625" style="11" customWidth="1"/>
    <col min="3" max="3" width="10" style="11" customWidth="1"/>
    <col min="4" max="16384" width="8" style="11"/>
  </cols>
  <sheetData>
    <row r="1" spans="2:3" ht="18.75" x14ac:dyDescent="0.3">
      <c r="B1" s="212" t="s">
        <v>756</v>
      </c>
    </row>
    <row r="2" spans="2:3" ht="18.75" x14ac:dyDescent="0.3">
      <c r="B2" s="212"/>
    </row>
    <row r="3" spans="2:3" ht="18.75" x14ac:dyDescent="0.3">
      <c r="B3" s="212"/>
    </row>
    <row r="5" spans="2:3" x14ac:dyDescent="0.2">
      <c r="B5" s="213" t="s">
        <v>757</v>
      </c>
    </row>
    <row r="6" spans="2:3" x14ac:dyDescent="0.2">
      <c r="B6" s="11" t="s">
        <v>620</v>
      </c>
      <c r="C6" s="61">
        <f>'Total Baseline'!B12+'Total Baseline'!D12+'Total Baseline'!E12</f>
        <v>58094</v>
      </c>
    </row>
    <row r="7" spans="2:3" x14ac:dyDescent="0.2">
      <c r="B7" s="11" t="s">
        <v>621</v>
      </c>
      <c r="C7" s="61">
        <f>'Total Baseline'!B13+'Total Baseline'!D13+'Total Baseline'!E13</f>
        <v>2130</v>
      </c>
    </row>
    <row r="8" spans="2:3" x14ac:dyDescent="0.2">
      <c r="B8" s="186" t="s">
        <v>622</v>
      </c>
      <c r="C8" s="61">
        <f>'Total Baseline'!B14</f>
        <v>2064</v>
      </c>
    </row>
    <row r="9" spans="2:3" x14ac:dyDescent="0.2">
      <c r="B9" s="11" t="s">
        <v>758</v>
      </c>
      <c r="C9" s="61">
        <f>'Total Baseline'!B19+'Total Baseline'!B20</f>
        <v>7741</v>
      </c>
    </row>
    <row r="10" spans="2:3" x14ac:dyDescent="0.2">
      <c r="B10" s="11" t="s">
        <v>759</v>
      </c>
      <c r="C10" s="61">
        <f>'Total Baseline'!F25</f>
        <v>6684.1652330000015</v>
      </c>
    </row>
    <row r="11" spans="2:3" x14ac:dyDescent="0.2">
      <c r="B11" s="11" t="s">
        <v>760</v>
      </c>
      <c r="C11" s="214">
        <f>'Total Baseline'!F27</f>
        <v>5276.1989999999996</v>
      </c>
    </row>
    <row r="12" spans="2:3" x14ac:dyDescent="0.2">
      <c r="B12" s="11" t="s">
        <v>761</v>
      </c>
      <c r="C12" s="215"/>
    </row>
    <row r="13" spans="2:3" x14ac:dyDescent="0.2">
      <c r="B13" s="11" t="s">
        <v>682</v>
      </c>
      <c r="C13" s="216">
        <f>SUM(C6:C11)</f>
        <v>81989.364233</v>
      </c>
    </row>
    <row r="14" spans="2:3" x14ac:dyDescent="0.2">
      <c r="C14" s="216"/>
    </row>
    <row r="16" spans="2:3" x14ac:dyDescent="0.2">
      <c r="B16" s="213" t="s">
        <v>762</v>
      </c>
    </row>
    <row r="17" spans="2:3" x14ac:dyDescent="0.2">
      <c r="B17" s="11" t="s">
        <v>620</v>
      </c>
      <c r="C17" s="61">
        <f>'Total Baseline'!B35+'Total Baseline'!D35+'Total Baseline'!E35</f>
        <v>41943</v>
      </c>
    </row>
    <row r="18" spans="2:3" x14ac:dyDescent="0.2">
      <c r="B18" s="11" t="s">
        <v>621</v>
      </c>
      <c r="C18" s="61">
        <f>'Total Baseline'!B36+'Total Baseline'!D36+'Total Baseline'!E36</f>
        <v>1486</v>
      </c>
    </row>
    <row r="19" spans="2:3" x14ac:dyDescent="0.2">
      <c r="B19" s="186" t="s">
        <v>622</v>
      </c>
      <c r="C19" s="61">
        <f>'Total Baseline'!B37</f>
        <v>748</v>
      </c>
    </row>
    <row r="20" spans="2:3" x14ac:dyDescent="0.2">
      <c r="B20" s="11" t="s">
        <v>758</v>
      </c>
      <c r="C20" s="61">
        <f>'Total Baseline'!B42+'Total Baseline'!B43</f>
        <v>5441</v>
      </c>
    </row>
    <row r="21" spans="2:3" x14ac:dyDescent="0.2">
      <c r="B21" s="11" t="s">
        <v>759</v>
      </c>
      <c r="C21" s="61">
        <f>'Total Baseline'!F48</f>
        <v>5006.1323560000019</v>
      </c>
    </row>
    <row r="22" spans="2:3" x14ac:dyDescent="0.2">
      <c r="B22" s="11" t="s">
        <v>760</v>
      </c>
      <c r="C22" s="214">
        <f>'Total Baseline'!F50</f>
        <v>3798.248</v>
      </c>
    </row>
    <row r="23" spans="2:3" x14ac:dyDescent="0.2">
      <c r="B23" s="11" t="s">
        <v>761</v>
      </c>
      <c r="C23" s="215"/>
    </row>
    <row r="24" spans="2:3" x14ac:dyDescent="0.2">
      <c r="B24" s="11" t="s">
        <v>682</v>
      </c>
      <c r="C24" s="216">
        <f>SUM(C17:C22)</f>
        <v>58422.380356000001</v>
      </c>
    </row>
    <row r="27" spans="2:3" x14ac:dyDescent="0.2">
      <c r="B27" s="11" t="s">
        <v>763</v>
      </c>
    </row>
    <row r="73" spans="2:2" x14ac:dyDescent="0.2">
      <c r="B73" s="208"/>
    </row>
    <row r="84" spans="2:2" x14ac:dyDescent="0.2">
      <c r="B84" s="208"/>
    </row>
  </sheetData>
  <pageMargins left="0.75" right="0.75" top="1" bottom="1" header="0.5" footer="0.5"/>
  <pageSetup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L84"/>
  <sheetViews>
    <sheetView showGridLines="0" topLeftCell="A12" workbookViewId="0">
      <selection activeCell="C42" sqref="C42"/>
    </sheetView>
  </sheetViews>
  <sheetFormatPr defaultRowHeight="12.75" x14ac:dyDescent="0.2"/>
  <cols>
    <col min="1" max="1" width="10.7109375" customWidth="1"/>
    <col min="2" max="2" width="11.85546875" customWidth="1"/>
    <col min="3" max="3" width="12" customWidth="1"/>
    <col min="4" max="4" width="13.42578125" bestFit="1" customWidth="1"/>
    <col min="5" max="5" width="11.140625" bestFit="1" customWidth="1"/>
    <col min="6" max="8" width="11" bestFit="1" customWidth="1"/>
    <col min="9" max="9" width="11.5703125" customWidth="1"/>
    <col min="10" max="10" width="12.28515625" customWidth="1"/>
    <col min="11" max="12" width="11" bestFit="1" customWidth="1"/>
  </cols>
  <sheetData>
    <row r="1" spans="1:12" ht="15.75" x14ac:dyDescent="0.25">
      <c r="A1" s="489" t="s">
        <v>1099</v>
      </c>
      <c r="B1" s="490" t="s">
        <v>1100</v>
      </c>
    </row>
    <row r="5" spans="1:12" x14ac:dyDescent="0.2">
      <c r="C5">
        <v>2000</v>
      </c>
      <c r="D5">
        <v>2001</v>
      </c>
      <c r="E5">
        <v>2002</v>
      </c>
      <c r="F5">
        <v>2003</v>
      </c>
      <c r="G5">
        <v>2004</v>
      </c>
      <c r="H5">
        <v>2005</v>
      </c>
      <c r="I5">
        <v>2006</v>
      </c>
      <c r="J5">
        <v>2007</v>
      </c>
      <c r="K5">
        <v>2008</v>
      </c>
      <c r="L5">
        <v>2009</v>
      </c>
    </row>
    <row r="6" spans="1:12" x14ac:dyDescent="0.2">
      <c r="A6" s="491" t="s">
        <v>1101</v>
      </c>
      <c r="C6" s="386">
        <v>2.58E-2</v>
      </c>
      <c r="D6" s="386">
        <v>2.18E-2</v>
      </c>
      <c r="E6" s="386">
        <v>2.0899999999999998E-2</v>
      </c>
      <c r="F6" s="386">
        <v>2.01E-2</v>
      </c>
      <c r="G6" s="386">
        <v>1.9400000000000001E-2</v>
      </c>
      <c r="H6" s="386">
        <v>1.8700000000000001E-2</v>
      </c>
      <c r="I6" s="386">
        <v>1.7999999999999999E-2</v>
      </c>
      <c r="J6" s="386">
        <v>1.7500000000000002E-2</v>
      </c>
      <c r="K6" s="386">
        <v>1.6799999999999999E-2</v>
      </c>
      <c r="L6" s="386">
        <v>1.6400000000000001E-2</v>
      </c>
    </row>
    <row r="10" spans="1:12" x14ac:dyDescent="0.2">
      <c r="F10" s="490" t="s">
        <v>742</v>
      </c>
    </row>
    <row r="11" spans="1:12" x14ac:dyDescent="0.2">
      <c r="A11" s="482" t="s">
        <v>1102</v>
      </c>
      <c r="B11" s="483" t="s">
        <v>1103</v>
      </c>
      <c r="C11" s="1038">
        <f>F34*(1+C6)</f>
        <v>9766374.0662000012</v>
      </c>
      <c r="D11" s="484">
        <f t="shared" ref="D11:L11" si="0">C11*(1+D6)</f>
        <v>9979281.0208431613</v>
      </c>
      <c r="E11" s="484">
        <f t="shared" si="0"/>
        <v>10187847.994178783</v>
      </c>
      <c r="F11" s="484">
        <f t="shared" si="0"/>
        <v>10392623.738861777</v>
      </c>
      <c r="G11" s="484">
        <f t="shared" si="0"/>
        <v>10594240.639395697</v>
      </c>
      <c r="H11" s="484">
        <f t="shared" si="0"/>
        <v>10792352.939352395</v>
      </c>
      <c r="I11" s="484">
        <f t="shared" si="0"/>
        <v>10986615.292260738</v>
      </c>
      <c r="J11" s="484">
        <f t="shared" si="0"/>
        <v>11178881.059875302</v>
      </c>
      <c r="K11" s="484">
        <f t="shared" si="0"/>
        <v>11366686.261681207</v>
      </c>
      <c r="L11" s="484">
        <f t="shared" si="0"/>
        <v>11553099.916372778</v>
      </c>
    </row>
    <row r="12" spans="1:12" x14ac:dyDescent="0.2">
      <c r="A12" s="482" t="s">
        <v>1366</v>
      </c>
      <c r="B12" s="483" t="s">
        <v>1104</v>
      </c>
      <c r="C12" s="485">
        <f>$F$35*(1+C6)</f>
        <v>4420136.2970000003</v>
      </c>
      <c r="D12" s="485">
        <f t="shared" ref="D12:L12" si="1">C12*(1+D6)</f>
        <v>4516495.2682746006</v>
      </c>
      <c r="E12" s="485">
        <f t="shared" si="1"/>
        <v>4610890.019381539</v>
      </c>
      <c r="F12" s="485">
        <f t="shared" si="1"/>
        <v>4703568.9087711079</v>
      </c>
      <c r="G12" s="485">
        <f t="shared" si="1"/>
        <v>4794818.1456012679</v>
      </c>
      <c r="H12" s="485">
        <f t="shared" si="1"/>
        <v>4884481.2449240116</v>
      </c>
      <c r="I12" s="485">
        <f t="shared" si="1"/>
        <v>4972401.9073326439</v>
      </c>
      <c r="J12" s="485">
        <f t="shared" si="1"/>
        <v>5059418.9407109655</v>
      </c>
      <c r="K12" s="485">
        <f t="shared" si="1"/>
        <v>5144417.1789149093</v>
      </c>
      <c r="L12" s="485">
        <f t="shared" si="1"/>
        <v>5228785.6206491133</v>
      </c>
    </row>
    <row r="13" spans="1:12" x14ac:dyDescent="0.2">
      <c r="B13" s="483" t="s">
        <v>1105</v>
      </c>
      <c r="C13" s="446">
        <f t="shared" ref="C13:L13" si="2">SUM(C11:C12)</f>
        <v>14186510.363200001</v>
      </c>
      <c r="D13" s="446">
        <f t="shared" si="2"/>
        <v>14495776.289117761</v>
      </c>
      <c r="E13" s="446">
        <f t="shared" si="2"/>
        <v>14798738.013560321</v>
      </c>
      <c r="F13" s="446">
        <f t="shared" si="2"/>
        <v>15096192.647632886</v>
      </c>
      <c r="G13" s="446">
        <f t="shared" si="2"/>
        <v>15389058.784996964</v>
      </c>
      <c r="H13" s="446">
        <f t="shared" si="2"/>
        <v>15676834.184276406</v>
      </c>
      <c r="I13" s="446">
        <f t="shared" si="2"/>
        <v>15959017.199593382</v>
      </c>
      <c r="J13" s="446">
        <f t="shared" si="2"/>
        <v>16238300.000586268</v>
      </c>
      <c r="K13" s="446">
        <f t="shared" si="2"/>
        <v>16511103.440596115</v>
      </c>
      <c r="L13" s="446">
        <f t="shared" si="2"/>
        <v>16781885.53702189</v>
      </c>
    </row>
    <row r="14" spans="1:12" x14ac:dyDescent="0.2">
      <c r="B14" s="483"/>
    </row>
    <row r="15" spans="1:12" x14ac:dyDescent="0.2">
      <c r="B15" s="483"/>
    </row>
    <row r="16" spans="1:12" x14ac:dyDescent="0.2">
      <c r="B16" s="483"/>
    </row>
    <row r="17" spans="1:12" x14ac:dyDescent="0.2">
      <c r="B17" s="483"/>
      <c r="C17">
        <f>C19/C11</f>
        <v>0.85399999999999998</v>
      </c>
      <c r="F17" s="486" t="s">
        <v>771</v>
      </c>
    </row>
    <row r="18" spans="1:12" x14ac:dyDescent="0.2">
      <c r="B18" s="483"/>
      <c r="F18" s="486" t="s">
        <v>862</v>
      </c>
    </row>
    <row r="19" spans="1:12" x14ac:dyDescent="0.2">
      <c r="A19" s="482" t="s">
        <v>1102</v>
      </c>
      <c r="B19" s="483" t="s">
        <v>1103</v>
      </c>
      <c r="C19" s="484">
        <f t="shared" ref="C19:L19" si="3">C11*(1-$C$34)</f>
        <v>8340483.4525348004</v>
      </c>
      <c r="D19" s="484">
        <f t="shared" si="3"/>
        <v>8522305.9918000586</v>
      </c>
      <c r="E19" s="484">
        <f t="shared" si="3"/>
        <v>8700422.18702868</v>
      </c>
      <c r="F19" s="484">
        <f t="shared" si="3"/>
        <v>8875300.6729879566</v>
      </c>
      <c r="G19" s="484">
        <f t="shared" si="3"/>
        <v>9047481.5060439259</v>
      </c>
      <c r="H19" s="484">
        <f t="shared" si="3"/>
        <v>9216669.4102069456</v>
      </c>
      <c r="I19" s="484">
        <f t="shared" si="3"/>
        <v>9382569.4595906697</v>
      </c>
      <c r="J19" s="484">
        <f t="shared" si="3"/>
        <v>9546764.4251335077</v>
      </c>
      <c r="K19" s="484">
        <f t="shared" si="3"/>
        <v>9707150.067475751</v>
      </c>
      <c r="L19" s="484">
        <f t="shared" si="3"/>
        <v>9866347.328582352</v>
      </c>
    </row>
    <row r="20" spans="1:12" x14ac:dyDescent="0.2">
      <c r="A20" s="482"/>
      <c r="B20" s="483" t="s">
        <v>1108</v>
      </c>
      <c r="C20" s="366">
        <f>C19/C11</f>
        <v>0.85399999999999998</v>
      </c>
      <c r="D20" s="503">
        <f t="shared" ref="D20:L20" si="4">D19/D11</f>
        <v>0.85399999999999987</v>
      </c>
      <c r="E20" s="503">
        <f t="shared" si="4"/>
        <v>0.85399999999999987</v>
      </c>
      <c r="F20" s="503">
        <f t="shared" si="4"/>
        <v>0.85399999999999987</v>
      </c>
      <c r="G20" s="503">
        <f t="shared" si="4"/>
        <v>0.85400000000000009</v>
      </c>
      <c r="H20" s="503">
        <f t="shared" si="4"/>
        <v>0.85399999999999998</v>
      </c>
      <c r="I20" s="503">
        <f t="shared" si="4"/>
        <v>0.85399999999999998</v>
      </c>
      <c r="J20" s="503">
        <f t="shared" si="4"/>
        <v>0.85399999999999998</v>
      </c>
      <c r="K20" s="503">
        <f t="shared" si="4"/>
        <v>0.85400000000000009</v>
      </c>
      <c r="L20" s="503">
        <f t="shared" si="4"/>
        <v>0.85399999999999998</v>
      </c>
    </row>
    <row r="21" spans="1:12" x14ac:dyDescent="0.2">
      <c r="A21" s="482" t="s">
        <v>1366</v>
      </c>
      <c r="B21" s="483" t="s">
        <v>1104</v>
      </c>
      <c r="C21" s="485">
        <f t="shared" ref="C21:L21" si="5">C12*(1-$C$34)</f>
        <v>3774796.3976380001</v>
      </c>
      <c r="D21" s="485">
        <f t="shared" si="5"/>
        <v>3857086.9591065086</v>
      </c>
      <c r="E21" s="485">
        <f t="shared" si="5"/>
        <v>3937700.0765518341</v>
      </c>
      <c r="F21" s="485">
        <f t="shared" si="5"/>
        <v>4016847.8480905262</v>
      </c>
      <c r="G21" s="485">
        <f t="shared" si="5"/>
        <v>4094774.6963434829</v>
      </c>
      <c r="H21" s="485">
        <f t="shared" si="5"/>
        <v>4171346.9831651058</v>
      </c>
      <c r="I21" s="485">
        <f t="shared" si="5"/>
        <v>4246431.2288620779</v>
      </c>
      <c r="J21" s="485">
        <f t="shared" si="5"/>
        <v>4320743.7753671641</v>
      </c>
      <c r="K21" s="485">
        <f t="shared" si="5"/>
        <v>4393332.2707933327</v>
      </c>
      <c r="L21" s="485">
        <f t="shared" si="5"/>
        <v>4465382.9200343424</v>
      </c>
    </row>
    <row r="22" spans="1:12" x14ac:dyDescent="0.2">
      <c r="B22" s="483" t="s">
        <v>1105</v>
      </c>
      <c r="C22" s="446">
        <f t="shared" ref="C22:L22" si="6">SUM(C19:C21)</f>
        <v>12115280.704172801</v>
      </c>
      <c r="D22" s="446">
        <f t="shared" si="6"/>
        <v>12379393.804906568</v>
      </c>
      <c r="E22" s="446">
        <f t="shared" si="6"/>
        <v>12638123.117580514</v>
      </c>
      <c r="F22" s="446">
        <f t="shared" si="6"/>
        <v>12892149.375078483</v>
      </c>
      <c r="G22" s="446">
        <f t="shared" si="6"/>
        <v>13142257.05638741</v>
      </c>
      <c r="H22" s="446">
        <f t="shared" si="6"/>
        <v>13388017.247372052</v>
      </c>
      <c r="I22" s="446">
        <f t="shared" si="6"/>
        <v>13629001.542452749</v>
      </c>
      <c r="J22" s="446">
        <f t="shared" si="6"/>
        <v>13867509.054500673</v>
      </c>
      <c r="K22" s="446">
        <f t="shared" si="6"/>
        <v>14100483.192269083</v>
      </c>
      <c r="L22" s="446">
        <f t="shared" si="6"/>
        <v>14331731.102616694</v>
      </c>
    </row>
    <row r="23" spans="1:12" x14ac:dyDescent="0.2">
      <c r="B23" s="483"/>
      <c r="D23">
        <f>C11*C20*(1+D6)</f>
        <v>8522305.9918000586</v>
      </c>
    </row>
    <row r="24" spans="1:12" x14ac:dyDescent="0.2">
      <c r="B24" s="483"/>
    </row>
    <row r="25" spans="1:12" x14ac:dyDescent="0.2">
      <c r="B25" s="483"/>
      <c r="F25" s="486" t="s">
        <v>863</v>
      </c>
    </row>
    <row r="26" spans="1:12" x14ac:dyDescent="0.2">
      <c r="A26" s="482" t="s">
        <v>1102</v>
      </c>
      <c r="B26" s="483" t="s">
        <v>1103</v>
      </c>
      <c r="C26" s="1038">
        <f>C11*(1-$C$33)</f>
        <v>7940062.1158206007</v>
      </c>
      <c r="D26" s="484">
        <f t="shared" ref="D26:L26" si="7">D11*(1-$C$33)</f>
        <v>8113155.4699454894</v>
      </c>
      <c r="E26" s="484">
        <f t="shared" si="7"/>
        <v>8282720.4192673499</v>
      </c>
      <c r="F26" s="484">
        <f t="shared" si="7"/>
        <v>8449203.0996946245</v>
      </c>
      <c r="G26" s="484">
        <f t="shared" si="7"/>
        <v>8613117.6398287006</v>
      </c>
      <c r="H26" s="484">
        <f t="shared" si="7"/>
        <v>8774182.9396934956</v>
      </c>
      <c r="I26" s="484">
        <f t="shared" si="7"/>
        <v>8932118.2326079793</v>
      </c>
      <c r="J26" s="484">
        <f t="shared" si="7"/>
        <v>9088430.3016786203</v>
      </c>
      <c r="K26" s="484">
        <f t="shared" si="7"/>
        <v>9241115.9307468198</v>
      </c>
      <c r="L26" s="484">
        <f t="shared" si="7"/>
        <v>9392670.2320110686</v>
      </c>
    </row>
    <row r="27" spans="1:12" x14ac:dyDescent="0.2">
      <c r="A27" s="482"/>
      <c r="B27" s="483" t="s">
        <v>1108</v>
      </c>
      <c r="C27" s="503">
        <f>C26/C11</f>
        <v>0.81299999999999994</v>
      </c>
      <c r="D27" s="503">
        <f t="shared" ref="D27:L27" si="8">D26/D11</f>
        <v>0.81299999999999994</v>
      </c>
      <c r="E27" s="503">
        <f t="shared" si="8"/>
        <v>0.81299999999999994</v>
      </c>
      <c r="F27" s="503">
        <f t="shared" si="8"/>
        <v>0.81299999999999994</v>
      </c>
      <c r="G27" s="503">
        <f t="shared" si="8"/>
        <v>0.81299999999999994</v>
      </c>
      <c r="H27" s="503">
        <f t="shared" si="8"/>
        <v>0.81299999999999983</v>
      </c>
      <c r="I27" s="503">
        <f t="shared" si="8"/>
        <v>0.81299999999999994</v>
      </c>
      <c r="J27" s="503">
        <f t="shared" si="8"/>
        <v>0.81299999999999994</v>
      </c>
      <c r="K27" s="503">
        <f t="shared" si="8"/>
        <v>0.81299999999999994</v>
      </c>
      <c r="L27" s="503">
        <f t="shared" si="8"/>
        <v>0.81300000000000006</v>
      </c>
    </row>
    <row r="28" spans="1:12" x14ac:dyDescent="0.2">
      <c r="A28" s="482" t="s">
        <v>1366</v>
      </c>
      <c r="B28" s="483" t="s">
        <v>1104</v>
      </c>
      <c r="C28" s="485">
        <f t="shared" ref="C28:L28" si="9">C12*(1-$C$33)</f>
        <v>3593570.8094609999</v>
      </c>
      <c r="D28" s="485">
        <f t="shared" si="9"/>
        <v>3671910.6531072501</v>
      </c>
      <c r="E28" s="485">
        <f t="shared" si="9"/>
        <v>3748653.5857571908</v>
      </c>
      <c r="F28" s="485">
        <f t="shared" si="9"/>
        <v>3824001.5228309105</v>
      </c>
      <c r="G28" s="485">
        <f t="shared" si="9"/>
        <v>3898187.1523738308</v>
      </c>
      <c r="H28" s="485">
        <f t="shared" si="9"/>
        <v>3971083.2521232213</v>
      </c>
      <c r="I28" s="485">
        <f t="shared" si="9"/>
        <v>4042562.7506614393</v>
      </c>
      <c r="J28" s="485">
        <f t="shared" si="9"/>
        <v>4113307.5987980147</v>
      </c>
      <c r="K28" s="485">
        <f t="shared" si="9"/>
        <v>4182411.1664578211</v>
      </c>
      <c r="L28" s="485">
        <f t="shared" si="9"/>
        <v>4251002.7095877286</v>
      </c>
    </row>
    <row r="29" spans="1:12" x14ac:dyDescent="0.2">
      <c r="B29" s="483" t="s">
        <v>1105</v>
      </c>
      <c r="C29" s="446">
        <f t="shared" ref="C29:L29" si="10">SUM(C26:C28)</f>
        <v>11533633.7382816</v>
      </c>
      <c r="D29" s="446">
        <f t="shared" si="10"/>
        <v>11785066.93605274</v>
      </c>
      <c r="E29" s="446">
        <f t="shared" si="10"/>
        <v>12031374.81802454</v>
      </c>
      <c r="F29" s="446">
        <f t="shared" si="10"/>
        <v>12273205.435525535</v>
      </c>
      <c r="G29" s="446">
        <f t="shared" si="10"/>
        <v>12511305.60520253</v>
      </c>
      <c r="H29" s="446">
        <f t="shared" si="10"/>
        <v>12745267.004816717</v>
      </c>
      <c r="I29" s="446">
        <f t="shared" si="10"/>
        <v>12974681.796269417</v>
      </c>
      <c r="J29" s="446">
        <f t="shared" si="10"/>
        <v>13201738.713476634</v>
      </c>
      <c r="K29" s="446">
        <f t="shared" si="10"/>
        <v>13423527.91020464</v>
      </c>
      <c r="L29" s="446">
        <f t="shared" si="10"/>
        <v>13643673.754598796</v>
      </c>
    </row>
    <row r="31" spans="1:12" x14ac:dyDescent="0.2">
      <c r="A31" s="508" t="s">
        <v>1300</v>
      </c>
      <c r="C31" s="487"/>
      <c r="D31" s="487"/>
      <c r="E31" s="487"/>
      <c r="F31" s="487"/>
      <c r="G31" s="487"/>
      <c r="H31" s="487"/>
      <c r="I31" s="487"/>
      <c r="J31" s="487"/>
      <c r="K31" s="487"/>
      <c r="L31" s="487"/>
    </row>
    <row r="32" spans="1:12" ht="13.5" thickBot="1" x14ac:dyDescent="0.25">
      <c r="B32" s="490" t="s">
        <v>1106</v>
      </c>
    </row>
    <row r="33" spans="1:12" x14ac:dyDescent="0.2">
      <c r="B33" s="482" t="s">
        <v>863</v>
      </c>
      <c r="C33" s="1040">
        <v>0.187</v>
      </c>
      <c r="D33" s="492"/>
      <c r="E33" s="493" t="s">
        <v>1366</v>
      </c>
      <c r="F33" s="493" t="s">
        <v>1107</v>
      </c>
      <c r="G33" s="494" t="s">
        <v>682</v>
      </c>
      <c r="H33" s="487"/>
      <c r="I33" s="487"/>
      <c r="J33" s="487"/>
      <c r="K33" s="487"/>
      <c r="L33" s="487"/>
    </row>
    <row r="34" spans="1:12" x14ac:dyDescent="0.2">
      <c r="B34" s="482" t="s">
        <v>862</v>
      </c>
      <c r="C34" s="488">
        <v>0.14599999999999999</v>
      </c>
      <c r="D34" s="495" t="s">
        <v>1103</v>
      </c>
      <c r="E34" s="496">
        <v>15957946</v>
      </c>
      <c r="F34" s="1039">
        <v>9520739</v>
      </c>
      <c r="G34" s="497">
        <v>25478685</v>
      </c>
    </row>
    <row r="35" spans="1:12" x14ac:dyDescent="0.2">
      <c r="D35" s="495" t="s">
        <v>1104</v>
      </c>
      <c r="E35" s="498">
        <v>4512196</v>
      </c>
      <c r="F35" s="498">
        <v>4308965</v>
      </c>
      <c r="G35" s="499">
        <v>8821161</v>
      </c>
    </row>
    <row r="36" spans="1:12" ht="13.5" thickBot="1" x14ac:dyDescent="0.25">
      <c r="D36" s="500" t="s">
        <v>682</v>
      </c>
      <c r="E36" s="501">
        <v>20470142</v>
      </c>
      <c r="F36" s="501">
        <v>13829704</v>
      </c>
      <c r="G36" s="502">
        <v>34299845</v>
      </c>
    </row>
    <row r="39" spans="1:12" x14ac:dyDescent="0.2">
      <c r="A39" s="508" t="s">
        <v>775</v>
      </c>
    </row>
    <row r="40" spans="1:12" ht="13.5" thickBot="1" x14ac:dyDescent="0.25"/>
    <row r="41" spans="1:12" x14ac:dyDescent="0.2">
      <c r="B41" s="369" t="s">
        <v>1106</v>
      </c>
      <c r="E41" s="492"/>
      <c r="F41" s="493" t="s">
        <v>1366</v>
      </c>
      <c r="G41" s="493" t="s">
        <v>1107</v>
      </c>
      <c r="H41" s="494" t="s">
        <v>682</v>
      </c>
    </row>
    <row r="42" spans="1:12" x14ac:dyDescent="0.2">
      <c r="B42" t="s">
        <v>863</v>
      </c>
      <c r="C42" s="1037">
        <v>0.10199999999999999</v>
      </c>
      <c r="E42" s="495" t="s">
        <v>1103</v>
      </c>
      <c r="F42" s="496">
        <v>15957946</v>
      </c>
      <c r="G42" s="496">
        <v>9520739</v>
      </c>
      <c r="H42" s="497">
        <v>25478685</v>
      </c>
    </row>
    <row r="43" spans="1:12" x14ac:dyDescent="0.2">
      <c r="B43" t="s">
        <v>862</v>
      </c>
      <c r="C43" s="386">
        <v>7.3999999999999996E-2</v>
      </c>
      <c r="E43" s="495" t="s">
        <v>1104</v>
      </c>
      <c r="F43" s="498">
        <v>4512196</v>
      </c>
      <c r="G43" s="498">
        <v>4308965</v>
      </c>
      <c r="H43" s="499">
        <v>8821161</v>
      </c>
    </row>
    <row r="44" spans="1:12" ht="13.5" thickBot="1" x14ac:dyDescent="0.25">
      <c r="E44" s="500" t="s">
        <v>682</v>
      </c>
      <c r="F44" s="501">
        <v>20470142</v>
      </c>
      <c r="G44" s="501">
        <v>13829704</v>
      </c>
      <c r="H44" s="502">
        <v>34299845</v>
      </c>
    </row>
    <row r="73" spans="2:2" x14ac:dyDescent="0.2">
      <c r="B73" s="616"/>
    </row>
    <row r="84" spans="2:2" x14ac:dyDescent="0.2">
      <c r="B84" s="616"/>
    </row>
  </sheetData>
  <pageMargins left="0.18" right="0.17" top="1" bottom="1" header="0.5" footer="0.5"/>
  <pageSetup orientation="landscape" r:id="rId1"/>
  <headerFooter alignWithMargins="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pageSetUpPr fitToPage="1"/>
  </sheetPr>
  <dimension ref="A1:O179"/>
  <sheetViews>
    <sheetView topLeftCell="A4" workbookViewId="0">
      <selection activeCell="F24" sqref="F24"/>
    </sheetView>
  </sheetViews>
  <sheetFormatPr defaultColWidth="8" defaultRowHeight="12.75" x14ac:dyDescent="0.2"/>
  <cols>
    <col min="1" max="1" width="4" style="372" customWidth="1"/>
    <col min="2" max="2" width="48" style="372" bestFit="1" customWidth="1"/>
    <col min="3" max="3" width="20.85546875" style="372" customWidth="1"/>
    <col min="4" max="4" width="18.42578125" style="372" customWidth="1"/>
    <col min="5" max="5" width="17" style="372" customWidth="1"/>
    <col min="6" max="6" width="16" style="372" customWidth="1"/>
    <col min="7" max="7" width="12.7109375" style="372" customWidth="1"/>
    <col min="8" max="8" width="12.85546875" style="372" customWidth="1"/>
    <col min="9" max="11" width="12" style="372" bestFit="1" customWidth="1"/>
    <col min="12" max="13" width="13" style="372" bestFit="1" customWidth="1"/>
    <col min="14" max="14" width="14.28515625" style="372" bestFit="1" customWidth="1"/>
    <col min="15" max="15" width="12.28515625" style="372" bestFit="1" customWidth="1"/>
    <col min="16" max="16384" width="8" style="372"/>
  </cols>
  <sheetData>
    <row r="1" spans="1:13" ht="20.25" x14ac:dyDescent="0.3">
      <c r="A1" s="787" t="s">
        <v>764</v>
      </c>
      <c r="C1" s="447"/>
      <c r="D1" s="447"/>
      <c r="G1" s="447"/>
      <c r="H1" s="447"/>
      <c r="I1" s="447"/>
      <c r="J1" s="447"/>
      <c r="K1" s="447"/>
      <c r="L1" s="447"/>
      <c r="M1" s="447"/>
    </row>
    <row r="2" spans="1:13" ht="20.25" x14ac:dyDescent="0.3">
      <c r="A2" s="787"/>
      <c r="C2" s="447"/>
      <c r="D2" s="447"/>
      <c r="G2" s="447"/>
      <c r="H2" s="447"/>
      <c r="I2" s="447"/>
      <c r="J2" s="447"/>
      <c r="K2" s="447"/>
      <c r="L2" s="447"/>
      <c r="M2" s="447"/>
    </row>
    <row r="3" spans="1:13" ht="18.75" x14ac:dyDescent="0.3">
      <c r="A3" s="788" t="s">
        <v>681</v>
      </c>
      <c r="C3" s="447"/>
      <c r="D3" s="447"/>
      <c r="G3" s="447"/>
      <c r="H3" s="447"/>
      <c r="I3" s="447"/>
      <c r="J3" s="447"/>
      <c r="K3" s="447"/>
      <c r="L3" s="447"/>
      <c r="M3" s="447"/>
    </row>
    <row r="4" spans="1:13" ht="15" customHeight="1" x14ac:dyDescent="0.3">
      <c r="A4" s="787"/>
      <c r="C4" s="447"/>
      <c r="D4" s="447"/>
      <c r="G4" s="447"/>
      <c r="H4" s="447"/>
      <c r="I4" s="447"/>
      <c r="J4" s="447"/>
      <c r="K4" s="447"/>
      <c r="L4" s="447"/>
      <c r="M4" s="447"/>
    </row>
    <row r="5" spans="1:13" ht="15" customHeight="1" x14ac:dyDescent="0.3">
      <c r="A5" s="787"/>
      <c r="B5" s="447" t="s">
        <v>448</v>
      </c>
      <c r="C5" s="789" t="s">
        <v>1412</v>
      </c>
      <c r="D5" s="447"/>
      <c r="G5" s="447"/>
      <c r="H5" s="447"/>
      <c r="I5" s="447"/>
      <c r="J5" s="447"/>
      <c r="K5" s="447"/>
      <c r="L5" s="447"/>
      <c r="M5" s="447"/>
    </row>
    <row r="6" spans="1:13" ht="16.5" customHeight="1" x14ac:dyDescent="0.3">
      <c r="A6" s="787"/>
      <c r="B6" s="447" t="s">
        <v>449</v>
      </c>
      <c r="C6" s="789" t="s">
        <v>1417</v>
      </c>
      <c r="D6" s="447"/>
      <c r="G6" s="447"/>
      <c r="H6" s="447"/>
      <c r="I6" s="447"/>
      <c r="J6" s="447"/>
      <c r="K6" s="447"/>
      <c r="L6" s="447"/>
      <c r="M6" s="447"/>
    </row>
    <row r="7" spans="1:13" ht="16.5" customHeight="1" x14ac:dyDescent="0.3">
      <c r="A7" s="787"/>
      <c r="B7" s="372" t="s">
        <v>878</v>
      </c>
      <c r="C7" s="789" t="s">
        <v>1412</v>
      </c>
      <c r="D7" s="447"/>
      <c r="G7" s="447"/>
      <c r="H7" s="447"/>
      <c r="I7" s="447"/>
      <c r="J7" s="447"/>
      <c r="K7" s="447"/>
      <c r="L7" s="447"/>
      <c r="M7" s="447"/>
    </row>
    <row r="8" spans="1:13" ht="16.5" customHeight="1" x14ac:dyDescent="0.3">
      <c r="A8" s="787"/>
      <c r="B8" s="372" t="s">
        <v>879</v>
      </c>
      <c r="C8" s="1017">
        <v>5.5E-2</v>
      </c>
      <c r="D8" s="447"/>
      <c r="G8" s="447"/>
      <c r="H8" s="447"/>
      <c r="I8" s="447"/>
      <c r="J8" s="447"/>
      <c r="K8" s="447"/>
      <c r="L8" s="447"/>
      <c r="M8" s="447"/>
    </row>
    <row r="9" spans="1:13" ht="15.75" customHeight="1" x14ac:dyDescent="0.3">
      <c r="A9" s="787"/>
      <c r="B9" s="372" t="s">
        <v>880</v>
      </c>
      <c r="C9" s="989">
        <v>0.04</v>
      </c>
      <c r="D9" s="447"/>
      <c r="G9" s="447"/>
      <c r="H9" s="447"/>
      <c r="I9" s="447"/>
      <c r="J9" s="447"/>
      <c r="K9" s="447"/>
      <c r="L9" s="447"/>
      <c r="M9" s="447"/>
    </row>
    <row r="10" spans="1:13" ht="15.75" customHeight="1" x14ac:dyDescent="0.3">
      <c r="A10" s="787"/>
      <c r="B10" s="372" t="s">
        <v>881</v>
      </c>
      <c r="C10" s="790" t="s">
        <v>867</v>
      </c>
      <c r="D10" s="447"/>
      <c r="G10" s="447"/>
      <c r="H10" s="447"/>
      <c r="I10" s="447"/>
      <c r="J10" s="447"/>
      <c r="K10" s="447"/>
      <c r="L10" s="447"/>
      <c r="M10" s="447"/>
    </row>
    <row r="11" spans="1:13" ht="15.75" customHeight="1" x14ac:dyDescent="0.3">
      <c r="A11" s="787"/>
      <c r="B11" s="372" t="s">
        <v>963</v>
      </c>
      <c r="C11" s="790" t="s">
        <v>1412</v>
      </c>
      <c r="D11" s="447"/>
      <c r="G11" s="447"/>
      <c r="H11" s="447"/>
      <c r="I11" s="447"/>
      <c r="J11" s="447"/>
      <c r="K11" s="447"/>
      <c r="L11" s="447"/>
      <c r="M11" s="447"/>
    </row>
    <row r="12" spans="1:13" ht="15.75" customHeight="1" x14ac:dyDescent="0.3">
      <c r="A12" s="787"/>
      <c r="B12" s="372" t="s">
        <v>964</v>
      </c>
      <c r="C12" s="790" t="s">
        <v>1417</v>
      </c>
      <c r="D12" s="447"/>
      <c r="G12" s="447"/>
      <c r="H12" s="447"/>
      <c r="I12" s="447"/>
      <c r="J12" s="447"/>
      <c r="K12" s="447"/>
      <c r="L12" s="447"/>
      <c r="M12" s="447"/>
    </row>
    <row r="13" spans="1:13" ht="15.75" customHeight="1" x14ac:dyDescent="0.3">
      <c r="A13" s="787"/>
      <c r="B13" s="447" t="s">
        <v>1153</v>
      </c>
      <c r="C13" s="983">
        <v>1.15E-2</v>
      </c>
      <c r="D13" s="447"/>
      <c r="G13" s="447"/>
      <c r="H13" s="447"/>
      <c r="I13" s="447"/>
      <c r="J13" s="447"/>
      <c r="K13" s="447"/>
      <c r="L13" s="447"/>
      <c r="M13" s="447"/>
    </row>
    <row r="14" spans="1:13" ht="15.75" customHeight="1" x14ac:dyDescent="0.3">
      <c r="A14" s="787"/>
      <c r="B14" s="447" t="s">
        <v>830</v>
      </c>
      <c r="C14" s="792" t="str">
        <f>IF('general info'!B46="y","n","y")</f>
        <v>n</v>
      </c>
      <c r="D14" s="447"/>
      <c r="G14" s="447"/>
      <c r="H14" s="447"/>
      <c r="I14" s="447"/>
      <c r="J14" s="447"/>
      <c r="K14" s="447"/>
      <c r="L14" s="447"/>
      <c r="M14" s="447"/>
    </row>
    <row r="15" spans="1:13" ht="15.75" customHeight="1" x14ac:dyDescent="0.3">
      <c r="A15" s="787"/>
      <c r="C15" s="447"/>
      <c r="D15" s="447"/>
      <c r="G15" s="447"/>
      <c r="H15" s="447"/>
      <c r="I15" s="447"/>
      <c r="J15" s="447"/>
      <c r="K15" s="447"/>
      <c r="L15" s="447"/>
      <c r="M15" s="447"/>
    </row>
    <row r="16" spans="1:13" ht="18.75" customHeight="1" x14ac:dyDescent="0.3">
      <c r="A16" s="788" t="s">
        <v>722</v>
      </c>
      <c r="C16" s="447"/>
      <c r="D16" s="447"/>
      <c r="G16" s="447"/>
      <c r="H16" s="447"/>
      <c r="I16" s="447"/>
      <c r="J16" s="447"/>
      <c r="K16" s="447"/>
      <c r="L16" s="447"/>
      <c r="M16" s="447"/>
    </row>
    <row r="17" spans="1:13" ht="14.25" customHeight="1" x14ac:dyDescent="0.3">
      <c r="A17" s="788"/>
      <c r="C17" s="793" t="s">
        <v>718</v>
      </c>
      <c r="D17" s="793" t="s">
        <v>719</v>
      </c>
      <c r="E17" s="794" t="s">
        <v>965</v>
      </c>
      <c r="F17" s="793" t="s">
        <v>966</v>
      </c>
      <c r="I17" s="447"/>
      <c r="J17" s="447"/>
      <c r="K17" s="447"/>
      <c r="L17" s="447"/>
      <c r="M17" s="447"/>
    </row>
    <row r="18" spans="1:13" ht="13.5" customHeight="1" x14ac:dyDescent="0.3">
      <c r="A18" s="787"/>
      <c r="B18" s="372" t="s">
        <v>967</v>
      </c>
      <c r="C18" s="886">
        <f>'commodity information'!D5*1000</f>
        <v>16777000</v>
      </c>
      <c r="D18" s="886">
        <f>'commodity information'!E5*1000</f>
        <v>23212000</v>
      </c>
      <c r="E18" s="994">
        <f>'commodity information'!$F$5*1000</f>
        <v>1954000</v>
      </c>
      <c r="F18" s="795">
        <f>SUM(C18:E18)</f>
        <v>41943000</v>
      </c>
      <c r="I18" s="447"/>
      <c r="J18" s="447"/>
      <c r="K18" s="447"/>
      <c r="L18" s="447"/>
      <c r="M18" s="447"/>
    </row>
    <row r="19" spans="1:13" ht="13.5" customHeight="1" x14ac:dyDescent="0.3">
      <c r="A19" s="787"/>
      <c r="B19" s="372" t="s">
        <v>968</v>
      </c>
      <c r="C19" s="1019">
        <f>'commodity information'!$C$13</f>
        <v>7.1999999999999995E-2</v>
      </c>
      <c r="D19" s="1019">
        <f>'commodity information'!$C$13</f>
        <v>7.1999999999999995E-2</v>
      </c>
      <c r="E19" s="1021">
        <f>'commodity information'!$C$13</f>
        <v>7.1999999999999995E-2</v>
      </c>
      <c r="F19" s="447"/>
      <c r="I19" s="447"/>
      <c r="J19" s="447"/>
      <c r="K19" s="447"/>
      <c r="L19" s="447"/>
      <c r="M19" s="447"/>
    </row>
    <row r="20" spans="1:13" ht="13.5" customHeight="1" x14ac:dyDescent="0.3">
      <c r="A20" s="787"/>
      <c r="B20" s="372" t="s">
        <v>969</v>
      </c>
      <c r="C20" s="1018">
        <f>C18/C19</f>
        <v>233013888.8888889</v>
      </c>
      <c r="D20" s="1018">
        <f>D18/D19</f>
        <v>322388888.8888889</v>
      </c>
      <c r="E20" s="1018">
        <f>E18/E19</f>
        <v>27138888.888888892</v>
      </c>
      <c r="F20" s="1018">
        <f>SUM(C20:E20)</f>
        <v>582541666.66666663</v>
      </c>
      <c r="G20" s="796">
        <v>0</v>
      </c>
      <c r="H20" s="796">
        <v>0</v>
      </c>
      <c r="I20" s="796">
        <v>0</v>
      </c>
      <c r="J20" s="796">
        <v>0</v>
      </c>
      <c r="K20" s="796">
        <v>0</v>
      </c>
      <c r="L20" s="796">
        <v>0</v>
      </c>
      <c r="M20" s="447"/>
    </row>
    <row r="21" spans="1:13" ht="13.5" customHeight="1" x14ac:dyDescent="0.3">
      <c r="A21" s="787"/>
      <c r="C21" s="447"/>
      <c r="D21" s="447"/>
      <c r="E21" s="797"/>
      <c r="F21" s="447"/>
      <c r="I21" s="447"/>
      <c r="J21" s="447"/>
      <c r="K21" s="447"/>
      <c r="L21" s="447"/>
      <c r="M21" s="447"/>
    </row>
    <row r="22" spans="1:13" ht="13.5" customHeight="1" x14ac:dyDescent="0.3">
      <c r="A22" s="787"/>
      <c r="B22" s="372" t="s">
        <v>970</v>
      </c>
      <c r="C22" s="886">
        <f>'commodity information'!D6*1000</f>
        <v>466000</v>
      </c>
      <c r="D22" s="886">
        <f>'commodity information'!$E$6*1000</f>
        <v>845000</v>
      </c>
      <c r="E22" s="994">
        <f>'commodity information'!F6*1000</f>
        <v>175000</v>
      </c>
      <c r="F22" s="795">
        <f>SUM(C22:E22)</f>
        <v>1486000</v>
      </c>
      <c r="I22" s="447"/>
      <c r="J22" s="447"/>
      <c r="K22" s="447"/>
      <c r="L22" s="447"/>
      <c r="M22" s="447"/>
    </row>
    <row r="23" spans="1:13" ht="13.5" customHeight="1" x14ac:dyDescent="0.3">
      <c r="A23" s="787"/>
      <c r="B23" s="372" t="s">
        <v>971</v>
      </c>
      <c r="C23" s="1031">
        <f>'commodity information'!$C$17</f>
        <v>5</v>
      </c>
      <c r="D23" s="1031">
        <f>'commodity information'!$C$17</f>
        <v>5</v>
      </c>
      <c r="E23" s="1033">
        <f>'commodity information'!$C$17</f>
        <v>5</v>
      </c>
      <c r="F23" s="447"/>
      <c r="I23" s="447"/>
      <c r="J23" s="447"/>
      <c r="K23" s="447"/>
      <c r="L23" s="447"/>
      <c r="M23" s="447"/>
    </row>
    <row r="24" spans="1:13" ht="13.5" customHeight="1" x14ac:dyDescent="0.3">
      <c r="A24" s="787"/>
      <c r="B24" s="372" t="s">
        <v>972</v>
      </c>
      <c r="C24" s="1018">
        <f>C22/C23</f>
        <v>93200</v>
      </c>
      <c r="D24" s="1018">
        <f>D22/D23</f>
        <v>169000</v>
      </c>
      <c r="E24" s="972">
        <f>E22/E23</f>
        <v>35000</v>
      </c>
      <c r="F24" s="1018">
        <f>SUM(C24:E24)</f>
        <v>297200</v>
      </c>
      <c r="I24" s="447"/>
      <c r="J24" s="447"/>
      <c r="K24" s="447"/>
      <c r="L24" s="447"/>
      <c r="M24" s="447"/>
    </row>
    <row r="25" spans="1:13" ht="13.5" customHeight="1" x14ac:dyDescent="0.3">
      <c r="A25" s="787"/>
      <c r="C25" s="796"/>
      <c r="D25" s="796"/>
      <c r="E25" s="601"/>
      <c r="F25" s="796"/>
      <c r="H25" s="447"/>
      <c r="I25" s="447"/>
      <c r="J25" s="447"/>
      <c r="K25" s="447"/>
      <c r="L25" s="447"/>
      <c r="M25" s="447"/>
    </row>
    <row r="26" spans="1:13" ht="13.5" customHeight="1" x14ac:dyDescent="0.3">
      <c r="A26" s="787"/>
      <c r="B26" s="372" t="s">
        <v>973</v>
      </c>
      <c r="C26" s="995">
        <f>'commodity information'!D7*1000</f>
        <v>748000</v>
      </c>
      <c r="D26" s="796">
        <f>IF(C7="y",0,'commodity information'!E7)</f>
        <v>0</v>
      </c>
      <c r="E26" s="601">
        <f>IF(C7="y",0,'commodity information'!F7)</f>
        <v>0</v>
      </c>
      <c r="F26" s="796">
        <f>SUM(C26:E26)</f>
        <v>748000</v>
      </c>
      <c r="H26" s="447"/>
      <c r="I26" s="447"/>
      <c r="J26" s="447"/>
      <c r="K26" s="447"/>
      <c r="L26" s="447"/>
      <c r="M26" s="447"/>
    </row>
    <row r="27" spans="1:13" ht="13.5" customHeight="1" x14ac:dyDescent="0.3">
      <c r="A27" s="787"/>
      <c r="C27" s="796" t="s">
        <v>1411</v>
      </c>
      <c r="D27" s="796"/>
      <c r="E27" s="796"/>
      <c r="F27" s="796"/>
      <c r="H27" s="447"/>
      <c r="I27" s="447"/>
      <c r="J27" s="447"/>
      <c r="K27" s="447"/>
      <c r="L27" s="447"/>
      <c r="M27" s="447"/>
    </row>
    <row r="28" spans="1:13" ht="13.5" customHeight="1" x14ac:dyDescent="0.3">
      <c r="A28" s="787"/>
      <c r="B28" s="447" t="s">
        <v>1587</v>
      </c>
      <c r="C28" s="1007">
        <v>1.4999999999999999E-2</v>
      </c>
      <c r="D28" s="796"/>
      <c r="E28" s="796"/>
      <c r="F28" s="796"/>
      <c r="H28" s="447"/>
      <c r="I28" s="447"/>
      <c r="J28" s="447"/>
      <c r="K28" s="447"/>
      <c r="L28" s="447"/>
      <c r="M28" s="447"/>
    </row>
    <row r="29" spans="1:13" ht="13.5" customHeight="1" x14ac:dyDescent="0.3">
      <c r="A29" s="787"/>
      <c r="B29" s="447" t="s">
        <v>1583</v>
      </c>
      <c r="C29" s="966">
        <f>2150000</f>
        <v>2150000</v>
      </c>
      <c r="D29" s="796"/>
      <c r="E29" s="796"/>
      <c r="F29" s="796"/>
      <c r="H29" s="447"/>
      <c r="I29" s="447"/>
      <c r="J29" s="447"/>
      <c r="K29" s="447"/>
      <c r="L29" s="447"/>
      <c r="M29" s="447"/>
    </row>
    <row r="30" spans="1:13" ht="13.5" customHeight="1" x14ac:dyDescent="0.3">
      <c r="A30" s="787"/>
      <c r="C30" s="447"/>
      <c r="D30" s="447"/>
      <c r="G30" s="447"/>
      <c r="H30" s="447"/>
      <c r="I30" s="447"/>
      <c r="J30" s="447"/>
      <c r="K30" s="447"/>
      <c r="L30" s="447"/>
      <c r="M30" s="447"/>
    </row>
    <row r="31" spans="1:13" x14ac:dyDescent="0.2">
      <c r="E31" s="799" t="s">
        <v>974</v>
      </c>
      <c r="H31" s="447"/>
      <c r="I31" s="447"/>
      <c r="J31" s="447"/>
      <c r="K31" s="447"/>
      <c r="L31" s="447"/>
      <c r="M31" s="447"/>
    </row>
    <row r="32" spans="1:13" ht="15.75" customHeight="1" x14ac:dyDescent="0.3">
      <c r="A32" s="788" t="s">
        <v>975</v>
      </c>
      <c r="C32" s="799" t="s">
        <v>976</v>
      </c>
      <c r="E32" s="799" t="s">
        <v>977</v>
      </c>
      <c r="H32" s="447"/>
      <c r="I32" s="447"/>
      <c r="J32" s="447"/>
      <c r="K32" s="447"/>
      <c r="L32" s="447"/>
      <c r="M32" s="447"/>
    </row>
    <row r="33" spans="1:13" ht="13.5" customHeight="1" x14ac:dyDescent="0.3">
      <c r="A33" s="788"/>
      <c r="B33" s="447"/>
      <c r="C33" s="800" t="s">
        <v>981</v>
      </c>
      <c r="D33" s="800" t="s">
        <v>718</v>
      </c>
      <c r="E33" s="800" t="s">
        <v>982</v>
      </c>
      <c r="H33" s="447"/>
      <c r="I33" s="447"/>
      <c r="J33" s="447"/>
      <c r="K33" s="447"/>
      <c r="L33" s="447"/>
      <c r="M33" s="447"/>
    </row>
    <row r="34" spans="1:13" x14ac:dyDescent="0.2">
      <c r="A34" s="447"/>
      <c r="B34" s="447" t="s">
        <v>983</v>
      </c>
      <c r="C34" s="796">
        <f>'general info'!B36</f>
        <v>95062438</v>
      </c>
      <c r="D34" s="796">
        <f>'general info'!C32+'general info'!C34</f>
        <v>18622539</v>
      </c>
      <c r="E34" s="796">
        <v>0</v>
      </c>
      <c r="H34" s="447"/>
      <c r="I34" s="447"/>
      <c r="J34" s="447"/>
      <c r="K34" s="447"/>
      <c r="L34" s="447"/>
      <c r="M34" s="447"/>
    </row>
    <row r="35" spans="1:13" x14ac:dyDescent="0.2">
      <c r="A35" s="447"/>
      <c r="B35" s="447" t="s">
        <v>984</v>
      </c>
      <c r="C35" s="801">
        <f>C34/'general info'!$D$7</f>
        <v>0.61288988751689433</v>
      </c>
      <c r="D35" s="801">
        <f>D34/'general info'!$D$7</f>
        <v>0.12006388719999983</v>
      </c>
      <c r="E35" s="801">
        <f>E34/'general info'!D7</f>
        <v>0</v>
      </c>
      <c r="H35" s="447"/>
      <c r="I35" s="447"/>
      <c r="J35" s="447"/>
      <c r="K35" s="447"/>
      <c r="L35" s="447"/>
      <c r="M35" s="447"/>
    </row>
    <row r="36" spans="1:13" x14ac:dyDescent="0.2">
      <c r="A36" s="447"/>
      <c r="B36" s="447" t="s">
        <v>985</v>
      </c>
      <c r="C36" s="372">
        <v>0</v>
      </c>
      <c r="D36" s="796">
        <f>'general info'!B41</f>
        <v>10923010.662400002</v>
      </c>
      <c r="E36" s="796">
        <f>'general info'!B42</f>
        <v>24722305.659799989</v>
      </c>
      <c r="G36" s="447"/>
      <c r="H36" s="447"/>
      <c r="I36" s="447"/>
      <c r="J36" s="447"/>
      <c r="K36" s="447"/>
      <c r="L36" s="447"/>
      <c r="M36" s="447"/>
    </row>
    <row r="37" spans="1:13" x14ac:dyDescent="0.2">
      <c r="A37" s="447"/>
      <c r="B37" s="447" t="s">
        <v>998</v>
      </c>
      <c r="C37" s="801">
        <f>C36/'general info'!$D$8</f>
        <v>0</v>
      </c>
      <c r="D37" s="801">
        <f>D36/'general info'!$D$8</f>
        <v>0.22382974363068159</v>
      </c>
      <c r="E37" s="801">
        <f>E36/'general info'!D8</f>
        <v>0.50659909697245875</v>
      </c>
      <c r="G37" s="447"/>
      <c r="H37" s="447"/>
      <c r="I37" s="447"/>
      <c r="J37" s="447"/>
      <c r="K37" s="447"/>
      <c r="L37" s="447"/>
      <c r="M37" s="447"/>
    </row>
    <row r="38" spans="1:13" x14ac:dyDescent="0.2">
      <c r="A38" s="447"/>
      <c r="B38" s="802" t="s">
        <v>999</v>
      </c>
      <c r="C38" s="801"/>
      <c r="D38" s="801"/>
      <c r="E38" s="801"/>
      <c r="F38" s="801"/>
      <c r="G38" s="447"/>
      <c r="H38" s="447"/>
      <c r="I38" s="447"/>
      <c r="J38" s="447"/>
      <c r="K38" s="447"/>
      <c r="L38" s="447"/>
      <c r="M38" s="447"/>
    </row>
    <row r="39" spans="1:13" x14ac:dyDescent="0.2">
      <c r="A39" s="447"/>
      <c r="B39" s="802"/>
      <c r="C39" s="801"/>
      <c r="D39" s="801"/>
      <c r="E39" s="801"/>
      <c r="F39" s="801"/>
      <c r="G39" s="447"/>
      <c r="H39" s="447"/>
      <c r="I39" s="447"/>
      <c r="J39" s="447"/>
      <c r="K39" s="447"/>
      <c r="L39" s="447"/>
      <c r="M39" s="447"/>
    </row>
    <row r="40" spans="1:13" ht="18.75" x14ac:dyDescent="0.3">
      <c r="A40" s="788" t="s">
        <v>1000</v>
      </c>
      <c r="B40" s="802"/>
      <c r="C40" s="801"/>
      <c r="D40" s="801"/>
      <c r="E40" s="801"/>
      <c r="F40" s="801"/>
      <c r="G40" s="447"/>
      <c r="H40" s="447"/>
      <c r="I40" s="447"/>
      <c r="J40" s="447"/>
      <c r="K40" s="447"/>
      <c r="L40" s="447"/>
      <c r="M40" s="447"/>
    </row>
    <row r="41" spans="1:13" ht="12.75" customHeight="1" x14ac:dyDescent="0.3">
      <c r="A41" s="788"/>
      <c r="B41" s="802"/>
      <c r="C41" s="803" t="s">
        <v>682</v>
      </c>
      <c r="D41" s="803" t="s">
        <v>1001</v>
      </c>
      <c r="E41" s="803" t="s">
        <v>1002</v>
      </c>
      <c r="F41" s="801"/>
      <c r="G41" s="447"/>
      <c r="H41" s="447"/>
      <c r="I41" s="447"/>
      <c r="J41" s="447"/>
      <c r="K41" s="447"/>
      <c r="L41" s="447"/>
      <c r="M41" s="447"/>
    </row>
    <row r="42" spans="1:13" ht="12.75" customHeight="1" x14ac:dyDescent="0.3">
      <c r="A42" s="788"/>
      <c r="B42" s="447" t="s">
        <v>1003</v>
      </c>
      <c r="C42" s="991">
        <f>IF('general info'!B46="y",'Total Baseline'!B42+'Total Baseline'!B43,'Total Baseline'!B19+'Total Baseline'!B20)</f>
        <v>5441</v>
      </c>
      <c r="D42" s="989">
        <v>1</v>
      </c>
      <c r="E42" s="886">
        <f>C42*D42</f>
        <v>5441</v>
      </c>
      <c r="F42" s="801"/>
      <c r="G42" s="447"/>
      <c r="H42" s="447"/>
      <c r="I42" s="447"/>
      <c r="J42" s="447"/>
      <c r="K42" s="447"/>
      <c r="L42" s="447"/>
      <c r="M42" s="447"/>
    </row>
    <row r="43" spans="1:13" ht="12.75" customHeight="1" x14ac:dyDescent="0.3">
      <c r="A43" s="788"/>
      <c r="B43" s="447" t="s">
        <v>1004</v>
      </c>
      <c r="C43" s="991">
        <f>IF('general info'!B46="y",'Total Baseline'!F48,'Total Baseline'!F25)</f>
        <v>5006.1323560000019</v>
      </c>
      <c r="D43" s="791">
        <v>0.1</v>
      </c>
      <c r="E43" s="189">
        <f>C43*D43</f>
        <v>500.61323560000022</v>
      </c>
      <c r="F43" s="801"/>
      <c r="G43" s="447"/>
      <c r="H43" s="447"/>
      <c r="I43" s="447"/>
      <c r="J43" s="447"/>
      <c r="K43" s="447"/>
      <c r="L43" s="447"/>
      <c r="M43" s="447"/>
    </row>
    <row r="44" spans="1:13" ht="12.75" customHeight="1" x14ac:dyDescent="0.3">
      <c r="A44" s="788"/>
      <c r="B44" s="447" t="s">
        <v>1005</v>
      </c>
      <c r="C44" s="991">
        <f>IF('general info'!B46="y",'Total Baseline'!F50,'Total Baseline'!F27)</f>
        <v>3798.248</v>
      </c>
      <c r="D44" s="989">
        <v>1</v>
      </c>
      <c r="E44" s="886">
        <f>C44*D44</f>
        <v>3798.248</v>
      </c>
      <c r="F44" s="796"/>
      <c r="G44" s="447"/>
      <c r="H44" s="447"/>
      <c r="I44" s="447"/>
      <c r="J44" s="447"/>
      <c r="K44" s="447"/>
      <c r="L44" s="447"/>
      <c r="M44" s="447"/>
    </row>
    <row r="45" spans="1:13" ht="12.75" customHeight="1" x14ac:dyDescent="0.3">
      <c r="A45" s="788"/>
      <c r="B45" s="222" t="s">
        <v>1006</v>
      </c>
      <c r="C45" s="804"/>
      <c r="D45" s="805">
        <v>1</v>
      </c>
      <c r="E45" s="230">
        <f>C45*D45</f>
        <v>0</v>
      </c>
      <c r="F45" s="801"/>
      <c r="G45" s="447"/>
      <c r="H45" s="447"/>
      <c r="I45" s="447"/>
      <c r="J45" s="447"/>
      <c r="K45" s="447"/>
      <c r="L45" s="447"/>
      <c r="M45" s="447"/>
    </row>
    <row r="46" spans="1:13" ht="12.75" customHeight="1" x14ac:dyDescent="0.3">
      <c r="A46" s="788"/>
      <c r="B46" s="222" t="s">
        <v>1007</v>
      </c>
      <c r="C46" s="806">
        <v>250000</v>
      </c>
      <c r="D46" s="807">
        <v>1</v>
      </c>
      <c r="E46" s="994">
        <f>C46*D46</f>
        <v>250000</v>
      </c>
      <c r="F46" s="801"/>
      <c r="G46" s="447"/>
      <c r="H46" s="447"/>
      <c r="I46" s="447"/>
      <c r="J46" s="447"/>
      <c r="K46" s="447"/>
      <c r="L46" s="447"/>
      <c r="M46" s="447"/>
    </row>
    <row r="47" spans="1:13" ht="12.75" customHeight="1" x14ac:dyDescent="0.3">
      <c r="A47" s="788"/>
      <c r="B47" s="447" t="s">
        <v>1008</v>
      </c>
      <c r="C47" s="189">
        <f>SUM(C42:C45)</f>
        <v>14245.380356000001</v>
      </c>
      <c r="D47" s="801"/>
      <c r="E47" s="189">
        <f>SUM(E42:E46)</f>
        <v>259739.86123559999</v>
      </c>
      <c r="F47" s="801"/>
      <c r="G47" s="447"/>
      <c r="H47" s="447"/>
      <c r="I47" s="447"/>
      <c r="J47" s="447"/>
      <c r="K47" s="447"/>
      <c r="L47" s="447"/>
      <c r="M47" s="447"/>
    </row>
    <row r="48" spans="1:13" ht="12.75" customHeight="1" x14ac:dyDescent="0.3">
      <c r="A48" s="788"/>
      <c r="B48" s="802" t="s">
        <v>1009</v>
      </c>
      <c r="C48" s="189"/>
      <c r="D48" s="801"/>
      <c r="E48" s="189"/>
      <c r="F48" s="801"/>
      <c r="G48" s="447"/>
      <c r="H48" s="447"/>
      <c r="I48" s="447"/>
      <c r="J48" s="447"/>
      <c r="K48" s="447"/>
      <c r="L48" s="447"/>
      <c r="M48" s="447"/>
    </row>
    <row r="49" spans="1:13" ht="12.75" customHeight="1" x14ac:dyDescent="0.3">
      <c r="A49" s="788"/>
      <c r="C49" s="189"/>
      <c r="D49" s="801"/>
      <c r="E49" s="189"/>
      <c r="F49" s="801"/>
      <c r="G49" s="447"/>
      <c r="H49" s="447"/>
      <c r="I49" s="447"/>
      <c r="J49" s="447"/>
      <c r="K49" s="447"/>
      <c r="L49" s="447"/>
      <c r="M49" s="447"/>
    </row>
    <row r="50" spans="1:13" x14ac:dyDescent="0.2">
      <c r="A50" s="447"/>
    </row>
    <row r="51" spans="1:13" ht="18.75" x14ac:dyDescent="0.3">
      <c r="A51" s="788" t="s">
        <v>1010</v>
      </c>
      <c r="B51" s="447"/>
      <c r="C51" s="808"/>
      <c r="D51" s="447"/>
      <c r="E51" s="447"/>
      <c r="F51" s="447"/>
      <c r="G51" s="447"/>
      <c r="H51" s="447"/>
      <c r="I51" s="447"/>
      <c r="J51" s="447"/>
      <c r="K51" s="447"/>
      <c r="L51" s="447"/>
      <c r="M51" s="447"/>
    </row>
    <row r="52" spans="1:13" x14ac:dyDescent="0.2">
      <c r="A52" s="612"/>
      <c r="B52" s="447"/>
      <c r="C52" s="808"/>
      <c r="D52" s="447"/>
      <c r="E52" s="447"/>
      <c r="H52" s="447"/>
      <c r="I52" s="447"/>
      <c r="J52" s="447"/>
      <c r="K52" s="447"/>
      <c r="L52" s="447"/>
      <c r="M52" s="447"/>
    </row>
    <row r="53" spans="1:13" s="612" customFormat="1" ht="23.25" customHeight="1" x14ac:dyDescent="0.2">
      <c r="B53" s="809" t="s">
        <v>1011</v>
      </c>
      <c r="C53" s="900" t="s">
        <v>718</v>
      </c>
      <c r="D53" s="901" t="s">
        <v>719</v>
      </c>
      <c r="E53" s="901" t="s">
        <v>965</v>
      </c>
      <c r="F53" s="901" t="s">
        <v>619</v>
      </c>
      <c r="G53" s="902" t="s">
        <v>1012</v>
      </c>
      <c r="J53" s="906"/>
      <c r="K53" s="906"/>
    </row>
    <row r="54" spans="1:13" x14ac:dyDescent="0.2">
      <c r="A54" s="447"/>
      <c r="B54" s="222" t="s">
        <v>1013</v>
      </c>
      <c r="C54" s="985">
        <f>C18</f>
        <v>16777000</v>
      </c>
      <c r="D54" s="985">
        <f>D18</f>
        <v>23212000</v>
      </c>
      <c r="E54" s="985">
        <f>E18</f>
        <v>1954000</v>
      </c>
      <c r="F54" s="990">
        <f>SUM(C54:E54)</f>
        <v>41943000</v>
      </c>
      <c r="G54" s="801">
        <f>F54/$F$62</f>
        <v>0.71486787727900314</v>
      </c>
      <c r="H54" s="904"/>
      <c r="I54" s="588"/>
      <c r="J54" s="904"/>
      <c r="K54" s="904"/>
      <c r="L54" s="447"/>
      <c r="M54" s="447"/>
    </row>
    <row r="55" spans="1:13" x14ac:dyDescent="0.2">
      <c r="A55" s="447"/>
      <c r="B55" s="222" t="s">
        <v>1014</v>
      </c>
      <c r="C55" s="985">
        <f>C22</f>
        <v>466000</v>
      </c>
      <c r="D55" s="985">
        <f>D22</f>
        <v>845000</v>
      </c>
      <c r="E55" s="985">
        <f>E22</f>
        <v>175000</v>
      </c>
      <c r="F55" s="990">
        <f>SUM(C55:E55)</f>
        <v>1486000</v>
      </c>
      <c r="G55" s="801">
        <f t="shared" ref="G55:G61" si="0">F55/$F$62</f>
        <v>2.5327078788751369E-2</v>
      </c>
      <c r="H55" s="904"/>
      <c r="I55" s="447"/>
      <c r="J55" s="447"/>
      <c r="K55" s="447"/>
      <c r="L55" s="447"/>
      <c r="M55" s="447"/>
    </row>
    <row r="56" spans="1:13" x14ac:dyDescent="0.2">
      <c r="A56" s="447"/>
      <c r="B56" s="222" t="s">
        <v>1015</v>
      </c>
      <c r="C56" s="985">
        <f>C26</f>
        <v>748000</v>
      </c>
      <c r="D56" s="225">
        <f>D26*1000</f>
        <v>0</v>
      </c>
      <c r="E56" s="225">
        <f>E26*1000</f>
        <v>0</v>
      </c>
      <c r="F56" s="990">
        <f>SUM(C56:E56)</f>
        <v>748000</v>
      </c>
      <c r="G56" s="801">
        <f t="shared" si="0"/>
        <v>1.2748758367419935E-2</v>
      </c>
      <c r="H56" s="904"/>
      <c r="I56" s="447"/>
      <c r="J56" s="447"/>
      <c r="K56" s="447"/>
      <c r="L56" s="447"/>
      <c r="M56" s="447"/>
    </row>
    <row r="57" spans="1:13" x14ac:dyDescent="0.2">
      <c r="A57" s="447"/>
      <c r="B57" s="222" t="s">
        <v>1016</v>
      </c>
      <c r="C57" s="226" t="s">
        <v>1017</v>
      </c>
      <c r="D57" s="226" t="s">
        <v>1017</v>
      </c>
      <c r="E57" s="226" t="s">
        <v>1017</v>
      </c>
      <c r="F57" s="990">
        <f>E42*1000</f>
        <v>5441000</v>
      </c>
      <c r="G57" s="801">
        <f t="shared" si="0"/>
        <v>9.273528646675383E-2</v>
      </c>
      <c r="H57" s="904"/>
      <c r="I57" s="447"/>
      <c r="J57" s="447"/>
      <c r="K57" s="447"/>
      <c r="L57" s="447"/>
      <c r="M57" s="447"/>
    </row>
    <row r="58" spans="1:13" x14ac:dyDescent="0.2">
      <c r="A58" s="447"/>
      <c r="B58" s="222" t="s">
        <v>1004</v>
      </c>
      <c r="C58" s="226" t="s">
        <v>1017</v>
      </c>
      <c r="D58" s="226" t="s">
        <v>1017</v>
      </c>
      <c r="E58" s="226" t="s">
        <v>1017</v>
      </c>
      <c r="F58" s="996">
        <f>C43*1000</f>
        <v>5006132.3560000015</v>
      </c>
      <c r="G58" s="801">
        <f t="shared" si="0"/>
        <v>8.5323491660383277E-2</v>
      </c>
      <c r="H58" s="904"/>
      <c r="I58" s="447"/>
      <c r="J58" s="447"/>
      <c r="K58" s="447"/>
      <c r="L58" s="447"/>
      <c r="M58" s="447"/>
    </row>
    <row r="59" spans="1:13" x14ac:dyDescent="0.2">
      <c r="A59" s="447"/>
      <c r="B59" s="222" t="s">
        <v>1005</v>
      </c>
      <c r="C59" s="226" t="s">
        <v>1017</v>
      </c>
      <c r="D59" s="226" t="s">
        <v>1017</v>
      </c>
      <c r="E59" s="226" t="s">
        <v>1017</v>
      </c>
      <c r="F59" s="1000">
        <f>E44*1000</f>
        <v>3798248</v>
      </c>
      <c r="G59" s="801">
        <f t="shared" si="0"/>
        <v>6.4736558785475976E-2</v>
      </c>
      <c r="H59" s="904"/>
      <c r="I59" s="349"/>
      <c r="J59" s="904"/>
      <c r="K59" s="904"/>
      <c r="L59" s="447"/>
      <c r="M59" s="447"/>
    </row>
    <row r="60" spans="1:13" x14ac:dyDescent="0.2">
      <c r="A60" s="447"/>
      <c r="B60" s="222" t="s">
        <v>1006</v>
      </c>
      <c r="C60" s="226" t="s">
        <v>1017</v>
      </c>
      <c r="D60" s="226" t="s">
        <v>1017</v>
      </c>
      <c r="E60" s="226" t="s">
        <v>1017</v>
      </c>
      <c r="F60" s="795">
        <f>IF(C5="y",E45,0)+IF(C6="y",C45-E45,0)</f>
        <v>0</v>
      </c>
      <c r="G60" s="801">
        <f t="shared" si="0"/>
        <v>0</v>
      </c>
      <c r="H60" s="904"/>
      <c r="I60" s="447"/>
      <c r="J60" s="447"/>
      <c r="K60" s="447"/>
      <c r="L60" s="447"/>
      <c r="M60" s="447"/>
    </row>
    <row r="61" spans="1:13" x14ac:dyDescent="0.2">
      <c r="A61" s="447"/>
      <c r="B61" s="372" t="s">
        <v>1007</v>
      </c>
      <c r="C61" s="226" t="s">
        <v>1017</v>
      </c>
      <c r="D61" s="226" t="s">
        <v>1017</v>
      </c>
      <c r="E61" s="226" t="s">
        <v>1017</v>
      </c>
      <c r="F61" s="1001">
        <f>E46</f>
        <v>250000</v>
      </c>
      <c r="G61" s="801">
        <f t="shared" si="0"/>
        <v>4.2609486522125449E-3</v>
      </c>
      <c r="H61" s="904"/>
      <c r="I61" s="447"/>
      <c r="J61" s="447"/>
      <c r="K61" s="447"/>
      <c r="L61" s="447"/>
      <c r="M61" s="447"/>
    </row>
    <row r="62" spans="1:13" x14ac:dyDescent="0.2">
      <c r="A62" s="447"/>
      <c r="B62" s="222" t="s">
        <v>1018</v>
      </c>
      <c r="C62" s="228" t="s">
        <v>1411</v>
      </c>
      <c r="D62" s="228" t="s">
        <v>1411</v>
      </c>
      <c r="E62" s="228" t="s">
        <v>1411</v>
      </c>
      <c r="F62" s="987">
        <f>SUM(F54:F59)+F61</f>
        <v>58672380.355999999</v>
      </c>
      <c r="H62" s="827"/>
      <c r="I62" s="821"/>
      <c r="J62" s="447"/>
      <c r="K62" s="447"/>
      <c r="L62" s="447"/>
      <c r="M62" s="447"/>
    </row>
    <row r="63" spans="1:13" x14ac:dyDescent="0.2">
      <c r="A63" s="447"/>
      <c r="B63" s="222"/>
      <c r="C63" s="228"/>
      <c r="D63" s="228"/>
      <c r="E63" s="228"/>
      <c r="F63" s="986">
        <f>F62*1.006</f>
        <v>59024414.638135999</v>
      </c>
      <c r="G63" s="447" t="s">
        <v>1026</v>
      </c>
      <c r="H63" s="903"/>
      <c r="I63" s="795"/>
      <c r="J63" s="447"/>
      <c r="K63" s="447"/>
      <c r="L63" s="447"/>
      <c r="M63" s="447"/>
    </row>
    <row r="64" spans="1:13" x14ac:dyDescent="0.2">
      <c r="A64" s="809"/>
      <c r="B64" s="222" t="s">
        <v>1019</v>
      </c>
      <c r="C64" s="988">
        <f>C9</f>
        <v>0.04</v>
      </c>
      <c r="D64" s="229" t="s">
        <v>1411</v>
      </c>
      <c r="E64" s="229" t="s">
        <v>1020</v>
      </c>
      <c r="F64" s="791">
        <f>C8+C9</f>
        <v>9.5000000000000001E-2</v>
      </c>
      <c r="I64" s="798"/>
      <c r="J64" s="447"/>
      <c r="K64" s="447"/>
      <c r="L64" s="447"/>
      <c r="M64" s="447"/>
    </row>
    <row r="65" spans="1:13" x14ac:dyDescent="0.2">
      <c r="A65" s="809"/>
      <c r="B65" s="222" t="s">
        <v>1021</v>
      </c>
      <c r="C65" s="985">
        <f>F63*(1-$C$64)</f>
        <v>56663438.052610554</v>
      </c>
      <c r="D65" s="225" t="s">
        <v>1411</v>
      </c>
      <c r="E65" s="225" t="s">
        <v>1022</v>
      </c>
      <c r="F65" s="795">
        <f>F64*F62</f>
        <v>5573876.1338200001</v>
      </c>
      <c r="G65" s="681">
        <f>F57+F58</f>
        <v>10447132.356000002</v>
      </c>
      <c r="I65" s="904"/>
      <c r="J65" s="447"/>
      <c r="K65" s="447"/>
      <c r="L65" s="447"/>
      <c r="M65" s="447"/>
    </row>
    <row r="66" spans="1:13" x14ac:dyDescent="0.2">
      <c r="A66" s="809"/>
      <c r="B66" s="222"/>
      <c r="C66" s="230"/>
      <c r="D66" s="230"/>
      <c r="E66" s="225" t="s">
        <v>1023</v>
      </c>
      <c r="F66" s="795">
        <f>0.05*F54</f>
        <v>2097150</v>
      </c>
      <c r="H66" s="447"/>
      <c r="I66" s="447"/>
      <c r="J66" s="447"/>
      <c r="K66" s="447"/>
      <c r="L66" s="447"/>
      <c r="M66" s="447"/>
    </row>
    <row r="67" spans="1:13" x14ac:dyDescent="0.2">
      <c r="A67" s="809"/>
      <c r="B67" s="231" t="s">
        <v>1411</v>
      </c>
      <c r="C67" s="230"/>
      <c r="D67" s="230"/>
      <c r="E67" s="225" t="s">
        <v>1024</v>
      </c>
      <c r="F67" s="232">
        <f>F66/F65</f>
        <v>0.3762462511994753</v>
      </c>
      <c r="G67" s="795"/>
      <c r="H67" s="447"/>
      <c r="I67" s="447"/>
      <c r="J67" s="447"/>
      <c r="K67" s="447"/>
      <c r="L67" s="447"/>
      <c r="M67" s="447"/>
    </row>
    <row r="68" spans="1:13" ht="18.75" x14ac:dyDescent="0.3">
      <c r="A68" s="788" t="s">
        <v>1025</v>
      </c>
      <c r="B68" s="222"/>
      <c r="C68" s="727"/>
      <c r="D68" s="727"/>
      <c r="E68" s="230"/>
      <c r="F68" s="230"/>
      <c r="H68" s="447"/>
      <c r="I68" s="447"/>
      <c r="J68" s="447"/>
      <c r="K68" s="447"/>
      <c r="L68" s="447"/>
      <c r="M68" s="447"/>
    </row>
    <row r="69" spans="1:13" ht="13.5" customHeight="1" x14ac:dyDescent="0.3">
      <c r="A69" s="788"/>
      <c r="B69" s="222"/>
      <c r="C69" s="727"/>
      <c r="D69" s="727"/>
      <c r="E69" s="230"/>
      <c r="F69" s="230">
        <f>SUM(F54:F56)</f>
        <v>44177000</v>
      </c>
      <c r="H69" s="447"/>
      <c r="I69" s="447"/>
      <c r="J69" s="447"/>
      <c r="K69" s="447"/>
      <c r="L69" s="447"/>
      <c r="M69" s="447"/>
    </row>
    <row r="70" spans="1:13" x14ac:dyDescent="0.2">
      <c r="A70" s="447"/>
      <c r="B70" s="447"/>
      <c r="C70" s="812"/>
      <c r="D70" s="727"/>
      <c r="E70" s="727"/>
      <c r="F70" s="896">
        <f>F54/$F$69</f>
        <v>0.94943069923263235</v>
      </c>
      <c r="G70" s="727"/>
      <c r="H70" s="447"/>
      <c r="I70" s="447"/>
      <c r="J70" s="447"/>
      <c r="K70" s="447"/>
      <c r="L70" s="447"/>
      <c r="M70" s="447"/>
    </row>
    <row r="71" spans="1:13" x14ac:dyDescent="0.2">
      <c r="B71" s="233" t="s">
        <v>1033</v>
      </c>
      <c r="C71" s="793" t="s">
        <v>1411</v>
      </c>
      <c r="D71" s="727"/>
      <c r="E71" s="727"/>
      <c r="F71" s="896">
        <f>F55/F69</f>
        <v>3.3637413133531024E-2</v>
      </c>
      <c r="G71" s="727"/>
      <c r="H71" s="447"/>
      <c r="I71" s="447"/>
      <c r="J71" s="447"/>
      <c r="K71" s="447"/>
      <c r="L71" s="447"/>
      <c r="M71" s="447"/>
    </row>
    <row r="72" spans="1:13" x14ac:dyDescent="0.2">
      <c r="A72" s="447"/>
      <c r="B72" s="447" t="s">
        <v>1034</v>
      </c>
      <c r="C72" s="1022">
        <f>IF('general info'!B46="y",33178880,43106595)</f>
        <v>33178880</v>
      </c>
      <c r="D72" s="727"/>
      <c r="E72" s="813"/>
      <c r="F72" s="896">
        <f>F56/F69</f>
        <v>1.6931887633836611E-2</v>
      </c>
      <c r="G72" s="727"/>
      <c r="H72" s="447"/>
      <c r="I72" s="447"/>
      <c r="J72" s="447"/>
      <c r="K72" s="447"/>
      <c r="L72" s="447"/>
      <c r="M72" s="447"/>
    </row>
    <row r="73" spans="1:13" x14ac:dyDescent="0.2">
      <c r="A73" s="447"/>
      <c r="B73" s="447" t="s">
        <v>1035</v>
      </c>
      <c r="C73" s="1025">
        <f>IF('general info'!B46="y",IF(C10="offer",'RMPM-Whole'!$S$4,'RMPM-Whole'!$R$4),IF(C10="offer",3.72,3.65))</f>
        <v>3.8651584972343613</v>
      </c>
      <c r="D73" s="727"/>
      <c r="E73" s="814"/>
      <c r="F73" s="727"/>
      <c r="G73" s="727"/>
      <c r="H73" s="447"/>
      <c r="I73" s="447"/>
      <c r="J73" s="447"/>
      <c r="K73" s="447"/>
      <c r="L73" s="447"/>
      <c r="M73" s="447"/>
    </row>
    <row r="74" spans="1:13" x14ac:dyDescent="0.2">
      <c r="A74" s="447"/>
      <c r="B74" s="447" t="s">
        <v>692</v>
      </c>
      <c r="C74" s="1026">
        <v>0.95</v>
      </c>
      <c r="D74" s="727"/>
      <c r="E74" s="727"/>
      <c r="F74" s="727"/>
      <c r="G74" s="727"/>
      <c r="H74" s="447"/>
      <c r="I74" s="447"/>
      <c r="J74" s="447"/>
      <c r="K74" s="447"/>
      <c r="L74" s="447"/>
      <c r="M74" s="447"/>
    </row>
    <row r="75" spans="1:13" x14ac:dyDescent="0.2">
      <c r="A75" s="447"/>
      <c r="B75" s="447" t="s">
        <v>693</v>
      </c>
      <c r="C75" s="1026">
        <v>0.05</v>
      </c>
      <c r="D75" s="727"/>
      <c r="E75" s="727"/>
      <c r="F75" s="727"/>
      <c r="G75" s="727"/>
      <c r="H75" s="447"/>
      <c r="I75" s="447"/>
      <c r="J75" s="447"/>
      <c r="K75" s="447"/>
      <c r="L75" s="447"/>
      <c r="M75" s="447"/>
    </row>
    <row r="76" spans="1:13" x14ac:dyDescent="0.2">
      <c r="A76" s="447"/>
      <c r="B76" s="447" t="s">
        <v>1036</v>
      </c>
      <c r="C76" s="1012">
        <f>(C72/C73)*(C74/F54)</f>
        <v>0.19442787473475906</v>
      </c>
      <c r="D76" s="813"/>
      <c r="E76" s="815"/>
      <c r="F76" s="815"/>
      <c r="G76" s="727"/>
      <c r="H76" s="447"/>
      <c r="I76" s="447"/>
      <c r="J76" s="447"/>
      <c r="K76" s="447"/>
      <c r="L76" s="447"/>
      <c r="M76" s="447"/>
    </row>
    <row r="77" spans="1:13" x14ac:dyDescent="0.2">
      <c r="A77" s="447"/>
      <c r="B77" s="447" t="s">
        <v>1037</v>
      </c>
      <c r="C77" s="1012">
        <f>C72/C73*C75/F55</f>
        <v>0.28883220053835801</v>
      </c>
      <c r="D77" s="813"/>
      <c r="E77" s="727"/>
      <c r="F77" s="727"/>
      <c r="G77" s="727"/>
      <c r="H77" s="447"/>
      <c r="I77" s="447"/>
      <c r="J77" s="447"/>
      <c r="K77" s="447"/>
      <c r="L77" s="447"/>
      <c r="M77" s="447"/>
    </row>
    <row r="78" spans="1:13" x14ac:dyDescent="0.2">
      <c r="A78" s="447"/>
      <c r="B78" s="447"/>
      <c r="C78" s="801"/>
      <c r="D78" s="727"/>
      <c r="E78" s="727"/>
      <c r="F78" s="727"/>
      <c r="G78" s="727"/>
      <c r="H78" s="447"/>
      <c r="I78" s="447"/>
      <c r="J78" s="447"/>
      <c r="K78" s="447"/>
      <c r="L78" s="447"/>
      <c r="M78" s="447"/>
    </row>
    <row r="79" spans="1:13" x14ac:dyDescent="0.2">
      <c r="A79" s="447"/>
      <c r="B79" s="447" t="s">
        <v>691</v>
      </c>
      <c r="C79" s="791">
        <f>10/12</f>
        <v>0.83333333333333337</v>
      </c>
      <c r="D79" s="816" t="s">
        <v>826</v>
      </c>
      <c r="E79" s="447"/>
      <c r="F79" s="447"/>
      <c r="H79" s="447"/>
      <c r="I79" s="447"/>
      <c r="J79" s="447"/>
      <c r="K79" s="447"/>
      <c r="L79" s="447"/>
      <c r="M79" s="447"/>
    </row>
    <row r="80" spans="1:13" x14ac:dyDescent="0.2">
      <c r="A80" s="447"/>
      <c r="B80" s="447"/>
      <c r="C80" s="791"/>
      <c r="D80" s="816"/>
      <c r="E80" s="447"/>
      <c r="F80" s="447"/>
      <c r="H80" s="447"/>
      <c r="I80" s="447"/>
      <c r="J80" s="447"/>
      <c r="K80" s="447"/>
      <c r="L80" s="447"/>
      <c r="M80" s="447"/>
    </row>
    <row r="81" spans="1:14" x14ac:dyDescent="0.2">
      <c r="A81" s="447"/>
      <c r="B81" s="447" t="s">
        <v>1301</v>
      </c>
      <c r="C81" s="801"/>
      <c r="D81" s="817">
        <v>2.58E-2</v>
      </c>
      <c r="E81" s="817">
        <v>2.18E-2</v>
      </c>
      <c r="F81" s="1037">
        <v>2.0899999999999998E-2</v>
      </c>
      <c r="G81" s="817">
        <v>2.01E-2</v>
      </c>
      <c r="H81" s="817">
        <v>1.9400000000000001E-2</v>
      </c>
      <c r="I81" s="817">
        <v>1.8700000000000001E-2</v>
      </c>
      <c r="J81" s="817">
        <v>1.7999999999999999E-2</v>
      </c>
      <c r="K81" s="817">
        <v>1.7500000000000002E-2</v>
      </c>
      <c r="L81" s="817">
        <v>1.6799999999999999E-2</v>
      </c>
      <c r="M81" s="817">
        <v>1.6400000000000001E-2</v>
      </c>
    </row>
    <row r="82" spans="1:14" x14ac:dyDescent="0.2">
      <c r="A82" s="447"/>
      <c r="B82" s="447"/>
      <c r="C82" s="801"/>
      <c r="D82" s="817"/>
      <c r="E82" s="817"/>
      <c r="F82" s="817"/>
      <c r="G82" s="817"/>
      <c r="H82" s="817"/>
      <c r="I82" s="817"/>
      <c r="J82" s="817"/>
      <c r="K82" s="817"/>
      <c r="L82" s="817"/>
      <c r="M82" s="817"/>
    </row>
    <row r="83" spans="1:14" x14ac:dyDescent="0.2">
      <c r="B83" s="809" t="s">
        <v>1039</v>
      </c>
      <c r="D83" s="818">
        <v>1</v>
      </c>
      <c r="E83" s="447">
        <v>2</v>
      </c>
      <c r="F83" s="372">
        <v>3</v>
      </c>
      <c r="G83" s="372">
        <v>4</v>
      </c>
      <c r="H83" s="447">
        <v>5</v>
      </c>
      <c r="I83" s="447">
        <v>6</v>
      </c>
      <c r="J83" s="447">
        <v>7</v>
      </c>
      <c r="K83" s="447">
        <v>8</v>
      </c>
      <c r="L83" s="447">
        <v>9</v>
      </c>
      <c r="M83" s="447">
        <v>10</v>
      </c>
    </row>
    <row r="84" spans="1:14" x14ac:dyDescent="0.2">
      <c r="B84" s="819" t="s">
        <v>1490</v>
      </c>
      <c r="D84" s="791">
        <f>IF(C10="offer",94%,0.93)</f>
        <v>0.93</v>
      </c>
      <c r="E84" s="791">
        <f t="shared" ref="E84:M84" si="1">D84*(1.03)</f>
        <v>0.95790000000000008</v>
      </c>
      <c r="F84" s="1035">
        <f t="shared" si="1"/>
        <v>0.9866370000000001</v>
      </c>
      <c r="G84" s="791">
        <f t="shared" si="1"/>
        <v>1.0162361100000001</v>
      </c>
      <c r="H84" s="791">
        <f t="shared" si="1"/>
        <v>1.0467231933000001</v>
      </c>
      <c r="I84" s="791">
        <f>H84*(1.03)</f>
        <v>1.0781248890990001</v>
      </c>
      <c r="J84" s="791">
        <f t="shared" si="1"/>
        <v>1.1104686357719702</v>
      </c>
      <c r="K84" s="791">
        <f t="shared" si="1"/>
        <v>1.1437826948451293</v>
      </c>
      <c r="L84" s="791">
        <f t="shared" si="1"/>
        <v>1.1780961756904833</v>
      </c>
      <c r="M84" s="791">
        <f t="shared" si="1"/>
        <v>1.2134390609611978</v>
      </c>
    </row>
    <row r="85" spans="1:14" x14ac:dyDescent="0.2">
      <c r="B85" s="447" t="s">
        <v>1255</v>
      </c>
      <c r="D85" s="1035">
        <f>IF($C$10="offer",('EAM Curves'!C19/'EAM Curves'!$F$34)*(1+D81),('EAM Curves'!C26/'EAM Curves'!$F$34)*(1+D81))</f>
        <v>0.85549196532000005</v>
      </c>
      <c r="E85" s="989">
        <f>D85*(1+E81)</f>
        <v>0.87414169016397614</v>
      </c>
      <c r="F85" s="1035">
        <f>E85*(1+F81)</f>
        <v>0.89241125148840317</v>
      </c>
      <c r="G85" s="791">
        <f t="shared" ref="G85:M85" si="2">F85*(1+G81)</f>
        <v>0.91034871764332004</v>
      </c>
      <c r="H85" s="791">
        <f t="shared" si="2"/>
        <v>0.92800948276560047</v>
      </c>
      <c r="I85" s="791">
        <f>H85*(1+I81)</f>
        <v>0.94536326009331717</v>
      </c>
      <c r="J85" s="791">
        <f t="shared" si="2"/>
        <v>0.96237979877499691</v>
      </c>
      <c r="K85" s="791">
        <f t="shared" si="2"/>
        <v>0.97922144525355947</v>
      </c>
      <c r="L85" s="791">
        <f t="shared" si="2"/>
        <v>0.99567236553381921</v>
      </c>
      <c r="M85" s="791">
        <f t="shared" si="2"/>
        <v>1.0120013923285738</v>
      </c>
    </row>
    <row r="86" spans="1:14" x14ac:dyDescent="0.2">
      <c r="A86" s="447"/>
      <c r="B86" s="447" t="s">
        <v>1256</v>
      </c>
      <c r="D86" s="1035">
        <f>IF($C$10="offer",(100%-'EAM Curves'!$C$43)*(1+D81),(100%-'EAM Curves'!$C$42)*(1+D81))</f>
        <v>0.92116840000000011</v>
      </c>
      <c r="E86" s="989">
        <f>D86*(1+E81)</f>
        <v>0.94124987112000014</v>
      </c>
      <c r="F86" s="1035">
        <f t="shared" ref="F86:M86" si="3">E86*(1+F81)</f>
        <v>0.96092199342640805</v>
      </c>
      <c r="G86" s="791">
        <f t="shared" si="3"/>
        <v>0.98023652549427887</v>
      </c>
      <c r="H86" s="791">
        <f t="shared" si="3"/>
        <v>0.99925311408886797</v>
      </c>
      <c r="I86" s="791">
        <f>H86*(1+I81)</f>
        <v>1.0179391473223298</v>
      </c>
      <c r="J86" s="791">
        <f t="shared" si="3"/>
        <v>1.0362620519741317</v>
      </c>
      <c r="K86" s="791">
        <f t="shared" si="3"/>
        <v>1.0543966378836791</v>
      </c>
      <c r="L86" s="791">
        <f t="shared" si="3"/>
        <v>1.0721105014001249</v>
      </c>
      <c r="M86" s="791">
        <f t="shared" si="3"/>
        <v>1.089693113623087</v>
      </c>
      <c r="N86" s="820"/>
    </row>
    <row r="87" spans="1:14" x14ac:dyDescent="0.2">
      <c r="A87" s="447"/>
      <c r="B87" s="447" t="s">
        <v>1257</v>
      </c>
      <c r="D87" s="791">
        <v>1</v>
      </c>
      <c r="E87" s="791">
        <v>1</v>
      </c>
      <c r="F87" s="1035">
        <v>1</v>
      </c>
      <c r="G87" s="791">
        <v>1</v>
      </c>
      <c r="H87" s="791">
        <v>1</v>
      </c>
      <c r="I87" s="791">
        <v>1</v>
      </c>
      <c r="J87" s="791">
        <v>1</v>
      </c>
      <c r="K87" s="791">
        <v>1</v>
      </c>
      <c r="L87" s="791">
        <v>1</v>
      </c>
      <c r="M87" s="791">
        <v>1</v>
      </c>
      <c r="N87" s="820"/>
    </row>
    <row r="88" spans="1:14" x14ac:dyDescent="0.2">
      <c r="A88" s="447"/>
      <c r="B88" s="447"/>
      <c r="D88" s="791"/>
      <c r="E88" s="791"/>
      <c r="F88" s="791"/>
      <c r="G88" s="791"/>
      <c r="H88" s="791"/>
      <c r="I88" s="791"/>
      <c r="J88" s="791"/>
      <c r="K88" s="791"/>
      <c r="L88" s="791"/>
      <c r="M88" s="791"/>
      <c r="N88" s="820"/>
    </row>
    <row r="89" spans="1:14" x14ac:dyDescent="0.2">
      <c r="A89" s="447"/>
      <c r="B89" s="809" t="s">
        <v>1040</v>
      </c>
      <c r="D89" s="818">
        <v>1</v>
      </c>
      <c r="E89" s="447">
        <v>2</v>
      </c>
      <c r="F89" s="372">
        <v>3</v>
      </c>
      <c r="G89" s="372">
        <v>4</v>
      </c>
      <c r="H89" s="447">
        <v>5</v>
      </c>
      <c r="I89" s="447">
        <v>6</v>
      </c>
      <c r="J89" s="447">
        <v>7</v>
      </c>
      <c r="K89" s="447">
        <v>8</v>
      </c>
      <c r="L89" s="447">
        <v>9</v>
      </c>
      <c r="M89" s="447">
        <v>10</v>
      </c>
      <c r="N89" s="820"/>
    </row>
    <row r="90" spans="1:14" x14ac:dyDescent="0.2">
      <c r="A90" s="447"/>
      <c r="B90" s="447" t="s">
        <v>1041</v>
      </c>
      <c r="D90" s="821">
        <v>4000</v>
      </c>
      <c r="E90" s="821">
        <f t="shared" ref="E90:M90" si="4">D90</f>
        <v>4000</v>
      </c>
      <c r="F90" s="821">
        <f t="shared" si="4"/>
        <v>4000</v>
      </c>
      <c r="G90" s="821">
        <f t="shared" si="4"/>
        <v>4000</v>
      </c>
      <c r="H90" s="821">
        <f t="shared" si="4"/>
        <v>4000</v>
      </c>
      <c r="I90" s="821">
        <f>H90</f>
        <v>4000</v>
      </c>
      <c r="J90" s="821">
        <f t="shared" si="4"/>
        <v>4000</v>
      </c>
      <c r="K90" s="821">
        <f t="shared" si="4"/>
        <v>4000</v>
      </c>
      <c r="L90" s="821">
        <f t="shared" si="4"/>
        <v>4000</v>
      </c>
      <c r="M90" s="821">
        <f t="shared" si="4"/>
        <v>4000</v>
      </c>
      <c r="N90" s="820"/>
    </row>
    <row r="91" spans="1:14" x14ac:dyDescent="0.2">
      <c r="A91" s="447"/>
      <c r="B91" s="447"/>
      <c r="D91" s="821"/>
      <c r="E91" s="821"/>
      <c r="F91" s="821"/>
      <c r="G91" s="821"/>
      <c r="H91" s="821"/>
      <c r="I91" s="821"/>
      <c r="J91" s="821"/>
      <c r="K91" s="821"/>
      <c r="L91" s="821"/>
      <c r="M91" s="821"/>
      <c r="N91" s="820"/>
    </row>
    <row r="92" spans="1:14" x14ac:dyDescent="0.2">
      <c r="A92" s="447"/>
      <c r="B92" s="447" t="s">
        <v>1042</v>
      </c>
      <c r="D92" s="822">
        <v>7.5</v>
      </c>
      <c r="E92" s="822">
        <f t="shared" ref="E92:M92" si="5">D92*1.015</f>
        <v>7.6124999999999989</v>
      </c>
      <c r="F92" s="822">
        <f t="shared" si="5"/>
        <v>7.7266874999999979</v>
      </c>
      <c r="G92" s="822">
        <f t="shared" si="5"/>
        <v>7.842587812499997</v>
      </c>
      <c r="H92" s="822">
        <f t="shared" si="5"/>
        <v>7.9602266296874964</v>
      </c>
      <c r="I92" s="822">
        <f>H92*1.015</f>
        <v>8.079630029132808</v>
      </c>
      <c r="J92" s="822">
        <f t="shared" si="5"/>
        <v>8.2008244795697998</v>
      </c>
      <c r="K92" s="822">
        <f t="shared" si="5"/>
        <v>8.3238368467633457</v>
      </c>
      <c r="L92" s="822">
        <f t="shared" si="5"/>
        <v>8.4486943994647952</v>
      </c>
      <c r="M92" s="822">
        <f t="shared" si="5"/>
        <v>8.5754248154567669</v>
      </c>
      <c r="N92" s="820"/>
    </row>
    <row r="93" spans="1:14" x14ac:dyDescent="0.2">
      <c r="A93" s="447"/>
      <c r="B93" s="447" t="s">
        <v>1043</v>
      </c>
      <c r="D93" s="804">
        <f t="shared" ref="D93:M93" si="6">D90*D92*12</f>
        <v>360000</v>
      </c>
      <c r="E93" s="804">
        <f t="shared" si="6"/>
        <v>365399.99999999994</v>
      </c>
      <c r="F93" s="804">
        <f t="shared" si="6"/>
        <v>370880.99999999988</v>
      </c>
      <c r="G93" s="804">
        <f t="shared" si="6"/>
        <v>376444.21499999985</v>
      </c>
      <c r="H93" s="804">
        <f t="shared" si="6"/>
        <v>382090.87822499988</v>
      </c>
      <c r="I93" s="804">
        <f t="shared" si="6"/>
        <v>387822.24139837478</v>
      </c>
      <c r="J93" s="804">
        <f t="shared" si="6"/>
        <v>393639.57501935039</v>
      </c>
      <c r="K93" s="804">
        <f t="shared" si="6"/>
        <v>399544.16864464059</v>
      </c>
      <c r="L93" s="804">
        <f t="shared" si="6"/>
        <v>405537.33117431018</v>
      </c>
      <c r="M93" s="804">
        <f t="shared" si="6"/>
        <v>411620.39114192477</v>
      </c>
      <c r="N93" s="820"/>
    </row>
    <row r="94" spans="1:14" x14ac:dyDescent="0.2">
      <c r="A94" s="447"/>
      <c r="B94" s="447"/>
      <c r="D94" s="804"/>
      <c r="E94" s="804"/>
      <c r="F94" s="804"/>
      <c r="G94" s="804"/>
      <c r="H94" s="804"/>
      <c r="I94" s="804"/>
      <c r="J94" s="804"/>
      <c r="K94" s="804"/>
      <c r="L94" s="804"/>
      <c r="M94" s="804"/>
      <c r="N94" s="820"/>
    </row>
    <row r="95" spans="1:14" x14ac:dyDescent="0.2">
      <c r="A95" s="447"/>
      <c r="B95" s="447" t="s">
        <v>1044</v>
      </c>
      <c r="D95" s="822">
        <v>24</v>
      </c>
      <c r="E95" s="822">
        <v>24</v>
      </c>
      <c r="F95" s="822">
        <v>24</v>
      </c>
      <c r="G95" s="822">
        <v>24</v>
      </c>
      <c r="H95" s="822">
        <v>24</v>
      </c>
      <c r="I95" s="822">
        <v>24</v>
      </c>
      <c r="J95" s="822">
        <v>24</v>
      </c>
      <c r="K95" s="822">
        <v>24</v>
      </c>
      <c r="L95" s="822">
        <v>24</v>
      </c>
      <c r="M95" s="822">
        <v>24</v>
      </c>
      <c r="N95" s="820"/>
    </row>
    <row r="96" spans="1:14" x14ac:dyDescent="0.2">
      <c r="A96" s="447"/>
      <c r="B96" s="447" t="s">
        <v>1045</v>
      </c>
      <c r="D96" s="791">
        <v>0.1</v>
      </c>
      <c r="E96" s="791">
        <f>D96+0.1</f>
        <v>0.2</v>
      </c>
      <c r="F96" s="791">
        <f>E96+0.1</f>
        <v>0.30000000000000004</v>
      </c>
      <c r="G96" s="791">
        <f>F96+0.1</f>
        <v>0.4</v>
      </c>
      <c r="H96" s="791">
        <f>G96+0.1</f>
        <v>0.5</v>
      </c>
      <c r="I96" s="791">
        <v>0.7</v>
      </c>
      <c r="J96" s="791">
        <v>0.8</v>
      </c>
      <c r="K96" s="791">
        <v>0.85</v>
      </c>
      <c r="L96" s="791">
        <v>0.87</v>
      </c>
      <c r="M96" s="791">
        <v>0.9</v>
      </c>
      <c r="N96" s="820"/>
    </row>
    <row r="97" spans="1:15" x14ac:dyDescent="0.2">
      <c r="A97" s="447"/>
      <c r="B97" s="447" t="s">
        <v>1046</v>
      </c>
      <c r="D97" s="189">
        <f t="shared" ref="D97:M97" si="7">D90*D95*12*D96</f>
        <v>115200</v>
      </c>
      <c r="E97" s="189">
        <f t="shared" si="7"/>
        <v>230400</v>
      </c>
      <c r="F97" s="189">
        <f t="shared" si="7"/>
        <v>345600.00000000006</v>
      </c>
      <c r="G97" s="189">
        <f t="shared" si="7"/>
        <v>460800</v>
      </c>
      <c r="H97" s="189">
        <f t="shared" si="7"/>
        <v>576000</v>
      </c>
      <c r="I97" s="189">
        <f t="shared" si="7"/>
        <v>806400</v>
      </c>
      <c r="J97" s="189">
        <f t="shared" si="7"/>
        <v>921600</v>
      </c>
      <c r="K97" s="189">
        <f t="shared" si="7"/>
        <v>979200</v>
      </c>
      <c r="L97" s="189">
        <f t="shared" si="7"/>
        <v>1002240</v>
      </c>
      <c r="M97" s="189">
        <f t="shared" si="7"/>
        <v>1036800</v>
      </c>
      <c r="N97" s="820"/>
    </row>
    <row r="98" spans="1:15" x14ac:dyDescent="0.2">
      <c r="A98" s="447"/>
      <c r="B98" s="447"/>
      <c r="D98" s="189"/>
      <c r="E98" s="189"/>
      <c r="F98" s="189"/>
      <c r="G98" s="189"/>
      <c r="H98" s="189"/>
      <c r="I98" s="189"/>
      <c r="J98" s="189"/>
      <c r="K98" s="189"/>
      <c r="L98" s="189"/>
      <c r="M98" s="189"/>
      <c r="N98" s="820"/>
    </row>
    <row r="99" spans="1:15" x14ac:dyDescent="0.2">
      <c r="A99" s="447"/>
      <c r="D99" s="193"/>
      <c r="E99" s="193"/>
      <c r="F99" s="193"/>
      <c r="G99" s="193"/>
      <c r="H99" s="193"/>
      <c r="I99" s="193"/>
      <c r="J99" s="193"/>
      <c r="K99" s="193"/>
      <c r="L99" s="193"/>
      <c r="M99" s="193"/>
    </row>
    <row r="100" spans="1:15" ht="18.75" x14ac:dyDescent="0.3">
      <c r="A100" s="788" t="s">
        <v>1047</v>
      </c>
      <c r="B100" s="447"/>
      <c r="C100" s="826"/>
      <c r="E100" s="786"/>
      <c r="F100" s="823"/>
    </row>
    <row r="101" spans="1:15" x14ac:dyDescent="0.2">
      <c r="A101" s="612"/>
      <c r="B101" s="447"/>
      <c r="D101" s="193"/>
      <c r="E101" s="193"/>
      <c r="F101" s="193"/>
      <c r="G101" s="193"/>
      <c r="H101" s="193"/>
      <c r="I101" s="193"/>
      <c r="J101" s="193"/>
      <c r="K101" s="193"/>
      <c r="L101" s="193"/>
      <c r="M101" s="193"/>
    </row>
    <row r="102" spans="1:15" x14ac:dyDescent="0.2">
      <c r="A102" s="612" t="s">
        <v>1048</v>
      </c>
      <c r="B102" s="447"/>
      <c r="C102" s="612" t="s">
        <v>742</v>
      </c>
      <c r="D102" s="824">
        <v>1</v>
      </c>
      <c r="E102" s="612">
        <v>2</v>
      </c>
      <c r="F102" s="612">
        <v>3</v>
      </c>
      <c r="G102" s="612">
        <v>4</v>
      </c>
      <c r="H102" s="612">
        <v>5</v>
      </c>
      <c r="I102" s="612">
        <v>6</v>
      </c>
      <c r="J102" s="612">
        <v>7</v>
      </c>
      <c r="K102" s="612">
        <v>8</v>
      </c>
      <c r="L102" s="612">
        <v>9</v>
      </c>
      <c r="M102" s="612">
        <v>10</v>
      </c>
    </row>
    <row r="103" spans="1:15" x14ac:dyDescent="0.2">
      <c r="A103" s="612"/>
      <c r="B103" s="447" t="s">
        <v>1049</v>
      </c>
      <c r="C103" s="681">
        <v>0</v>
      </c>
      <c r="D103" s="984">
        <f>C65</f>
        <v>56663438.052610554</v>
      </c>
      <c r="E103" s="981">
        <f>(D103+E105)*(1+$D$104)-E105</f>
        <v>57258542.886096679</v>
      </c>
      <c r="F103" s="981">
        <f>(E103+F105)*(1+$D$104)-F105</f>
        <v>57849186.484344117</v>
      </c>
      <c r="G103" s="825">
        <f t="shared" ref="G103:M103" si="8">(F103+G105)*(1+$D$104)-G105</f>
        <v>58446622.483971402</v>
      </c>
      <c r="H103" s="825">
        <f t="shared" si="8"/>
        <v>59050928.997594401</v>
      </c>
      <c r="I103" s="825">
        <f>(H103+I105)*(1+$D$104)-I105</f>
        <v>59662185.036124066</v>
      </c>
      <c r="J103" s="825">
        <f t="shared" si="8"/>
        <v>60280470.519096822</v>
      </c>
      <c r="K103" s="825">
        <f t="shared" si="8"/>
        <v>60905866.285123758</v>
      </c>
      <c r="L103" s="825">
        <f t="shared" si="8"/>
        <v>61538454.102460004</v>
      </c>
      <c r="M103" s="825">
        <f t="shared" si="8"/>
        <v>62178316.679695621</v>
      </c>
      <c r="N103" s="826">
        <f>SUM(D103:M103)</f>
        <v>593834011.52711749</v>
      </c>
    </row>
    <row r="104" spans="1:15" s="829" customFormat="1" x14ac:dyDescent="0.2">
      <c r="A104" s="827"/>
      <c r="B104" s="828" t="s">
        <v>1154</v>
      </c>
      <c r="D104" s="982">
        <f>C13</f>
        <v>1.15E-2</v>
      </c>
      <c r="E104" s="830">
        <f t="shared" ref="E104:M104" si="9">D104</f>
        <v>1.15E-2</v>
      </c>
      <c r="F104" s="830">
        <f t="shared" si="9"/>
        <v>1.15E-2</v>
      </c>
      <c r="G104" s="830">
        <f t="shared" si="9"/>
        <v>1.15E-2</v>
      </c>
      <c r="H104" s="830">
        <f t="shared" si="9"/>
        <v>1.15E-2</v>
      </c>
      <c r="I104" s="830">
        <f>H104</f>
        <v>1.15E-2</v>
      </c>
      <c r="J104" s="830">
        <f t="shared" si="9"/>
        <v>1.15E-2</v>
      </c>
      <c r="K104" s="830">
        <f t="shared" si="9"/>
        <v>1.15E-2</v>
      </c>
      <c r="L104" s="830">
        <f t="shared" si="9"/>
        <v>1.15E-2</v>
      </c>
      <c r="M104" s="830">
        <f t="shared" si="9"/>
        <v>1.15E-2</v>
      </c>
    </row>
    <row r="105" spans="1:15" x14ac:dyDescent="0.2">
      <c r="A105" s="612"/>
      <c r="B105" s="588" t="s">
        <v>1054</v>
      </c>
      <c r="C105" s="786"/>
      <c r="D105" s="588">
        <f>-SUM('RMPM-Whole'!$L$12:$L$23)</f>
        <v>0</v>
      </c>
      <c r="E105" s="588">
        <f>-SUM('RMPM-Whole'!$L$24:$L$35)</f>
        <v>-4915191.6625128323</v>
      </c>
      <c r="F105" s="973">
        <f>-SUM('RMPM-Whole'!$L$36:$L$47)</f>
        <v>-5898229.9950153986</v>
      </c>
      <c r="G105" s="588">
        <f>-SUM('RMPM-Whole'!$L$48:$L$59)</f>
        <v>-5898229.9950153986</v>
      </c>
      <c r="H105" s="588">
        <f>-SUM('RMPM-Whole'!$L$60:$L$71)</f>
        <v>-5898229.9950153986</v>
      </c>
      <c r="I105" s="588">
        <f>-SUM('RMPM-Whole'!$L$72:$L$83)</f>
        <v>-5898229.9950153986</v>
      </c>
      <c r="J105" s="588">
        <f>-SUM('RMPM-Whole'!$L$84:$L$95)</f>
        <v>-5898229.9950153986</v>
      </c>
      <c r="K105" s="588">
        <f>-SUM('RMPM-Whole'!$L$96:$L$107)</f>
        <v>-5898229.9950153986</v>
      </c>
      <c r="L105" s="588">
        <f>-SUM('RMPM-Whole'!$L$108:$L$119)</f>
        <v>-5898229.9950153986</v>
      </c>
      <c r="M105" s="588">
        <f>-SUM('RMPM-Whole'!$L$120:$L$131)</f>
        <v>-5898229.9950153986</v>
      </c>
    </row>
    <row r="106" spans="1:15" hidden="1" x14ac:dyDescent="0.2">
      <c r="A106" s="612"/>
      <c r="B106" s="588"/>
      <c r="D106" s="818">
        <f>D103/0.96</f>
        <v>59024414.638135999</v>
      </c>
      <c r="E106" s="818">
        <f t="shared" ref="E106:M106" si="10">E103/0.96</f>
        <v>59644315.506350711</v>
      </c>
      <c r="F106" s="818">
        <f t="shared" si="10"/>
        <v>60259569.254525125</v>
      </c>
      <c r="G106" s="818">
        <f t="shared" si="10"/>
        <v>60881898.420803547</v>
      </c>
      <c r="H106" s="818">
        <f t="shared" si="10"/>
        <v>61511384.372494169</v>
      </c>
      <c r="I106" s="818">
        <f t="shared" si="10"/>
        <v>62148109.412629239</v>
      </c>
      <c r="J106" s="818">
        <f t="shared" si="10"/>
        <v>62792156.790725857</v>
      </c>
      <c r="K106" s="818">
        <f t="shared" si="10"/>
        <v>63443610.713670582</v>
      </c>
      <c r="L106" s="818">
        <f t="shared" si="10"/>
        <v>64102556.356729172</v>
      </c>
      <c r="M106" s="818">
        <f t="shared" si="10"/>
        <v>64769079.874682941</v>
      </c>
    </row>
    <row r="107" spans="1:15" hidden="1" x14ac:dyDescent="0.2">
      <c r="A107" s="612"/>
      <c r="B107" s="588"/>
      <c r="D107" s="818">
        <f t="shared" ref="D107:M107" si="11">D106-D103</f>
        <v>2360976.5855254456</v>
      </c>
      <c r="E107" s="818">
        <f t="shared" si="11"/>
        <v>2385772.6202540323</v>
      </c>
      <c r="F107" s="818">
        <f t="shared" si="11"/>
        <v>2410382.7701810077</v>
      </c>
      <c r="G107" s="818">
        <f t="shared" si="11"/>
        <v>2435275.9368321449</v>
      </c>
      <c r="H107" s="818">
        <f t="shared" si="11"/>
        <v>2460455.3748997673</v>
      </c>
      <c r="I107" s="818">
        <f t="shared" si="11"/>
        <v>2485924.3765051737</v>
      </c>
      <c r="J107" s="818">
        <f t="shared" si="11"/>
        <v>2511686.2716290355</v>
      </c>
      <c r="K107" s="818">
        <f t="shared" si="11"/>
        <v>2537744.4285468236</v>
      </c>
      <c r="L107" s="818">
        <f t="shared" si="11"/>
        <v>2564102.2542691678</v>
      </c>
      <c r="M107" s="818">
        <f t="shared" si="11"/>
        <v>2590763.1949873194</v>
      </c>
      <c r="N107" s="796">
        <f>NPV(0.06,'wholesale services'!E107:M107)+'wholesale services'!D107</f>
        <v>19208783.538187727</v>
      </c>
      <c r="O107" s="611">
        <f>NPV(0.06,D107:M107)</f>
        <v>18121493.90395068</v>
      </c>
    </row>
    <row r="108" spans="1:15" s="612" customFormat="1" x14ac:dyDescent="0.2">
      <c r="A108" s="612" t="s">
        <v>1051</v>
      </c>
      <c r="D108" s="824">
        <v>1</v>
      </c>
      <c r="E108" s="612">
        <v>2</v>
      </c>
      <c r="F108" s="612">
        <v>3</v>
      </c>
      <c r="G108" s="612">
        <v>4</v>
      </c>
      <c r="H108" s="612">
        <v>5</v>
      </c>
      <c r="I108" s="612">
        <v>6</v>
      </c>
      <c r="J108" s="612">
        <v>7</v>
      </c>
      <c r="K108" s="612">
        <v>8</v>
      </c>
      <c r="L108" s="612">
        <v>9</v>
      </c>
      <c r="M108" s="612">
        <v>10</v>
      </c>
    </row>
    <row r="109" spans="1:15" x14ac:dyDescent="0.2">
      <c r="A109" s="447" t="s">
        <v>1052</v>
      </c>
      <c r="B109" s="447"/>
      <c r="C109" s="831">
        <v>0</v>
      </c>
      <c r="D109" s="832">
        <f>D103*$C$8/(1-$C$9)</f>
        <v>3246342.8050974798</v>
      </c>
      <c r="E109" s="832">
        <f t="shared" ref="E109:M109" si="12">E103*$C$8/(1-$C$9)</f>
        <v>3280437.3528492888</v>
      </c>
      <c r="F109" s="1016">
        <f t="shared" si="12"/>
        <v>3314276.3089988818</v>
      </c>
      <c r="G109" s="832">
        <f t="shared" si="12"/>
        <v>3348504.413144195</v>
      </c>
      <c r="H109" s="832">
        <f t="shared" si="12"/>
        <v>3383126.1404871792</v>
      </c>
      <c r="I109" s="832">
        <f t="shared" si="12"/>
        <v>3418146.0176946083</v>
      </c>
      <c r="J109" s="832">
        <f t="shared" si="12"/>
        <v>3453568.6234899219</v>
      </c>
      <c r="K109" s="832">
        <f t="shared" si="12"/>
        <v>3489398.5892518824</v>
      </c>
      <c r="L109" s="832">
        <f t="shared" si="12"/>
        <v>3525640.5996201048</v>
      </c>
      <c r="M109" s="832">
        <f t="shared" si="12"/>
        <v>3562299.3931075619</v>
      </c>
      <c r="N109" s="842">
        <f>NPV(0.06,E109:M109)+D109</f>
        <v>26412077.36500809</v>
      </c>
    </row>
    <row r="110" spans="1:15" x14ac:dyDescent="0.2">
      <c r="A110" s="447" t="s">
        <v>1053</v>
      </c>
      <c r="C110" s="786">
        <f>F20</f>
        <v>582541666.66666663</v>
      </c>
      <c r="D110" s="796">
        <f>$F$20</f>
        <v>582541666.66666663</v>
      </c>
      <c r="E110" s="796">
        <f>$F$20*(1-$C$76*$C$79)</f>
        <v>488156384.83796293</v>
      </c>
      <c r="F110" s="1018">
        <f>$F$20*(1-$C$76)</f>
        <v>469279328.47222221</v>
      </c>
      <c r="G110" s="796">
        <f t="shared" ref="G110:M110" si="13">$F$20*(1-$C$76)</f>
        <v>469279328.47222221</v>
      </c>
      <c r="H110" s="796">
        <f t="shared" si="13"/>
        <v>469279328.47222221</v>
      </c>
      <c r="I110" s="796">
        <f t="shared" si="13"/>
        <v>469279328.47222221</v>
      </c>
      <c r="J110" s="796">
        <f t="shared" si="13"/>
        <v>469279328.47222221</v>
      </c>
      <c r="K110" s="796">
        <f t="shared" si="13"/>
        <v>469279328.47222221</v>
      </c>
      <c r="L110" s="796">
        <f t="shared" si="13"/>
        <v>469279328.47222221</v>
      </c>
      <c r="M110" s="796">
        <f t="shared" si="13"/>
        <v>469279328.47222221</v>
      </c>
      <c r="N110" s="842">
        <f>N107+N109</f>
        <v>45620860.903195813</v>
      </c>
    </row>
    <row r="111" spans="1:15" x14ac:dyDescent="0.2">
      <c r="A111" s="447" t="s">
        <v>1056</v>
      </c>
      <c r="C111" s="447">
        <f>'commodity information'!C21</f>
        <v>7.1999999999999995E-2</v>
      </c>
      <c r="D111" s="447">
        <f>IF($C$10="mid",'commodity information'!D21,IF($C$10="offer",'commodity information'!D23))</f>
        <v>6.6959999999999992E-2</v>
      </c>
      <c r="E111" s="447">
        <f>IF($C$10="mid",'commodity information'!E21,IF($C$10="offer",'commodity information'!E23))</f>
        <v>6.6959999999999992E-2</v>
      </c>
      <c r="F111" s="1027">
        <f>IF($C$10="mid",'commodity information'!F21,IF($C$10="offer",'commodity information'!F23))</f>
        <v>6.6959999999999992E-2</v>
      </c>
      <c r="G111" s="447">
        <f>IF($C$10="mid",'commodity information'!G21,IF($C$10="offer",'commodity information'!G23))</f>
        <v>6.6959999999999992E-2</v>
      </c>
      <c r="H111" s="447">
        <f>IF($C$10="mid",'commodity information'!H21,IF($C$10="offer",'commodity information'!H23))</f>
        <v>6.6959999999999992E-2</v>
      </c>
      <c r="I111" s="447">
        <f>IF($C$10="mid",'commodity information'!I21,IF($C$10="offer",'commodity information'!I23))</f>
        <v>6.6959999999999992E-2</v>
      </c>
      <c r="J111" s="447">
        <f>IF($C$10="mid",'commodity information'!J21,IF($C$10="offer",'commodity information'!J23))</f>
        <v>6.6959999999999992E-2</v>
      </c>
      <c r="K111" s="447">
        <f>IF($C$10="mid",'commodity information'!K21,IF($C$10="offer",'commodity information'!K23))</f>
        <v>6.6959999999999992E-2</v>
      </c>
      <c r="L111" s="447">
        <f>IF($C$10="mid",'commodity information'!L21,IF($C$10="offer",'commodity information'!L23))</f>
        <v>6.6959999999999992E-2</v>
      </c>
      <c r="M111" s="447">
        <f>IF($C$10="mid",'commodity information'!M21,IF($C$10="offer",'commodity information'!M23))</f>
        <v>6.6959999999999992E-2</v>
      </c>
    </row>
    <row r="112" spans="1:15" x14ac:dyDescent="0.2">
      <c r="B112" s="447" t="s">
        <v>1057</v>
      </c>
      <c r="C112" s="1003">
        <f>F54</f>
        <v>41943000</v>
      </c>
      <c r="D112" s="804">
        <f t="shared" ref="D112:M112" si="14">D110*D111</f>
        <v>39006989.999999993</v>
      </c>
      <c r="E112" s="804">
        <f t="shared" si="14"/>
        <v>32686951.528749995</v>
      </c>
      <c r="F112" s="1008">
        <f t="shared" si="14"/>
        <v>31422943.834499996</v>
      </c>
      <c r="G112" s="804">
        <f t="shared" si="14"/>
        <v>31422943.834499996</v>
      </c>
      <c r="H112" s="804">
        <f t="shared" si="14"/>
        <v>31422943.834499996</v>
      </c>
      <c r="I112" s="804">
        <f t="shared" si="14"/>
        <v>31422943.834499996</v>
      </c>
      <c r="J112" s="804">
        <f t="shared" si="14"/>
        <v>31422943.834499996</v>
      </c>
      <c r="K112" s="804">
        <f t="shared" si="14"/>
        <v>31422943.834499996</v>
      </c>
      <c r="L112" s="804">
        <f t="shared" si="14"/>
        <v>31422943.834499996</v>
      </c>
      <c r="M112" s="804">
        <f t="shared" si="14"/>
        <v>31422943.834499996</v>
      </c>
    </row>
    <row r="113" spans="1:14" x14ac:dyDescent="0.2">
      <c r="A113" s="447" t="s">
        <v>1058</v>
      </c>
      <c r="C113" s="1041">
        <f>F24</f>
        <v>297200</v>
      </c>
      <c r="D113" s="796">
        <f>$F$24</f>
        <v>297200</v>
      </c>
      <c r="E113" s="796">
        <f>$F$24*(1-$C$77*$C$79)</f>
        <v>225665.89166666666</v>
      </c>
      <c r="F113" s="1018">
        <f>$F$24*(1-$C$77)</f>
        <v>211359.07</v>
      </c>
      <c r="G113" s="796">
        <f t="shared" ref="G113:M113" si="15">$F$24*(1-$C$77)</f>
        <v>211359.07</v>
      </c>
      <c r="H113" s="796">
        <f t="shared" si="15"/>
        <v>211359.07</v>
      </c>
      <c r="I113" s="796">
        <f t="shared" si="15"/>
        <v>211359.07</v>
      </c>
      <c r="J113" s="796">
        <f t="shared" si="15"/>
        <v>211359.07</v>
      </c>
      <c r="K113" s="796">
        <f t="shared" si="15"/>
        <v>211359.07</v>
      </c>
      <c r="L113" s="796">
        <f t="shared" si="15"/>
        <v>211359.07</v>
      </c>
      <c r="M113" s="796">
        <f t="shared" si="15"/>
        <v>211359.07</v>
      </c>
    </row>
    <row r="114" spans="1:14" x14ac:dyDescent="0.2">
      <c r="A114" s="447" t="s">
        <v>1059</v>
      </c>
      <c r="C114" s="1033">
        <f>'commodity information'!C29</f>
        <v>5</v>
      </c>
      <c r="D114" s="833">
        <f>IF($C$11="n",$C$114,0)+IF(AND($C$11="y",$C$10="mid"),'commodity information'!D29,0)+IF(AND($C$11="y",$C$10="offer"),'commodity information'!D31,0)</f>
        <v>5.7476834142276134</v>
      </c>
      <c r="E114" s="833">
        <f>IF($C$11="n",$C$114,0)+IF(AND($C$11="y",$C$10="mid"),'commodity information'!E29,0)+IF(AND($C$11="y",$C$10="offer"),'commodity information'!E31,0)</f>
        <v>5.7662685152828548</v>
      </c>
      <c r="F114" s="833">
        <f>IF($C$11="n",$C$114,0)+IF(AND($C$11="y",$C$10="mid"),'commodity information'!F29,0)+IF(AND($C$11="y",$C$10="offer"),'commodity information'!F31,0)</f>
        <v>5.8303349605947048</v>
      </c>
      <c r="G114" s="833">
        <f>IF($C$11="n",$C$114,0)+IF(AND($C$11="y",$C$10="mid"),'commodity information'!G29,0)+IF(AND($C$11="y",$C$10="offer"),'commodity information'!G31,0)</f>
        <v>5.9302533749420974</v>
      </c>
      <c r="H114" s="833">
        <f>IF($C$11="n",$C$114,0)+IF(AND($C$11="y",$C$10="mid"),'commodity information'!H29,0)+IF(AND($C$11="y",$C$10="offer"),'commodity information'!H31,0)</f>
        <v>6.0519203351670914</v>
      </c>
      <c r="I114" s="833">
        <f>IF($C$11="n",$C$114,0)+IF(AND($C$11="y",$C$10="mid"),'commodity information'!I29,0)+IF(AND($C$11="y",$C$10="offer"),'commodity information'!I31,0)</f>
        <v>6.1951848934967968</v>
      </c>
      <c r="J114" s="833">
        <f>IF($C$11="n",$C$114,0)+IF(AND($C$11="y",$C$10="mid"),'commodity information'!J29,0)+IF(AND($C$11="y",$C$10="offer"),'commodity information'!J31,0)</f>
        <v>6.3599041290379628</v>
      </c>
      <c r="K114" s="833">
        <f>IF($C$11="n",$C$114,0)+IF(AND($C$11="y",$C$10="mid"),'commodity information'!K29,0)+IF(AND($C$11="y",$C$10="offer"),'commodity information'!K31,0)</f>
        <v>6.5459434823160123</v>
      </c>
      <c r="L114" s="833">
        <f>IF($C$11="n",$C$114,0)+IF(AND($C$11="y",$C$10="mid"),'commodity information'!L29,0)+IF(AND($C$11="y",$C$10="offer"),'commodity information'!L31,0)</f>
        <v>6.753176913704328</v>
      </c>
      <c r="M114" s="833">
        <f>IF($C$11="n",$C$114,0)+IF(AND($C$11="y",$C$10="mid"),'commodity information'!M29,0)+IF(AND($C$11="y",$C$10="offer"),'commodity information'!M31,0)</f>
        <v>6.9814869058189508</v>
      </c>
    </row>
    <row r="115" spans="1:14" x14ac:dyDescent="0.2">
      <c r="A115" s="447"/>
      <c r="B115" s="372" t="s">
        <v>1060</v>
      </c>
      <c r="C115" s="1030">
        <f t="shared" ref="C115:M115" si="16">C113*C114</f>
        <v>1486000</v>
      </c>
      <c r="D115" s="225">
        <f t="shared" si="16"/>
        <v>1708211.5107084466</v>
      </c>
      <c r="E115" s="225">
        <f t="shared" si="16"/>
        <v>1301250.1260907315</v>
      </c>
      <c r="F115" s="1030">
        <f>F113*F114</f>
        <v>1232294.1750597835</v>
      </c>
      <c r="G115" s="225">
        <f>G113*G114</f>
        <v>1253412.838192123</v>
      </c>
      <c r="H115" s="225">
        <f t="shared" si="16"/>
        <v>1279128.2537550048</v>
      </c>
      <c r="I115" s="225">
        <f t="shared" si="16"/>
        <v>1309408.5175675321</v>
      </c>
      <c r="J115" s="225">
        <f t="shared" si="16"/>
        <v>1344223.4220026238</v>
      </c>
      <c r="K115" s="225">
        <f t="shared" si="16"/>
        <v>1383544.5266948738</v>
      </c>
      <c r="L115" s="225">
        <f t="shared" si="16"/>
        <v>1427345.192026017</v>
      </c>
      <c r="M115" s="225">
        <f t="shared" si="16"/>
        <v>1475600.5796310711</v>
      </c>
    </row>
    <row r="116" spans="1:14" x14ac:dyDescent="0.2">
      <c r="A116" s="447"/>
      <c r="B116" s="372" t="s">
        <v>1061</v>
      </c>
      <c r="C116" s="1030">
        <f>F56</f>
        <v>748000</v>
      </c>
      <c r="D116" s="225">
        <f t="shared" ref="D116:M116" si="17">$C$116*D84</f>
        <v>695640</v>
      </c>
      <c r="E116" s="225">
        <f t="shared" si="17"/>
        <v>716509.20000000007</v>
      </c>
      <c r="F116" s="1030">
        <f>$C$116*F84</f>
        <v>738004.47600000002</v>
      </c>
      <c r="G116" s="225">
        <f t="shared" si="17"/>
        <v>760144.61028000014</v>
      </c>
      <c r="H116" s="225">
        <f t="shared" si="17"/>
        <v>782948.94858840003</v>
      </c>
      <c r="I116" s="225">
        <f t="shared" si="17"/>
        <v>806437.41704605205</v>
      </c>
      <c r="J116" s="225">
        <f t="shared" si="17"/>
        <v>830630.53955743369</v>
      </c>
      <c r="K116" s="225">
        <f t="shared" si="17"/>
        <v>855549.45574415673</v>
      </c>
      <c r="L116" s="225">
        <f t="shared" si="17"/>
        <v>881215.93941648153</v>
      </c>
      <c r="M116" s="225">
        <f t="shared" si="17"/>
        <v>907652.41759897594</v>
      </c>
    </row>
    <row r="117" spans="1:14" x14ac:dyDescent="0.2">
      <c r="A117" s="447"/>
      <c r="B117" s="372" t="s">
        <v>1062</v>
      </c>
      <c r="C117" s="681">
        <f>F57</f>
        <v>5441000</v>
      </c>
      <c r="D117" s="810">
        <f t="shared" ref="D117:M117" si="18">$F$57*D85</f>
        <v>4654731.78330612</v>
      </c>
      <c r="E117" s="810">
        <f t="shared" si="18"/>
        <v>4756204.9361821944</v>
      </c>
      <c r="F117" s="1036">
        <f t="shared" si="18"/>
        <v>4855609.6193484012</v>
      </c>
      <c r="G117" s="810">
        <f t="shared" si="18"/>
        <v>4953207.372697304</v>
      </c>
      <c r="H117" s="810">
        <f t="shared" si="18"/>
        <v>5049299.5957276318</v>
      </c>
      <c r="I117" s="810">
        <f t="shared" si="18"/>
        <v>5143721.4981677383</v>
      </c>
      <c r="J117" s="810">
        <f t="shared" si="18"/>
        <v>5236308.4851347581</v>
      </c>
      <c r="K117" s="810">
        <f t="shared" si="18"/>
        <v>5327943.883624617</v>
      </c>
      <c r="L117" s="810">
        <f t="shared" si="18"/>
        <v>5417453.3408695105</v>
      </c>
      <c r="M117" s="810">
        <f t="shared" si="18"/>
        <v>5506299.5756597696</v>
      </c>
    </row>
    <row r="118" spans="1:14" x14ac:dyDescent="0.2">
      <c r="B118" s="447" t="s">
        <v>1410</v>
      </c>
      <c r="C118" s="681">
        <f>$F$58</f>
        <v>5006132.3560000015</v>
      </c>
      <c r="D118" s="810">
        <f t="shared" ref="D118:M118" si="19">$F$58*D86</f>
        <v>4611490.9325647522</v>
      </c>
      <c r="E118" s="810">
        <f t="shared" si="19"/>
        <v>4712021.4348946642</v>
      </c>
      <c r="F118" s="1036">
        <f t="shared" si="19"/>
        <v>4810502.6828839621</v>
      </c>
      <c r="G118" s="810">
        <f t="shared" si="19"/>
        <v>4907193.7868099296</v>
      </c>
      <c r="H118" s="810">
        <f t="shared" si="19"/>
        <v>5002393.3462740425</v>
      </c>
      <c r="I118" s="810">
        <f t="shared" si="19"/>
        <v>5095938.1018493678</v>
      </c>
      <c r="J118" s="810">
        <f t="shared" si="19"/>
        <v>5187664.9876826555</v>
      </c>
      <c r="K118" s="810">
        <f t="shared" si="19"/>
        <v>5278449.1249671029</v>
      </c>
      <c r="L118" s="810">
        <f t="shared" si="19"/>
        <v>5367127.0702665504</v>
      </c>
      <c r="M118" s="810">
        <f t="shared" si="19"/>
        <v>5455147.9542189213</v>
      </c>
    </row>
    <row r="119" spans="1:14" x14ac:dyDescent="0.2">
      <c r="B119" s="447" t="s">
        <v>1063</v>
      </c>
      <c r="C119" s="372">
        <v>0</v>
      </c>
      <c r="D119" s="810">
        <f>-SUM('RMPM-Whole'!C12:C23)</f>
        <v>28439040</v>
      </c>
      <c r="E119" s="1000">
        <f>-SUM('RMPM-Whole'!C24:C25)</f>
        <v>4739840</v>
      </c>
      <c r="F119" s="1036">
        <v>0</v>
      </c>
      <c r="G119" s="810">
        <v>0</v>
      </c>
      <c r="H119" s="810">
        <v>0</v>
      </c>
      <c r="I119" s="810">
        <v>0</v>
      </c>
      <c r="J119" s="810">
        <v>0</v>
      </c>
      <c r="K119" s="810">
        <v>0</v>
      </c>
      <c r="L119" s="810">
        <v>0</v>
      </c>
      <c r="M119" s="810">
        <v>0</v>
      </c>
    </row>
    <row r="120" spans="1:14" x14ac:dyDescent="0.2">
      <c r="B120" s="447" t="s">
        <v>1064</v>
      </c>
      <c r="C120" s="834">
        <f>F59</f>
        <v>3798248</v>
      </c>
      <c r="D120" s="810">
        <f t="shared" ref="D120:M120" si="20">$F$59*D87</f>
        <v>3798248</v>
      </c>
      <c r="E120" s="810">
        <f t="shared" si="20"/>
        <v>3798248</v>
      </c>
      <c r="F120" s="1036">
        <f t="shared" si="20"/>
        <v>3798248</v>
      </c>
      <c r="G120" s="810">
        <f t="shared" si="20"/>
        <v>3798248</v>
      </c>
      <c r="H120" s="810">
        <f t="shared" si="20"/>
        <v>3798248</v>
      </c>
      <c r="I120" s="810">
        <f t="shared" si="20"/>
        <v>3798248</v>
      </c>
      <c r="J120" s="810">
        <f t="shared" si="20"/>
        <v>3798248</v>
      </c>
      <c r="K120" s="810">
        <f t="shared" si="20"/>
        <v>3798248</v>
      </c>
      <c r="L120" s="810">
        <f t="shared" si="20"/>
        <v>3798248</v>
      </c>
      <c r="M120" s="810">
        <f t="shared" si="20"/>
        <v>3798248</v>
      </c>
    </row>
    <row r="121" spans="1:14" x14ac:dyDescent="0.2">
      <c r="B121" s="447" t="s">
        <v>1065</v>
      </c>
      <c r="C121" s="834">
        <f>IF(C12="y",F61,0)</f>
        <v>0</v>
      </c>
      <c r="D121" s="835" t="str">
        <f>IF($C$12="y",D93,"NA")</f>
        <v>NA</v>
      </c>
      <c r="E121" s="835" t="str">
        <f t="shared" ref="E121:M121" si="21">IF($C$12="y",E93,"NA")</f>
        <v>NA</v>
      </c>
      <c r="F121" s="835" t="str">
        <f t="shared" si="21"/>
        <v>NA</v>
      </c>
      <c r="G121" s="835" t="str">
        <f t="shared" si="21"/>
        <v>NA</v>
      </c>
      <c r="H121" s="835" t="str">
        <f t="shared" si="21"/>
        <v>NA</v>
      </c>
      <c r="I121" s="835" t="str">
        <f t="shared" si="21"/>
        <v>NA</v>
      </c>
      <c r="J121" s="835" t="str">
        <f t="shared" si="21"/>
        <v>NA</v>
      </c>
      <c r="K121" s="835" t="str">
        <f t="shared" si="21"/>
        <v>NA</v>
      </c>
      <c r="L121" s="835" t="str">
        <f t="shared" si="21"/>
        <v>NA</v>
      </c>
      <c r="M121" s="835" t="str">
        <f t="shared" si="21"/>
        <v>NA</v>
      </c>
    </row>
    <row r="122" spans="1:14" x14ac:dyDescent="0.2">
      <c r="B122" s="447" t="s">
        <v>1066</v>
      </c>
      <c r="C122" s="834">
        <v>0</v>
      </c>
      <c r="D122" s="835" t="str">
        <f>IF($C$12="y",D97,"NA")</f>
        <v>NA</v>
      </c>
      <c r="E122" s="835" t="str">
        <f t="shared" ref="E122:M122" si="22">IF($C$12="y",E97,"NA")</f>
        <v>NA</v>
      </c>
      <c r="F122" s="835" t="str">
        <f t="shared" si="22"/>
        <v>NA</v>
      </c>
      <c r="G122" s="835" t="str">
        <f t="shared" si="22"/>
        <v>NA</v>
      </c>
      <c r="H122" s="835" t="str">
        <f t="shared" si="22"/>
        <v>NA</v>
      </c>
      <c r="I122" s="835" t="str">
        <f t="shared" si="22"/>
        <v>NA</v>
      </c>
      <c r="J122" s="835" t="str">
        <f t="shared" si="22"/>
        <v>NA</v>
      </c>
      <c r="K122" s="835" t="str">
        <f t="shared" si="22"/>
        <v>NA</v>
      </c>
      <c r="L122" s="835" t="str">
        <f t="shared" si="22"/>
        <v>NA</v>
      </c>
      <c r="M122" s="835" t="str">
        <f t="shared" si="22"/>
        <v>NA</v>
      </c>
    </row>
    <row r="123" spans="1:14" x14ac:dyDescent="0.2">
      <c r="B123" s="447" t="s">
        <v>1258</v>
      </c>
      <c r="C123" s="834"/>
      <c r="D123" s="835" t="str">
        <f>IF(C12="y",100000,"NA")</f>
        <v>NA</v>
      </c>
      <c r="E123" s="810"/>
      <c r="F123" s="810"/>
      <c r="G123" s="810"/>
      <c r="H123" s="810"/>
      <c r="I123" s="810"/>
      <c r="J123" s="810"/>
      <c r="K123" s="810"/>
      <c r="L123" s="810"/>
      <c r="M123" s="810"/>
      <c r="N123" s="797"/>
    </row>
    <row r="124" spans="1:14" x14ac:dyDescent="0.2">
      <c r="A124" s="447"/>
      <c r="B124" s="612" t="s">
        <v>1067</v>
      </c>
      <c r="C124" s="836">
        <f>C109+C112+C115+SUM(C116:C123)</f>
        <v>58422380.356000006</v>
      </c>
      <c r="D124" s="837">
        <f>D109+D112+D115+SUM(D116:D123)</f>
        <v>86160695.031676799</v>
      </c>
      <c r="E124" s="837">
        <f t="shared" ref="E124:M124" si="23">E109+E112+E115+SUM(E116:E123)</f>
        <v>55991462.578766868</v>
      </c>
      <c r="F124" s="837">
        <f t="shared" si="23"/>
        <v>50171879.096791014</v>
      </c>
      <c r="G124" s="837">
        <f t="shared" si="23"/>
        <v>50443654.855623543</v>
      </c>
      <c r="H124" s="837">
        <f t="shared" si="23"/>
        <v>50718088.119332254</v>
      </c>
      <c r="I124" s="837">
        <f t="shared" si="23"/>
        <v>50994843.386825293</v>
      </c>
      <c r="J124" s="837">
        <f t="shared" si="23"/>
        <v>51273587.892367385</v>
      </c>
      <c r="K124" s="837">
        <f t="shared" si="23"/>
        <v>51556077.414782628</v>
      </c>
      <c r="L124" s="837">
        <f t="shared" si="23"/>
        <v>51839973.976698667</v>
      </c>
      <c r="M124" s="838">
        <f t="shared" si="23"/>
        <v>52128191.754716292</v>
      </c>
    </row>
    <row r="125" spans="1:14" x14ac:dyDescent="0.2">
      <c r="A125" s="447"/>
      <c r="B125" s="612"/>
      <c r="C125" s="225"/>
      <c r="D125" s="225"/>
      <c r="E125" s="225"/>
      <c r="F125" s="225"/>
      <c r="G125" s="225"/>
      <c r="H125" s="225"/>
      <c r="I125" s="225"/>
      <c r="J125" s="225"/>
      <c r="K125" s="225"/>
      <c r="L125" s="225"/>
      <c r="M125" s="225"/>
    </row>
    <row r="126" spans="1:14" x14ac:dyDescent="0.2">
      <c r="A126" s="447"/>
      <c r="B126" s="612" t="s">
        <v>1068</v>
      </c>
      <c r="C126" s="225"/>
      <c r="D126" s="225">
        <f t="shared" ref="D126:M126" si="24">D103-D124</f>
        <v>-29497256.979066245</v>
      </c>
      <c r="E126" s="225">
        <f t="shared" si="24"/>
        <v>1267080.3073298112</v>
      </c>
      <c r="F126" s="225">
        <f t="shared" si="24"/>
        <v>7677307.3875531033</v>
      </c>
      <c r="G126" s="225">
        <f t="shared" si="24"/>
        <v>8002967.6283478588</v>
      </c>
      <c r="H126" s="225">
        <f t="shared" si="24"/>
        <v>8332840.8782621473</v>
      </c>
      <c r="I126" s="225">
        <f t="shared" si="24"/>
        <v>8667341.6492987722</v>
      </c>
      <c r="J126" s="225">
        <f t="shared" si="24"/>
        <v>9006882.6267294362</v>
      </c>
      <c r="K126" s="225">
        <f t="shared" si="24"/>
        <v>9349788.8703411296</v>
      </c>
      <c r="L126" s="225">
        <f t="shared" si="24"/>
        <v>9698480.1257613376</v>
      </c>
      <c r="M126" s="225">
        <f t="shared" si="24"/>
        <v>10050124.924979329</v>
      </c>
    </row>
    <row r="127" spans="1:14" x14ac:dyDescent="0.2">
      <c r="A127" s="447"/>
      <c r="B127" s="447" t="s">
        <v>1132</v>
      </c>
      <c r="C127" s="225">
        <f>-C29</f>
        <v>-2150000</v>
      </c>
      <c r="D127" s="225"/>
      <c r="E127" s="225"/>
      <c r="F127" s="225"/>
      <c r="G127" s="225"/>
      <c r="H127" s="225"/>
      <c r="I127" s="225"/>
      <c r="J127" s="225"/>
      <c r="K127" s="225"/>
      <c r="L127" s="225"/>
      <c r="M127" s="225"/>
    </row>
    <row r="128" spans="1:14" ht="12" customHeight="1" x14ac:dyDescent="0.2">
      <c r="A128" s="447"/>
      <c r="B128" s="447" t="s">
        <v>1069</v>
      </c>
      <c r="C128" s="839"/>
      <c r="D128" s="1048">
        <f>-(C112+C115+C116)*C28</f>
        <v>-662655</v>
      </c>
      <c r="E128" s="1048">
        <f>D128</f>
        <v>-662655</v>
      </c>
      <c r="F128" s="1048">
        <f t="shared" ref="F128:M128" si="25">E128</f>
        <v>-662655</v>
      </c>
      <c r="G128" s="840">
        <f t="shared" si="25"/>
        <v>-662655</v>
      </c>
      <c r="H128" s="840">
        <f t="shared" si="25"/>
        <v>-662655</v>
      </c>
      <c r="I128" s="840">
        <f t="shared" si="25"/>
        <v>-662655</v>
      </c>
      <c r="J128" s="840">
        <f t="shared" si="25"/>
        <v>-662655</v>
      </c>
      <c r="K128" s="840">
        <f t="shared" si="25"/>
        <v>-662655</v>
      </c>
      <c r="L128" s="840">
        <f t="shared" si="25"/>
        <v>-662655</v>
      </c>
      <c r="M128" s="840">
        <f t="shared" si="25"/>
        <v>-662655</v>
      </c>
    </row>
    <row r="129" spans="1:13" x14ac:dyDescent="0.2">
      <c r="A129" s="447"/>
      <c r="B129" s="612" t="s">
        <v>1070</v>
      </c>
      <c r="C129" s="795">
        <f>C126+C127+C128</f>
        <v>-2150000</v>
      </c>
      <c r="D129" s="795">
        <f>D126+D127+D128</f>
        <v>-30159911.979066245</v>
      </c>
      <c r="E129" s="795">
        <f t="shared" ref="E129:M129" si="26">E126+E127+E128</f>
        <v>604425.30732981116</v>
      </c>
      <c r="F129" s="795">
        <f t="shared" si="26"/>
        <v>7014652.3875531033</v>
      </c>
      <c r="G129" s="795">
        <f t="shared" si="26"/>
        <v>7340312.6283478588</v>
      </c>
      <c r="H129" s="795">
        <f t="shared" si="26"/>
        <v>7670185.8782621473</v>
      </c>
      <c r="I129" s="795">
        <f t="shared" si="26"/>
        <v>8004686.6492987722</v>
      </c>
      <c r="J129" s="795">
        <f t="shared" si="26"/>
        <v>8344227.6267294362</v>
      </c>
      <c r="K129" s="795">
        <f t="shared" si="26"/>
        <v>8687133.8703411296</v>
      </c>
      <c r="L129" s="795">
        <f t="shared" si="26"/>
        <v>9035825.1257613376</v>
      </c>
      <c r="M129" s="795">
        <f t="shared" si="26"/>
        <v>9387469.9249793291</v>
      </c>
    </row>
    <row r="130" spans="1:13" x14ac:dyDescent="0.2">
      <c r="A130" s="447"/>
      <c r="B130" s="447"/>
      <c r="C130" s="447"/>
      <c r="D130" s="841"/>
      <c r="F130" s="447"/>
      <c r="G130" s="447"/>
      <c r="H130" s="447"/>
      <c r="I130" s="447"/>
      <c r="J130" s="447"/>
      <c r="K130" s="447"/>
      <c r="L130" s="447"/>
    </row>
    <row r="131" spans="1:13" x14ac:dyDescent="0.2">
      <c r="A131" s="447"/>
      <c r="B131" s="844" t="s">
        <v>784</v>
      </c>
      <c r="C131" s="843">
        <f>NPV('general info'!B45,D129:M129)+C129</f>
        <v>913657.54329380626</v>
      </c>
      <c r="D131" s="841"/>
      <c r="F131" s="447"/>
      <c r="G131" s="447"/>
      <c r="H131" s="447"/>
      <c r="I131" s="447"/>
      <c r="J131" s="447"/>
      <c r="K131" s="447"/>
      <c r="L131" s="447"/>
    </row>
    <row r="132" spans="1:13" x14ac:dyDescent="0.2">
      <c r="B132" s="845"/>
      <c r="C132" s="846"/>
      <c r="F132" s="447"/>
      <c r="G132" s="447"/>
      <c r="H132" s="447"/>
      <c r="I132" s="447"/>
      <c r="J132" s="447"/>
      <c r="K132" s="447"/>
      <c r="L132" s="447"/>
    </row>
    <row r="133" spans="1:13" x14ac:dyDescent="0.2">
      <c r="A133" s="809"/>
      <c r="B133" s="372" t="s">
        <v>1072</v>
      </c>
      <c r="C133" s="796">
        <f>'general info'!D8</f>
        <v>48800532.427999996</v>
      </c>
    </row>
    <row r="134" spans="1:13" x14ac:dyDescent="0.2">
      <c r="A134" s="809"/>
      <c r="B134" s="372" t="s">
        <v>1091</v>
      </c>
      <c r="C134" s="796">
        <f>D34</f>
        <v>18622539</v>
      </c>
      <c r="D134" s="802" t="s">
        <v>1092</v>
      </c>
    </row>
    <row r="135" spans="1:13" x14ac:dyDescent="0.2">
      <c r="A135" s="809"/>
      <c r="B135" s="447" t="s">
        <v>1281</v>
      </c>
      <c r="C135" s="820">
        <f>IRR(D129:M129)</f>
        <v>0.16037284901416476</v>
      </c>
    </row>
    <row r="136" spans="1:13" x14ac:dyDescent="0.2">
      <c r="A136" s="809"/>
      <c r="B136" s="447"/>
      <c r="C136" s="895"/>
    </row>
    <row r="137" spans="1:13" x14ac:dyDescent="0.2">
      <c r="A137" s="612"/>
      <c r="B137" s="588" t="s">
        <v>1054</v>
      </c>
      <c r="C137" s="786"/>
      <c r="D137" s="588">
        <f>-IF($C$10="mid",SUM('RMPM-Whole'!$DL$12:$DL$23),SUM('RMPM-Whole'!$L$12:$L$23))</f>
        <v>0</v>
      </c>
      <c r="E137" s="588">
        <f>-IF($C$10="mid",SUM('RMPM-Whole'!$DL$24:$DL$35),SUM('RMPM-Whole'!$L$24:$L$35))</f>
        <v>-4748329.2700924529</v>
      </c>
      <c r="F137" s="588">
        <f>-IF($C$10="mid",SUM('RMPM-Whole'!$DL$36:$DL$47),SUM('RMPM-Whole'!$L$36:$L$47))</f>
        <v>-5697995.1241109436</v>
      </c>
      <c r="G137" s="588">
        <f>-IF($C$10="mid",SUM('RMPM-Whole'!$DL$48:$DL$59),SUM('RMPM-Whole'!$L$48:$L$59))</f>
        <v>-5697995.1241109436</v>
      </c>
      <c r="H137" s="588">
        <f>-IF($C$10="mid",SUM('RMPM-Whole'!$DL$60:$DL$71),SUM('RMPM-Whole'!$L$60:$L$71))</f>
        <v>-5697995.1241109436</v>
      </c>
      <c r="I137" s="588">
        <f>-IF($C$10="mid",SUM('RMPM-Whole'!$DL$72:$DL$83),SUM('RMPM-Whole'!$L$72:$L$83))</f>
        <v>-5697995.1241109436</v>
      </c>
      <c r="J137" s="588">
        <f>-IF($C$10="mid",SUM('RMPM-Whole'!$DL$84:$DL$95),SUM('RMPM-Whole'!$L$84:$L$95))</f>
        <v>-5697995.1241109436</v>
      </c>
      <c r="K137" s="588">
        <f>-IF($C$10="mid",SUM('RMPM-Whole'!$DL$96:$DL$107),SUM('RMPM-Whole'!$L$96:$L$107))</f>
        <v>-5697995.1241109436</v>
      </c>
      <c r="L137" s="588">
        <f>-IF($C$10="mid",SUM('RMPM-Whole'!$DL$108:$DL$119),SUM('RMPM-Whole'!$L$108:$L$119))</f>
        <v>-5697995.1241109436</v>
      </c>
      <c r="M137" s="588">
        <f>-IF($C$10="mid",SUM('RMPM-Whole'!$DL$120:$DL$131),SUM('RMPM-Whole'!$L$120:$L$131))</f>
        <v>-5697995.1241109436</v>
      </c>
    </row>
    <row r="138" spans="1:13" x14ac:dyDescent="0.2">
      <c r="A138" s="809"/>
      <c r="B138" s="447"/>
      <c r="C138" s="895"/>
    </row>
    <row r="139" spans="1:13" x14ac:dyDescent="0.2">
      <c r="B139" s="809" t="s">
        <v>1455</v>
      </c>
      <c r="C139" s="681"/>
    </row>
    <row r="140" spans="1:13" x14ac:dyDescent="0.2">
      <c r="B140" s="612" t="s">
        <v>1492</v>
      </c>
      <c r="C140" s="681">
        <f>C129+C119+C137</f>
        <v>-2150000</v>
      </c>
      <c r="D140" s="681">
        <f>D129+D119+D137</f>
        <v>-1720871.9790662453</v>
      </c>
      <c r="E140" s="681">
        <f t="shared" ref="E140:M140" si="27">E129+E119+E137</f>
        <v>595936.03723735828</v>
      </c>
      <c r="F140" s="681">
        <f t="shared" si="27"/>
        <v>1316657.2634421596</v>
      </c>
      <c r="G140" s="681">
        <f t="shared" si="27"/>
        <v>1642317.5042369151</v>
      </c>
      <c r="H140" s="681">
        <f t="shared" si="27"/>
        <v>1972190.7541512037</v>
      </c>
      <c r="I140" s="681">
        <f t="shared" si="27"/>
        <v>2306691.5251878286</v>
      </c>
      <c r="J140" s="681">
        <f t="shared" si="27"/>
        <v>2646232.5026184926</v>
      </c>
      <c r="K140" s="681">
        <f t="shared" si="27"/>
        <v>2989138.746230186</v>
      </c>
      <c r="L140" s="681">
        <f t="shared" si="27"/>
        <v>3337830.0016503939</v>
      </c>
      <c r="M140" s="681">
        <f t="shared" si="27"/>
        <v>3689474.8008683855</v>
      </c>
    </row>
    <row r="141" spans="1:13" x14ac:dyDescent="0.2">
      <c r="B141" s="612" t="s">
        <v>1491</v>
      </c>
      <c r="C141" s="907">
        <f>NPV(0.0945,D140:M140)</f>
        <v>9505709.0313447658</v>
      </c>
    </row>
    <row r="142" spans="1:13" x14ac:dyDescent="0.2">
      <c r="B142" s="612"/>
      <c r="C142" s="907"/>
    </row>
    <row r="143" spans="1:13" x14ac:dyDescent="0.2">
      <c r="B143" s="612" t="s">
        <v>1493</v>
      </c>
      <c r="C143" s="907">
        <f>NPV('general info'!$B$45,D140:M140)+C140</f>
        <v>5096302.9619304715</v>
      </c>
    </row>
    <row r="144" spans="1:13" x14ac:dyDescent="0.2">
      <c r="B144" s="612" t="s">
        <v>1132</v>
      </c>
      <c r="C144" s="907"/>
    </row>
    <row r="145" spans="2:13" x14ac:dyDescent="0.2">
      <c r="B145" s="612" t="s">
        <v>1494</v>
      </c>
      <c r="C145" s="907"/>
    </row>
    <row r="146" spans="2:13" x14ac:dyDescent="0.2">
      <c r="C146" s="611"/>
      <c r="D146" s="895"/>
    </row>
    <row r="147" spans="2:13" s="612" customFormat="1" x14ac:dyDescent="0.2">
      <c r="B147" s="844" t="s">
        <v>446</v>
      </c>
      <c r="C147" s="890">
        <f>SUM(D103:M103)</f>
        <v>593834011.52711749</v>
      </c>
      <c r="D147" s="811"/>
      <c r="E147" s="811"/>
      <c r="F147" s="811"/>
      <c r="G147" s="811"/>
      <c r="H147" s="811"/>
      <c r="I147" s="811"/>
      <c r="J147" s="811"/>
      <c r="K147" s="811"/>
      <c r="L147" s="811"/>
      <c r="M147" s="811"/>
    </row>
    <row r="148" spans="2:13" x14ac:dyDescent="0.2">
      <c r="B148" s="891" t="s">
        <v>447</v>
      </c>
      <c r="C148" s="859">
        <f>SUM(D129:M129)</f>
        <v>35929007.41953668</v>
      </c>
      <c r="D148" s="611"/>
    </row>
    <row r="149" spans="2:13" x14ac:dyDescent="0.2">
      <c r="B149" s="893" t="s">
        <v>1477</v>
      </c>
      <c r="C149" s="894">
        <f>C148/C147</f>
        <v>6.0503451675226215E-2</v>
      </c>
      <c r="D149" s="611"/>
    </row>
    <row r="150" spans="2:13" x14ac:dyDescent="0.2">
      <c r="B150" s="891" t="s">
        <v>872</v>
      </c>
      <c r="C150" s="908">
        <f>NPV('general info'!B45,E119)+D119</f>
        <v>32615110.484581497</v>
      </c>
    </row>
    <row r="151" spans="2:13" x14ac:dyDescent="0.2">
      <c r="B151" s="845" t="s">
        <v>1281</v>
      </c>
      <c r="C151" s="909">
        <f>IRR(D129:M129)</f>
        <v>0.16037284901416476</v>
      </c>
    </row>
    <row r="152" spans="2:13" x14ac:dyDescent="0.2">
      <c r="B152" s="892"/>
      <c r="C152" s="858"/>
    </row>
    <row r="153" spans="2:13" x14ac:dyDescent="0.2">
      <c r="B153" s="611"/>
    </row>
    <row r="157" spans="2:13" x14ac:dyDescent="0.2">
      <c r="C157" s="796"/>
      <c r="D157" s="796"/>
      <c r="E157" s="796"/>
      <c r="F157" s="796"/>
      <c r="G157" s="796"/>
      <c r="H157" s="796"/>
      <c r="I157" s="796"/>
      <c r="J157" s="796"/>
      <c r="K157" s="796"/>
      <c r="L157" s="796"/>
      <c r="M157" s="796"/>
    </row>
    <row r="158" spans="2:13" x14ac:dyDescent="0.2">
      <c r="C158" s="796"/>
      <c r="D158" s="796"/>
      <c r="E158" s="796"/>
      <c r="F158" s="796"/>
      <c r="G158" s="796"/>
      <c r="H158" s="796"/>
      <c r="I158" s="796"/>
      <c r="J158" s="796"/>
      <c r="K158" s="796"/>
      <c r="L158" s="796"/>
      <c r="M158" s="796"/>
    </row>
    <row r="159" spans="2:13" x14ac:dyDescent="0.2">
      <c r="C159" s="796"/>
      <c r="D159" s="796"/>
      <c r="E159" s="796"/>
      <c r="F159" s="796"/>
      <c r="G159" s="796"/>
      <c r="H159" s="796"/>
      <c r="I159" s="796"/>
      <c r="J159" s="796"/>
      <c r="K159" s="796"/>
      <c r="L159" s="796"/>
      <c r="M159" s="796"/>
    </row>
    <row r="160" spans="2:13" x14ac:dyDescent="0.2">
      <c r="C160" s="796"/>
      <c r="D160" s="796"/>
      <c r="E160" s="796"/>
      <c r="F160" s="796"/>
      <c r="G160" s="796"/>
      <c r="H160" s="796"/>
      <c r="I160" s="796"/>
      <c r="J160" s="796"/>
      <c r="K160" s="796"/>
      <c r="L160" s="796"/>
      <c r="M160" s="796"/>
    </row>
    <row r="161" spans="3:13" x14ac:dyDescent="0.2">
      <c r="C161" s="796"/>
      <c r="D161" s="796"/>
      <c r="E161" s="796"/>
      <c r="F161" s="796"/>
      <c r="G161" s="796"/>
      <c r="H161" s="796"/>
      <c r="I161" s="796"/>
      <c r="J161" s="796"/>
      <c r="K161" s="796"/>
      <c r="L161" s="796"/>
      <c r="M161" s="796"/>
    </row>
    <row r="162" spans="3:13" x14ac:dyDescent="0.2">
      <c r="C162" s="796"/>
      <c r="D162" s="796"/>
      <c r="E162" s="796"/>
      <c r="F162" s="796"/>
      <c r="G162" s="796"/>
      <c r="H162" s="796"/>
      <c r="I162" s="796"/>
      <c r="J162" s="796"/>
      <c r="K162" s="796"/>
      <c r="L162" s="796"/>
      <c r="M162" s="796"/>
    </row>
    <row r="163" spans="3:13" x14ac:dyDescent="0.2">
      <c r="C163" s="796"/>
      <c r="D163" s="796"/>
      <c r="E163" s="796"/>
      <c r="F163" s="796"/>
      <c r="G163" s="796"/>
      <c r="H163" s="796"/>
      <c r="I163" s="796"/>
      <c r="J163" s="796"/>
      <c r="K163" s="796"/>
      <c r="L163" s="796"/>
      <c r="M163" s="796"/>
    </row>
    <row r="164" spans="3:13" x14ac:dyDescent="0.2">
      <c r="C164" s="796"/>
      <c r="D164" s="796"/>
      <c r="E164" s="796"/>
      <c r="F164" s="796"/>
      <c r="G164" s="796"/>
      <c r="H164" s="796"/>
      <c r="I164" s="796"/>
      <c r="J164" s="796"/>
      <c r="K164" s="796"/>
      <c r="L164" s="796"/>
      <c r="M164" s="796"/>
    </row>
    <row r="165" spans="3:13" x14ac:dyDescent="0.2">
      <c r="C165" s="796"/>
      <c r="D165" s="796"/>
      <c r="E165" s="796"/>
      <c r="F165" s="796"/>
      <c r="G165" s="796"/>
      <c r="H165" s="796"/>
      <c r="I165" s="796"/>
      <c r="J165" s="796"/>
      <c r="K165" s="796"/>
      <c r="L165" s="796"/>
      <c r="M165" s="796"/>
    </row>
    <row r="166" spans="3:13" x14ac:dyDescent="0.2">
      <c r="C166" s="796"/>
      <c r="D166" s="796"/>
      <c r="E166" s="796"/>
      <c r="F166" s="796"/>
      <c r="G166" s="796"/>
      <c r="H166" s="796"/>
      <c r="I166" s="796"/>
      <c r="J166" s="796"/>
      <c r="K166" s="796"/>
      <c r="L166" s="796"/>
      <c r="M166" s="796"/>
    </row>
    <row r="167" spans="3:13" x14ac:dyDescent="0.2">
      <c r="C167" s="796"/>
      <c r="D167" s="796"/>
      <c r="E167" s="796"/>
      <c r="F167" s="796"/>
      <c r="G167" s="796"/>
      <c r="H167" s="796"/>
      <c r="I167" s="796"/>
      <c r="J167" s="796"/>
      <c r="K167" s="796"/>
      <c r="L167" s="796"/>
      <c r="M167" s="796"/>
    </row>
    <row r="168" spans="3:13" x14ac:dyDescent="0.2">
      <c r="C168" s="796"/>
      <c r="D168" s="796"/>
      <c r="E168" s="796"/>
      <c r="F168" s="796"/>
      <c r="G168" s="796"/>
      <c r="H168" s="796"/>
      <c r="I168" s="796"/>
      <c r="J168" s="796"/>
      <c r="K168" s="796"/>
      <c r="L168" s="796"/>
      <c r="M168" s="796"/>
    </row>
    <row r="169" spans="3:13" x14ac:dyDescent="0.2">
      <c r="C169" s="796"/>
      <c r="D169" s="796"/>
      <c r="E169" s="796"/>
      <c r="F169" s="796"/>
      <c r="G169" s="796"/>
      <c r="H169" s="796"/>
      <c r="I169" s="796"/>
      <c r="J169" s="796"/>
      <c r="K169" s="796"/>
      <c r="L169" s="796"/>
      <c r="M169" s="796"/>
    </row>
    <row r="170" spans="3:13" x14ac:dyDescent="0.2">
      <c r="C170" s="796"/>
      <c r="D170" s="796"/>
      <c r="E170" s="796"/>
      <c r="F170" s="796"/>
      <c r="G170" s="796"/>
      <c r="H170" s="796"/>
      <c r="I170" s="796"/>
      <c r="J170" s="796"/>
      <c r="K170" s="796"/>
      <c r="L170" s="796"/>
      <c r="M170" s="796"/>
    </row>
    <row r="171" spans="3:13" x14ac:dyDescent="0.2">
      <c r="C171" s="796"/>
      <c r="D171" s="796"/>
      <c r="E171" s="796"/>
      <c r="F171" s="796"/>
      <c r="G171" s="796"/>
      <c r="H171" s="796"/>
      <c r="I171" s="796"/>
      <c r="J171" s="796"/>
      <c r="K171" s="796"/>
      <c r="L171" s="796"/>
      <c r="M171" s="796"/>
    </row>
    <row r="172" spans="3:13" x14ac:dyDescent="0.2">
      <c r="C172" s="796"/>
      <c r="D172" s="796"/>
      <c r="E172" s="796"/>
      <c r="F172" s="796"/>
      <c r="G172" s="796"/>
      <c r="H172" s="796"/>
      <c r="I172" s="796"/>
      <c r="J172" s="796"/>
      <c r="K172" s="796"/>
      <c r="L172" s="796"/>
      <c r="M172" s="796"/>
    </row>
    <row r="173" spans="3:13" x14ac:dyDescent="0.2">
      <c r="C173" s="796"/>
      <c r="D173" s="796"/>
      <c r="E173" s="796"/>
      <c r="F173" s="796"/>
      <c r="G173" s="796"/>
      <c r="H173" s="796"/>
      <c r="I173" s="796"/>
      <c r="J173" s="796"/>
      <c r="K173" s="796"/>
      <c r="L173" s="796"/>
      <c r="M173" s="796"/>
    </row>
    <row r="174" spans="3:13" x14ac:dyDescent="0.2">
      <c r="C174" s="796"/>
      <c r="D174" s="796"/>
      <c r="E174" s="796"/>
      <c r="F174" s="796"/>
      <c r="G174" s="796"/>
      <c r="H174" s="796"/>
      <c r="I174" s="796"/>
      <c r="J174" s="796"/>
      <c r="K174" s="796"/>
      <c r="L174" s="796"/>
      <c r="M174" s="796"/>
    </row>
    <row r="175" spans="3:13" x14ac:dyDescent="0.2">
      <c r="C175" s="796"/>
      <c r="D175" s="796"/>
      <c r="E175" s="796"/>
      <c r="F175" s="796"/>
      <c r="G175" s="796"/>
      <c r="H175" s="796"/>
      <c r="I175" s="796"/>
      <c r="J175" s="796"/>
      <c r="K175" s="796"/>
      <c r="L175" s="796"/>
      <c r="M175" s="796"/>
    </row>
    <row r="176" spans="3:13" x14ac:dyDescent="0.2">
      <c r="C176" s="796"/>
      <c r="D176" s="796"/>
      <c r="E176" s="796"/>
      <c r="F176" s="796"/>
      <c r="G176" s="796"/>
      <c r="H176" s="796"/>
      <c r="I176" s="796"/>
      <c r="J176" s="796"/>
      <c r="K176" s="796"/>
      <c r="L176" s="796"/>
      <c r="M176" s="796"/>
    </row>
    <row r="177" spans="3:13" x14ac:dyDescent="0.2">
      <c r="C177" s="796"/>
      <c r="D177" s="796"/>
      <c r="E177" s="796"/>
      <c r="F177" s="796"/>
      <c r="G177" s="796"/>
      <c r="H177" s="796"/>
      <c r="I177" s="796"/>
      <c r="J177" s="796"/>
      <c r="K177" s="796"/>
      <c r="L177" s="796"/>
      <c r="M177" s="796"/>
    </row>
    <row r="178" spans="3:13" x14ac:dyDescent="0.2">
      <c r="C178" s="796"/>
      <c r="D178" s="796"/>
      <c r="E178" s="796"/>
      <c r="F178" s="796"/>
      <c r="G178" s="796"/>
      <c r="H178" s="796"/>
      <c r="I178" s="796"/>
      <c r="J178" s="796"/>
      <c r="K178" s="796"/>
      <c r="L178" s="796"/>
      <c r="M178" s="796"/>
    </row>
    <row r="179" spans="3:13" x14ac:dyDescent="0.2">
      <c r="C179" s="796"/>
      <c r="D179" s="796"/>
      <c r="E179" s="796"/>
      <c r="F179" s="796"/>
      <c r="G179" s="796"/>
      <c r="H179" s="796"/>
      <c r="I179" s="796"/>
      <c r="J179" s="796"/>
      <c r="K179" s="796"/>
      <c r="L179" s="796"/>
      <c r="M179" s="796"/>
    </row>
  </sheetData>
  <pageMargins left="0.21" right="0.2" top="0.19" bottom="0.19" header="0.5" footer="0.31"/>
  <pageSetup scale="64" orientation="landscape" r:id="rId1"/>
  <headerFooter alignWithMargins="0">
    <oddFooter>&amp;L&amp;A&amp;C&amp;D &amp;T</oddFooter>
  </headerFooter>
  <rowBreaks count="1" manualBreakCount="1">
    <brk id="66" max="16383" man="1"/>
  </rowBreaks>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M46"/>
  <sheetViews>
    <sheetView workbookViewId="0">
      <selection activeCell="B8" sqref="B8"/>
    </sheetView>
  </sheetViews>
  <sheetFormatPr defaultRowHeight="12.75" x14ac:dyDescent="0.2"/>
  <cols>
    <col min="1" max="1" width="10.7109375" customWidth="1"/>
    <col min="2" max="2" width="15.85546875" bestFit="1" customWidth="1"/>
    <col min="3" max="4" width="10.28515625" bestFit="1" customWidth="1"/>
    <col min="6" max="6" width="10.28515625" bestFit="1" customWidth="1"/>
    <col min="8" max="8" width="9.85546875" hidden="1" customWidth="1"/>
    <col min="9" max="11" width="10.28515625" hidden="1" customWidth="1"/>
    <col min="12" max="12" width="0" hidden="1" customWidth="1"/>
  </cols>
  <sheetData>
    <row r="1" spans="1:12" x14ac:dyDescent="0.2">
      <c r="A1" s="369" t="s">
        <v>1500</v>
      </c>
    </row>
    <row r="3" spans="1:12" x14ac:dyDescent="0.2">
      <c r="A3" s="508" t="s">
        <v>1483</v>
      </c>
      <c r="B3" s="508"/>
      <c r="C3" s="508"/>
      <c r="D3" s="508"/>
      <c r="E3" s="508"/>
      <c r="F3" s="508"/>
      <c r="G3" s="508"/>
      <c r="H3" s="508" t="s">
        <v>1483</v>
      </c>
      <c r="I3" s="508"/>
      <c r="J3" s="508"/>
      <c r="K3" s="508"/>
    </row>
    <row r="4" spans="1:12" x14ac:dyDescent="0.2">
      <c r="A4" s="913" t="s">
        <v>1484</v>
      </c>
      <c r="B4" s="508"/>
      <c r="C4" s="508"/>
      <c r="D4" s="508"/>
      <c r="E4" s="508"/>
      <c r="F4" s="508"/>
      <c r="G4" s="508"/>
      <c r="H4" s="913" t="s">
        <v>1496</v>
      </c>
      <c r="I4" s="508"/>
      <c r="J4" s="508"/>
      <c r="K4" s="508"/>
    </row>
    <row r="6" spans="1:12" x14ac:dyDescent="0.2">
      <c r="B6" s="905">
        <v>2002</v>
      </c>
      <c r="C6" s="905">
        <v>2003</v>
      </c>
      <c r="D6" s="905">
        <v>2004</v>
      </c>
      <c r="E6" s="905">
        <v>2005</v>
      </c>
      <c r="H6" s="905"/>
      <c r="I6" s="905">
        <v>2002</v>
      </c>
      <c r="J6" s="905">
        <v>2003</v>
      </c>
      <c r="K6" s="905">
        <v>2004</v>
      </c>
      <c r="L6" s="905">
        <v>2005</v>
      </c>
    </row>
    <row r="7" spans="1:12" x14ac:dyDescent="0.2">
      <c r="A7" t="s">
        <v>1486</v>
      </c>
      <c r="B7" s="964">
        <v>6.8713529012874794E-2</v>
      </c>
      <c r="C7" s="366">
        <v>7.3132522512873971E-2</v>
      </c>
      <c r="D7" s="366">
        <v>7.7380898503220691E-2</v>
      </c>
      <c r="E7" s="366">
        <v>8.120273071943622E-2</v>
      </c>
      <c r="F7" s="366"/>
      <c r="G7" s="366"/>
      <c r="H7" t="s">
        <v>1486</v>
      </c>
      <c r="I7" s="366">
        <v>6.8713529012874766E-2</v>
      </c>
      <c r="J7" s="366">
        <v>7.3132522512873971E-2</v>
      </c>
      <c r="K7" s="366">
        <v>7.7380898503220691E-2</v>
      </c>
      <c r="L7" s="366">
        <v>8.120273071943622E-2</v>
      </c>
    </row>
    <row r="8" spans="1:12" x14ac:dyDescent="0.2">
      <c r="B8" s="484">
        <f>(9.5%-B7)*'wholesale services'!$F$63</f>
        <v>1551543.5629174104</v>
      </c>
      <c r="C8" s="484">
        <f>(9.5%-C7)*'wholesale services'!$F$63</f>
        <v>1290715.058290231</v>
      </c>
      <c r="D8" s="484">
        <f>(9.5%-D7)*'wholesale services'!$F$63</f>
        <v>1039957.1522973046</v>
      </c>
      <c r="E8" s="484">
        <f>(9.5%-E7)*'wholesale services'!$F$63</f>
        <v>814375.74289001303</v>
      </c>
      <c r="F8" s="484"/>
      <c r="G8" s="484"/>
      <c r="H8" s="484"/>
      <c r="I8" s="484">
        <f>(9.5%-I7)*'wholesale services'!$F$63</f>
        <v>1551543.562917412</v>
      </c>
      <c r="J8" s="484">
        <f>(9.5%-J7)*'wholesale services'!$F$63</f>
        <v>1290715.058290231</v>
      </c>
      <c r="K8" s="484">
        <f>(9.5%-K7)*'wholesale services'!$F$63</f>
        <v>1039957.1522973046</v>
      </c>
      <c r="L8" s="484">
        <f>(9.5%-L7)*'wholesale services'!$F$63</f>
        <v>814375.74289001303</v>
      </c>
    </row>
    <row r="9" spans="1:12" x14ac:dyDescent="0.2">
      <c r="A9" t="s">
        <v>1485</v>
      </c>
      <c r="B9" s="366">
        <v>7.8370480059205064E-2</v>
      </c>
      <c r="C9" s="366">
        <v>8.131647572587121E-2</v>
      </c>
      <c r="D9" s="366">
        <v>8.4148726386102338E-2</v>
      </c>
      <c r="E9" s="366">
        <v>8.6696614530246033E-2</v>
      </c>
      <c r="F9" s="366"/>
      <c r="G9" s="366"/>
      <c r="H9" t="s">
        <v>1485</v>
      </c>
      <c r="I9" s="366">
        <v>7.8370480059205064E-2</v>
      </c>
      <c r="J9" s="366">
        <v>8.131647572587121E-2</v>
      </c>
      <c r="K9" s="366">
        <v>8.4148726386102338E-2</v>
      </c>
      <c r="L9" s="366">
        <v>8.6696614530246033E-2</v>
      </c>
    </row>
    <row r="10" spans="1:12" x14ac:dyDescent="0.2">
      <c r="A10" s="592"/>
      <c r="B10" s="484">
        <f>(9.5%-B9)*'wholesale services'!$F$63</f>
        <v>981547.68021863117</v>
      </c>
      <c r="C10" s="484">
        <f>(9.5%-C9)*'wholesale services'!$F$63</f>
        <v>807662.01046717667</v>
      </c>
      <c r="D10" s="484">
        <f>(9.5%-D9)*'wholesale services'!$F$63</f>
        <v>640490.07313856017</v>
      </c>
      <c r="E10" s="484">
        <f>(9.5%-E9)*'wholesale services'!$F$63</f>
        <v>490102.46686703188</v>
      </c>
      <c r="F10" s="484"/>
      <c r="G10" s="484"/>
      <c r="H10" s="484"/>
      <c r="I10" s="484">
        <f>(9.5%-I9)*'wholesale services'!$F$63</f>
        <v>981547.68021863117</v>
      </c>
      <c r="J10" s="484">
        <f>(9.5%-J9)*'wholesale services'!$F$63</f>
        <v>807662.01046717667</v>
      </c>
      <c r="K10" s="484">
        <f>(9.5%-K9)*'wholesale services'!$F$63</f>
        <v>640490.07313856017</v>
      </c>
      <c r="L10" s="484">
        <f>(9.5%-L9)*'wholesale services'!$F$63</f>
        <v>490102.46686703188</v>
      </c>
    </row>
    <row r="11" spans="1:12" x14ac:dyDescent="0.2">
      <c r="A11" t="s">
        <v>1487</v>
      </c>
      <c r="B11" s="366">
        <v>8.8027431105535361E-2</v>
      </c>
      <c r="C11" s="366">
        <v>8.9500428938868434E-2</v>
      </c>
      <c r="D11" s="366">
        <v>9.0916554268984012E-2</v>
      </c>
      <c r="E11" s="366">
        <v>9.219049834105586E-2</v>
      </c>
      <c r="F11" s="366"/>
      <c r="G11" s="366"/>
      <c r="H11" t="s">
        <v>1487</v>
      </c>
      <c r="I11" s="366">
        <v>8.8027431105535361E-2</v>
      </c>
      <c r="J11" s="366">
        <v>8.9500428938868434E-2</v>
      </c>
      <c r="K11" s="366">
        <v>9.0916554268984012E-2</v>
      </c>
      <c r="L11" s="366">
        <v>9.219049834105586E-2</v>
      </c>
    </row>
    <row r="12" spans="1:12" x14ac:dyDescent="0.2">
      <c r="B12" s="503"/>
      <c r="C12" s="503"/>
      <c r="D12" s="503"/>
      <c r="E12" s="503"/>
      <c r="I12" s="503"/>
      <c r="J12" s="503"/>
      <c r="K12" s="503"/>
      <c r="L12" s="503"/>
    </row>
    <row r="15" spans="1:12" x14ac:dyDescent="0.2">
      <c r="A15" s="508" t="s">
        <v>1488</v>
      </c>
      <c r="B15" s="508"/>
      <c r="C15" s="508"/>
      <c r="D15" s="508"/>
      <c r="E15" s="508"/>
      <c r="F15" s="508"/>
      <c r="G15" s="508"/>
      <c r="H15" s="508" t="s">
        <v>1488</v>
      </c>
      <c r="I15" s="508"/>
      <c r="J15" s="508"/>
      <c r="K15" s="508"/>
    </row>
    <row r="16" spans="1:12" x14ac:dyDescent="0.2">
      <c r="A16" s="913" t="s">
        <v>1484</v>
      </c>
      <c r="B16" s="508"/>
      <c r="C16" s="508"/>
      <c r="D16" s="508"/>
      <c r="E16" s="508"/>
      <c r="F16" s="508"/>
      <c r="G16" s="508"/>
      <c r="H16" s="913" t="s">
        <v>1496</v>
      </c>
      <c r="I16" s="508"/>
      <c r="J16" s="508"/>
      <c r="K16" s="508"/>
    </row>
    <row r="18" spans="1:13" x14ac:dyDescent="0.2">
      <c r="B18" s="905">
        <v>2002</v>
      </c>
      <c r="C18" s="905">
        <v>2003</v>
      </c>
      <c r="D18" s="905">
        <v>2004</v>
      </c>
      <c r="E18" s="905">
        <v>2005</v>
      </c>
      <c r="H18" s="905"/>
      <c r="I18" s="905">
        <v>2002</v>
      </c>
      <c r="J18" s="905">
        <v>2003</v>
      </c>
      <c r="K18" s="905">
        <v>2004</v>
      </c>
      <c r="L18" s="905">
        <v>2005</v>
      </c>
    </row>
    <row r="19" spans="1:13" x14ac:dyDescent="0.2">
      <c r="A19" t="s">
        <v>1486</v>
      </c>
      <c r="B19" s="366">
        <v>6.7371337936941944E-2</v>
      </c>
      <c r="C19" s="366">
        <v>7.1790331436941135E-2</v>
      </c>
      <c r="D19" s="366">
        <v>7.6038707427287869E-2</v>
      </c>
      <c r="E19" s="366">
        <v>7.9860539643503384E-2</v>
      </c>
      <c r="F19" s="366"/>
      <c r="G19" s="366"/>
      <c r="H19" t="s">
        <v>1486</v>
      </c>
      <c r="I19" s="366">
        <v>6.7371337936941944E-2</v>
      </c>
      <c r="J19" s="366">
        <v>7.1790331436941135E-2</v>
      </c>
      <c r="K19" s="366">
        <v>7.6038707427287869E-2</v>
      </c>
      <c r="L19" s="366">
        <v>7.9860539643503384E-2</v>
      </c>
    </row>
    <row r="20" spans="1:13" x14ac:dyDescent="0.2">
      <c r="B20" s="484">
        <f>(9.5%-B19)*'wholesale services'!$F$63</f>
        <v>1630765.6055068767</v>
      </c>
      <c r="C20" s="484">
        <f>(9.5%-C19)*'wholesale services'!$F$63</f>
        <v>1369937.1008796967</v>
      </c>
      <c r="D20" s="484">
        <f>(9.5%-D19)*'wholesale services'!$F$63</f>
        <v>1119179.1948867694</v>
      </c>
      <c r="E20" s="484">
        <f>(9.5%-E19)*'wholesale services'!$F$63</f>
        <v>893597.78547947865</v>
      </c>
      <c r="I20" s="366"/>
      <c r="J20" s="366"/>
      <c r="K20" s="366"/>
      <c r="L20" s="366"/>
    </row>
    <row r="21" spans="1:13" x14ac:dyDescent="0.2">
      <c r="A21" t="s">
        <v>1485</v>
      </c>
      <c r="B21" s="366">
        <v>7.7028288983272242E-2</v>
      </c>
      <c r="C21" s="366">
        <v>7.997428464993836E-2</v>
      </c>
      <c r="D21" s="366">
        <v>8.2806535310169516E-2</v>
      </c>
      <c r="E21" s="366">
        <v>8.5354423454313197E-2</v>
      </c>
      <c r="F21" s="366"/>
      <c r="G21" s="366"/>
      <c r="H21" t="s">
        <v>1485</v>
      </c>
      <c r="I21" s="366">
        <v>7.7028288983272242E-2</v>
      </c>
      <c r="J21" s="366">
        <v>7.997428464993836E-2</v>
      </c>
      <c r="K21" s="366">
        <v>8.2806535310169516E-2</v>
      </c>
      <c r="L21" s="366">
        <v>8.5354423454313197E-2</v>
      </c>
    </row>
    <row r="22" spans="1:13" x14ac:dyDescent="0.2">
      <c r="A22" s="592"/>
      <c r="B22" s="484">
        <f>(9.5%-B21)*'wholesale services'!$F$63</f>
        <v>1060769.7228080959</v>
      </c>
      <c r="C22" s="484">
        <f>(9.5%-C21)*'wholesale services'!$F$63</f>
        <v>886884.05305664311</v>
      </c>
      <c r="D22" s="484">
        <f>(9.5%-D21)*'wholesale services'!$F$63</f>
        <v>719712.11572802498</v>
      </c>
      <c r="E22" s="484">
        <f>(9.5%-E21)*'wholesale services'!$F$63</f>
        <v>569324.5094564975</v>
      </c>
      <c r="H22" s="592"/>
      <c r="I22" s="366"/>
      <c r="J22" s="366"/>
      <c r="K22" s="366"/>
      <c r="L22" s="366"/>
    </row>
    <row r="23" spans="1:13" x14ac:dyDescent="0.2">
      <c r="A23" t="s">
        <v>1487</v>
      </c>
      <c r="B23" s="366">
        <v>8.6685240029602539E-2</v>
      </c>
      <c r="C23" s="366">
        <v>8.8158237862935612E-2</v>
      </c>
      <c r="D23" s="366">
        <v>8.9574363193051176E-2</v>
      </c>
      <c r="E23" s="366">
        <v>9.0848307265123024E-2</v>
      </c>
      <c r="F23" s="366"/>
      <c r="G23" s="366"/>
      <c r="H23" t="s">
        <v>1487</v>
      </c>
      <c r="I23" s="366">
        <v>8.6685240029602539E-2</v>
      </c>
      <c r="J23" s="366">
        <v>8.8158237862935612E-2</v>
      </c>
      <c r="K23" s="366">
        <v>8.9574363193051176E-2</v>
      </c>
      <c r="L23" s="366">
        <v>9.0848307265123024E-2</v>
      </c>
    </row>
    <row r="24" spans="1:13" x14ac:dyDescent="0.2">
      <c r="B24" s="381">
        <f>(9.5%-B11)*'wholesale services'!$F$63</f>
        <v>411551.79751985043</v>
      </c>
      <c r="C24" s="381">
        <f>(9.5%-C11)*'wholesale services'!$F$63</f>
        <v>324608.96264412318</v>
      </c>
      <c r="D24" s="381">
        <f>(9.5%-D11)*'wholesale services'!$F$63</f>
        <v>241022.99397981408</v>
      </c>
      <c r="E24" s="381">
        <f>(9.5%-E11)*'wholesale services'!$F$63</f>
        <v>165829.19084404994</v>
      </c>
    </row>
    <row r="26" spans="1:13" x14ac:dyDescent="0.2">
      <c r="A26" s="508" t="s">
        <v>1489</v>
      </c>
      <c r="B26" s="508"/>
      <c r="C26" s="508"/>
      <c r="D26" s="508"/>
      <c r="E26" s="508"/>
      <c r="F26" s="508"/>
      <c r="G26" s="508"/>
      <c r="H26" s="508" t="s">
        <v>1489</v>
      </c>
      <c r="I26" s="508"/>
      <c r="J26" s="508"/>
    </row>
    <row r="27" spans="1:13" x14ac:dyDescent="0.2">
      <c r="A27" s="913" t="s">
        <v>1484</v>
      </c>
      <c r="B27" s="508"/>
      <c r="C27" s="508"/>
      <c r="D27" s="508"/>
      <c r="E27" s="508"/>
      <c r="F27" s="508"/>
      <c r="G27" s="508"/>
      <c r="H27" s="913" t="s">
        <v>1496</v>
      </c>
      <c r="I27" s="508"/>
      <c r="J27" s="508"/>
    </row>
    <row r="29" spans="1:13" x14ac:dyDescent="0.2">
      <c r="B29" s="905">
        <v>2002</v>
      </c>
      <c r="C29" s="905">
        <v>2003</v>
      </c>
      <c r="D29" s="905">
        <v>2004</v>
      </c>
      <c r="E29" s="905">
        <v>2005</v>
      </c>
      <c r="H29" s="905"/>
      <c r="I29" s="905">
        <v>2002</v>
      </c>
      <c r="J29" s="905">
        <v>2003</v>
      </c>
      <c r="K29" s="905">
        <v>2004</v>
      </c>
      <c r="L29" s="905">
        <v>2005</v>
      </c>
    </row>
    <row r="30" spans="1:13" x14ac:dyDescent="0.2">
      <c r="A30" t="s">
        <v>1486</v>
      </c>
      <c r="B30" s="366">
        <v>7.0055720088807602E-2</v>
      </c>
      <c r="C30" s="366">
        <v>7.4474713588806807E-2</v>
      </c>
      <c r="D30" s="366">
        <v>7.8723089579153513E-2</v>
      </c>
      <c r="E30" s="366">
        <v>8.2544921795369042E-2</v>
      </c>
      <c r="F30" s="366"/>
      <c r="G30" s="366"/>
      <c r="H30" t="s">
        <v>1486</v>
      </c>
      <c r="I30" s="366">
        <v>7.0055720088807602E-2</v>
      </c>
      <c r="J30" s="366">
        <v>7.4474713588806807E-2</v>
      </c>
      <c r="K30" s="366">
        <v>7.8723089579153513E-2</v>
      </c>
      <c r="L30" s="366">
        <v>8.2544921795369042E-2</v>
      </c>
    </row>
    <row r="31" spans="1:13" x14ac:dyDescent="0.2">
      <c r="B31" s="484">
        <f>(9.5%-B30)*'wholesale services'!$F$63</f>
        <v>1472321.5203279464</v>
      </c>
      <c r="C31" s="484">
        <f>(9.5%-C30)*'wholesale services'!$F$63</f>
        <v>1211493.0157007654</v>
      </c>
      <c r="D31" s="484">
        <f>(9.5%-D30)*'wholesale services'!$F$63</f>
        <v>960735.1097078399</v>
      </c>
      <c r="E31" s="484">
        <f>(9.5%-E30)*'wholesale services'!$F$63</f>
        <v>735153.70030054823</v>
      </c>
      <c r="I31" s="366"/>
      <c r="J31" s="366"/>
      <c r="K31" s="366"/>
      <c r="L31" s="366"/>
    </row>
    <row r="32" spans="1:13" x14ac:dyDescent="0.2">
      <c r="A32" t="s">
        <v>1485</v>
      </c>
      <c r="B32" s="366">
        <v>7.9712671135137914E-2</v>
      </c>
      <c r="C32" s="366">
        <v>8.2658666801804032E-2</v>
      </c>
      <c r="D32" s="366">
        <v>8.5490917462035187E-2</v>
      </c>
      <c r="E32" s="366">
        <v>8.8038805606178869E-2</v>
      </c>
      <c r="F32" s="366"/>
      <c r="G32" s="366"/>
      <c r="H32" t="s">
        <v>1485</v>
      </c>
      <c r="I32" s="366">
        <v>7.9712671135137914E-2</v>
      </c>
      <c r="J32" s="366">
        <v>8.2658666801804032E-2</v>
      </c>
      <c r="K32" s="366">
        <v>8.5490917462035187E-2</v>
      </c>
      <c r="L32" s="366">
        <v>8.8038805606178869E-2</v>
      </c>
      <c r="M32" s="366"/>
    </row>
    <row r="33" spans="1:12" x14ac:dyDescent="0.2">
      <c r="A33" s="592"/>
      <c r="B33" s="484">
        <f>(9.5%-B32)*'wholesale services'!$F$63</f>
        <v>902325.63762916485</v>
      </c>
      <c r="C33" s="484">
        <f>(9.5%-C32)*'wholesale services'!$F$63</f>
        <v>728439.96787771198</v>
      </c>
      <c r="D33" s="484">
        <f>(9.5%-D32)*'wholesale services'!$F$63</f>
        <v>561268.03054909373</v>
      </c>
      <c r="E33" s="484">
        <f>(9.5%-E32)*'wholesale services'!$F$63</f>
        <v>410880.42427756632</v>
      </c>
      <c r="H33" s="592"/>
      <c r="I33" s="366"/>
      <c r="J33" s="366"/>
      <c r="K33" s="366"/>
      <c r="L33" s="366"/>
    </row>
    <row r="34" spans="1:12" x14ac:dyDescent="0.2">
      <c r="A34" t="s">
        <v>1487</v>
      </c>
      <c r="B34" s="366">
        <v>8.9369622181468211E-2</v>
      </c>
      <c r="C34" s="366">
        <v>9.0842620014801284E-2</v>
      </c>
      <c r="D34" s="366">
        <v>9.2258745344916834E-2</v>
      </c>
      <c r="E34" s="366">
        <v>9.3532689416988682E-2</v>
      </c>
      <c r="F34" s="366"/>
      <c r="G34" s="366"/>
      <c r="H34" t="s">
        <v>1487</v>
      </c>
      <c r="I34" s="366">
        <v>8.9369622181468211E-2</v>
      </c>
      <c r="J34" s="366">
        <v>9.0842620014801284E-2</v>
      </c>
      <c r="K34" s="366">
        <v>9.2258745344916834E-2</v>
      </c>
      <c r="L34" s="366">
        <v>9.3532689416988682E-2</v>
      </c>
    </row>
    <row r="35" spans="1:12" x14ac:dyDescent="0.2">
      <c r="B35" s="381">
        <f>(9.5%-B34)*'wholesale services'!$F$63</f>
        <v>332329.75493038399</v>
      </c>
      <c r="C35" s="381">
        <f>(9.5%-C34)*'wholesale services'!$F$63</f>
        <v>245386.92005465677</v>
      </c>
      <c r="D35" s="381">
        <f>(9.5%-D34)*'wholesale services'!$F$63</f>
        <v>161800.95139034931</v>
      </c>
      <c r="E35" s="381">
        <f>(9.5%-E34)*'wholesale services'!$F$63</f>
        <v>86607.148254585176</v>
      </c>
    </row>
    <row r="42" spans="1:12" x14ac:dyDescent="0.2">
      <c r="A42" s="361"/>
    </row>
    <row r="46" spans="1:12" x14ac:dyDescent="0.2">
      <c r="A46" s="366"/>
    </row>
  </sheetData>
  <printOptions horizontalCentered="1"/>
  <pageMargins left="0.75" right="0.75" top="1" bottom="1" header="0.5" footer="0.5"/>
  <pageSetup scale="115"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M46"/>
  <sheetViews>
    <sheetView topLeftCell="A12" workbookViewId="0">
      <selection activeCell="O25" sqref="O25"/>
    </sheetView>
  </sheetViews>
  <sheetFormatPr defaultRowHeight="12.75" x14ac:dyDescent="0.2"/>
  <cols>
    <col min="1" max="1" width="10.7109375" customWidth="1"/>
    <col min="2" max="2" width="9.28515625" customWidth="1"/>
    <col min="8" max="8" width="9.85546875" customWidth="1"/>
    <col min="9" max="9" width="9.42578125" customWidth="1"/>
  </cols>
  <sheetData>
    <row r="1" spans="1:12" x14ac:dyDescent="0.2">
      <c r="A1" s="508" t="s">
        <v>1501</v>
      </c>
    </row>
    <row r="3" spans="1:12" x14ac:dyDescent="0.2">
      <c r="A3" s="508" t="s">
        <v>1497</v>
      </c>
      <c r="B3" s="508"/>
      <c r="C3" s="508"/>
      <c r="D3" s="508"/>
      <c r="E3" s="508"/>
      <c r="F3" s="508"/>
      <c r="G3" s="508"/>
      <c r="H3" s="508" t="s">
        <v>1497</v>
      </c>
      <c r="I3" s="508"/>
      <c r="J3" s="508"/>
    </row>
    <row r="4" spans="1:12" x14ac:dyDescent="0.2">
      <c r="A4" s="913" t="s">
        <v>1484</v>
      </c>
      <c r="B4" s="508"/>
      <c r="C4" s="508"/>
      <c r="D4" s="508"/>
      <c r="E4" s="508"/>
      <c r="F4" s="508"/>
      <c r="G4" s="508"/>
      <c r="H4" s="913" t="s">
        <v>1496</v>
      </c>
      <c r="I4" s="508"/>
      <c r="J4" s="508"/>
    </row>
    <row r="6" spans="1:12" x14ac:dyDescent="0.2">
      <c r="B6" s="905">
        <v>2002</v>
      </c>
      <c r="C6" s="905">
        <v>2003</v>
      </c>
      <c r="D6" s="905">
        <v>2004</v>
      </c>
      <c r="E6" s="905">
        <v>2005</v>
      </c>
      <c r="H6" s="905"/>
      <c r="I6" s="905">
        <v>2002</v>
      </c>
      <c r="J6" s="905">
        <v>2003</v>
      </c>
      <c r="K6" s="905">
        <v>2004</v>
      </c>
      <c r="L6" s="905">
        <v>2005</v>
      </c>
    </row>
    <row r="7" spans="1:12" x14ac:dyDescent="0.2">
      <c r="A7" s="592" t="s">
        <v>1486</v>
      </c>
      <c r="B7" s="366">
        <v>7.4525898841702534E-2</v>
      </c>
      <c r="C7" s="366">
        <v>7.8944892341701753E-2</v>
      </c>
      <c r="D7" s="366">
        <v>8.3193268332048473E-2</v>
      </c>
      <c r="E7" s="366">
        <v>8.7015100548264002E-2</v>
      </c>
      <c r="H7" s="592" t="s">
        <v>1486</v>
      </c>
      <c r="I7" s="366">
        <v>7.4525898841702534E-2</v>
      </c>
      <c r="J7" s="366">
        <v>7.8944892341701753E-2</v>
      </c>
      <c r="K7" s="366">
        <v>8.3193268332048473E-2</v>
      </c>
      <c r="L7" s="366">
        <v>8.7015100548264002E-2</v>
      </c>
    </row>
    <row r="8" spans="1:12" x14ac:dyDescent="0.2">
      <c r="B8" s="366"/>
      <c r="C8" s="366"/>
      <c r="D8" s="366"/>
      <c r="E8" s="366"/>
      <c r="I8" s="366"/>
      <c r="J8" s="366"/>
      <c r="K8" s="366"/>
      <c r="L8" s="366"/>
    </row>
    <row r="9" spans="1:12" x14ac:dyDescent="0.2">
      <c r="A9" t="s">
        <v>1485</v>
      </c>
      <c r="B9" s="366">
        <v>8.4182849888032846E-2</v>
      </c>
      <c r="C9" s="366">
        <v>8.7128845554698978E-2</v>
      </c>
      <c r="D9" s="366">
        <v>8.9961096214930134E-2</v>
      </c>
      <c r="E9" s="366">
        <v>9.2508984359073815E-2</v>
      </c>
      <c r="F9" s="366"/>
      <c r="G9" s="366"/>
      <c r="H9" t="s">
        <v>1485</v>
      </c>
      <c r="I9" s="366">
        <v>8.4182849888032846E-2</v>
      </c>
      <c r="J9" s="366">
        <v>8.7128845554698978E-2</v>
      </c>
      <c r="K9" s="366">
        <v>8.9961096214930134E-2</v>
      </c>
      <c r="L9" s="366">
        <v>9.2508984359073815E-2</v>
      </c>
    </row>
    <row r="10" spans="1:12" x14ac:dyDescent="0.2">
      <c r="A10" s="592"/>
      <c r="B10" s="366"/>
      <c r="C10" s="366"/>
      <c r="D10" s="366"/>
      <c r="E10" s="366"/>
      <c r="H10" s="592"/>
      <c r="I10" s="366"/>
      <c r="J10" s="366"/>
      <c r="K10" s="366"/>
      <c r="L10" s="366"/>
    </row>
    <row r="11" spans="1:12" x14ac:dyDescent="0.2">
      <c r="A11" t="s">
        <v>1487</v>
      </c>
      <c r="B11" s="366">
        <v>9.3839800934363157E-2</v>
      </c>
      <c r="C11" s="366">
        <v>9.5312798767696216E-2</v>
      </c>
      <c r="D11" s="366">
        <v>9.6728924097811794E-2</v>
      </c>
      <c r="E11" s="366">
        <v>9.8002868169883642E-2</v>
      </c>
      <c r="F11" s="366"/>
      <c r="G11" s="366"/>
      <c r="H11" t="s">
        <v>1487</v>
      </c>
      <c r="I11" s="366">
        <v>9.3839800934363157E-2</v>
      </c>
      <c r="J11" s="366">
        <v>9.5312798767696216E-2</v>
      </c>
      <c r="K11" s="366">
        <v>9.6728924097811794E-2</v>
      </c>
      <c r="L11" s="366">
        <v>9.8002868169883642E-2</v>
      </c>
    </row>
    <row r="12" spans="1:12" x14ac:dyDescent="0.2">
      <c r="B12" s="503"/>
      <c r="C12" s="503"/>
      <c r="D12" s="503"/>
      <c r="E12" s="503"/>
      <c r="I12" s="503"/>
      <c r="J12" s="503"/>
      <c r="K12" s="503"/>
      <c r="L12" s="503"/>
    </row>
    <row r="15" spans="1:12" x14ac:dyDescent="0.2">
      <c r="A15" s="508" t="s">
        <v>1498</v>
      </c>
      <c r="B15" s="508"/>
      <c r="C15" s="508"/>
      <c r="D15" s="508"/>
      <c r="E15" s="508"/>
      <c r="F15" s="508"/>
      <c r="G15" s="508"/>
      <c r="H15" s="508" t="s">
        <v>1498</v>
      </c>
      <c r="I15" s="508"/>
    </row>
    <row r="16" spans="1:12" x14ac:dyDescent="0.2">
      <c r="A16" s="913" t="s">
        <v>1484</v>
      </c>
      <c r="B16" s="508"/>
      <c r="C16" s="508"/>
      <c r="D16" s="508"/>
      <c r="E16" s="508"/>
      <c r="F16" s="508"/>
      <c r="G16" s="508"/>
      <c r="H16" s="913" t="s">
        <v>1496</v>
      </c>
      <c r="I16" s="508"/>
    </row>
    <row r="18" spans="1:13" x14ac:dyDescent="0.2">
      <c r="B18" s="905">
        <v>2002</v>
      </c>
      <c r="C18" s="905">
        <v>2003</v>
      </c>
      <c r="D18" s="905">
        <v>2004</v>
      </c>
      <c r="E18" s="905">
        <v>2005</v>
      </c>
      <c r="H18" s="905"/>
      <c r="I18" s="905">
        <v>2002</v>
      </c>
      <c r="J18" s="905">
        <v>2003</v>
      </c>
      <c r="K18" s="905">
        <v>2004</v>
      </c>
      <c r="L18" s="905">
        <v>2005</v>
      </c>
    </row>
    <row r="19" spans="1:13" x14ac:dyDescent="0.2">
      <c r="A19" s="592" t="s">
        <v>1486</v>
      </c>
      <c r="B19" s="366">
        <v>7.0277522851355828E-2</v>
      </c>
      <c r="C19" s="366">
        <v>7.4696516351355019E-2</v>
      </c>
      <c r="D19" s="366">
        <v>7.8944892341701753E-2</v>
      </c>
      <c r="E19" s="366">
        <v>8.2766724557917282E-2</v>
      </c>
      <c r="F19" s="366"/>
      <c r="G19" s="366"/>
      <c r="H19" s="592" t="s">
        <v>1486</v>
      </c>
      <c r="I19" s="366">
        <v>7.0277522851355828E-2</v>
      </c>
      <c r="J19" s="366">
        <v>7.4696516351355019E-2</v>
      </c>
      <c r="K19" s="366">
        <v>7.8944892341701753E-2</v>
      </c>
      <c r="L19" s="366">
        <v>8.2766724557917282E-2</v>
      </c>
    </row>
    <row r="20" spans="1:13" x14ac:dyDescent="0.2">
      <c r="B20" s="366"/>
      <c r="C20" s="366"/>
      <c r="D20" s="366"/>
      <c r="E20" s="366"/>
      <c r="I20" s="366"/>
      <c r="J20" s="366"/>
      <c r="K20" s="366"/>
      <c r="L20" s="366"/>
    </row>
    <row r="21" spans="1:13" x14ac:dyDescent="0.2">
      <c r="A21" t="s">
        <v>1485</v>
      </c>
      <c r="B21" s="366">
        <v>7.9934473897686126E-2</v>
      </c>
      <c r="C21" s="366">
        <v>8.2880469564352258E-2</v>
      </c>
      <c r="D21" s="366">
        <v>8.5712720224583414E-2</v>
      </c>
      <c r="E21" s="366">
        <v>8.8260608368727081E-2</v>
      </c>
      <c r="F21" s="366"/>
      <c r="G21" s="366"/>
      <c r="H21" t="s">
        <v>1485</v>
      </c>
      <c r="I21" s="366">
        <v>7.9934473897686126E-2</v>
      </c>
      <c r="J21" s="366">
        <v>8.2880469564352258E-2</v>
      </c>
      <c r="K21" s="366">
        <v>8.5712720224583414E-2</v>
      </c>
      <c r="L21" s="366">
        <v>8.8260608368727081E-2</v>
      </c>
    </row>
    <row r="22" spans="1:13" x14ac:dyDescent="0.2">
      <c r="A22" s="592"/>
      <c r="B22" s="366"/>
      <c r="C22" s="366"/>
      <c r="D22" s="366"/>
      <c r="E22" s="366"/>
      <c r="H22" s="592"/>
      <c r="I22" s="366"/>
      <c r="J22" s="366"/>
      <c r="K22" s="366"/>
      <c r="L22" s="366"/>
    </row>
    <row r="23" spans="1:13" x14ac:dyDescent="0.2">
      <c r="A23" t="s">
        <v>1487</v>
      </c>
      <c r="B23" s="366">
        <v>8.9591424944016423E-2</v>
      </c>
      <c r="C23" s="366">
        <v>9.1064422777349496E-2</v>
      </c>
      <c r="D23" s="366">
        <v>9.2480548107465074E-2</v>
      </c>
      <c r="E23" s="366">
        <v>9.3754492179536908E-2</v>
      </c>
      <c r="F23" s="366"/>
      <c r="G23" s="366"/>
      <c r="H23" t="s">
        <v>1487</v>
      </c>
      <c r="I23" s="366">
        <v>8.9591424944016423E-2</v>
      </c>
      <c r="J23" s="366">
        <v>9.1064422777349496E-2</v>
      </c>
      <c r="K23" s="366">
        <v>9.2480548107465074E-2</v>
      </c>
      <c r="L23" s="366">
        <v>9.3754492179536908E-2</v>
      </c>
      <c r="M23" s="366"/>
    </row>
    <row r="26" spans="1:13" x14ac:dyDescent="0.2">
      <c r="A26" s="508" t="s">
        <v>1499</v>
      </c>
      <c r="B26" s="508"/>
      <c r="C26" s="508"/>
      <c r="D26" s="508"/>
      <c r="E26" s="508"/>
      <c r="F26" s="508"/>
      <c r="G26" s="508"/>
      <c r="H26" s="508" t="s">
        <v>1499</v>
      </c>
      <c r="I26" s="508"/>
      <c r="J26" s="508"/>
    </row>
    <row r="27" spans="1:13" x14ac:dyDescent="0.2">
      <c r="A27" s="913" t="s">
        <v>1484</v>
      </c>
      <c r="B27" s="508"/>
      <c r="C27" s="508"/>
      <c r="D27" s="508"/>
      <c r="E27" s="508"/>
      <c r="F27" s="508"/>
      <c r="G27" s="508"/>
      <c r="H27" s="913" t="s">
        <v>1496</v>
      </c>
      <c r="I27" s="508"/>
      <c r="J27" s="508"/>
    </row>
    <row r="29" spans="1:13" x14ac:dyDescent="0.2">
      <c r="B29" s="905">
        <v>2002</v>
      </c>
      <c r="C29" s="905">
        <v>2003</v>
      </c>
      <c r="D29" s="905">
        <v>2004</v>
      </c>
      <c r="E29" s="905">
        <v>2005</v>
      </c>
      <c r="H29" s="905"/>
      <c r="I29" s="905">
        <v>2002</v>
      </c>
      <c r="J29" s="905">
        <v>2003</v>
      </c>
      <c r="K29" s="905">
        <v>2004</v>
      </c>
      <c r="L29" s="905">
        <v>2005</v>
      </c>
    </row>
    <row r="30" spans="1:13" x14ac:dyDescent="0.2">
      <c r="A30" s="592" t="s">
        <v>1486</v>
      </c>
      <c r="B30" s="366">
        <v>7.8774274832049268E-2</v>
      </c>
      <c r="C30" s="366">
        <v>8.3193268332048473E-2</v>
      </c>
      <c r="D30" s="366">
        <v>8.7441644322395193E-2</v>
      </c>
      <c r="E30" s="366">
        <v>9.1263476538610722E-2</v>
      </c>
      <c r="F30" s="366"/>
      <c r="G30" s="366"/>
      <c r="H30" s="592" t="s">
        <v>1486</v>
      </c>
      <c r="I30" s="366">
        <v>7.8774274832049268E-2</v>
      </c>
      <c r="J30" s="366">
        <v>8.3193268332048473E-2</v>
      </c>
      <c r="K30" s="366">
        <v>8.7441644322395193E-2</v>
      </c>
      <c r="L30" s="366">
        <v>9.1263476538610722E-2</v>
      </c>
    </row>
    <row r="31" spans="1:13" x14ac:dyDescent="0.2">
      <c r="B31" s="366"/>
      <c r="C31" s="366"/>
      <c r="D31" s="366"/>
      <c r="E31" s="366"/>
      <c r="I31" s="366"/>
      <c r="J31" s="366"/>
      <c r="K31" s="366"/>
      <c r="L31" s="366"/>
    </row>
    <row r="32" spans="1:13" x14ac:dyDescent="0.2">
      <c r="A32" t="s">
        <v>1485</v>
      </c>
      <c r="B32" s="366">
        <v>8.8431225878379566E-2</v>
      </c>
      <c r="C32" s="366">
        <v>9.1377221545045711E-2</v>
      </c>
      <c r="D32" s="366">
        <v>9.4209472205276854E-2</v>
      </c>
      <c r="E32" s="366">
        <v>9.6757360349420549E-2</v>
      </c>
      <c r="F32" s="366"/>
      <c r="G32" s="366"/>
      <c r="H32" t="s">
        <v>1485</v>
      </c>
      <c r="I32" s="366">
        <v>8.8431225878379566E-2</v>
      </c>
      <c r="J32" s="366">
        <v>9.1377221545045711E-2</v>
      </c>
      <c r="K32" s="366">
        <v>9.4209472205276854E-2</v>
      </c>
      <c r="L32" s="366">
        <v>9.6757360349420549E-2</v>
      </c>
    </row>
    <row r="33" spans="1:12" x14ac:dyDescent="0.2">
      <c r="A33" s="592"/>
      <c r="B33" s="366"/>
      <c r="C33" s="366"/>
      <c r="D33" s="366"/>
      <c r="E33" s="366"/>
      <c r="H33" s="592"/>
      <c r="I33" s="366"/>
      <c r="J33" s="366"/>
      <c r="K33" s="366"/>
      <c r="L33" s="366"/>
    </row>
    <row r="34" spans="1:12" x14ac:dyDescent="0.2">
      <c r="A34" t="s">
        <v>1487</v>
      </c>
      <c r="B34" s="366">
        <v>9.8088176924709877E-2</v>
      </c>
      <c r="C34" s="366">
        <v>9.9561174758042936E-2</v>
      </c>
      <c r="D34" s="366">
        <v>0.10097730008815851</v>
      </c>
      <c r="E34" s="366">
        <v>0.10225124416023035</v>
      </c>
      <c r="F34" s="366"/>
      <c r="G34" s="366"/>
      <c r="H34" t="s">
        <v>1487</v>
      </c>
      <c r="I34" s="366">
        <v>9.8088176924709877E-2</v>
      </c>
      <c r="J34" s="366">
        <v>9.9561174758042936E-2</v>
      </c>
      <c r="K34" s="366">
        <v>0.10097730008815851</v>
      </c>
      <c r="L34" s="366">
        <v>0.10225124416023035</v>
      </c>
    </row>
    <row r="42" spans="1:12" x14ac:dyDescent="0.2">
      <c r="A42" s="361"/>
    </row>
    <row r="46" spans="1:12" x14ac:dyDescent="0.2">
      <c r="A46" s="366">
        <v>0.06</v>
      </c>
    </row>
  </sheetData>
  <printOptions horizontalCentered="1"/>
  <pageMargins left="0.75" right="0.75" top="1" bottom="1" header="0.5" footer="0.5"/>
  <pageSetup scale="115" orientation="portrait" r:id="rId1"/>
  <headerFooter alignWithMargins="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pageSetUpPr fitToPage="1"/>
  </sheetPr>
  <dimension ref="A2:N624"/>
  <sheetViews>
    <sheetView zoomScale="85" workbookViewId="0">
      <selection activeCell="B70" sqref="B70"/>
    </sheetView>
  </sheetViews>
  <sheetFormatPr defaultRowHeight="12.75" x14ac:dyDescent="0.2"/>
  <cols>
    <col min="1" max="1" width="36.28515625" customWidth="1"/>
    <col min="2" max="2" width="13.5703125" bestFit="1" customWidth="1"/>
    <col min="3" max="3" width="14.5703125" customWidth="1"/>
    <col min="4" max="4" width="15.7109375" customWidth="1"/>
    <col min="5" max="9" width="13.5703125" bestFit="1" customWidth="1"/>
    <col min="10" max="10" width="13.7109375" customWidth="1"/>
    <col min="11" max="11" width="12.5703125" bestFit="1" customWidth="1"/>
    <col min="13" max="14" width="17.7109375" customWidth="1"/>
  </cols>
  <sheetData>
    <row r="2" spans="1:14" ht="16.5" thickBot="1" x14ac:dyDescent="0.3">
      <c r="A2" s="590" t="s">
        <v>1453</v>
      </c>
    </row>
    <row r="3" spans="1:14" ht="16.5" thickBot="1" x14ac:dyDescent="0.3">
      <c r="A3" s="590"/>
      <c r="D3" s="924" t="s">
        <v>1073</v>
      </c>
      <c r="E3" s="593"/>
      <c r="F3" s="593"/>
      <c r="G3" s="593"/>
      <c r="H3" s="593"/>
      <c r="I3" s="593"/>
      <c r="J3" s="594"/>
    </row>
    <row r="4" spans="1:14" ht="16.5" thickTop="1" x14ac:dyDescent="0.25">
      <c r="A4" s="590"/>
      <c r="D4" s="495" t="s">
        <v>1074</v>
      </c>
      <c r="E4" s="404">
        <v>100</v>
      </c>
      <c r="F4" s="404"/>
      <c r="G4" s="404"/>
      <c r="H4" s="404"/>
      <c r="I4" s="404"/>
      <c r="J4" s="596"/>
      <c r="M4" s="947" t="s">
        <v>1348</v>
      </c>
      <c r="N4" s="948">
        <v>4.8066304405304203</v>
      </c>
    </row>
    <row r="5" spans="1:14" ht="15.75" x14ac:dyDescent="0.25">
      <c r="A5" s="590"/>
      <c r="D5" s="495"/>
      <c r="E5" s="404">
        <v>1</v>
      </c>
      <c r="F5" s="404">
        <v>2</v>
      </c>
      <c r="G5" s="404">
        <v>3</v>
      </c>
      <c r="H5" s="404">
        <v>4</v>
      </c>
      <c r="I5" s="404">
        <v>5</v>
      </c>
      <c r="J5" s="596">
        <v>6</v>
      </c>
      <c r="M5" s="949"/>
      <c r="N5" s="950"/>
    </row>
    <row r="6" spans="1:14" x14ac:dyDescent="0.2">
      <c r="A6" s="369" t="s">
        <v>1075</v>
      </c>
      <c r="B6" s="946">
        <v>0.08</v>
      </c>
      <c r="D6" s="495" t="s">
        <v>1076</v>
      </c>
      <c r="E6" s="925">
        <f>E4/B7</f>
        <v>25.872160241695923</v>
      </c>
      <c r="F6" s="925">
        <f>E6</f>
        <v>25.872160241695923</v>
      </c>
      <c r="G6" s="925">
        <f>F6</f>
        <v>25.872160241695923</v>
      </c>
      <c r="H6" s="925">
        <f>G6</f>
        <v>25.872160241695923</v>
      </c>
      <c r="I6" s="925">
        <f>H6</f>
        <v>25.872160241695923</v>
      </c>
      <c r="J6" s="926">
        <f>I6</f>
        <v>25.872160241695923</v>
      </c>
      <c r="M6" s="949" t="s">
        <v>1344</v>
      </c>
      <c r="N6" s="951">
        <f>-'RMPM-Whole'!K5</f>
        <v>35490271.439049244</v>
      </c>
    </row>
    <row r="7" spans="1:14" x14ac:dyDescent="0.2">
      <c r="A7" s="369" t="s">
        <v>1077</v>
      </c>
      <c r="B7" s="927">
        <f>'wholesale services'!C73</f>
        <v>3.8651584972343613</v>
      </c>
      <c r="D7" s="495" t="s">
        <v>1078</v>
      </c>
      <c r="E7" s="925">
        <f t="shared" ref="E7:J7" si="0">E6/(1+$B$6)^B12</f>
        <v>23.955703927496224</v>
      </c>
      <c r="F7" s="925">
        <f t="shared" si="0"/>
        <v>22.18120734027428</v>
      </c>
      <c r="G7" s="925">
        <f t="shared" si="0"/>
        <v>20.538154944698405</v>
      </c>
      <c r="H7" s="925">
        <f t="shared" si="0"/>
        <v>19.016810133980005</v>
      </c>
      <c r="I7" s="925">
        <f t="shared" si="0"/>
        <v>17.608157531462968</v>
      </c>
      <c r="J7" s="926">
        <f t="shared" si="0"/>
        <v>16.303849566169411</v>
      </c>
      <c r="M7" s="949" t="s">
        <v>1345</v>
      </c>
      <c r="N7" s="952">
        <f>B7</f>
        <v>3.8651584972343613</v>
      </c>
    </row>
    <row r="8" spans="1:14" ht="13.5" thickBot="1" x14ac:dyDescent="0.25">
      <c r="A8" s="369" t="s">
        <v>1079</v>
      </c>
      <c r="B8" s="927">
        <f>4+(100-H8)/(I8-H8)</f>
        <v>4.8125849412685433</v>
      </c>
      <c r="D8" s="500" t="s">
        <v>1080</v>
      </c>
      <c r="E8" s="928">
        <f>E7</f>
        <v>23.955703927496224</v>
      </c>
      <c r="F8" s="928">
        <f>E8+F7</f>
        <v>46.1369112677705</v>
      </c>
      <c r="G8" s="928">
        <f>F8+G7</f>
        <v>66.675066212468906</v>
      </c>
      <c r="H8" s="928">
        <f>G8+H7</f>
        <v>85.691876346448907</v>
      </c>
      <c r="I8" s="928">
        <f>H8+I7</f>
        <v>103.30003387791187</v>
      </c>
      <c r="J8" s="929">
        <f>I8+J7</f>
        <v>119.60388344408128</v>
      </c>
      <c r="M8" s="949" t="s">
        <v>1346</v>
      </c>
      <c r="N8" s="953">
        <f>N6/N7</f>
        <v>9182099.8969236612</v>
      </c>
    </row>
    <row r="9" spans="1:14" x14ac:dyDescent="0.2">
      <c r="A9" s="369"/>
      <c r="B9" s="927"/>
      <c r="D9" s="404"/>
      <c r="E9" s="925"/>
      <c r="F9" s="925"/>
      <c r="G9" s="925"/>
      <c r="H9" s="925"/>
      <c r="I9" s="925"/>
      <c r="J9" s="925"/>
      <c r="M9" s="949"/>
      <c r="N9" s="953"/>
    </row>
    <row r="10" spans="1:14" ht="13.5" thickBot="1" x14ac:dyDescent="0.25">
      <c r="A10" s="420" t="s">
        <v>979</v>
      </c>
      <c r="B10" s="937" t="s">
        <v>1417</v>
      </c>
      <c r="C10" s="404" t="s">
        <v>1341</v>
      </c>
      <c r="D10" s="404"/>
      <c r="E10" s="404"/>
      <c r="F10" s="404"/>
      <c r="G10" s="925"/>
      <c r="H10" s="925"/>
      <c r="I10" s="925"/>
      <c r="J10" s="925"/>
      <c r="M10" s="954" t="s">
        <v>1347</v>
      </c>
      <c r="N10" s="955">
        <f>PMT($B$6,N4,-N6)</f>
        <v>9182100.000058528</v>
      </c>
    </row>
    <row r="11" spans="1:14" ht="13.5" thickTop="1" x14ac:dyDescent="0.2">
      <c r="A11" s="420"/>
      <c r="B11" s="962"/>
      <c r="C11" s="404"/>
      <c r="D11" s="404"/>
      <c r="E11" s="404"/>
      <c r="F11" s="404"/>
      <c r="G11" s="925"/>
      <c r="H11" s="925"/>
      <c r="I11" s="925"/>
      <c r="J11" s="925"/>
      <c r="M11" s="404"/>
      <c r="N11" s="961"/>
    </row>
    <row r="12" spans="1:14" x14ac:dyDescent="0.2">
      <c r="B12">
        <v>1</v>
      </c>
      <c r="C12">
        <v>2</v>
      </c>
      <c r="D12">
        <v>3</v>
      </c>
      <c r="E12">
        <v>4</v>
      </c>
      <c r="F12">
        <v>5</v>
      </c>
      <c r="G12">
        <v>6</v>
      </c>
      <c r="H12">
        <v>7</v>
      </c>
      <c r="I12">
        <v>8</v>
      </c>
      <c r="J12">
        <v>9</v>
      </c>
      <c r="K12">
        <v>10</v>
      </c>
    </row>
    <row r="13" spans="1:14" x14ac:dyDescent="0.2">
      <c r="A13" t="s">
        <v>1363</v>
      </c>
      <c r="B13" s="591">
        <f>'wholesale services'!D103</f>
        <v>56663438.052610554</v>
      </c>
      <c r="C13" s="591">
        <f>'wholesale services'!E103</f>
        <v>57258542.886096679</v>
      </c>
      <c r="D13" s="591">
        <f>'wholesale services'!F103</f>
        <v>57849186.484344117</v>
      </c>
      <c r="E13" s="591">
        <f>'wholesale services'!G103</f>
        <v>58446622.483971402</v>
      </c>
      <c r="F13" s="591">
        <f>'wholesale services'!H103</f>
        <v>59050928.997594401</v>
      </c>
      <c r="G13" s="591">
        <f>'wholesale services'!I103</f>
        <v>59662185.036124066</v>
      </c>
      <c r="H13" s="591">
        <f>'wholesale services'!J103</f>
        <v>60280470.519096822</v>
      </c>
      <c r="I13" s="591">
        <f>'wholesale services'!K103</f>
        <v>60905866.285123758</v>
      </c>
      <c r="J13" s="591">
        <f>'wholesale services'!L103</f>
        <v>61538454.102460004</v>
      </c>
      <c r="K13" s="591">
        <f>'wholesale services'!M103</f>
        <v>62178316.679695621</v>
      </c>
    </row>
    <row r="14" spans="1:14" x14ac:dyDescent="0.2">
      <c r="B14" s="591"/>
      <c r="C14" s="591"/>
      <c r="D14" s="591"/>
      <c r="E14" s="591"/>
      <c r="F14" s="591"/>
      <c r="G14" s="591"/>
      <c r="H14" s="591"/>
      <c r="I14" s="591"/>
      <c r="J14" s="591"/>
      <c r="K14" s="591"/>
    </row>
    <row r="15" spans="1:14" x14ac:dyDescent="0.2">
      <c r="A15" t="s">
        <v>778</v>
      </c>
      <c r="B15" s="591"/>
      <c r="C15" s="591"/>
      <c r="D15" s="591"/>
      <c r="E15" s="591"/>
      <c r="F15" s="591"/>
      <c r="G15" s="591"/>
      <c r="H15" s="591"/>
      <c r="I15" s="591"/>
      <c r="J15" s="591"/>
      <c r="K15" s="591"/>
    </row>
    <row r="16" spans="1:14" x14ac:dyDescent="0.2">
      <c r="A16" t="s">
        <v>980</v>
      </c>
      <c r="B16" s="591">
        <f>'wholesale services'!D112</f>
        <v>39006989.999999993</v>
      </c>
      <c r="C16" s="591">
        <f>'wholesale services'!E112</f>
        <v>32686951.528749995</v>
      </c>
      <c r="D16" s="591">
        <f>'wholesale services'!F112</f>
        <v>31422943.834499996</v>
      </c>
      <c r="E16" s="591">
        <f>'wholesale services'!G112</f>
        <v>31422943.834499996</v>
      </c>
      <c r="F16" s="591">
        <f>'wholesale services'!H112</f>
        <v>31422943.834499996</v>
      </c>
      <c r="G16" s="591">
        <f>'wholesale services'!I112</f>
        <v>31422943.834499996</v>
      </c>
      <c r="H16" s="591">
        <f>'wholesale services'!J112</f>
        <v>31422943.834499996</v>
      </c>
      <c r="I16" s="591">
        <f>'wholesale services'!K112</f>
        <v>31422943.834499996</v>
      </c>
      <c r="J16" s="591">
        <f>'wholesale services'!L112</f>
        <v>31422943.834499996</v>
      </c>
      <c r="K16" s="591">
        <f>'wholesale services'!M112</f>
        <v>31422943.834499996</v>
      </c>
    </row>
    <row r="17" spans="1:12" x14ac:dyDescent="0.2">
      <c r="A17" t="s">
        <v>1454</v>
      </c>
      <c r="B17" s="591">
        <f>'wholesale services'!D115</f>
        <v>1708211.5107084466</v>
      </c>
      <c r="C17" s="591">
        <f>'wholesale services'!E115</f>
        <v>1301250.1260907315</v>
      </c>
      <c r="D17" s="591">
        <f>'wholesale services'!F115</f>
        <v>1232294.1750597835</v>
      </c>
      <c r="E17" s="591">
        <f>'wholesale services'!G115</f>
        <v>1253412.838192123</v>
      </c>
      <c r="F17" s="591">
        <f>'wholesale services'!H115</f>
        <v>1279128.2537550048</v>
      </c>
      <c r="G17" s="591">
        <f>'wholesale services'!I115</f>
        <v>1309408.5175675321</v>
      </c>
      <c r="H17" s="591">
        <f>'wholesale services'!J115</f>
        <v>1344223.4220026238</v>
      </c>
      <c r="I17" s="591">
        <f>'wholesale services'!K115</f>
        <v>1383544.5266948738</v>
      </c>
      <c r="J17" s="591">
        <f>'wholesale services'!L115</f>
        <v>1427345.192026017</v>
      </c>
      <c r="K17" s="591">
        <f>'wholesale services'!M115</f>
        <v>1475600.5796310711</v>
      </c>
    </row>
    <row r="18" spans="1:12" x14ac:dyDescent="0.2">
      <c r="A18" t="s">
        <v>1061</v>
      </c>
      <c r="B18" s="591">
        <f>'wholesale services'!D116</f>
        <v>695640</v>
      </c>
      <c r="C18" s="591">
        <f>'wholesale services'!E116</f>
        <v>716509.20000000007</v>
      </c>
      <c r="D18" s="591">
        <f>'wholesale services'!F116</f>
        <v>738004.47600000002</v>
      </c>
      <c r="E18" s="591">
        <f>'wholesale services'!G116</f>
        <v>760144.61028000014</v>
      </c>
      <c r="F18" s="591">
        <f>'wholesale services'!H116</f>
        <v>782948.94858840003</v>
      </c>
      <c r="G18" s="591">
        <f>'wholesale services'!I116</f>
        <v>806437.41704605205</v>
      </c>
      <c r="H18" s="591">
        <f>'wholesale services'!J116</f>
        <v>830630.53955743369</v>
      </c>
      <c r="I18" s="591">
        <f>'wholesale services'!K116</f>
        <v>855549.45574415673</v>
      </c>
      <c r="J18" s="591">
        <f>'wholesale services'!L116</f>
        <v>881215.93941648153</v>
      </c>
      <c r="K18" s="591">
        <f>'wholesale services'!M116</f>
        <v>907652.41759897594</v>
      </c>
    </row>
    <row r="19" spans="1:12" x14ac:dyDescent="0.2">
      <c r="A19" t="s">
        <v>1062</v>
      </c>
      <c r="B19" s="591">
        <f>'wholesale services'!D117</f>
        <v>4654731.78330612</v>
      </c>
      <c r="C19" s="591">
        <f>'wholesale services'!E117</f>
        <v>4756204.9361821944</v>
      </c>
      <c r="D19" s="591">
        <f>'wholesale services'!F117</f>
        <v>4855609.6193484012</v>
      </c>
      <c r="E19" s="591">
        <f>'wholesale services'!G117</f>
        <v>4953207.372697304</v>
      </c>
      <c r="F19" s="591">
        <f>'wholesale services'!H117</f>
        <v>5049299.5957276318</v>
      </c>
      <c r="G19" s="591">
        <f>'wholesale services'!I117</f>
        <v>5143721.4981677383</v>
      </c>
      <c r="H19" s="591">
        <f>'wholesale services'!J117</f>
        <v>5236308.4851347581</v>
      </c>
      <c r="I19" s="591">
        <f>'wholesale services'!K117</f>
        <v>5327943.883624617</v>
      </c>
      <c r="J19" s="591">
        <f>'wholesale services'!L117</f>
        <v>5417453.3408695105</v>
      </c>
      <c r="K19" s="591">
        <f>'wholesale services'!M117</f>
        <v>5506299.5756597696</v>
      </c>
    </row>
    <row r="20" spans="1:12" x14ac:dyDescent="0.2">
      <c r="A20" t="s">
        <v>1410</v>
      </c>
      <c r="B20" s="591">
        <f>'wholesale services'!D118</f>
        <v>4611490.9325647522</v>
      </c>
      <c r="C20" s="591">
        <f>'wholesale services'!E118</f>
        <v>4712021.4348946642</v>
      </c>
      <c r="D20" s="591">
        <f>'wholesale services'!F118</f>
        <v>4810502.6828839621</v>
      </c>
      <c r="E20" s="591">
        <f>'wholesale services'!G118</f>
        <v>4907193.7868099296</v>
      </c>
      <c r="F20" s="591">
        <f>'wholesale services'!H118</f>
        <v>5002393.3462740425</v>
      </c>
      <c r="G20" s="591">
        <f>'wholesale services'!I118</f>
        <v>5095938.1018493678</v>
      </c>
      <c r="H20" s="591">
        <f>'wholesale services'!J118</f>
        <v>5187664.9876826555</v>
      </c>
      <c r="I20" s="591">
        <f>'wholesale services'!K118</f>
        <v>5278449.1249671029</v>
      </c>
      <c r="J20" s="591">
        <f>'wholesale services'!L118</f>
        <v>5367127.0702665504</v>
      </c>
      <c r="K20" s="591">
        <f>'wholesale services'!M118</f>
        <v>5455147.9542189213</v>
      </c>
    </row>
    <row r="21" spans="1:12" x14ac:dyDescent="0.2">
      <c r="A21" t="s">
        <v>1064</v>
      </c>
      <c r="B21" s="591">
        <f>'wholesale services'!D120</f>
        <v>3798248</v>
      </c>
      <c r="C21" s="591">
        <f>'wholesale services'!E120</f>
        <v>3798248</v>
      </c>
      <c r="D21" s="591">
        <f>'wholesale services'!F120</f>
        <v>3798248</v>
      </c>
      <c r="E21" s="591">
        <f>'wholesale services'!G120</f>
        <v>3798248</v>
      </c>
      <c r="F21" s="591">
        <f>'wholesale services'!H120</f>
        <v>3798248</v>
      </c>
      <c r="G21" s="591">
        <f>'wholesale services'!I120</f>
        <v>3798248</v>
      </c>
      <c r="H21" s="591">
        <f>'wholesale services'!J120</f>
        <v>3798248</v>
      </c>
      <c r="I21" s="591">
        <f>'wholesale services'!K120</f>
        <v>3798248</v>
      </c>
      <c r="J21" s="591">
        <f>'wholesale services'!L120</f>
        <v>3798248</v>
      </c>
      <c r="K21" s="591">
        <f>'wholesale services'!M120</f>
        <v>3798248</v>
      </c>
    </row>
    <row r="22" spans="1:12" x14ac:dyDescent="0.2">
      <c r="A22" t="s">
        <v>1065</v>
      </c>
      <c r="B22" s="591" t="str">
        <f>'wholesale services'!D121</f>
        <v>NA</v>
      </c>
      <c r="C22" s="591" t="str">
        <f>'wholesale services'!E121</f>
        <v>NA</v>
      </c>
      <c r="D22" s="591" t="str">
        <f>'wholesale services'!F121</f>
        <v>NA</v>
      </c>
      <c r="E22" s="591" t="str">
        <f>'wholesale services'!G121</f>
        <v>NA</v>
      </c>
      <c r="F22" s="591" t="str">
        <f>'wholesale services'!H121</f>
        <v>NA</v>
      </c>
      <c r="G22" s="591" t="str">
        <f>'wholesale services'!I121</f>
        <v>NA</v>
      </c>
      <c r="H22" s="591" t="str">
        <f>'wholesale services'!J121</f>
        <v>NA</v>
      </c>
      <c r="I22" s="591" t="str">
        <f>'wholesale services'!K121</f>
        <v>NA</v>
      </c>
      <c r="J22" s="591" t="str">
        <f>'wholesale services'!L121</f>
        <v>NA</v>
      </c>
      <c r="K22" s="591" t="str">
        <f>'wholesale services'!M121</f>
        <v>NA</v>
      </c>
    </row>
    <row r="23" spans="1:12" x14ac:dyDescent="0.2">
      <c r="A23" t="s">
        <v>1066</v>
      </c>
      <c r="B23" s="591" t="str">
        <f>'wholesale services'!D122</f>
        <v>NA</v>
      </c>
      <c r="C23" s="591" t="str">
        <f>'wholesale services'!E122</f>
        <v>NA</v>
      </c>
      <c r="D23" s="591" t="str">
        <f>'wholesale services'!F122</f>
        <v>NA</v>
      </c>
      <c r="E23" s="591" t="str">
        <f>'wholesale services'!G122</f>
        <v>NA</v>
      </c>
      <c r="F23" s="591" t="str">
        <f>'wholesale services'!H122</f>
        <v>NA</v>
      </c>
      <c r="G23" s="591" t="str">
        <f>'wholesale services'!I122</f>
        <v>NA</v>
      </c>
      <c r="H23" s="591" t="str">
        <f>'wholesale services'!J122</f>
        <v>NA</v>
      </c>
      <c r="I23" s="591" t="str">
        <f>'wholesale services'!K122</f>
        <v>NA</v>
      </c>
      <c r="J23" s="591" t="str">
        <f>'wholesale services'!L122</f>
        <v>NA</v>
      </c>
      <c r="K23" s="591" t="str">
        <f>'wholesale services'!M122</f>
        <v>NA</v>
      </c>
    </row>
    <row r="24" spans="1:12" s="933" customFormat="1" x14ac:dyDescent="0.2">
      <c r="A24" s="938" t="s">
        <v>978</v>
      </c>
      <c r="B24" s="939">
        <f>IF($B$10="y",SUM('RMPM-Whole'!$CU$12:$CV$23),SUM('RMPM-Whole'!$DB$12:$DC$23))</f>
        <v>0</v>
      </c>
      <c r="C24" s="939">
        <f>IF($B$10="y",SUM('RMPM-Whole'!$CU$24:$CV$35),SUM('RMPM-Whole'!$DB$24:$DC$35))</f>
        <v>4953980.7167161647</v>
      </c>
      <c r="D24" s="939">
        <f>IF($B$10="y",SUM('RMPM-Whole'!$CU$36:$CV$47),SUM('RMPM-Whole'!$DB$36:$DC$47))</f>
        <v>5944776.8600593954</v>
      </c>
      <c r="E24" s="939">
        <f>IF($B$10="y",SUM('RMPM-Whole'!$CU$48:$CV$59),SUM('RMPM-Whole'!$DB$48:$DC$59))</f>
        <v>5944776.8600593917</v>
      </c>
      <c r="F24" s="939">
        <f>IF($B$10="y",SUM('RMPM-Whole'!$CU$60:$CV$71),SUM('RMPM-Whole'!$DB$60:$DC$71))</f>
        <v>5944776.8600593917</v>
      </c>
      <c r="G24" s="939">
        <f>IF($B$10="y",SUM('RMPM-Whole'!$CU$72:$CV$83),SUM('RMPM-Whole'!$DB$72:$DC$83))</f>
        <v>5944776.8600593889</v>
      </c>
      <c r="H24" s="939">
        <f>IF($B$10="y",SUM('RMPM-Whole'!$CU$84:$CV$95),SUM('RMPM-Whole'!$DB$84:$DC$95))</f>
        <v>5944776.8600593861</v>
      </c>
      <c r="I24" s="939">
        <f>IF($B$10="y",SUM('RMPM-Whole'!$CU$96:$CV$107),SUM('RMPM-Whole'!$DB$96:$DC$107))</f>
        <v>5944776.8600593843</v>
      </c>
      <c r="J24" s="939">
        <f>IF($B$10="y",SUM('RMPM-Whole'!$CU$108:$CV$119),SUM('RMPM-Whole'!$DB$108:$DC$119))</f>
        <v>5944776.8600593824</v>
      </c>
      <c r="K24" s="939">
        <f>IF($B$10="y",SUM('RMPM-Whole'!$CU$120:$CV$131),SUM('RMPM-Whole'!$DB$120:$DC$131))</f>
        <v>5944776.8600593777</v>
      </c>
      <c r="L24" s="934"/>
    </row>
    <row r="25" spans="1:12" x14ac:dyDescent="0.2">
      <c r="A25" t="s">
        <v>1069</v>
      </c>
      <c r="B25" s="591">
        <f>-'wholesale services'!D128</f>
        <v>662655</v>
      </c>
      <c r="C25" s="591">
        <f>-'wholesale services'!E128</f>
        <v>662655</v>
      </c>
      <c r="D25" s="591">
        <f>-'wholesale services'!F128</f>
        <v>662655</v>
      </c>
      <c r="E25" s="591">
        <f>-'wholesale services'!G128</f>
        <v>662655</v>
      </c>
      <c r="F25" s="591">
        <f>-'wholesale services'!H128</f>
        <v>662655</v>
      </c>
      <c r="G25" s="591">
        <f>-'wholesale services'!I128</f>
        <v>662655</v>
      </c>
      <c r="H25" s="591">
        <f>-'wholesale services'!J128</f>
        <v>662655</v>
      </c>
      <c r="I25" s="591">
        <f>-'wholesale services'!K128</f>
        <v>662655</v>
      </c>
      <c r="J25" s="591">
        <f>-'wholesale services'!L128</f>
        <v>662655</v>
      </c>
      <c r="K25" s="591">
        <f>-'wholesale services'!M128</f>
        <v>662655</v>
      </c>
    </row>
    <row r="26" spans="1:12" x14ac:dyDescent="0.2">
      <c r="A26" t="s">
        <v>766</v>
      </c>
      <c r="B26" s="591">
        <f>'wholesale services'!D109</f>
        <v>3246342.8050974798</v>
      </c>
      <c r="C26" s="591">
        <f>'wholesale services'!E109</f>
        <v>3280437.3528492888</v>
      </c>
      <c r="D26" s="591">
        <f>'wholesale services'!F109</f>
        <v>3314276.3089988818</v>
      </c>
      <c r="E26" s="591">
        <f>'wholesale services'!G109</f>
        <v>3348504.413144195</v>
      </c>
      <c r="F26" s="591">
        <f>'wholesale services'!H109</f>
        <v>3383126.1404871792</v>
      </c>
      <c r="G26" s="591">
        <f>'wholesale services'!I109</f>
        <v>3418146.0176946083</v>
      </c>
      <c r="H26" s="591">
        <f>'wholesale services'!J109</f>
        <v>3453568.6234899219</v>
      </c>
      <c r="I26" s="591">
        <f>'wholesale services'!K109</f>
        <v>3489398.5892518824</v>
      </c>
      <c r="J26" s="591">
        <f>'wholesale services'!L109</f>
        <v>3525640.5996201048</v>
      </c>
      <c r="K26" s="591">
        <f>'wholesale services'!M109</f>
        <v>3562299.3931075619</v>
      </c>
    </row>
    <row r="27" spans="1:12" x14ac:dyDescent="0.2">
      <c r="B27" s="591"/>
      <c r="C27" s="591"/>
      <c r="D27" s="591"/>
      <c r="E27" s="591"/>
      <c r="F27" s="591"/>
      <c r="G27" s="591"/>
      <c r="H27" s="591"/>
      <c r="I27" s="591"/>
      <c r="J27" s="591"/>
      <c r="K27" s="591"/>
    </row>
    <row r="28" spans="1:12" x14ac:dyDescent="0.2">
      <c r="A28" t="s">
        <v>1455</v>
      </c>
      <c r="B28" s="591">
        <f t="shared" ref="B28:K28" si="1">B13-SUM(B16:B26)</f>
        <v>-1720871.9790662378</v>
      </c>
      <c r="C28" s="591">
        <f t="shared" si="1"/>
        <v>390284.59061364084</v>
      </c>
      <c r="D28" s="591">
        <f t="shared" si="1"/>
        <v>1069875.5274936929</v>
      </c>
      <c r="E28" s="591">
        <f t="shared" si="1"/>
        <v>1395535.7682884708</v>
      </c>
      <c r="F28" s="591">
        <f t="shared" si="1"/>
        <v>1725409.0182027519</v>
      </c>
      <c r="G28" s="591">
        <f t="shared" si="1"/>
        <v>2059909.7892393768</v>
      </c>
      <c r="H28" s="591">
        <f t="shared" si="1"/>
        <v>2399450.7666700408</v>
      </c>
      <c r="I28" s="591">
        <f t="shared" si="1"/>
        <v>2742357.0102817416</v>
      </c>
      <c r="J28" s="591">
        <f t="shared" si="1"/>
        <v>3091048.2657019645</v>
      </c>
      <c r="K28" s="591">
        <f t="shared" si="1"/>
        <v>3442693.0649199411</v>
      </c>
    </row>
    <row r="29" spans="1:12" x14ac:dyDescent="0.2">
      <c r="B29" s="616"/>
      <c r="C29" s="591"/>
      <c r="D29" s="591"/>
      <c r="E29" s="591"/>
      <c r="F29" s="591"/>
      <c r="G29" s="591"/>
      <c r="H29" s="591"/>
      <c r="I29" s="591"/>
      <c r="J29" s="591"/>
      <c r="K29" s="591"/>
      <c r="L29" s="591"/>
    </row>
    <row r="30" spans="1:12" x14ac:dyDescent="0.2">
      <c r="A30" t="s">
        <v>1456</v>
      </c>
      <c r="B30" s="591">
        <f>B28</f>
        <v>-1720871.9790662378</v>
      </c>
      <c r="C30" s="591">
        <f t="shared" ref="C30:K30" si="2">B30*(1+$B$6)+C28</f>
        <v>-1468257.1467778962</v>
      </c>
      <c r="D30" s="591">
        <f t="shared" si="2"/>
        <v>-515842.191026435</v>
      </c>
      <c r="E30" s="591">
        <f t="shared" si="2"/>
        <v>838426.20197992097</v>
      </c>
      <c r="F30" s="591">
        <f t="shared" si="2"/>
        <v>2630909.3163410667</v>
      </c>
      <c r="G30" s="591">
        <f t="shared" si="2"/>
        <v>4901291.8508877289</v>
      </c>
      <c r="H30" s="591">
        <f t="shared" si="2"/>
        <v>7692845.9656287879</v>
      </c>
      <c r="I30" s="591">
        <f t="shared" si="2"/>
        <v>11050630.653160833</v>
      </c>
      <c r="J30" s="591">
        <f t="shared" si="2"/>
        <v>15025729.371115664</v>
      </c>
      <c r="K30" s="591">
        <f t="shared" si="2"/>
        <v>19670480.78572486</v>
      </c>
    </row>
    <row r="31" spans="1:12" x14ac:dyDescent="0.2">
      <c r="A31" t="s">
        <v>1457</v>
      </c>
      <c r="B31" s="591">
        <f>NPV($B$6,unwinds!C13:$K$13)</f>
        <v>370896472.4806444</v>
      </c>
      <c r="C31" s="591">
        <f>NPV($B$6,unwinds!D13:$K$13)</f>
        <v>343309647.39299923</v>
      </c>
      <c r="D31" s="591">
        <f>NPV($B$6,unwinds!E13:$K$13)</f>
        <v>312925232.70009506</v>
      </c>
      <c r="E31" s="591">
        <f>NPV($B$6,unwinds!F13:$K$13)</f>
        <v>279512628.83213127</v>
      </c>
      <c r="F31" s="591">
        <f>NPV($B$6,unwinds!G13:$K$13)</f>
        <v>242822710.14110741</v>
      </c>
      <c r="G31" s="591">
        <f>NPV($B$6,unwinds!H13:$K$13)</f>
        <v>202586341.91627195</v>
      </c>
      <c r="H31" s="591">
        <f>NPV($B$6,unwinds!I13:$K$13)</f>
        <v>158512778.7504769</v>
      </c>
      <c r="I31" s="591">
        <f>NPV($B$6,unwinds!J13:$K$13)</f>
        <v>110287934.76539129</v>
      </c>
      <c r="J31" s="591">
        <f>NPV($B$6,unwinds!K13:$K$13)</f>
        <v>57572515.444162607</v>
      </c>
      <c r="K31" s="591">
        <f>NPV($B$6,unwinds!$K13:L$13)</f>
        <v>57572515.444162607</v>
      </c>
    </row>
    <row r="32" spans="1:12" x14ac:dyDescent="0.2">
      <c r="A32" t="s">
        <v>1458</v>
      </c>
      <c r="B32" s="591">
        <f>NPV('general info'!$B$45,unwinds!C28:$K28)</f>
        <v>8738463.4147163536</v>
      </c>
      <c r="C32" s="591">
        <f>NPV('general info'!$B$45,unwinds!D28:$K28)</f>
        <v>9527871.3850894216</v>
      </c>
      <c r="D32" s="591">
        <f>NPV('general info'!$B$45,unwinds!E28:$K28)</f>
        <v>9744258.4945828021</v>
      </c>
      <c r="E32" s="591">
        <f>NPV('general info'!$B$45,unwinds!F28:$K28)</f>
        <v>9664197.6230630092</v>
      </c>
      <c r="F32" s="591">
        <f>NPV('general info'!$B$45,unwinds!G28:$K28)</f>
        <v>9243455.2839737609</v>
      </c>
      <c r="G32" s="591">
        <f>NPV('general info'!$B$45,unwinds!H28:$K28)</f>
        <v>8431411.9580708444</v>
      </c>
      <c r="H32" s="591">
        <f>NPV('general info'!$B$45,unwinds!I28:$K28)</f>
        <v>7170201.8057403667</v>
      </c>
      <c r="I32" s="591">
        <f>NPV('general info'!$B$45,unwinds!J28:$K28)</f>
        <v>5395822.0392335737</v>
      </c>
      <c r="J32" s="591">
        <f>NPV('general info'!$B$45,unwinds!K28:$K28)</f>
        <v>3033209.748828142</v>
      </c>
      <c r="K32" s="591">
        <f>NPV('general info'!$B$45,unwinds!$K28:L28)</f>
        <v>3033209.748828142</v>
      </c>
    </row>
    <row r="33" spans="1:11" x14ac:dyDescent="0.2">
      <c r="B33" s="591"/>
    </row>
    <row r="34" spans="1:11" x14ac:dyDescent="0.2">
      <c r="A34" t="s">
        <v>1459</v>
      </c>
    </row>
    <row r="35" spans="1:11" s="386" customFormat="1" x14ac:dyDescent="0.2">
      <c r="A35" s="386" t="s">
        <v>1460</v>
      </c>
      <c r="B35" s="963">
        <v>0.1</v>
      </c>
      <c r="C35" s="963">
        <v>0.1</v>
      </c>
      <c r="D35" s="963">
        <v>0.1</v>
      </c>
      <c r="E35" s="963">
        <v>0.1</v>
      </c>
      <c r="F35" s="963">
        <v>0.1</v>
      </c>
      <c r="G35" s="963">
        <v>0.1</v>
      </c>
      <c r="H35" s="956">
        <f>G35-1%</f>
        <v>9.0000000000000011E-2</v>
      </c>
      <c r="I35" s="956">
        <f>H35-1%</f>
        <v>8.0000000000000016E-2</v>
      </c>
      <c r="J35" s="956">
        <f>I35-1%</f>
        <v>7.0000000000000021E-2</v>
      </c>
      <c r="K35" s="956">
        <f>J35-1%</f>
        <v>6.0000000000000019E-2</v>
      </c>
    </row>
    <row r="36" spans="1:11" s="386" customFormat="1" x14ac:dyDescent="0.2">
      <c r="A36" s="386" t="s">
        <v>1081</v>
      </c>
      <c r="B36" s="963">
        <f>0.8*B35</f>
        <v>8.0000000000000016E-2</v>
      </c>
      <c r="C36" s="963">
        <f t="shared" ref="C36:K36" si="3">0.8*C35</f>
        <v>8.0000000000000016E-2</v>
      </c>
      <c r="D36" s="963">
        <f t="shared" si="3"/>
        <v>8.0000000000000016E-2</v>
      </c>
      <c r="E36" s="963">
        <f t="shared" si="3"/>
        <v>8.0000000000000016E-2</v>
      </c>
      <c r="F36" s="963">
        <f t="shared" si="3"/>
        <v>8.0000000000000016E-2</v>
      </c>
      <c r="G36" s="963">
        <f t="shared" si="3"/>
        <v>8.0000000000000016E-2</v>
      </c>
      <c r="H36" s="963">
        <f t="shared" si="3"/>
        <v>7.2000000000000008E-2</v>
      </c>
      <c r="I36" s="963">
        <f t="shared" si="3"/>
        <v>6.4000000000000015E-2</v>
      </c>
      <c r="J36" s="963">
        <f t="shared" si="3"/>
        <v>5.6000000000000022E-2</v>
      </c>
      <c r="K36" s="963">
        <f t="shared" si="3"/>
        <v>4.8000000000000015E-2</v>
      </c>
    </row>
    <row r="37" spans="1:11" s="386" customFormat="1" x14ac:dyDescent="0.2">
      <c r="A37" s="386" t="s">
        <v>1461</v>
      </c>
      <c r="B37" s="963">
        <v>0.06</v>
      </c>
      <c r="C37" s="963">
        <v>0.06</v>
      </c>
      <c r="D37" s="963">
        <v>0.06</v>
      </c>
      <c r="E37" s="963">
        <v>0.06</v>
      </c>
      <c r="F37" s="963">
        <v>0.06</v>
      </c>
      <c r="G37" s="963">
        <v>0.06</v>
      </c>
      <c r="H37" s="963">
        <v>0.06</v>
      </c>
      <c r="I37" s="963">
        <v>0.06</v>
      </c>
      <c r="J37" s="963">
        <v>0.06</v>
      </c>
      <c r="K37" s="963">
        <v>0.06</v>
      </c>
    </row>
    <row r="38" spans="1:11" ht="13.5" thickBot="1" x14ac:dyDescent="0.25"/>
    <row r="39" spans="1:11" x14ac:dyDescent="0.2">
      <c r="A39" s="492"/>
      <c r="B39" s="593">
        <v>1</v>
      </c>
      <c r="C39" s="593">
        <v>2</v>
      </c>
      <c r="D39" s="593">
        <v>3</v>
      </c>
      <c r="E39" s="593">
        <v>4</v>
      </c>
      <c r="F39" s="593">
        <v>5</v>
      </c>
      <c r="G39" s="593">
        <v>6</v>
      </c>
      <c r="H39" s="593">
        <v>7</v>
      </c>
      <c r="I39" s="593">
        <v>8</v>
      </c>
      <c r="J39" s="593">
        <v>9</v>
      </c>
      <c r="K39" s="594" t="s">
        <v>1411</v>
      </c>
    </row>
    <row r="40" spans="1:11" x14ac:dyDescent="0.2">
      <c r="A40" s="595" t="s">
        <v>1462</v>
      </c>
      <c r="B40" s="404"/>
      <c r="C40" s="404"/>
      <c r="D40" s="404"/>
      <c r="E40" s="404"/>
      <c r="F40" s="404"/>
      <c r="G40" s="404"/>
      <c r="H40" s="404"/>
      <c r="I40" s="404"/>
      <c r="J40" s="404"/>
      <c r="K40" s="596"/>
    </row>
    <row r="41" spans="1:11" x14ac:dyDescent="0.2">
      <c r="A41" s="495" t="s">
        <v>1463</v>
      </c>
      <c r="B41" s="597">
        <f>B31*B35</f>
        <v>37089647.248064443</v>
      </c>
      <c r="C41" s="597">
        <f t="shared" ref="C41:K41" si="4">C31*C35</f>
        <v>34330964.739299923</v>
      </c>
      <c r="D41" s="597">
        <f t="shared" si="4"/>
        <v>31292523.270009506</v>
      </c>
      <c r="E41" s="597">
        <f t="shared" si="4"/>
        <v>27951262.883213129</v>
      </c>
      <c r="F41" s="597">
        <f t="shared" si="4"/>
        <v>24282271.014110744</v>
      </c>
      <c r="G41" s="597">
        <f t="shared" si="4"/>
        <v>20258634.191627197</v>
      </c>
      <c r="H41" s="597">
        <f t="shared" si="4"/>
        <v>14266150.087542923</v>
      </c>
      <c r="I41" s="597">
        <f t="shared" si="4"/>
        <v>8823034.7812313046</v>
      </c>
      <c r="J41" s="597">
        <f t="shared" si="4"/>
        <v>4030076.0810913835</v>
      </c>
      <c r="K41" s="597">
        <f t="shared" si="4"/>
        <v>3454350.9266497577</v>
      </c>
    </row>
    <row r="42" spans="1:11" x14ac:dyDescent="0.2">
      <c r="A42" s="495"/>
      <c r="B42" s="597"/>
      <c r="C42" s="597"/>
      <c r="D42" s="597"/>
      <c r="E42" s="597"/>
      <c r="F42" s="597"/>
      <c r="G42" s="597"/>
      <c r="H42" s="597"/>
      <c r="I42" s="597"/>
      <c r="J42" s="597"/>
      <c r="K42" s="597"/>
    </row>
    <row r="43" spans="1:11" x14ac:dyDescent="0.2">
      <c r="A43" s="495" t="s">
        <v>1081</v>
      </c>
      <c r="B43" s="597">
        <f>B31*B36</f>
        <v>29671717.798451558</v>
      </c>
      <c r="C43" s="597">
        <f t="shared" ref="C43:K43" si="5">C31*C36</f>
        <v>27464771.791439943</v>
      </c>
      <c r="D43" s="597">
        <f t="shared" si="5"/>
        <v>25034018.616007611</v>
      </c>
      <c r="E43" s="597">
        <f t="shared" si="5"/>
        <v>22361010.306570504</v>
      </c>
      <c r="F43" s="597">
        <f t="shared" si="5"/>
        <v>19425816.811288595</v>
      </c>
      <c r="G43" s="597">
        <f t="shared" si="5"/>
        <v>16206907.35330176</v>
      </c>
      <c r="H43" s="597">
        <f t="shared" si="5"/>
        <v>11412920.070034338</v>
      </c>
      <c r="I43" s="597">
        <f t="shared" si="5"/>
        <v>7058427.8249850441</v>
      </c>
      <c r="J43" s="597">
        <f t="shared" si="5"/>
        <v>3224060.8648731071</v>
      </c>
      <c r="K43" s="597">
        <f t="shared" si="5"/>
        <v>2763480.7413198058</v>
      </c>
    </row>
    <row r="44" spans="1:11" x14ac:dyDescent="0.2">
      <c r="A44" s="495"/>
      <c r="B44" s="597"/>
      <c r="C44" s="597"/>
      <c r="D44" s="597"/>
      <c r="E44" s="597"/>
      <c r="F44" s="597"/>
      <c r="G44" s="597"/>
      <c r="H44" s="597"/>
      <c r="I44" s="597"/>
      <c r="J44" s="597"/>
      <c r="K44" s="597"/>
    </row>
    <row r="45" spans="1:11" x14ac:dyDescent="0.2">
      <c r="A45" s="495" t="s">
        <v>1461</v>
      </c>
      <c r="B45" s="597">
        <f>B31*B37</f>
        <v>22253788.348838665</v>
      </c>
      <c r="C45" s="597">
        <f t="shared" ref="C45:K45" si="6">C31*C37</f>
        <v>20598578.843579952</v>
      </c>
      <c r="D45" s="597">
        <f t="shared" si="6"/>
        <v>18775513.962005701</v>
      </c>
      <c r="E45" s="597">
        <f t="shared" si="6"/>
        <v>16770757.729927875</v>
      </c>
      <c r="F45" s="597">
        <f t="shared" si="6"/>
        <v>14569362.608466445</v>
      </c>
      <c r="G45" s="597">
        <f t="shared" si="6"/>
        <v>12155180.514976317</v>
      </c>
      <c r="H45" s="597">
        <f t="shared" si="6"/>
        <v>9510766.7250286136</v>
      </c>
      <c r="I45" s="597">
        <f t="shared" si="6"/>
        <v>6617276.0859234771</v>
      </c>
      <c r="J45" s="597">
        <f t="shared" si="6"/>
        <v>3454350.9266497563</v>
      </c>
      <c r="K45" s="597">
        <f t="shared" si="6"/>
        <v>3454350.9266497563</v>
      </c>
    </row>
    <row r="46" spans="1:11" ht="13.5" thickBot="1" x14ac:dyDescent="0.25">
      <c r="A46" s="500"/>
      <c r="B46" s="598"/>
      <c r="C46" s="598"/>
      <c r="D46" s="598"/>
      <c r="E46" s="598"/>
      <c r="F46" s="598"/>
      <c r="G46" s="598"/>
      <c r="H46" s="598"/>
      <c r="I46" s="598"/>
      <c r="J46" s="598"/>
      <c r="K46" s="599"/>
    </row>
    <row r="47" spans="1:11" x14ac:dyDescent="0.2">
      <c r="A47" s="492"/>
      <c r="B47" s="593"/>
      <c r="C47" s="593"/>
      <c r="D47" s="593"/>
      <c r="E47" s="593"/>
      <c r="F47" s="593"/>
      <c r="G47" s="593"/>
      <c r="H47" s="593"/>
      <c r="I47" s="593"/>
      <c r="J47" s="593"/>
      <c r="K47" s="594"/>
    </row>
    <row r="48" spans="1:11" x14ac:dyDescent="0.2">
      <c r="G48" s="404"/>
      <c r="H48" s="404"/>
      <c r="I48" s="404"/>
      <c r="J48" s="404"/>
      <c r="K48" s="404"/>
    </row>
    <row r="49" spans="1:12" x14ac:dyDescent="0.2">
      <c r="A49" s="404"/>
      <c r="B49" s="404"/>
      <c r="C49" s="404"/>
      <c r="D49" s="404"/>
      <c r="E49" s="404"/>
      <c r="F49" s="404"/>
      <c r="G49" s="404"/>
      <c r="H49" s="404"/>
      <c r="I49" s="404"/>
      <c r="J49" s="404"/>
      <c r="K49" s="404"/>
    </row>
    <row r="50" spans="1:12" s="933" customFormat="1" x14ac:dyDescent="0.2">
      <c r="A50" s="938" t="s">
        <v>1082</v>
      </c>
      <c r="B50" s="939">
        <f>'RMPM-Whole'!$CX$23</f>
        <v>30145719.174609479</v>
      </c>
      <c r="C50" s="939">
        <f>'RMPM-Whole'!$CX$35</f>
        <v>30438645.781381615</v>
      </c>
      <c r="D50" s="939">
        <f>'RMPM-Whole'!$CX$47</f>
        <v>23828454.956495006</v>
      </c>
      <c r="E50" s="939">
        <f>'RMPM-Whole'!$CX$59</f>
        <v>16564381.116030565</v>
      </c>
      <c r="F50" s="939">
        <f>'RMPM-Whole'!$CX$71</f>
        <v>8581741.8613423351</v>
      </c>
      <c r="G50" s="939">
        <f>'RMPM-Whole'!$CX$83</f>
        <v>0</v>
      </c>
      <c r="H50" s="939">
        <f>'RMPM-Whole'!$CX$95</f>
        <v>0</v>
      </c>
      <c r="I50" s="939">
        <f>'RMPM-Whole'!$CX$107</f>
        <v>0</v>
      </c>
      <c r="J50" s="939">
        <f>'RMPM-Whole'!$CX$119</f>
        <v>0</v>
      </c>
      <c r="K50" s="939"/>
      <c r="L50" s="934"/>
    </row>
    <row r="51" spans="1:12" x14ac:dyDescent="0.2">
      <c r="A51" s="959" t="s">
        <v>1160</v>
      </c>
      <c r="B51" s="960">
        <f t="shared" ref="B51:K51" si="7">95%*B50</f>
        <v>28638433.215879004</v>
      </c>
      <c r="C51" s="960">
        <f t="shared" si="7"/>
        <v>28916713.492312532</v>
      </c>
      <c r="D51" s="960">
        <f t="shared" si="7"/>
        <v>22637032.208670255</v>
      </c>
      <c r="E51" s="960">
        <f t="shared" si="7"/>
        <v>15736162.060229035</v>
      </c>
      <c r="F51" s="960">
        <f t="shared" si="7"/>
        <v>8152654.7682752181</v>
      </c>
      <c r="G51" s="960">
        <f t="shared" si="7"/>
        <v>0</v>
      </c>
      <c r="H51" s="960">
        <f t="shared" si="7"/>
        <v>0</v>
      </c>
      <c r="I51" s="960">
        <f t="shared" si="7"/>
        <v>0</v>
      </c>
      <c r="J51" s="960">
        <f t="shared" si="7"/>
        <v>0</v>
      </c>
      <c r="K51" s="960">
        <f t="shared" si="7"/>
        <v>0</v>
      </c>
    </row>
    <row r="52" spans="1:12" x14ac:dyDescent="0.2">
      <c r="A52" s="404"/>
      <c r="B52" s="404"/>
      <c r="C52" s="404"/>
      <c r="D52" s="404"/>
      <c r="E52" s="404"/>
      <c r="F52" s="404"/>
      <c r="G52" s="404"/>
      <c r="H52" s="404"/>
      <c r="I52" s="404"/>
      <c r="J52" s="404"/>
      <c r="K52" s="404"/>
    </row>
    <row r="53" spans="1:12" s="959" customFormat="1" x14ac:dyDescent="0.2"/>
    <row r="55" spans="1:12" ht="51" x14ac:dyDescent="0.2">
      <c r="A55" s="600" t="s">
        <v>1340</v>
      </c>
    </row>
    <row r="56" spans="1:12" x14ac:dyDescent="0.2">
      <c r="A56" s="930"/>
      <c r="B56">
        <v>1</v>
      </c>
      <c r="C56">
        <v>2</v>
      </c>
      <c r="D56">
        <v>3</v>
      </c>
      <c r="E56">
        <v>4</v>
      </c>
      <c r="F56">
        <v>5</v>
      </c>
      <c r="G56">
        <v>6</v>
      </c>
      <c r="H56">
        <v>7</v>
      </c>
      <c r="I56">
        <v>8</v>
      </c>
      <c r="J56">
        <v>9</v>
      </c>
      <c r="K56">
        <v>10</v>
      </c>
    </row>
    <row r="57" spans="1:12" ht="25.5" customHeight="1" x14ac:dyDescent="0.2">
      <c r="A57" s="957" t="s">
        <v>1083</v>
      </c>
      <c r="B57" s="931">
        <f>B$41-B$32+B51</f>
        <v>56989617.049227089</v>
      </c>
      <c r="C57" s="931">
        <f t="shared" ref="C57:K57" si="8">C$41-C$32+C51</f>
        <v>53719806.846523032</v>
      </c>
      <c r="D57" s="931">
        <f t="shared" si="8"/>
        <v>44185296.984096959</v>
      </c>
      <c r="E57" s="931">
        <f t="shared" si="8"/>
        <v>34023227.320379153</v>
      </c>
      <c r="F57" s="931">
        <f t="shared" si="8"/>
        <v>23191470.498412199</v>
      </c>
      <c r="G57" s="931">
        <f t="shared" si="8"/>
        <v>11827222.233556353</v>
      </c>
      <c r="H57" s="931">
        <f t="shared" si="8"/>
        <v>7095948.2818025565</v>
      </c>
      <c r="I57" s="931">
        <f t="shared" si="8"/>
        <v>3427212.7419977309</v>
      </c>
      <c r="J57" s="931">
        <f t="shared" si="8"/>
        <v>996866.33226324152</v>
      </c>
      <c r="K57" s="931">
        <f t="shared" si="8"/>
        <v>421141.17782161571</v>
      </c>
    </row>
    <row r="58" spans="1:12" hidden="1" x14ac:dyDescent="0.2">
      <c r="A58" s="930" t="s">
        <v>1084</v>
      </c>
      <c r="B58" s="931">
        <f>B41+B50</f>
        <v>67235366.422673926</v>
      </c>
      <c r="C58" s="931">
        <f t="shared" ref="C58:J58" si="9">C41+C50</f>
        <v>64769610.520681538</v>
      </c>
      <c r="D58" s="931">
        <f t="shared" si="9"/>
        <v>55120978.226504512</v>
      </c>
      <c r="E58" s="931">
        <f t="shared" si="9"/>
        <v>44515643.999243692</v>
      </c>
      <c r="F58" s="931">
        <f t="shared" si="9"/>
        <v>32864012.875453077</v>
      </c>
      <c r="G58" s="931">
        <f t="shared" si="9"/>
        <v>20258634.191627197</v>
      </c>
      <c r="H58" s="931">
        <f t="shared" si="9"/>
        <v>14266150.087542923</v>
      </c>
      <c r="I58" s="931">
        <f t="shared" si="9"/>
        <v>8823034.7812313046</v>
      </c>
      <c r="J58" s="931">
        <f t="shared" si="9"/>
        <v>4030076.0810913835</v>
      </c>
      <c r="K58" s="931">
        <f>K41+K50</f>
        <v>3454350.9266497577</v>
      </c>
    </row>
    <row r="59" spans="1:12" x14ac:dyDescent="0.2">
      <c r="A59" s="930"/>
      <c r="B59" t="s">
        <v>1411</v>
      </c>
      <c r="C59" t="s">
        <v>1411</v>
      </c>
      <c r="D59" t="s">
        <v>1411</v>
      </c>
      <c r="E59" t="s">
        <v>1411</v>
      </c>
      <c r="F59" t="s">
        <v>1411</v>
      </c>
      <c r="G59" t="s">
        <v>1411</v>
      </c>
      <c r="H59" t="s">
        <v>1411</v>
      </c>
      <c r="I59" t="s">
        <v>1411</v>
      </c>
      <c r="J59" t="s">
        <v>1411</v>
      </c>
      <c r="K59" t="s">
        <v>1411</v>
      </c>
    </row>
    <row r="60" spans="1:12" ht="24" customHeight="1" x14ac:dyDescent="0.2">
      <c r="A60" s="958" t="s">
        <v>1085</v>
      </c>
      <c r="B60" s="931">
        <f>B$43-B$32+B51</f>
        <v>49571687.599614203</v>
      </c>
      <c r="C60" s="931">
        <f t="shared" ref="C60:K60" si="10">C$43-C$32+C51</f>
        <v>46853613.898663059</v>
      </c>
      <c r="D60" s="931">
        <f t="shared" si="10"/>
        <v>37926792.330095068</v>
      </c>
      <c r="E60" s="931">
        <f t="shared" si="10"/>
        <v>28432974.743736528</v>
      </c>
      <c r="F60" s="931">
        <f t="shared" si="10"/>
        <v>18335016.295590051</v>
      </c>
      <c r="G60" s="931">
        <f t="shared" si="10"/>
        <v>7775495.3952309154</v>
      </c>
      <c r="H60" s="931">
        <f t="shared" si="10"/>
        <v>4242718.2642939715</v>
      </c>
      <c r="I60" s="931">
        <f t="shared" si="10"/>
        <v>1662605.7857514704</v>
      </c>
      <c r="J60" s="931">
        <f t="shared" si="10"/>
        <v>190851.11604496511</v>
      </c>
      <c r="K60" s="931">
        <f t="shared" si="10"/>
        <v>-269729.0075083361</v>
      </c>
    </row>
    <row r="61" spans="1:12" ht="25.5" hidden="1" customHeight="1" x14ac:dyDescent="0.2">
      <c r="A61" s="930" t="s">
        <v>1086</v>
      </c>
      <c r="B61" s="931">
        <f>B$43+B50</f>
        <v>59817436.97306104</v>
      </c>
      <c r="C61" s="931">
        <f t="shared" ref="C61:J61" si="11">C$43+C50</f>
        <v>57903417.572821558</v>
      </c>
      <c r="D61" s="931">
        <f t="shared" si="11"/>
        <v>48862473.572502613</v>
      </c>
      <c r="E61" s="931">
        <f t="shared" si="11"/>
        <v>38925391.422601067</v>
      </c>
      <c r="F61" s="931">
        <f t="shared" si="11"/>
        <v>28007558.672630928</v>
      </c>
      <c r="G61" s="931">
        <f t="shared" si="11"/>
        <v>16206907.35330176</v>
      </c>
      <c r="H61" s="931">
        <f t="shared" si="11"/>
        <v>11412920.070034338</v>
      </c>
      <c r="I61" s="931">
        <f t="shared" si="11"/>
        <v>7058427.8249850441</v>
      </c>
      <c r="J61" s="931">
        <f t="shared" si="11"/>
        <v>3224060.8648731071</v>
      </c>
      <c r="K61" s="931">
        <f>K$43+K50</f>
        <v>2763480.7413198058</v>
      </c>
    </row>
    <row r="62" spans="1:12" x14ac:dyDescent="0.2">
      <c r="A62" s="930"/>
    </row>
    <row r="63" spans="1:12" ht="23.25" customHeight="1" x14ac:dyDescent="0.2">
      <c r="A63" s="957" t="s">
        <v>1087</v>
      </c>
      <c r="B63" s="931">
        <f>B$45-B$32+B51</f>
        <v>42153758.150001317</v>
      </c>
      <c r="C63" s="931">
        <f t="shared" ref="C63:K63" si="12">C$45-C$32+C51</f>
        <v>39987420.950803064</v>
      </c>
      <c r="D63" s="931">
        <f t="shared" si="12"/>
        <v>31668287.676093154</v>
      </c>
      <c r="E63" s="931">
        <f t="shared" si="12"/>
        <v>22842722.167093903</v>
      </c>
      <c r="F63" s="931">
        <f t="shared" si="12"/>
        <v>13478562.092767902</v>
      </c>
      <c r="G63" s="931">
        <f t="shared" si="12"/>
        <v>3723768.5569054727</v>
      </c>
      <c r="H63" s="931">
        <f t="shared" si="12"/>
        <v>2340564.9192882469</v>
      </c>
      <c r="I63" s="931">
        <f t="shared" si="12"/>
        <v>1221454.0466899034</v>
      </c>
      <c r="J63" s="931">
        <f t="shared" si="12"/>
        <v>421141.17782161431</v>
      </c>
      <c r="K63" s="931">
        <f t="shared" si="12"/>
        <v>421141.17782161431</v>
      </c>
    </row>
    <row r="64" spans="1:12" ht="22.5" hidden="1" x14ac:dyDescent="0.2">
      <c r="A64" s="930" t="s">
        <v>1088</v>
      </c>
      <c r="B64" s="931">
        <f>B$45+B50</f>
        <v>52399507.523448139</v>
      </c>
      <c r="C64" s="931">
        <f t="shared" ref="C64:J64" si="13">C$45+C50</f>
        <v>51037224.62496157</v>
      </c>
      <c r="D64" s="931">
        <f t="shared" si="13"/>
        <v>42603968.918500707</v>
      </c>
      <c r="E64" s="931">
        <f t="shared" si="13"/>
        <v>33335138.845958441</v>
      </c>
      <c r="F64" s="931">
        <f t="shared" si="13"/>
        <v>23151104.46980878</v>
      </c>
      <c r="G64" s="931">
        <f t="shared" si="13"/>
        <v>12155180.514976317</v>
      </c>
      <c r="H64" s="931">
        <f t="shared" si="13"/>
        <v>9510766.7250286136</v>
      </c>
      <c r="I64" s="931">
        <f t="shared" si="13"/>
        <v>6617276.0859234771</v>
      </c>
      <c r="J64" s="931">
        <f t="shared" si="13"/>
        <v>3454350.9266497563</v>
      </c>
    </row>
    <row r="66" spans="1:11" x14ac:dyDescent="0.2">
      <c r="A66" t="s">
        <v>1089</v>
      </c>
      <c r="B66" s="932">
        <f>B30/B31</f>
        <v>-4.6397636719395959E-3</v>
      </c>
      <c r="C66" s="932">
        <f t="shared" ref="C66:J66" si="14">C30/C31</f>
        <v>-4.2767721732478083E-3</v>
      </c>
      <c r="D66" s="932">
        <f t="shared" si="14"/>
        <v>-1.6484518892115481E-3</v>
      </c>
      <c r="E66" s="932">
        <f t="shared" si="14"/>
        <v>2.9996004312329663E-3</v>
      </c>
      <c r="F66" s="932">
        <f t="shared" si="14"/>
        <v>1.0834692170317231E-2</v>
      </c>
      <c r="G66" s="932">
        <f t="shared" si="14"/>
        <v>2.4193594713869761E-2</v>
      </c>
      <c r="H66" s="932">
        <f t="shared" si="14"/>
        <v>4.8531393028813728E-2</v>
      </c>
      <c r="I66" s="932">
        <f t="shared" si="14"/>
        <v>0.10019800150096342</v>
      </c>
      <c r="J66" s="932">
        <f t="shared" si="14"/>
        <v>0.26098789075298523</v>
      </c>
    </row>
    <row r="68" spans="1:11" x14ac:dyDescent="0.2">
      <c r="A68" t="s">
        <v>1090</v>
      </c>
      <c r="B68" s="932">
        <f>B32/B31</f>
        <v>2.3560384266454244E-2</v>
      </c>
      <c r="C68" s="932">
        <f t="shared" ref="C68:J68" si="15">C32/C31</f>
        <v>2.7752996332731993E-2</v>
      </c>
      <c r="D68" s="932">
        <f t="shared" si="15"/>
        <v>3.1139254608852904E-2</v>
      </c>
      <c r="E68" s="932">
        <f t="shared" si="15"/>
        <v>3.4575173449021869E-2</v>
      </c>
      <c r="F68" s="932">
        <f t="shared" si="15"/>
        <v>3.8066683625276522E-2</v>
      </c>
      <c r="G68" s="932">
        <f t="shared" si="15"/>
        <v>4.1618856820838941E-2</v>
      </c>
      <c r="H68" s="932">
        <f t="shared" si="15"/>
        <v>4.52342193623856E-2</v>
      </c>
      <c r="I68" s="932">
        <f t="shared" si="15"/>
        <v>4.8924862458543383E-2</v>
      </c>
      <c r="J68" s="932">
        <f t="shared" si="15"/>
        <v>5.2685030789907675E-2</v>
      </c>
    </row>
    <row r="69" spans="1:11" x14ac:dyDescent="0.2">
      <c r="B69" s="932"/>
      <c r="C69" s="932"/>
      <c r="D69" s="932"/>
      <c r="E69" s="932"/>
      <c r="F69" s="932"/>
      <c r="G69" s="932"/>
      <c r="H69" s="932"/>
      <c r="I69" s="932"/>
      <c r="J69" s="932"/>
    </row>
    <row r="71" spans="1:11" x14ac:dyDescent="0.2">
      <c r="B71" s="931"/>
      <c r="C71" s="931"/>
      <c r="D71" s="931"/>
      <c r="E71" s="931"/>
      <c r="F71" s="931"/>
      <c r="G71" s="931"/>
      <c r="H71" s="931"/>
      <c r="I71" s="931"/>
      <c r="J71" s="931"/>
      <c r="K71" s="931"/>
    </row>
    <row r="73" spans="1:11" x14ac:dyDescent="0.2">
      <c r="B73" s="931"/>
      <c r="C73" s="931"/>
      <c r="D73" s="931"/>
      <c r="E73" s="931"/>
      <c r="F73" s="931"/>
      <c r="G73" s="931"/>
      <c r="H73" s="931"/>
      <c r="I73" s="931"/>
      <c r="J73" s="931"/>
      <c r="K73" s="931"/>
    </row>
    <row r="74" spans="1:11" x14ac:dyDescent="0.2">
      <c r="B74" s="931"/>
      <c r="C74" s="931"/>
      <c r="D74" s="931"/>
      <c r="E74" s="931"/>
      <c r="F74" s="931"/>
      <c r="G74" s="931"/>
      <c r="H74" s="931"/>
      <c r="I74" s="931"/>
      <c r="J74" s="931"/>
      <c r="K74" s="931"/>
    </row>
    <row r="75" spans="1:11" x14ac:dyDescent="0.2">
      <c r="B75" s="931"/>
      <c r="C75" s="931"/>
      <c r="D75" s="931"/>
      <c r="E75" s="931"/>
      <c r="F75" s="931"/>
      <c r="G75" s="931"/>
      <c r="H75" s="931"/>
      <c r="I75" s="931"/>
      <c r="J75" s="931"/>
      <c r="K75" s="931"/>
    </row>
    <row r="76" spans="1:11" x14ac:dyDescent="0.2">
      <c r="B76" s="931"/>
      <c r="C76" s="931"/>
      <c r="D76" s="931"/>
      <c r="E76" s="931"/>
      <c r="F76" s="931"/>
      <c r="G76" s="931"/>
      <c r="H76" s="931"/>
      <c r="I76" s="931"/>
      <c r="J76" s="931"/>
      <c r="K76" s="931"/>
    </row>
    <row r="77" spans="1:11" x14ac:dyDescent="0.2">
      <c r="B77" s="931"/>
      <c r="C77" s="931"/>
      <c r="D77" s="931"/>
      <c r="E77" s="931"/>
      <c r="F77" s="931"/>
      <c r="G77" s="931"/>
      <c r="H77" s="931"/>
      <c r="I77" s="931"/>
      <c r="J77" s="931"/>
      <c r="K77" s="931"/>
    </row>
    <row r="78" spans="1:11" x14ac:dyDescent="0.2">
      <c r="B78" s="931"/>
      <c r="C78" s="931"/>
      <c r="D78" s="931"/>
      <c r="E78" s="931"/>
      <c r="F78" s="931"/>
      <c r="G78" s="931"/>
      <c r="H78" s="931"/>
      <c r="I78" s="931"/>
      <c r="J78" s="931"/>
      <c r="K78" s="931"/>
    </row>
    <row r="79" spans="1:11" x14ac:dyDescent="0.2">
      <c r="B79" s="931"/>
      <c r="C79" s="931"/>
      <c r="D79" s="931"/>
      <c r="E79" s="931"/>
      <c r="F79" s="931"/>
      <c r="G79" s="931"/>
      <c r="H79" s="931"/>
      <c r="I79" s="931"/>
      <c r="J79" s="931"/>
      <c r="K79" s="931"/>
    </row>
    <row r="80" spans="1:11" x14ac:dyDescent="0.2">
      <c r="B80" s="931"/>
      <c r="C80" s="931"/>
      <c r="D80" s="931"/>
      <c r="E80" s="931"/>
      <c r="F80" s="931"/>
      <c r="G80" s="931"/>
      <c r="H80" s="931"/>
      <c r="I80" s="931"/>
      <c r="J80" s="931"/>
      <c r="K80" s="931"/>
    </row>
    <row r="81" spans="2:11" x14ac:dyDescent="0.2">
      <c r="B81" s="931"/>
      <c r="C81" s="931"/>
      <c r="D81" s="931"/>
      <c r="E81" s="931"/>
      <c r="F81" s="931"/>
      <c r="G81" s="931"/>
      <c r="H81" s="931"/>
      <c r="I81" s="931"/>
      <c r="J81" s="931"/>
      <c r="K81" s="931"/>
    </row>
    <row r="82" spans="2:11" x14ac:dyDescent="0.2">
      <c r="B82" s="931"/>
      <c r="C82" s="931"/>
      <c r="D82" s="931"/>
      <c r="E82" s="931"/>
      <c r="F82" s="931"/>
      <c r="G82" s="931"/>
      <c r="H82" s="931"/>
      <c r="I82" s="931"/>
      <c r="J82" s="931"/>
      <c r="K82" s="931"/>
    </row>
    <row r="83" spans="2:11" x14ac:dyDescent="0.2">
      <c r="B83" s="931"/>
      <c r="C83" s="931"/>
      <c r="D83" s="931"/>
      <c r="E83" s="931"/>
      <c r="F83" s="931"/>
      <c r="G83" s="931"/>
      <c r="H83" s="931"/>
      <c r="I83" s="931"/>
      <c r="J83" s="931"/>
      <c r="K83" s="931"/>
    </row>
    <row r="84" spans="2:11" x14ac:dyDescent="0.2">
      <c r="B84" s="931"/>
      <c r="C84" s="931"/>
      <c r="D84" s="931"/>
      <c r="E84" s="931"/>
      <c r="F84" s="931"/>
      <c r="G84" s="931"/>
      <c r="H84" s="931"/>
      <c r="I84" s="931"/>
      <c r="J84" s="931"/>
      <c r="K84" s="931"/>
    </row>
    <row r="85" spans="2:11" x14ac:dyDescent="0.2">
      <c r="B85" s="931"/>
      <c r="C85" s="931"/>
      <c r="D85" s="931"/>
      <c r="E85" s="931"/>
      <c r="F85" s="931"/>
      <c r="G85" s="931"/>
      <c r="H85" s="931"/>
      <c r="I85" s="931"/>
      <c r="J85" s="931"/>
    </row>
    <row r="86" spans="2:11" x14ac:dyDescent="0.2">
      <c r="B86" s="931"/>
      <c r="C86" s="931"/>
      <c r="D86" s="931"/>
      <c r="E86" s="931"/>
      <c r="F86" s="931"/>
      <c r="G86" s="931"/>
      <c r="H86" s="931"/>
      <c r="I86" s="931"/>
      <c r="J86" s="931"/>
    </row>
    <row r="87" spans="2:11" x14ac:dyDescent="0.2">
      <c r="B87" s="931"/>
      <c r="C87" s="931"/>
      <c r="D87" s="931"/>
      <c r="E87" s="931"/>
      <c r="F87" s="931"/>
      <c r="G87" s="931"/>
      <c r="H87" s="931"/>
      <c r="I87" s="931"/>
      <c r="J87" s="931"/>
    </row>
    <row r="88" spans="2:11" x14ac:dyDescent="0.2">
      <c r="B88" s="931"/>
      <c r="C88" s="931"/>
      <c r="D88" s="931"/>
      <c r="E88" s="931"/>
      <c r="F88" s="931"/>
      <c r="G88" s="931"/>
      <c r="H88" s="931"/>
      <c r="I88" s="931"/>
      <c r="J88" s="931"/>
    </row>
    <row r="89" spans="2:11" x14ac:dyDescent="0.2">
      <c r="B89" s="931"/>
      <c r="C89" s="931"/>
      <c r="D89" s="931"/>
      <c r="E89" s="931"/>
      <c r="F89" s="931"/>
      <c r="G89" s="931"/>
      <c r="H89" s="931"/>
      <c r="I89" s="931"/>
      <c r="J89" s="931"/>
    </row>
    <row r="90" spans="2:11" x14ac:dyDescent="0.2">
      <c r="B90" s="931"/>
      <c r="C90" s="931"/>
      <c r="D90" s="931"/>
      <c r="E90" s="931"/>
      <c r="F90" s="931"/>
      <c r="G90" s="931"/>
      <c r="H90" s="931"/>
      <c r="I90" s="931"/>
      <c r="J90" s="931"/>
    </row>
    <row r="91" spans="2:11" x14ac:dyDescent="0.2">
      <c r="B91" s="931"/>
      <c r="C91" s="931"/>
      <c r="D91" s="931"/>
      <c r="E91" s="931"/>
      <c r="F91" s="931"/>
      <c r="G91" s="931"/>
      <c r="H91" s="931"/>
      <c r="I91" s="931"/>
      <c r="J91" s="931"/>
    </row>
    <row r="92" spans="2:11" x14ac:dyDescent="0.2">
      <c r="B92" s="931"/>
      <c r="C92" s="931"/>
      <c r="D92" s="931"/>
      <c r="E92" s="931"/>
      <c r="F92" s="931"/>
      <c r="G92" s="931"/>
      <c r="H92" s="931"/>
      <c r="I92" s="931"/>
      <c r="J92" s="931"/>
    </row>
    <row r="93" spans="2:11" x14ac:dyDescent="0.2">
      <c r="B93" s="931"/>
      <c r="C93" s="931"/>
      <c r="D93" s="931"/>
      <c r="E93" s="931"/>
      <c r="F93" s="931"/>
      <c r="G93" s="931"/>
      <c r="H93" s="931"/>
      <c r="I93" s="931"/>
      <c r="J93" s="931"/>
    </row>
    <row r="94" spans="2:11" x14ac:dyDescent="0.2">
      <c r="B94" s="931"/>
      <c r="C94" s="931"/>
      <c r="D94" s="931"/>
      <c r="E94" s="931"/>
      <c r="F94" s="931"/>
      <c r="G94" s="931"/>
      <c r="H94" s="931"/>
      <c r="I94" s="931"/>
      <c r="J94" s="931"/>
    </row>
    <row r="95" spans="2:11" x14ac:dyDescent="0.2">
      <c r="B95" s="931"/>
      <c r="C95" s="931"/>
      <c r="D95" s="931"/>
      <c r="E95" s="931"/>
      <c r="F95" s="931"/>
      <c r="G95" s="931"/>
      <c r="H95" s="931"/>
      <c r="I95" s="931"/>
      <c r="J95" s="931"/>
    </row>
    <row r="96" spans="2:11" x14ac:dyDescent="0.2">
      <c r="B96" s="931"/>
      <c r="C96" s="931"/>
      <c r="D96" s="931"/>
      <c r="E96" s="931"/>
      <c r="F96" s="931"/>
      <c r="G96" s="931"/>
      <c r="H96" s="931"/>
      <c r="I96" s="931"/>
      <c r="J96" s="931"/>
    </row>
    <row r="97" spans="2:10" x14ac:dyDescent="0.2">
      <c r="B97" s="931"/>
      <c r="C97" s="931"/>
      <c r="D97" s="931"/>
      <c r="E97" s="931"/>
      <c r="F97" s="931"/>
      <c r="G97" s="931"/>
      <c r="H97" s="931"/>
      <c r="I97" s="931"/>
      <c r="J97" s="931"/>
    </row>
    <row r="98" spans="2:10" x14ac:dyDescent="0.2">
      <c r="B98" s="931"/>
      <c r="C98" s="931"/>
      <c r="D98" s="931"/>
      <c r="E98" s="931"/>
      <c r="F98" s="931"/>
      <c r="G98" s="931"/>
      <c r="H98" s="931"/>
      <c r="I98" s="931"/>
      <c r="J98" s="931"/>
    </row>
    <row r="99" spans="2:10" x14ac:dyDescent="0.2">
      <c r="B99" s="931"/>
      <c r="C99" s="931"/>
      <c r="D99" s="931"/>
      <c r="E99" s="931"/>
      <c r="F99" s="931"/>
      <c r="G99" s="931"/>
      <c r="H99" s="931"/>
      <c r="I99" s="931"/>
      <c r="J99" s="931"/>
    </row>
    <row r="100" spans="2:10" x14ac:dyDescent="0.2">
      <c r="B100" s="931"/>
      <c r="C100" s="931"/>
      <c r="D100" s="931"/>
      <c r="E100" s="931"/>
      <c r="F100" s="931"/>
      <c r="G100" s="931"/>
      <c r="H100" s="931"/>
      <c r="I100" s="931"/>
      <c r="J100" s="931"/>
    </row>
    <row r="101" spans="2:10" x14ac:dyDescent="0.2">
      <c r="B101" s="931"/>
      <c r="C101" s="931"/>
      <c r="D101" s="931"/>
      <c r="E101" s="931"/>
      <c r="F101" s="931"/>
      <c r="G101" s="931"/>
      <c r="H101" s="931"/>
      <c r="I101" s="931"/>
      <c r="J101" s="931"/>
    </row>
    <row r="102" spans="2:10" x14ac:dyDescent="0.2">
      <c r="B102" s="931"/>
      <c r="C102" s="931"/>
      <c r="D102" s="931"/>
      <c r="E102" s="931"/>
      <c r="F102" s="931"/>
      <c r="G102" s="931"/>
      <c r="H102" s="931"/>
      <c r="I102" s="931"/>
      <c r="J102" s="931"/>
    </row>
    <row r="103" spans="2:10" x14ac:dyDescent="0.2">
      <c r="B103" s="931"/>
      <c r="C103" s="931"/>
      <c r="D103" s="931"/>
      <c r="E103" s="931"/>
      <c r="F103" s="931"/>
      <c r="G103" s="931"/>
      <c r="H103" s="931"/>
      <c r="I103" s="931"/>
      <c r="J103" s="931"/>
    </row>
    <row r="104" spans="2:10" x14ac:dyDescent="0.2">
      <c r="B104" s="931"/>
      <c r="C104" s="931"/>
      <c r="D104" s="931"/>
      <c r="E104" s="931"/>
      <c r="F104" s="931"/>
      <c r="G104" s="931"/>
      <c r="H104" s="931"/>
      <c r="I104" s="931"/>
      <c r="J104" s="931"/>
    </row>
    <row r="105" spans="2:10" x14ac:dyDescent="0.2">
      <c r="B105" s="931"/>
      <c r="C105" s="931"/>
      <c r="D105" s="931"/>
      <c r="E105" s="931"/>
      <c r="F105" s="931"/>
      <c r="G105" s="931"/>
      <c r="H105" s="931"/>
      <c r="I105" s="931"/>
      <c r="J105" s="931"/>
    </row>
    <row r="106" spans="2:10" x14ac:dyDescent="0.2">
      <c r="B106" s="931"/>
      <c r="C106" s="931"/>
      <c r="D106" s="931"/>
      <c r="E106" s="931"/>
      <c r="F106" s="931"/>
      <c r="G106" s="931"/>
      <c r="H106" s="931"/>
      <c r="I106" s="931"/>
      <c r="J106" s="931"/>
    </row>
    <row r="107" spans="2:10" x14ac:dyDescent="0.2">
      <c r="B107" s="931"/>
      <c r="C107" s="931"/>
      <c r="D107" s="931"/>
      <c r="E107" s="931"/>
      <c r="F107" s="931"/>
      <c r="G107" s="931"/>
      <c r="H107" s="931"/>
      <c r="I107" s="931"/>
      <c r="J107" s="931"/>
    </row>
    <row r="108" spans="2:10" x14ac:dyDescent="0.2">
      <c r="B108" s="931"/>
      <c r="C108" s="931"/>
      <c r="D108" s="931"/>
      <c r="E108" s="931"/>
      <c r="F108" s="931"/>
      <c r="G108" s="931"/>
      <c r="H108" s="931"/>
      <c r="I108" s="931"/>
      <c r="J108" s="931"/>
    </row>
    <row r="109" spans="2:10" x14ac:dyDescent="0.2">
      <c r="B109" s="931"/>
      <c r="C109" s="931"/>
      <c r="D109" s="931"/>
      <c r="E109" s="931"/>
      <c r="F109" s="931"/>
      <c r="G109" s="931"/>
      <c r="H109" s="931"/>
      <c r="I109" s="931"/>
      <c r="J109" s="931"/>
    </row>
    <row r="110" spans="2:10" x14ac:dyDescent="0.2">
      <c r="B110" s="931"/>
      <c r="C110" s="931"/>
      <c r="D110" s="931"/>
      <c r="E110" s="931"/>
      <c r="F110" s="931"/>
      <c r="G110" s="931"/>
      <c r="H110" s="931"/>
      <c r="I110" s="931"/>
      <c r="J110" s="931"/>
    </row>
    <row r="111" spans="2:10" x14ac:dyDescent="0.2">
      <c r="B111" s="931"/>
      <c r="C111" s="931"/>
      <c r="D111" s="931"/>
      <c r="E111" s="931"/>
      <c r="F111" s="931"/>
      <c r="G111" s="931"/>
      <c r="H111" s="931"/>
      <c r="I111" s="931"/>
      <c r="J111" s="931"/>
    </row>
    <row r="112" spans="2:10" x14ac:dyDescent="0.2">
      <c r="B112" s="931"/>
      <c r="C112" s="931"/>
      <c r="D112" s="931"/>
      <c r="E112" s="931"/>
      <c r="F112" s="931"/>
      <c r="G112" s="931"/>
      <c r="H112" s="931"/>
      <c r="I112" s="931"/>
      <c r="J112" s="931"/>
    </row>
    <row r="113" spans="2:10" x14ac:dyDescent="0.2">
      <c r="B113" s="931"/>
      <c r="C113" s="931"/>
      <c r="D113" s="931"/>
      <c r="E113" s="931"/>
      <c r="F113" s="931"/>
      <c r="G113" s="931"/>
      <c r="H113" s="931"/>
      <c r="I113" s="931"/>
      <c r="J113" s="931"/>
    </row>
    <row r="114" spans="2:10" x14ac:dyDescent="0.2">
      <c r="B114" s="931"/>
      <c r="C114" s="931"/>
      <c r="D114" s="931"/>
      <c r="E114" s="931"/>
      <c r="F114" s="931"/>
      <c r="G114" s="931"/>
      <c r="H114" s="931"/>
      <c r="I114" s="931"/>
      <c r="J114" s="931"/>
    </row>
    <row r="115" spans="2:10" x14ac:dyDescent="0.2">
      <c r="B115" s="931"/>
      <c r="C115" s="931"/>
      <c r="D115" s="931"/>
      <c r="E115" s="931"/>
      <c r="F115" s="931"/>
      <c r="G115" s="931"/>
      <c r="H115" s="931"/>
      <c r="I115" s="931"/>
      <c r="J115" s="931"/>
    </row>
    <row r="116" spans="2:10" x14ac:dyDescent="0.2">
      <c r="B116" s="931"/>
      <c r="C116" s="931"/>
      <c r="D116" s="931"/>
      <c r="E116" s="931"/>
      <c r="F116" s="931"/>
      <c r="G116" s="931"/>
      <c r="H116" s="931"/>
      <c r="I116" s="931"/>
      <c r="J116" s="931"/>
    </row>
    <row r="117" spans="2:10" x14ac:dyDescent="0.2">
      <c r="B117" s="931"/>
      <c r="C117" s="931"/>
      <c r="D117" s="931"/>
      <c r="E117" s="931"/>
      <c r="F117" s="931"/>
      <c r="G117" s="931"/>
      <c r="H117" s="931"/>
      <c r="I117" s="931"/>
      <c r="J117" s="931"/>
    </row>
    <row r="118" spans="2:10" x14ac:dyDescent="0.2">
      <c r="B118" s="931"/>
      <c r="C118" s="931"/>
      <c r="D118" s="931"/>
      <c r="E118" s="931"/>
      <c r="F118" s="931"/>
      <c r="G118" s="931"/>
      <c r="H118" s="931"/>
      <c r="I118" s="931"/>
      <c r="J118" s="931"/>
    </row>
    <row r="119" spans="2:10" x14ac:dyDescent="0.2">
      <c r="B119" s="931"/>
      <c r="C119" s="931"/>
      <c r="D119" s="931"/>
      <c r="E119" s="931"/>
      <c r="F119" s="931"/>
      <c r="G119" s="931"/>
      <c r="H119" s="931"/>
      <c r="I119" s="931"/>
      <c r="J119" s="931"/>
    </row>
    <row r="120" spans="2:10" x14ac:dyDescent="0.2">
      <c r="B120" s="931"/>
      <c r="C120" s="931"/>
      <c r="D120" s="931"/>
      <c r="E120" s="931"/>
      <c r="F120" s="931"/>
      <c r="G120" s="931"/>
      <c r="H120" s="931"/>
      <c r="I120" s="931"/>
      <c r="J120" s="931"/>
    </row>
    <row r="121" spans="2:10" x14ac:dyDescent="0.2">
      <c r="B121" s="931"/>
      <c r="C121" s="931"/>
      <c r="D121" s="931"/>
      <c r="E121" s="931"/>
      <c r="F121" s="931"/>
      <c r="G121" s="931"/>
      <c r="H121" s="931"/>
      <c r="I121" s="931"/>
      <c r="J121" s="931"/>
    </row>
    <row r="122" spans="2:10" x14ac:dyDescent="0.2">
      <c r="B122" s="931"/>
      <c r="C122" s="931"/>
      <c r="D122" s="931"/>
      <c r="E122" s="931"/>
      <c r="F122" s="931"/>
      <c r="G122" s="931"/>
      <c r="H122" s="931"/>
      <c r="I122" s="931"/>
      <c r="J122" s="931"/>
    </row>
    <row r="123" spans="2:10" x14ac:dyDescent="0.2">
      <c r="B123" s="931"/>
      <c r="C123" s="931"/>
      <c r="D123" s="931"/>
      <c r="E123" s="931"/>
      <c r="F123" s="931"/>
      <c r="G123" s="931"/>
      <c r="H123" s="931"/>
      <c r="I123" s="931"/>
      <c r="J123" s="931"/>
    </row>
    <row r="124" spans="2:10" x14ac:dyDescent="0.2">
      <c r="B124" s="931"/>
      <c r="C124" s="931"/>
      <c r="D124" s="931"/>
      <c r="E124" s="931"/>
      <c r="F124" s="931"/>
      <c r="G124" s="931"/>
      <c r="H124" s="931"/>
      <c r="I124" s="931"/>
      <c r="J124" s="931"/>
    </row>
    <row r="125" spans="2:10" x14ac:dyDescent="0.2">
      <c r="B125" s="931"/>
      <c r="C125" s="931"/>
      <c r="D125" s="931"/>
      <c r="E125" s="931"/>
      <c r="F125" s="931"/>
      <c r="G125" s="931"/>
      <c r="H125" s="931"/>
      <c r="I125" s="931"/>
      <c r="J125" s="931"/>
    </row>
    <row r="126" spans="2:10" x14ac:dyDescent="0.2">
      <c r="B126" s="931"/>
      <c r="C126" s="931"/>
      <c r="D126" s="931"/>
      <c r="E126" s="931"/>
      <c r="F126" s="931"/>
      <c r="G126" s="931"/>
      <c r="H126" s="931"/>
      <c r="I126" s="931"/>
      <c r="J126" s="931"/>
    </row>
    <row r="127" spans="2:10" x14ac:dyDescent="0.2">
      <c r="B127" s="931"/>
      <c r="C127" s="931"/>
      <c r="D127" s="931"/>
      <c r="E127" s="931"/>
      <c r="F127" s="931"/>
      <c r="G127" s="931"/>
      <c r="H127" s="931"/>
      <c r="I127" s="931"/>
      <c r="J127" s="931"/>
    </row>
    <row r="128" spans="2:10" x14ac:dyDescent="0.2">
      <c r="B128" s="931"/>
      <c r="C128" s="931"/>
      <c r="D128" s="931"/>
      <c r="E128" s="931"/>
      <c r="F128" s="931"/>
      <c r="G128" s="931"/>
      <c r="H128" s="931"/>
      <c r="I128" s="931"/>
      <c r="J128" s="931"/>
    </row>
    <row r="129" spans="2:10" x14ac:dyDescent="0.2">
      <c r="B129" s="931"/>
      <c r="C129" s="931"/>
      <c r="D129" s="931"/>
      <c r="E129" s="931"/>
      <c r="F129" s="931"/>
      <c r="G129" s="931"/>
      <c r="H129" s="931"/>
      <c r="I129" s="931"/>
      <c r="J129" s="931"/>
    </row>
    <row r="130" spans="2:10" x14ac:dyDescent="0.2">
      <c r="B130" s="931"/>
      <c r="C130" s="931"/>
      <c r="D130" s="931"/>
      <c r="E130" s="931"/>
      <c r="F130" s="931"/>
      <c r="G130" s="931"/>
      <c r="H130" s="931"/>
      <c r="I130" s="931"/>
      <c r="J130" s="931"/>
    </row>
    <row r="131" spans="2:10" x14ac:dyDescent="0.2">
      <c r="B131" s="931"/>
      <c r="C131" s="931"/>
      <c r="D131" s="931"/>
      <c r="E131" s="931"/>
      <c r="F131" s="931"/>
      <c r="G131" s="931"/>
      <c r="H131" s="931"/>
      <c r="I131" s="931"/>
      <c r="J131" s="931"/>
    </row>
    <row r="132" spans="2:10" x14ac:dyDescent="0.2">
      <c r="B132" s="931"/>
      <c r="C132" s="931"/>
      <c r="D132" s="931"/>
      <c r="E132" s="931"/>
      <c r="F132" s="931"/>
      <c r="G132" s="931"/>
      <c r="H132" s="931"/>
      <c r="I132" s="931"/>
      <c r="J132" s="931"/>
    </row>
    <row r="133" spans="2:10" x14ac:dyDescent="0.2">
      <c r="B133" s="931"/>
      <c r="C133" s="931"/>
      <c r="D133" s="931"/>
      <c r="E133" s="931"/>
      <c r="F133" s="931"/>
      <c r="G133" s="931"/>
      <c r="H133" s="931"/>
      <c r="I133" s="931"/>
      <c r="J133" s="931"/>
    </row>
    <row r="134" spans="2:10" x14ac:dyDescent="0.2">
      <c r="B134" s="931"/>
      <c r="C134" s="931"/>
      <c r="D134" s="931"/>
      <c r="E134" s="931"/>
      <c r="F134" s="931"/>
      <c r="G134" s="931"/>
      <c r="H134" s="931"/>
      <c r="I134" s="931"/>
      <c r="J134" s="931"/>
    </row>
    <row r="135" spans="2:10" x14ac:dyDescent="0.2">
      <c r="B135" s="931"/>
      <c r="C135" s="931"/>
      <c r="D135" s="931"/>
      <c r="E135" s="931"/>
      <c r="F135" s="931"/>
      <c r="G135" s="931"/>
      <c r="H135" s="931"/>
      <c r="I135" s="931"/>
      <c r="J135" s="931"/>
    </row>
    <row r="136" spans="2:10" x14ac:dyDescent="0.2">
      <c r="B136" s="931"/>
      <c r="C136" s="931"/>
      <c r="D136" s="931"/>
      <c r="E136" s="931"/>
      <c r="F136" s="931"/>
      <c r="G136" s="931"/>
      <c r="H136" s="931"/>
      <c r="I136" s="931"/>
      <c r="J136" s="931"/>
    </row>
    <row r="137" spans="2:10" x14ac:dyDescent="0.2">
      <c r="B137" s="931"/>
      <c r="C137" s="931"/>
      <c r="D137" s="931"/>
      <c r="E137" s="931"/>
      <c r="F137" s="931"/>
      <c r="G137" s="931"/>
      <c r="H137" s="931"/>
      <c r="I137" s="931"/>
      <c r="J137" s="931"/>
    </row>
    <row r="138" spans="2:10" x14ac:dyDescent="0.2">
      <c r="B138" s="931"/>
      <c r="C138" s="931"/>
      <c r="D138" s="931"/>
      <c r="E138" s="931"/>
      <c r="F138" s="931"/>
      <c r="G138" s="931"/>
      <c r="H138" s="931"/>
      <c r="I138" s="931"/>
      <c r="J138" s="931"/>
    </row>
    <row r="139" spans="2:10" x14ac:dyDescent="0.2">
      <c r="B139" s="931"/>
      <c r="C139" s="931"/>
      <c r="D139" s="931"/>
      <c r="E139" s="931"/>
      <c r="F139" s="931"/>
      <c r="G139" s="931"/>
      <c r="H139" s="931"/>
      <c r="I139" s="931"/>
      <c r="J139" s="931"/>
    </row>
    <row r="140" spans="2:10" x14ac:dyDescent="0.2">
      <c r="B140" s="931"/>
      <c r="C140" s="931"/>
      <c r="D140" s="931"/>
      <c r="E140" s="931"/>
      <c r="F140" s="931"/>
      <c r="G140" s="931"/>
      <c r="H140" s="931"/>
      <c r="I140" s="931"/>
      <c r="J140" s="931"/>
    </row>
    <row r="141" spans="2:10" x14ac:dyDescent="0.2">
      <c r="B141" s="931"/>
      <c r="C141" s="931"/>
      <c r="D141" s="931"/>
      <c r="E141" s="931"/>
      <c r="F141" s="931"/>
      <c r="G141" s="931"/>
      <c r="H141" s="931"/>
      <c r="I141" s="931"/>
      <c r="J141" s="931"/>
    </row>
    <row r="142" spans="2:10" x14ac:dyDescent="0.2">
      <c r="B142" s="931"/>
      <c r="C142" s="931"/>
      <c r="D142" s="931"/>
      <c r="E142" s="931"/>
      <c r="F142" s="931"/>
      <c r="G142" s="931"/>
      <c r="H142" s="931"/>
      <c r="I142" s="931"/>
      <c r="J142" s="931"/>
    </row>
    <row r="143" spans="2:10" x14ac:dyDescent="0.2">
      <c r="B143" s="931"/>
      <c r="C143" s="931"/>
      <c r="D143" s="931"/>
      <c r="E143" s="931"/>
      <c r="F143" s="931"/>
      <c r="G143" s="931"/>
      <c r="H143" s="931"/>
      <c r="I143" s="931"/>
      <c r="J143" s="931"/>
    </row>
    <row r="144" spans="2:10" x14ac:dyDescent="0.2">
      <c r="B144" s="931"/>
      <c r="C144" s="931"/>
      <c r="D144" s="931"/>
      <c r="E144" s="931"/>
      <c r="F144" s="931"/>
      <c r="G144" s="931"/>
      <c r="H144" s="931"/>
      <c r="I144" s="931"/>
      <c r="J144" s="931"/>
    </row>
    <row r="145" spans="2:10" x14ac:dyDescent="0.2">
      <c r="B145" s="931"/>
      <c r="C145" s="931"/>
      <c r="D145" s="931"/>
      <c r="E145" s="931"/>
      <c r="F145" s="931"/>
      <c r="G145" s="931"/>
      <c r="H145" s="931"/>
      <c r="I145" s="931"/>
      <c r="J145" s="931"/>
    </row>
    <row r="146" spans="2:10" x14ac:dyDescent="0.2">
      <c r="B146" s="931"/>
      <c r="C146" s="931"/>
      <c r="D146" s="931"/>
      <c r="E146" s="931"/>
      <c r="F146" s="931"/>
      <c r="G146" s="931"/>
      <c r="H146" s="931"/>
      <c r="I146" s="931"/>
      <c r="J146" s="931"/>
    </row>
    <row r="147" spans="2:10" x14ac:dyDescent="0.2">
      <c r="B147" s="931"/>
      <c r="C147" s="931"/>
      <c r="D147" s="931"/>
      <c r="E147" s="931"/>
      <c r="F147" s="931"/>
      <c r="G147" s="931"/>
      <c r="H147" s="931"/>
      <c r="I147" s="931"/>
      <c r="J147" s="931"/>
    </row>
    <row r="148" spans="2:10" x14ac:dyDescent="0.2">
      <c r="B148" s="931"/>
      <c r="C148" s="931"/>
      <c r="D148" s="931"/>
      <c r="E148" s="931"/>
      <c r="F148" s="931"/>
      <c r="G148" s="931"/>
      <c r="H148" s="931"/>
      <c r="I148" s="931"/>
      <c r="J148" s="931"/>
    </row>
    <row r="149" spans="2:10" x14ac:dyDescent="0.2">
      <c r="B149" s="931"/>
      <c r="C149" s="931"/>
      <c r="D149" s="931"/>
      <c r="E149" s="931"/>
      <c r="F149" s="931"/>
      <c r="G149" s="931"/>
      <c r="H149" s="931"/>
      <c r="I149" s="931"/>
      <c r="J149" s="931"/>
    </row>
    <row r="150" spans="2:10" x14ac:dyDescent="0.2">
      <c r="B150" s="931"/>
      <c r="C150" s="931"/>
      <c r="D150" s="931"/>
      <c r="E150" s="931"/>
      <c r="F150" s="931"/>
      <c r="G150" s="931"/>
      <c r="H150" s="931"/>
      <c r="I150" s="931"/>
      <c r="J150" s="931"/>
    </row>
    <row r="151" spans="2:10" x14ac:dyDescent="0.2">
      <c r="B151" s="931"/>
      <c r="C151" s="931"/>
      <c r="D151" s="931"/>
      <c r="E151" s="931"/>
      <c r="F151" s="931"/>
      <c r="G151" s="931"/>
      <c r="H151" s="931"/>
      <c r="I151" s="931"/>
      <c r="J151" s="931"/>
    </row>
    <row r="152" spans="2:10" x14ac:dyDescent="0.2">
      <c r="B152" s="931"/>
      <c r="C152" s="931"/>
      <c r="D152" s="931"/>
      <c r="E152" s="931"/>
      <c r="F152" s="931"/>
      <c r="G152" s="931"/>
      <c r="H152" s="931"/>
      <c r="I152" s="931"/>
      <c r="J152" s="931"/>
    </row>
    <row r="153" spans="2:10" x14ac:dyDescent="0.2">
      <c r="B153" s="931"/>
      <c r="C153" s="931"/>
      <c r="D153" s="931"/>
      <c r="E153" s="931"/>
      <c r="F153" s="931"/>
      <c r="G153" s="931"/>
      <c r="H153" s="931"/>
      <c r="I153" s="931"/>
      <c r="J153" s="931"/>
    </row>
    <row r="154" spans="2:10" x14ac:dyDescent="0.2">
      <c r="B154" s="931"/>
      <c r="C154" s="931"/>
      <c r="D154" s="931"/>
      <c r="E154" s="931"/>
      <c r="F154" s="931"/>
      <c r="G154" s="931"/>
      <c r="H154" s="931"/>
      <c r="I154" s="931"/>
      <c r="J154" s="931"/>
    </row>
    <row r="155" spans="2:10" x14ac:dyDescent="0.2">
      <c r="B155" s="931"/>
      <c r="C155" s="931"/>
      <c r="D155" s="931"/>
      <c r="E155" s="931"/>
      <c r="F155" s="931"/>
      <c r="G155" s="931"/>
      <c r="H155" s="931"/>
      <c r="I155" s="931"/>
      <c r="J155" s="931"/>
    </row>
    <row r="156" spans="2:10" x14ac:dyDescent="0.2">
      <c r="B156" s="931"/>
      <c r="C156" s="931"/>
      <c r="D156" s="931"/>
      <c r="E156" s="931"/>
      <c r="F156" s="931"/>
      <c r="G156" s="931"/>
      <c r="H156" s="931"/>
      <c r="I156" s="931"/>
      <c r="J156" s="931"/>
    </row>
    <row r="157" spans="2:10" x14ac:dyDescent="0.2">
      <c r="B157" s="931"/>
      <c r="C157" s="931"/>
      <c r="D157" s="931"/>
      <c r="E157" s="931"/>
      <c r="F157" s="931"/>
      <c r="G157" s="931"/>
      <c r="H157" s="931"/>
      <c r="I157" s="931"/>
      <c r="J157" s="931"/>
    </row>
    <row r="158" spans="2:10" x14ac:dyDescent="0.2">
      <c r="B158" s="931"/>
      <c r="C158" s="931"/>
      <c r="D158" s="931"/>
      <c r="E158" s="931"/>
      <c r="F158" s="931"/>
      <c r="G158" s="931"/>
      <c r="H158" s="931"/>
      <c r="I158" s="931"/>
      <c r="J158" s="931"/>
    </row>
    <row r="159" spans="2:10" x14ac:dyDescent="0.2">
      <c r="B159" s="931"/>
      <c r="C159" s="931"/>
      <c r="D159" s="931"/>
      <c r="E159" s="931"/>
      <c r="F159" s="931"/>
      <c r="G159" s="931"/>
      <c r="H159" s="931"/>
      <c r="I159" s="931"/>
      <c r="J159" s="931"/>
    </row>
    <row r="160" spans="2:10" x14ac:dyDescent="0.2">
      <c r="B160" s="931"/>
      <c r="C160" s="931"/>
      <c r="D160" s="931"/>
      <c r="E160" s="931"/>
      <c r="F160" s="931"/>
      <c r="G160" s="931"/>
      <c r="H160" s="931"/>
      <c r="I160" s="931"/>
      <c r="J160" s="931"/>
    </row>
    <row r="161" spans="2:10" x14ac:dyDescent="0.2">
      <c r="B161" s="931"/>
      <c r="C161" s="931"/>
      <c r="D161" s="931"/>
      <c r="E161" s="931"/>
      <c r="F161" s="931"/>
      <c r="G161" s="931"/>
      <c r="H161" s="931"/>
      <c r="I161" s="931"/>
      <c r="J161" s="931"/>
    </row>
    <row r="162" spans="2:10" x14ac:dyDescent="0.2">
      <c r="B162" s="931"/>
      <c r="C162" s="931"/>
      <c r="D162" s="931"/>
      <c r="E162" s="931"/>
      <c r="F162" s="931"/>
      <c r="G162" s="931"/>
      <c r="H162" s="931"/>
      <c r="I162" s="931"/>
      <c r="J162" s="931"/>
    </row>
    <row r="163" spans="2:10" x14ac:dyDescent="0.2">
      <c r="B163" s="931"/>
      <c r="C163" s="931"/>
      <c r="D163" s="931"/>
      <c r="E163" s="931"/>
      <c r="F163" s="931"/>
      <c r="G163" s="931"/>
      <c r="H163" s="931"/>
      <c r="I163" s="931"/>
      <c r="J163" s="931"/>
    </row>
    <row r="164" spans="2:10" x14ac:dyDescent="0.2">
      <c r="B164" s="931"/>
      <c r="C164" s="931"/>
      <c r="D164" s="931"/>
      <c r="E164" s="931"/>
      <c r="F164" s="931"/>
      <c r="G164" s="931"/>
      <c r="H164" s="931"/>
      <c r="I164" s="931"/>
      <c r="J164" s="931"/>
    </row>
    <row r="165" spans="2:10" x14ac:dyDescent="0.2">
      <c r="B165" s="931"/>
      <c r="C165" s="931"/>
      <c r="D165" s="931"/>
      <c r="E165" s="931"/>
      <c r="F165" s="931"/>
      <c r="G165" s="931"/>
      <c r="H165" s="931"/>
      <c r="I165" s="931"/>
      <c r="J165" s="931"/>
    </row>
    <row r="166" spans="2:10" x14ac:dyDescent="0.2">
      <c r="B166" s="931"/>
      <c r="C166" s="931"/>
      <c r="D166" s="931"/>
      <c r="E166" s="931"/>
      <c r="F166" s="931"/>
      <c r="G166" s="931"/>
      <c r="H166" s="931"/>
      <c r="I166" s="931"/>
      <c r="J166" s="931"/>
    </row>
    <row r="167" spans="2:10" x14ac:dyDescent="0.2">
      <c r="B167" s="931"/>
      <c r="C167" s="931"/>
      <c r="D167" s="931"/>
      <c r="E167" s="931"/>
      <c r="F167" s="931"/>
      <c r="G167" s="931"/>
      <c r="H167" s="931"/>
      <c r="I167" s="931"/>
      <c r="J167" s="931"/>
    </row>
    <row r="168" spans="2:10" x14ac:dyDescent="0.2">
      <c r="B168" s="931"/>
      <c r="C168" s="931"/>
      <c r="D168" s="931"/>
      <c r="E168" s="931"/>
      <c r="F168" s="931"/>
      <c r="G168" s="931"/>
      <c r="H168" s="931"/>
      <c r="I168" s="931"/>
      <c r="J168" s="931"/>
    </row>
    <row r="169" spans="2:10" x14ac:dyDescent="0.2">
      <c r="B169" s="931"/>
      <c r="C169" s="931"/>
      <c r="D169" s="931"/>
      <c r="E169" s="931"/>
      <c r="F169" s="931"/>
      <c r="G169" s="931"/>
      <c r="H169" s="931"/>
      <c r="I169" s="931"/>
      <c r="J169" s="931"/>
    </row>
    <row r="170" spans="2:10" x14ac:dyDescent="0.2">
      <c r="B170" s="931"/>
      <c r="C170" s="931"/>
      <c r="D170" s="931"/>
      <c r="E170" s="931"/>
      <c r="F170" s="931"/>
      <c r="G170" s="931"/>
      <c r="H170" s="931"/>
      <c r="I170" s="931"/>
      <c r="J170" s="931"/>
    </row>
    <row r="171" spans="2:10" x14ac:dyDescent="0.2">
      <c r="B171" s="931"/>
      <c r="C171" s="931"/>
      <c r="D171" s="931"/>
      <c r="E171" s="931"/>
      <c r="F171" s="931"/>
      <c r="G171" s="931"/>
      <c r="H171" s="931"/>
      <c r="I171" s="931"/>
      <c r="J171" s="931"/>
    </row>
    <row r="172" spans="2:10" x14ac:dyDescent="0.2">
      <c r="B172" s="931"/>
      <c r="C172" s="931"/>
      <c r="D172" s="931"/>
      <c r="E172" s="931"/>
      <c r="F172" s="931"/>
      <c r="G172" s="931"/>
      <c r="H172" s="931"/>
      <c r="I172" s="931"/>
      <c r="J172" s="931"/>
    </row>
    <row r="173" spans="2:10" x14ac:dyDescent="0.2">
      <c r="B173" s="931"/>
      <c r="C173" s="931"/>
      <c r="D173" s="931"/>
      <c r="E173" s="931"/>
      <c r="F173" s="931"/>
      <c r="G173" s="931"/>
      <c r="H173" s="931"/>
      <c r="I173" s="931"/>
      <c r="J173" s="931"/>
    </row>
    <row r="174" spans="2:10" x14ac:dyDescent="0.2">
      <c r="B174" s="931"/>
      <c r="C174" s="931"/>
      <c r="D174" s="931"/>
      <c r="E174" s="931"/>
      <c r="F174" s="931"/>
      <c r="G174" s="931"/>
      <c r="H174" s="931"/>
      <c r="I174" s="931"/>
      <c r="J174" s="931"/>
    </row>
    <row r="175" spans="2:10" x14ac:dyDescent="0.2">
      <c r="B175" s="931"/>
      <c r="C175" s="931"/>
      <c r="D175" s="931"/>
      <c r="E175" s="931"/>
      <c r="F175" s="931"/>
      <c r="G175" s="931"/>
      <c r="H175" s="931"/>
      <c r="I175" s="931"/>
      <c r="J175" s="931"/>
    </row>
    <row r="176" spans="2:10" x14ac:dyDescent="0.2">
      <c r="B176" s="931"/>
      <c r="C176" s="931"/>
      <c r="D176" s="931"/>
      <c r="E176" s="931"/>
      <c r="F176" s="931"/>
      <c r="G176" s="931"/>
      <c r="H176" s="931"/>
      <c r="I176" s="931"/>
      <c r="J176" s="931"/>
    </row>
    <row r="177" spans="2:10" x14ac:dyDescent="0.2">
      <c r="B177" s="931"/>
      <c r="C177" s="931"/>
      <c r="D177" s="931"/>
      <c r="E177" s="931"/>
      <c r="F177" s="931"/>
      <c r="G177" s="931"/>
      <c r="H177" s="931"/>
      <c r="I177" s="931"/>
      <c r="J177" s="931"/>
    </row>
    <row r="178" spans="2:10" x14ac:dyDescent="0.2">
      <c r="B178" s="931"/>
      <c r="C178" s="931"/>
      <c r="D178" s="931"/>
      <c r="E178" s="931"/>
      <c r="F178" s="931"/>
      <c r="G178" s="931"/>
      <c r="H178" s="931"/>
      <c r="I178" s="931"/>
      <c r="J178" s="931"/>
    </row>
    <row r="179" spans="2:10" x14ac:dyDescent="0.2">
      <c r="B179" s="931"/>
      <c r="C179" s="931"/>
      <c r="D179" s="931"/>
      <c r="E179" s="931"/>
      <c r="F179" s="931"/>
      <c r="G179" s="931"/>
      <c r="H179" s="931"/>
      <c r="I179" s="931"/>
      <c r="J179" s="931"/>
    </row>
    <row r="180" spans="2:10" x14ac:dyDescent="0.2">
      <c r="B180" s="931"/>
      <c r="C180" s="931"/>
      <c r="D180" s="931"/>
      <c r="E180" s="931"/>
      <c r="F180" s="931"/>
      <c r="G180" s="931"/>
      <c r="H180" s="931"/>
      <c r="I180" s="931"/>
      <c r="J180" s="931"/>
    </row>
    <row r="181" spans="2:10" x14ac:dyDescent="0.2">
      <c r="B181" s="931"/>
      <c r="C181" s="931"/>
      <c r="D181" s="931"/>
      <c r="E181" s="931"/>
      <c r="F181" s="931"/>
      <c r="G181" s="931"/>
      <c r="H181" s="931"/>
      <c r="I181" s="931"/>
      <c r="J181" s="931"/>
    </row>
    <row r="182" spans="2:10" x14ac:dyDescent="0.2">
      <c r="B182" s="931"/>
      <c r="C182" s="931"/>
      <c r="D182" s="931"/>
      <c r="E182" s="931"/>
      <c r="F182" s="931"/>
      <c r="G182" s="931"/>
      <c r="H182" s="931"/>
      <c r="I182" s="931"/>
      <c r="J182" s="931"/>
    </row>
    <row r="183" spans="2:10" x14ac:dyDescent="0.2">
      <c r="B183" s="931"/>
      <c r="C183" s="931"/>
      <c r="D183" s="931"/>
      <c r="E183" s="931"/>
      <c r="F183" s="931"/>
      <c r="G183" s="931"/>
      <c r="H183" s="931"/>
      <c r="I183" s="931"/>
      <c r="J183" s="931"/>
    </row>
    <row r="184" spans="2:10" x14ac:dyDescent="0.2">
      <c r="B184" s="931"/>
      <c r="C184" s="931"/>
      <c r="D184" s="931"/>
      <c r="E184" s="931"/>
      <c r="F184" s="931"/>
      <c r="G184" s="931"/>
      <c r="H184" s="931"/>
      <c r="I184" s="931"/>
      <c r="J184" s="931"/>
    </row>
    <row r="185" spans="2:10" x14ac:dyDescent="0.2">
      <c r="B185" s="931"/>
      <c r="C185" s="931"/>
      <c r="D185" s="931"/>
      <c r="E185" s="931"/>
      <c r="F185" s="931"/>
      <c r="G185" s="931"/>
      <c r="H185" s="931"/>
      <c r="I185" s="931"/>
      <c r="J185" s="931"/>
    </row>
    <row r="186" spans="2:10" x14ac:dyDescent="0.2">
      <c r="B186" s="931"/>
      <c r="C186" s="931"/>
      <c r="D186" s="931"/>
      <c r="E186" s="931"/>
      <c r="F186" s="931"/>
      <c r="G186" s="931"/>
      <c r="H186" s="931"/>
      <c r="I186" s="931"/>
      <c r="J186" s="931"/>
    </row>
    <row r="187" spans="2:10" x14ac:dyDescent="0.2">
      <c r="B187" s="931"/>
      <c r="C187" s="931"/>
      <c r="D187" s="931"/>
      <c r="E187" s="931"/>
      <c r="F187" s="931"/>
      <c r="G187" s="931"/>
      <c r="H187" s="931"/>
      <c r="I187" s="931"/>
      <c r="J187" s="931"/>
    </row>
    <row r="188" spans="2:10" x14ac:dyDescent="0.2">
      <c r="B188" s="931"/>
      <c r="C188" s="931"/>
      <c r="D188" s="931"/>
      <c r="E188" s="931"/>
      <c r="F188" s="931"/>
      <c r="G188" s="931"/>
      <c r="H188" s="931"/>
      <c r="I188" s="931"/>
      <c r="J188" s="931"/>
    </row>
    <row r="189" spans="2:10" x14ac:dyDescent="0.2">
      <c r="B189" s="931"/>
      <c r="C189" s="931"/>
      <c r="D189" s="931"/>
      <c r="E189" s="931"/>
      <c r="F189" s="931"/>
      <c r="G189" s="931"/>
      <c r="H189" s="931"/>
      <c r="I189" s="931"/>
      <c r="J189" s="931"/>
    </row>
    <row r="190" spans="2:10" x14ac:dyDescent="0.2">
      <c r="B190" s="931"/>
      <c r="C190" s="931"/>
      <c r="D190" s="931"/>
      <c r="E190" s="931"/>
      <c r="F190" s="931"/>
      <c r="G190" s="931"/>
      <c r="H190" s="931"/>
      <c r="I190" s="931"/>
      <c r="J190" s="931"/>
    </row>
    <row r="191" spans="2:10" x14ac:dyDescent="0.2">
      <c r="B191" s="931"/>
      <c r="C191" s="931"/>
      <c r="D191" s="931"/>
      <c r="E191" s="931"/>
      <c r="F191" s="931"/>
      <c r="G191" s="931"/>
      <c r="H191" s="931"/>
      <c r="I191" s="931"/>
      <c r="J191" s="931"/>
    </row>
    <row r="192" spans="2:10" x14ac:dyDescent="0.2">
      <c r="B192" s="931"/>
      <c r="C192" s="931"/>
      <c r="D192" s="931"/>
      <c r="E192" s="931"/>
      <c r="F192" s="931"/>
      <c r="G192" s="931"/>
      <c r="H192" s="931"/>
      <c r="I192" s="931"/>
      <c r="J192" s="931"/>
    </row>
    <row r="193" spans="2:10" x14ac:dyDescent="0.2">
      <c r="B193" s="931"/>
      <c r="C193" s="931"/>
      <c r="D193" s="931"/>
      <c r="E193" s="931"/>
      <c r="F193" s="931"/>
      <c r="G193" s="931"/>
      <c r="H193" s="931"/>
      <c r="I193" s="931"/>
      <c r="J193" s="931"/>
    </row>
    <row r="194" spans="2:10" x14ac:dyDescent="0.2">
      <c r="B194" s="931"/>
      <c r="C194" s="931"/>
      <c r="D194" s="931"/>
      <c r="E194" s="931"/>
      <c r="F194" s="931"/>
      <c r="G194" s="931"/>
      <c r="H194" s="931"/>
      <c r="I194" s="931"/>
      <c r="J194" s="931"/>
    </row>
    <row r="195" spans="2:10" x14ac:dyDescent="0.2">
      <c r="B195" s="931"/>
      <c r="C195" s="931"/>
      <c r="D195" s="931"/>
      <c r="E195" s="931"/>
      <c r="F195" s="931"/>
      <c r="G195" s="931"/>
      <c r="H195" s="931"/>
      <c r="I195" s="931"/>
      <c r="J195" s="931"/>
    </row>
    <row r="196" spans="2:10" x14ac:dyDescent="0.2">
      <c r="B196" s="931"/>
      <c r="C196" s="931"/>
      <c r="D196" s="931"/>
      <c r="E196" s="931"/>
      <c r="F196" s="931"/>
      <c r="G196" s="931"/>
      <c r="H196" s="931"/>
      <c r="I196" s="931"/>
      <c r="J196" s="931"/>
    </row>
    <row r="197" spans="2:10" x14ac:dyDescent="0.2">
      <c r="B197" s="931"/>
      <c r="C197" s="931"/>
      <c r="D197" s="931"/>
      <c r="E197" s="931"/>
      <c r="F197" s="931"/>
      <c r="G197" s="931"/>
      <c r="H197" s="931"/>
      <c r="I197" s="931"/>
      <c r="J197" s="931"/>
    </row>
    <row r="198" spans="2:10" x14ac:dyDescent="0.2">
      <c r="B198" s="931"/>
      <c r="C198" s="931"/>
      <c r="D198" s="931"/>
      <c r="E198" s="931"/>
      <c r="F198" s="931"/>
      <c r="G198" s="931"/>
      <c r="H198" s="931"/>
      <c r="I198" s="931"/>
      <c r="J198" s="931"/>
    </row>
    <row r="199" spans="2:10" x14ac:dyDescent="0.2">
      <c r="B199" s="931"/>
      <c r="C199" s="931"/>
      <c r="D199" s="931"/>
      <c r="E199" s="931"/>
      <c r="F199" s="931"/>
      <c r="G199" s="931"/>
      <c r="H199" s="931"/>
      <c r="I199" s="931"/>
      <c r="J199" s="931"/>
    </row>
    <row r="200" spans="2:10" x14ac:dyDescent="0.2">
      <c r="B200" s="931"/>
      <c r="C200" s="931"/>
      <c r="D200" s="931"/>
      <c r="E200" s="931"/>
      <c r="F200" s="931"/>
      <c r="G200" s="931"/>
      <c r="H200" s="931"/>
      <c r="I200" s="931"/>
      <c r="J200" s="931"/>
    </row>
    <row r="201" spans="2:10" x14ac:dyDescent="0.2">
      <c r="B201" s="931"/>
      <c r="C201" s="931"/>
      <c r="D201" s="931"/>
      <c r="E201" s="931"/>
      <c r="F201" s="931"/>
      <c r="G201" s="931"/>
      <c r="H201" s="931"/>
      <c r="I201" s="931"/>
      <c r="J201" s="931"/>
    </row>
    <row r="202" spans="2:10" x14ac:dyDescent="0.2">
      <c r="B202" s="931"/>
      <c r="C202" s="931"/>
      <c r="D202" s="931"/>
      <c r="E202" s="931"/>
      <c r="F202" s="931"/>
      <c r="G202" s="931"/>
      <c r="H202" s="931"/>
      <c r="I202" s="931"/>
      <c r="J202" s="931"/>
    </row>
    <row r="203" spans="2:10" x14ac:dyDescent="0.2">
      <c r="B203" s="931"/>
      <c r="C203" s="931"/>
      <c r="D203" s="931"/>
      <c r="E203" s="931"/>
      <c r="F203" s="931"/>
      <c r="G203" s="931"/>
      <c r="H203" s="931"/>
      <c r="I203" s="931"/>
      <c r="J203" s="931"/>
    </row>
    <row r="204" spans="2:10" x14ac:dyDescent="0.2">
      <c r="B204" s="931"/>
      <c r="C204" s="931"/>
      <c r="D204" s="931"/>
      <c r="E204" s="931"/>
      <c r="F204" s="931"/>
      <c r="G204" s="931"/>
      <c r="H204" s="931"/>
      <c r="I204" s="931"/>
      <c r="J204" s="931"/>
    </row>
    <row r="205" spans="2:10" x14ac:dyDescent="0.2">
      <c r="B205" s="931"/>
      <c r="C205" s="931"/>
      <c r="D205" s="931"/>
      <c r="E205" s="931"/>
      <c r="F205" s="931"/>
      <c r="G205" s="931"/>
      <c r="H205" s="931"/>
      <c r="I205" s="931"/>
      <c r="J205" s="931"/>
    </row>
    <row r="206" spans="2:10" x14ac:dyDescent="0.2">
      <c r="B206" s="931"/>
      <c r="C206" s="931"/>
      <c r="D206" s="931"/>
      <c r="E206" s="931"/>
      <c r="F206" s="931"/>
      <c r="G206" s="931"/>
      <c r="H206" s="931"/>
      <c r="I206" s="931"/>
      <c r="J206" s="931"/>
    </row>
    <row r="207" spans="2:10" x14ac:dyDescent="0.2">
      <c r="B207" s="931"/>
      <c r="C207" s="931"/>
      <c r="D207" s="931"/>
      <c r="E207" s="931"/>
      <c r="F207" s="931"/>
      <c r="G207" s="931"/>
      <c r="H207" s="931"/>
      <c r="I207" s="931"/>
      <c r="J207" s="931"/>
    </row>
    <row r="208" spans="2:10" x14ac:dyDescent="0.2">
      <c r="B208" s="931"/>
      <c r="C208" s="931"/>
      <c r="D208" s="931"/>
      <c r="E208" s="931"/>
      <c r="F208" s="931"/>
      <c r="G208" s="931"/>
      <c r="H208" s="931"/>
      <c r="I208" s="931"/>
      <c r="J208" s="931"/>
    </row>
    <row r="209" spans="2:10" x14ac:dyDescent="0.2">
      <c r="B209" s="931"/>
      <c r="C209" s="931"/>
      <c r="D209" s="931"/>
      <c r="E209" s="931"/>
      <c r="F209" s="931"/>
      <c r="G209" s="931"/>
      <c r="H209" s="931"/>
      <c r="I209" s="931"/>
      <c r="J209" s="931"/>
    </row>
    <row r="210" spans="2:10" x14ac:dyDescent="0.2">
      <c r="B210" s="931"/>
      <c r="C210" s="931"/>
      <c r="D210" s="931"/>
      <c r="E210" s="931"/>
      <c r="F210" s="931"/>
      <c r="G210" s="931"/>
      <c r="H210" s="931"/>
      <c r="I210" s="931"/>
      <c r="J210" s="931"/>
    </row>
    <row r="211" spans="2:10" x14ac:dyDescent="0.2">
      <c r="B211" s="931"/>
      <c r="C211" s="931"/>
      <c r="D211" s="931"/>
      <c r="E211" s="931"/>
      <c r="F211" s="931"/>
      <c r="G211" s="931"/>
      <c r="H211" s="931"/>
      <c r="I211" s="931"/>
      <c r="J211" s="931"/>
    </row>
    <row r="212" spans="2:10" x14ac:dyDescent="0.2">
      <c r="B212" s="931"/>
      <c r="C212" s="931"/>
      <c r="D212" s="931"/>
      <c r="E212" s="931"/>
      <c r="F212" s="931"/>
      <c r="G212" s="931"/>
      <c r="H212" s="931"/>
      <c r="I212" s="931"/>
      <c r="J212" s="931"/>
    </row>
    <row r="213" spans="2:10" x14ac:dyDescent="0.2">
      <c r="B213" s="931"/>
      <c r="C213" s="931"/>
      <c r="D213" s="931"/>
      <c r="E213" s="931"/>
      <c r="F213" s="931"/>
      <c r="G213" s="931"/>
      <c r="H213" s="931"/>
      <c r="I213" s="931"/>
      <c r="J213" s="931"/>
    </row>
    <row r="214" spans="2:10" x14ac:dyDescent="0.2">
      <c r="B214" s="931"/>
      <c r="C214" s="931"/>
      <c r="D214" s="931"/>
      <c r="E214" s="931"/>
      <c r="F214" s="931"/>
      <c r="G214" s="931"/>
      <c r="H214" s="931"/>
      <c r="I214" s="931"/>
      <c r="J214" s="931"/>
    </row>
    <row r="215" spans="2:10" x14ac:dyDescent="0.2">
      <c r="B215" s="931"/>
      <c r="C215" s="931"/>
      <c r="D215" s="931"/>
      <c r="E215" s="931"/>
      <c r="F215" s="931"/>
      <c r="G215" s="931"/>
      <c r="H215" s="931"/>
      <c r="I215" s="931"/>
      <c r="J215" s="931"/>
    </row>
    <row r="216" spans="2:10" x14ac:dyDescent="0.2">
      <c r="B216" s="931"/>
      <c r="C216" s="931"/>
      <c r="D216" s="931"/>
      <c r="E216" s="931"/>
      <c r="F216" s="931"/>
      <c r="G216" s="931"/>
      <c r="H216" s="931"/>
      <c r="I216" s="931"/>
      <c r="J216" s="931"/>
    </row>
    <row r="217" spans="2:10" x14ac:dyDescent="0.2">
      <c r="B217" s="931"/>
      <c r="C217" s="931"/>
      <c r="D217" s="931"/>
      <c r="E217" s="931"/>
      <c r="F217" s="931"/>
      <c r="G217" s="931"/>
      <c r="H217" s="931"/>
      <c r="I217" s="931"/>
      <c r="J217" s="931"/>
    </row>
    <row r="218" spans="2:10" x14ac:dyDescent="0.2">
      <c r="B218" s="931"/>
      <c r="C218" s="931"/>
      <c r="D218" s="931"/>
      <c r="E218" s="931"/>
      <c r="F218" s="931"/>
      <c r="G218" s="931"/>
      <c r="H218" s="931"/>
      <c r="I218" s="931"/>
      <c r="J218" s="931"/>
    </row>
    <row r="219" spans="2:10" x14ac:dyDescent="0.2">
      <c r="B219" s="931"/>
      <c r="C219" s="931"/>
      <c r="D219" s="931"/>
      <c r="E219" s="931"/>
      <c r="F219" s="931"/>
      <c r="G219" s="931"/>
      <c r="H219" s="931"/>
      <c r="I219" s="931"/>
      <c r="J219" s="931"/>
    </row>
    <row r="220" spans="2:10" x14ac:dyDescent="0.2">
      <c r="B220" s="931"/>
      <c r="C220" s="931"/>
      <c r="D220" s="931"/>
      <c r="E220" s="931"/>
      <c r="F220" s="931"/>
      <c r="G220" s="931"/>
      <c r="H220" s="931"/>
      <c r="I220" s="931"/>
      <c r="J220" s="931"/>
    </row>
    <row r="221" spans="2:10" x14ac:dyDescent="0.2">
      <c r="B221" s="931"/>
      <c r="C221" s="931"/>
      <c r="D221" s="931"/>
      <c r="E221" s="931"/>
      <c r="F221" s="931"/>
      <c r="G221" s="931"/>
      <c r="H221" s="931"/>
      <c r="I221" s="931"/>
      <c r="J221" s="931"/>
    </row>
    <row r="222" spans="2:10" x14ac:dyDescent="0.2">
      <c r="B222" s="931"/>
      <c r="C222" s="931"/>
      <c r="D222" s="931"/>
      <c r="E222" s="931"/>
      <c r="F222" s="931"/>
      <c r="G222" s="931"/>
      <c r="H222" s="931"/>
      <c r="I222" s="931"/>
      <c r="J222" s="931"/>
    </row>
    <row r="223" spans="2:10" x14ac:dyDescent="0.2">
      <c r="B223" s="931"/>
      <c r="C223" s="931"/>
      <c r="D223" s="931"/>
      <c r="E223" s="931"/>
      <c r="F223" s="931"/>
      <c r="G223" s="931"/>
      <c r="H223" s="931"/>
      <c r="I223" s="931"/>
      <c r="J223" s="931"/>
    </row>
    <row r="224" spans="2:10" x14ac:dyDescent="0.2">
      <c r="B224" s="931"/>
      <c r="C224" s="931"/>
      <c r="D224" s="931"/>
      <c r="E224" s="931"/>
      <c r="F224" s="931"/>
      <c r="G224" s="931"/>
      <c r="H224" s="931"/>
      <c r="I224" s="931"/>
      <c r="J224" s="931"/>
    </row>
    <row r="225" spans="2:10" x14ac:dyDescent="0.2">
      <c r="B225" s="931"/>
      <c r="C225" s="931"/>
      <c r="D225" s="931"/>
      <c r="E225" s="931"/>
      <c r="F225" s="931"/>
      <c r="G225" s="931"/>
      <c r="H225" s="931"/>
      <c r="I225" s="931"/>
      <c r="J225" s="931"/>
    </row>
    <row r="226" spans="2:10" x14ac:dyDescent="0.2">
      <c r="B226" s="931"/>
      <c r="C226" s="931"/>
      <c r="D226" s="931"/>
      <c r="E226" s="931"/>
      <c r="F226" s="931"/>
      <c r="G226" s="931"/>
      <c r="H226" s="931"/>
      <c r="I226" s="931"/>
      <c r="J226" s="931"/>
    </row>
    <row r="227" spans="2:10" x14ac:dyDescent="0.2">
      <c r="B227" s="931"/>
      <c r="C227" s="931"/>
      <c r="D227" s="931"/>
      <c r="E227" s="931"/>
      <c r="F227" s="931"/>
      <c r="G227" s="931"/>
      <c r="H227" s="931"/>
      <c r="I227" s="931"/>
      <c r="J227" s="931"/>
    </row>
    <row r="228" spans="2:10" x14ac:dyDescent="0.2">
      <c r="B228" s="931"/>
      <c r="C228" s="931"/>
      <c r="D228" s="931"/>
      <c r="E228" s="931"/>
      <c r="F228" s="931"/>
      <c r="G228" s="931"/>
      <c r="H228" s="931"/>
      <c r="I228" s="931"/>
      <c r="J228" s="931"/>
    </row>
    <row r="229" spans="2:10" x14ac:dyDescent="0.2">
      <c r="B229" s="931"/>
      <c r="C229" s="931"/>
      <c r="D229" s="931"/>
      <c r="E229" s="931"/>
      <c r="F229" s="931"/>
      <c r="G229" s="931"/>
      <c r="H229" s="931"/>
      <c r="I229" s="931"/>
      <c r="J229" s="931"/>
    </row>
    <row r="230" spans="2:10" x14ac:dyDescent="0.2">
      <c r="B230" s="931"/>
      <c r="C230" s="931"/>
      <c r="D230" s="931"/>
      <c r="E230" s="931"/>
      <c r="F230" s="931"/>
      <c r="G230" s="931"/>
      <c r="H230" s="931"/>
      <c r="I230" s="931"/>
      <c r="J230" s="931"/>
    </row>
    <row r="231" spans="2:10" x14ac:dyDescent="0.2">
      <c r="B231" s="931"/>
      <c r="C231" s="931"/>
      <c r="D231" s="931"/>
      <c r="E231" s="931"/>
      <c r="F231" s="931"/>
      <c r="G231" s="931"/>
      <c r="H231" s="931"/>
      <c r="I231" s="931"/>
      <c r="J231" s="931"/>
    </row>
    <row r="232" spans="2:10" x14ac:dyDescent="0.2">
      <c r="B232" s="931"/>
      <c r="C232" s="931"/>
      <c r="D232" s="931"/>
      <c r="E232" s="931"/>
      <c r="F232" s="931"/>
      <c r="G232" s="931"/>
      <c r="H232" s="931"/>
      <c r="I232" s="931"/>
      <c r="J232" s="931"/>
    </row>
    <row r="233" spans="2:10" x14ac:dyDescent="0.2">
      <c r="B233" s="931"/>
      <c r="C233" s="931"/>
      <c r="D233" s="931"/>
      <c r="E233" s="931"/>
      <c r="F233" s="931"/>
      <c r="G233" s="931"/>
      <c r="H233" s="931"/>
      <c r="I233" s="931"/>
      <c r="J233" s="931"/>
    </row>
    <row r="234" spans="2:10" x14ac:dyDescent="0.2">
      <c r="B234" s="931"/>
      <c r="C234" s="931"/>
      <c r="D234" s="931"/>
      <c r="E234" s="931"/>
      <c r="F234" s="931"/>
      <c r="G234" s="931"/>
      <c r="H234" s="931"/>
      <c r="I234" s="931"/>
      <c r="J234" s="931"/>
    </row>
    <row r="235" spans="2:10" x14ac:dyDescent="0.2">
      <c r="B235" s="931"/>
      <c r="C235" s="931"/>
      <c r="D235" s="931"/>
      <c r="E235" s="931"/>
      <c r="F235" s="931"/>
      <c r="G235" s="931"/>
      <c r="H235" s="931"/>
      <c r="I235" s="931"/>
      <c r="J235" s="931"/>
    </row>
    <row r="236" spans="2:10" x14ac:dyDescent="0.2">
      <c r="B236" s="931"/>
      <c r="C236" s="931"/>
      <c r="D236" s="931"/>
      <c r="E236" s="931"/>
      <c r="F236" s="931"/>
      <c r="G236" s="931"/>
      <c r="H236" s="931"/>
      <c r="I236" s="931"/>
      <c r="J236" s="931"/>
    </row>
    <row r="237" spans="2:10" x14ac:dyDescent="0.2">
      <c r="B237" s="931"/>
      <c r="C237" s="931"/>
      <c r="D237" s="931"/>
      <c r="E237" s="931"/>
      <c r="F237" s="931"/>
      <c r="G237" s="931"/>
      <c r="H237" s="931"/>
      <c r="I237" s="931"/>
      <c r="J237" s="931"/>
    </row>
    <row r="238" spans="2:10" x14ac:dyDescent="0.2">
      <c r="B238" s="931"/>
      <c r="C238" s="931"/>
      <c r="D238" s="931"/>
      <c r="E238" s="931"/>
      <c r="F238" s="931"/>
      <c r="G238" s="931"/>
      <c r="H238" s="931"/>
      <c r="I238" s="931"/>
      <c r="J238" s="931"/>
    </row>
    <row r="239" spans="2:10" x14ac:dyDescent="0.2">
      <c r="B239" s="931"/>
      <c r="C239" s="931"/>
      <c r="D239" s="931"/>
      <c r="E239" s="931"/>
      <c r="F239" s="931"/>
      <c r="G239" s="931"/>
      <c r="H239" s="931"/>
      <c r="I239" s="931"/>
      <c r="J239" s="931"/>
    </row>
    <row r="240" spans="2:10" x14ac:dyDescent="0.2">
      <c r="B240" s="931"/>
      <c r="C240" s="931"/>
      <c r="D240" s="931"/>
      <c r="E240" s="931"/>
      <c r="F240" s="931"/>
      <c r="G240" s="931"/>
      <c r="H240" s="931"/>
      <c r="I240" s="931"/>
      <c r="J240" s="931"/>
    </row>
    <row r="241" spans="2:10" x14ac:dyDescent="0.2">
      <c r="B241" s="931"/>
      <c r="C241" s="931"/>
      <c r="D241" s="931"/>
      <c r="E241" s="931"/>
      <c r="F241" s="931"/>
      <c r="G241" s="931"/>
      <c r="H241" s="931"/>
      <c r="I241" s="931"/>
      <c r="J241" s="931"/>
    </row>
    <row r="242" spans="2:10" x14ac:dyDescent="0.2">
      <c r="B242" s="931"/>
      <c r="C242" s="931"/>
      <c r="D242" s="931"/>
      <c r="E242" s="931"/>
      <c r="F242" s="931"/>
      <c r="G242" s="931"/>
      <c r="H242" s="931"/>
      <c r="I242" s="931"/>
      <c r="J242" s="931"/>
    </row>
    <row r="243" spans="2:10" x14ac:dyDescent="0.2">
      <c r="B243" s="931"/>
      <c r="C243" s="931"/>
      <c r="D243" s="931"/>
      <c r="E243" s="931"/>
      <c r="F243" s="931"/>
      <c r="G243" s="931"/>
      <c r="H243" s="931"/>
      <c r="I243" s="931"/>
      <c r="J243" s="931"/>
    </row>
    <row r="244" spans="2:10" x14ac:dyDescent="0.2">
      <c r="B244" s="931"/>
      <c r="C244" s="931"/>
      <c r="D244" s="931"/>
      <c r="E244" s="931"/>
      <c r="F244" s="931"/>
      <c r="G244" s="931"/>
      <c r="H244" s="931"/>
      <c r="I244" s="931"/>
      <c r="J244" s="931"/>
    </row>
    <row r="245" spans="2:10" x14ac:dyDescent="0.2">
      <c r="B245" s="931"/>
      <c r="C245" s="931"/>
      <c r="D245" s="931"/>
      <c r="E245" s="931"/>
      <c r="F245" s="931"/>
      <c r="G245" s="931"/>
      <c r="H245" s="931"/>
      <c r="I245" s="931"/>
      <c r="J245" s="931"/>
    </row>
    <row r="246" spans="2:10" x14ac:dyDescent="0.2">
      <c r="B246" s="931"/>
      <c r="C246" s="931"/>
      <c r="D246" s="931"/>
      <c r="E246" s="931"/>
      <c r="F246" s="931"/>
      <c r="G246" s="931"/>
      <c r="H246" s="931"/>
      <c r="I246" s="931"/>
      <c r="J246" s="931"/>
    </row>
    <row r="247" spans="2:10" x14ac:dyDescent="0.2">
      <c r="B247" s="931"/>
      <c r="C247" s="931"/>
      <c r="D247" s="931"/>
      <c r="E247" s="931"/>
      <c r="F247" s="931"/>
      <c r="G247" s="931"/>
      <c r="H247" s="931"/>
      <c r="I247" s="931"/>
      <c r="J247" s="931"/>
    </row>
    <row r="248" spans="2:10" x14ac:dyDescent="0.2">
      <c r="B248" s="931"/>
      <c r="C248" s="931"/>
      <c r="D248" s="931"/>
      <c r="E248" s="931"/>
      <c r="F248" s="931"/>
      <c r="G248" s="931"/>
      <c r="H248" s="931"/>
      <c r="I248" s="931"/>
      <c r="J248" s="931"/>
    </row>
    <row r="249" spans="2:10" x14ac:dyDescent="0.2">
      <c r="B249" s="931"/>
      <c r="C249" s="931"/>
      <c r="D249" s="931"/>
      <c r="E249" s="931"/>
      <c r="F249" s="931"/>
      <c r="G249" s="931"/>
      <c r="H249" s="931"/>
      <c r="I249" s="931"/>
      <c r="J249" s="931"/>
    </row>
    <row r="250" spans="2:10" x14ac:dyDescent="0.2">
      <c r="B250" s="931"/>
      <c r="C250" s="931"/>
      <c r="D250" s="931"/>
      <c r="E250" s="931"/>
      <c r="F250" s="931"/>
      <c r="G250" s="931"/>
      <c r="H250" s="931"/>
      <c r="I250" s="931"/>
      <c r="J250" s="931"/>
    </row>
    <row r="251" spans="2:10" x14ac:dyDescent="0.2">
      <c r="B251" s="931"/>
      <c r="C251" s="931"/>
      <c r="D251" s="931"/>
      <c r="E251" s="931"/>
      <c r="F251" s="931"/>
      <c r="G251" s="931"/>
      <c r="H251" s="931"/>
      <c r="I251" s="931"/>
      <c r="J251" s="931"/>
    </row>
    <row r="252" spans="2:10" x14ac:dyDescent="0.2">
      <c r="B252" s="931"/>
      <c r="C252" s="931"/>
      <c r="D252" s="931"/>
      <c r="E252" s="931"/>
      <c r="F252" s="931"/>
      <c r="G252" s="931"/>
      <c r="H252" s="931"/>
      <c r="I252" s="931"/>
      <c r="J252" s="931"/>
    </row>
    <row r="253" spans="2:10" x14ac:dyDescent="0.2">
      <c r="B253" s="931"/>
      <c r="C253" s="931"/>
      <c r="D253" s="931"/>
      <c r="E253" s="931"/>
      <c r="F253" s="931"/>
      <c r="G253" s="931"/>
      <c r="H253" s="931"/>
      <c r="I253" s="931"/>
      <c r="J253" s="931"/>
    </row>
    <row r="254" spans="2:10" x14ac:dyDescent="0.2">
      <c r="B254" s="931"/>
      <c r="C254" s="931"/>
      <c r="D254" s="931"/>
      <c r="E254" s="931"/>
      <c r="F254" s="931"/>
      <c r="G254" s="931"/>
      <c r="H254" s="931"/>
      <c r="I254" s="931"/>
      <c r="J254" s="931"/>
    </row>
    <row r="255" spans="2:10" x14ac:dyDescent="0.2">
      <c r="B255" s="931"/>
      <c r="C255" s="931"/>
      <c r="D255" s="931"/>
      <c r="E255" s="931"/>
      <c r="F255" s="931"/>
      <c r="G255" s="931"/>
      <c r="H255" s="931"/>
      <c r="I255" s="931"/>
      <c r="J255" s="931"/>
    </row>
    <row r="256" spans="2:10" x14ac:dyDescent="0.2">
      <c r="B256" s="931"/>
      <c r="C256" s="931"/>
      <c r="D256" s="931"/>
      <c r="E256" s="931"/>
      <c r="F256" s="931"/>
      <c r="G256" s="931"/>
      <c r="H256" s="931"/>
      <c r="I256" s="931"/>
      <c r="J256" s="931"/>
    </row>
    <row r="257" spans="2:10" x14ac:dyDescent="0.2">
      <c r="B257" s="931"/>
      <c r="C257" s="931"/>
      <c r="D257" s="931"/>
      <c r="E257" s="931"/>
      <c r="F257" s="931"/>
      <c r="G257" s="931"/>
      <c r="H257" s="931"/>
      <c r="I257" s="931"/>
      <c r="J257" s="931"/>
    </row>
    <row r="258" spans="2:10" x14ac:dyDescent="0.2">
      <c r="B258" s="931"/>
      <c r="C258" s="931"/>
      <c r="D258" s="931"/>
      <c r="E258" s="931"/>
      <c r="F258" s="931"/>
      <c r="G258" s="931"/>
      <c r="H258" s="931"/>
      <c r="I258" s="931"/>
      <c r="J258" s="931"/>
    </row>
    <row r="259" spans="2:10" x14ac:dyDescent="0.2">
      <c r="B259" s="931"/>
      <c r="C259" s="931"/>
      <c r="D259" s="931"/>
      <c r="E259" s="931"/>
      <c r="F259" s="931"/>
      <c r="G259" s="931"/>
      <c r="H259" s="931"/>
      <c r="I259" s="931"/>
      <c r="J259" s="931"/>
    </row>
    <row r="260" spans="2:10" x14ac:dyDescent="0.2">
      <c r="B260" s="931"/>
      <c r="C260" s="931"/>
      <c r="D260" s="931"/>
      <c r="E260" s="931"/>
      <c r="F260" s="931"/>
      <c r="G260" s="931"/>
      <c r="H260" s="931"/>
      <c r="I260" s="931"/>
      <c r="J260" s="931"/>
    </row>
    <row r="261" spans="2:10" x14ac:dyDescent="0.2">
      <c r="B261" s="931"/>
      <c r="C261" s="931"/>
      <c r="D261" s="931"/>
      <c r="E261" s="931"/>
      <c r="F261" s="931"/>
      <c r="G261" s="931"/>
      <c r="H261" s="931"/>
      <c r="I261" s="931"/>
      <c r="J261" s="931"/>
    </row>
    <row r="262" spans="2:10" x14ac:dyDescent="0.2">
      <c r="B262" s="931"/>
      <c r="C262" s="931"/>
      <c r="D262" s="931"/>
      <c r="E262" s="931"/>
      <c r="F262" s="931"/>
      <c r="G262" s="931"/>
      <c r="H262" s="931"/>
      <c r="I262" s="931"/>
      <c r="J262" s="931"/>
    </row>
    <row r="263" spans="2:10" x14ac:dyDescent="0.2">
      <c r="B263" s="931"/>
      <c r="C263" s="931"/>
      <c r="D263" s="931"/>
      <c r="E263" s="931"/>
      <c r="F263" s="931"/>
      <c r="G263" s="931"/>
      <c r="H263" s="931"/>
      <c r="I263" s="931"/>
      <c r="J263" s="931"/>
    </row>
    <row r="264" spans="2:10" x14ac:dyDescent="0.2">
      <c r="B264" s="931"/>
      <c r="C264" s="931"/>
      <c r="D264" s="931"/>
      <c r="E264" s="931"/>
      <c r="F264" s="931"/>
      <c r="G264" s="931"/>
      <c r="H264" s="931"/>
      <c r="I264" s="931"/>
      <c r="J264" s="931"/>
    </row>
    <row r="265" spans="2:10" x14ac:dyDescent="0.2">
      <c r="B265" s="931"/>
      <c r="C265" s="931"/>
      <c r="D265" s="931"/>
      <c r="E265" s="931"/>
      <c r="F265" s="931"/>
      <c r="G265" s="931"/>
      <c r="H265" s="931"/>
      <c r="I265" s="931"/>
      <c r="J265" s="931"/>
    </row>
    <row r="266" spans="2:10" x14ac:dyDescent="0.2">
      <c r="B266" s="931"/>
      <c r="C266" s="931"/>
      <c r="D266" s="931"/>
      <c r="E266" s="931"/>
      <c r="F266" s="931"/>
      <c r="G266" s="931"/>
      <c r="H266" s="931"/>
      <c r="I266" s="931"/>
      <c r="J266" s="931"/>
    </row>
    <row r="267" spans="2:10" x14ac:dyDescent="0.2">
      <c r="B267" s="931"/>
      <c r="C267" s="931"/>
      <c r="D267" s="931"/>
      <c r="E267" s="931"/>
      <c r="F267" s="931"/>
      <c r="G267" s="931"/>
      <c r="H267" s="931"/>
      <c r="I267" s="931"/>
      <c r="J267" s="931"/>
    </row>
    <row r="268" spans="2:10" x14ac:dyDescent="0.2">
      <c r="B268" s="931"/>
      <c r="C268" s="931"/>
      <c r="D268" s="931"/>
      <c r="E268" s="931"/>
      <c r="F268" s="931"/>
      <c r="G268" s="931"/>
      <c r="H268" s="931"/>
      <c r="I268" s="931"/>
      <c r="J268" s="931"/>
    </row>
    <row r="269" spans="2:10" x14ac:dyDescent="0.2">
      <c r="B269" s="931"/>
      <c r="C269" s="931"/>
      <c r="D269" s="931"/>
      <c r="E269" s="931"/>
      <c r="F269" s="931"/>
      <c r="G269" s="931"/>
      <c r="H269" s="931"/>
      <c r="I269" s="931"/>
      <c r="J269" s="931"/>
    </row>
    <row r="270" spans="2:10" x14ac:dyDescent="0.2">
      <c r="B270" s="931"/>
      <c r="C270" s="931"/>
      <c r="D270" s="931"/>
      <c r="E270" s="931"/>
      <c r="F270" s="931"/>
      <c r="G270" s="931"/>
      <c r="H270" s="931"/>
      <c r="I270" s="931"/>
      <c r="J270" s="931"/>
    </row>
    <row r="271" spans="2:10" x14ac:dyDescent="0.2">
      <c r="B271" s="931"/>
      <c r="C271" s="931"/>
      <c r="D271" s="931"/>
      <c r="E271" s="931"/>
      <c r="F271" s="931"/>
      <c r="G271" s="931"/>
      <c r="H271" s="931"/>
      <c r="I271" s="931"/>
      <c r="J271" s="931"/>
    </row>
    <row r="272" spans="2:10" x14ac:dyDescent="0.2">
      <c r="B272" s="931"/>
      <c r="C272" s="931"/>
      <c r="D272" s="931"/>
      <c r="E272" s="931"/>
      <c r="F272" s="931"/>
      <c r="G272" s="931"/>
      <c r="H272" s="931"/>
      <c r="I272" s="931"/>
      <c r="J272" s="931"/>
    </row>
    <row r="273" spans="2:10" x14ac:dyDescent="0.2">
      <c r="B273" s="931"/>
      <c r="C273" s="931"/>
      <c r="D273" s="931"/>
      <c r="E273" s="931"/>
      <c r="F273" s="931"/>
      <c r="G273" s="931"/>
      <c r="H273" s="931"/>
      <c r="I273" s="931"/>
      <c r="J273" s="931"/>
    </row>
    <row r="274" spans="2:10" x14ac:dyDescent="0.2">
      <c r="B274" s="931"/>
      <c r="C274" s="931"/>
      <c r="D274" s="931"/>
      <c r="E274" s="931"/>
      <c r="F274" s="931"/>
      <c r="G274" s="931"/>
      <c r="H274" s="931"/>
      <c r="I274" s="931"/>
      <c r="J274" s="931"/>
    </row>
    <row r="275" spans="2:10" x14ac:dyDescent="0.2">
      <c r="B275" s="931"/>
      <c r="C275" s="931"/>
      <c r="D275" s="931"/>
      <c r="E275" s="931"/>
      <c r="F275" s="931"/>
      <c r="G275" s="931"/>
      <c r="H275" s="931"/>
      <c r="I275" s="931"/>
      <c r="J275" s="931"/>
    </row>
    <row r="276" spans="2:10" x14ac:dyDescent="0.2">
      <c r="B276" s="931"/>
      <c r="C276" s="931"/>
      <c r="D276" s="931"/>
      <c r="E276" s="931"/>
      <c r="F276" s="931"/>
      <c r="G276" s="931"/>
      <c r="H276" s="931"/>
      <c r="I276" s="931"/>
      <c r="J276" s="931"/>
    </row>
    <row r="277" spans="2:10" x14ac:dyDescent="0.2">
      <c r="B277" s="931"/>
      <c r="C277" s="931"/>
      <c r="D277" s="931"/>
      <c r="E277" s="931"/>
      <c r="F277" s="931"/>
      <c r="G277" s="931"/>
      <c r="H277" s="931"/>
      <c r="I277" s="931"/>
      <c r="J277" s="931"/>
    </row>
    <row r="278" spans="2:10" x14ac:dyDescent="0.2">
      <c r="B278" s="931"/>
      <c r="C278" s="931"/>
      <c r="D278" s="931"/>
      <c r="E278" s="931"/>
      <c r="F278" s="931"/>
      <c r="G278" s="931"/>
      <c r="H278" s="931"/>
      <c r="I278" s="931"/>
      <c r="J278" s="931"/>
    </row>
    <row r="279" spans="2:10" x14ac:dyDescent="0.2">
      <c r="B279" s="931"/>
      <c r="C279" s="931"/>
      <c r="D279" s="931"/>
      <c r="E279" s="931"/>
      <c r="F279" s="931"/>
      <c r="G279" s="931"/>
      <c r="H279" s="931"/>
      <c r="I279" s="931"/>
      <c r="J279" s="931"/>
    </row>
    <row r="280" spans="2:10" x14ac:dyDescent="0.2">
      <c r="B280" s="931"/>
      <c r="C280" s="931"/>
      <c r="D280" s="931"/>
      <c r="E280" s="931"/>
      <c r="F280" s="931"/>
      <c r="G280" s="931"/>
      <c r="H280" s="931"/>
      <c r="I280" s="931"/>
      <c r="J280" s="931"/>
    </row>
    <row r="281" spans="2:10" x14ac:dyDescent="0.2">
      <c r="B281" s="931"/>
      <c r="C281" s="931"/>
      <c r="D281" s="931"/>
      <c r="E281" s="931"/>
      <c r="F281" s="931"/>
      <c r="G281" s="931"/>
      <c r="H281" s="931"/>
      <c r="I281" s="931"/>
      <c r="J281" s="931"/>
    </row>
    <row r="282" spans="2:10" x14ac:dyDescent="0.2">
      <c r="B282" s="931"/>
      <c r="C282" s="931"/>
      <c r="D282" s="931"/>
      <c r="E282" s="931"/>
      <c r="F282" s="931"/>
      <c r="G282" s="931"/>
      <c r="H282" s="931"/>
      <c r="I282" s="931"/>
      <c r="J282" s="931"/>
    </row>
    <row r="283" spans="2:10" x14ac:dyDescent="0.2">
      <c r="B283" s="931"/>
      <c r="C283" s="931"/>
      <c r="D283" s="931"/>
      <c r="E283" s="931"/>
      <c r="F283" s="931"/>
      <c r="G283" s="931"/>
      <c r="H283" s="931"/>
      <c r="I283" s="931"/>
      <c r="J283" s="931"/>
    </row>
    <row r="284" spans="2:10" x14ac:dyDescent="0.2">
      <c r="B284" s="931"/>
      <c r="C284" s="931"/>
      <c r="D284" s="931"/>
      <c r="E284" s="931"/>
      <c r="F284" s="931"/>
      <c r="G284" s="931"/>
      <c r="H284" s="931"/>
      <c r="I284" s="931"/>
      <c r="J284" s="931"/>
    </row>
    <row r="285" spans="2:10" x14ac:dyDescent="0.2">
      <c r="B285" s="931"/>
      <c r="C285" s="931"/>
      <c r="D285" s="931"/>
      <c r="E285" s="931"/>
      <c r="F285" s="931"/>
      <c r="G285" s="931"/>
      <c r="H285" s="931"/>
      <c r="I285" s="931"/>
      <c r="J285" s="931"/>
    </row>
    <row r="286" spans="2:10" x14ac:dyDescent="0.2">
      <c r="B286" s="931"/>
      <c r="C286" s="931"/>
      <c r="D286" s="931"/>
      <c r="E286" s="931"/>
      <c r="F286" s="931"/>
      <c r="G286" s="931"/>
      <c r="H286" s="931"/>
      <c r="I286" s="931"/>
      <c r="J286" s="931"/>
    </row>
    <row r="287" spans="2:10" x14ac:dyDescent="0.2">
      <c r="B287" s="931"/>
      <c r="C287" s="931"/>
      <c r="D287" s="931"/>
      <c r="E287" s="931"/>
      <c r="F287" s="931"/>
      <c r="G287" s="931"/>
      <c r="H287" s="931"/>
      <c r="I287" s="931"/>
      <c r="J287" s="931"/>
    </row>
    <row r="288" spans="2:10" x14ac:dyDescent="0.2">
      <c r="B288" s="931"/>
      <c r="C288" s="931"/>
      <c r="D288" s="931"/>
      <c r="E288" s="931"/>
      <c r="F288" s="931"/>
      <c r="G288" s="931"/>
      <c r="H288" s="931"/>
      <c r="I288" s="931"/>
      <c r="J288" s="931"/>
    </row>
    <row r="289" spans="2:10" x14ac:dyDescent="0.2">
      <c r="B289" s="931"/>
      <c r="C289" s="931"/>
      <c r="D289" s="931"/>
      <c r="E289" s="931"/>
      <c r="F289" s="931"/>
      <c r="G289" s="931"/>
      <c r="H289" s="931"/>
      <c r="I289" s="931"/>
      <c r="J289" s="931"/>
    </row>
    <row r="290" spans="2:10" x14ac:dyDescent="0.2">
      <c r="B290" s="931"/>
      <c r="C290" s="931"/>
      <c r="D290" s="931"/>
      <c r="E290" s="931"/>
      <c r="F290" s="931"/>
      <c r="G290" s="931"/>
      <c r="H290" s="931"/>
      <c r="I290" s="931"/>
      <c r="J290" s="931"/>
    </row>
    <row r="291" spans="2:10" x14ac:dyDescent="0.2">
      <c r="B291" s="931"/>
      <c r="C291" s="931"/>
      <c r="D291" s="931"/>
      <c r="E291" s="931"/>
      <c r="F291" s="931"/>
      <c r="G291" s="931"/>
      <c r="H291" s="931"/>
      <c r="I291" s="931"/>
      <c r="J291" s="931"/>
    </row>
    <row r="292" spans="2:10" x14ac:dyDescent="0.2">
      <c r="B292" s="931"/>
      <c r="C292" s="931"/>
      <c r="D292" s="931"/>
      <c r="E292" s="931"/>
      <c r="F292" s="931"/>
      <c r="G292" s="931"/>
      <c r="H292" s="931"/>
      <c r="I292" s="931"/>
      <c r="J292" s="931"/>
    </row>
    <row r="293" spans="2:10" x14ac:dyDescent="0.2">
      <c r="B293" s="931"/>
      <c r="C293" s="931"/>
      <c r="D293" s="931"/>
      <c r="E293" s="931"/>
      <c r="F293" s="931"/>
      <c r="G293" s="931"/>
      <c r="H293" s="931"/>
      <c r="I293" s="931"/>
      <c r="J293" s="931"/>
    </row>
    <row r="294" spans="2:10" x14ac:dyDescent="0.2">
      <c r="B294" s="931"/>
      <c r="C294" s="931"/>
      <c r="D294" s="931"/>
      <c r="E294" s="931"/>
      <c r="F294" s="931"/>
      <c r="G294" s="931"/>
      <c r="H294" s="931"/>
      <c r="I294" s="931"/>
      <c r="J294" s="931"/>
    </row>
    <row r="295" spans="2:10" x14ac:dyDescent="0.2">
      <c r="B295" s="931"/>
      <c r="C295" s="931"/>
      <c r="D295" s="931"/>
      <c r="E295" s="931"/>
      <c r="F295" s="931"/>
      <c r="G295" s="931"/>
      <c r="H295" s="931"/>
      <c r="I295" s="931"/>
      <c r="J295" s="931"/>
    </row>
    <row r="296" spans="2:10" x14ac:dyDescent="0.2">
      <c r="B296" s="931"/>
      <c r="C296" s="931"/>
      <c r="D296" s="931"/>
      <c r="E296" s="931"/>
      <c r="F296" s="931"/>
      <c r="G296" s="931"/>
      <c r="H296" s="931"/>
      <c r="I296" s="931"/>
      <c r="J296" s="931"/>
    </row>
    <row r="297" spans="2:10" x14ac:dyDescent="0.2">
      <c r="B297" s="931"/>
      <c r="C297" s="931"/>
      <c r="D297" s="931"/>
      <c r="E297" s="931"/>
      <c r="F297" s="931"/>
      <c r="G297" s="931"/>
      <c r="H297" s="931"/>
      <c r="I297" s="931"/>
      <c r="J297" s="931"/>
    </row>
    <row r="298" spans="2:10" x14ac:dyDescent="0.2">
      <c r="B298" s="931"/>
      <c r="C298" s="931"/>
      <c r="D298" s="931"/>
      <c r="E298" s="931"/>
      <c r="F298" s="931"/>
      <c r="G298" s="931"/>
      <c r="H298" s="931"/>
      <c r="I298" s="931"/>
      <c r="J298" s="931"/>
    </row>
    <row r="299" spans="2:10" x14ac:dyDescent="0.2">
      <c r="B299" s="931"/>
      <c r="C299" s="931"/>
      <c r="D299" s="931"/>
      <c r="E299" s="931"/>
      <c r="F299" s="931"/>
      <c r="G299" s="931"/>
      <c r="H299" s="931"/>
      <c r="I299" s="931"/>
      <c r="J299" s="931"/>
    </row>
    <row r="300" spans="2:10" x14ac:dyDescent="0.2">
      <c r="B300" s="931"/>
      <c r="C300" s="931"/>
      <c r="D300" s="931"/>
      <c r="E300" s="931"/>
      <c r="F300" s="931"/>
      <c r="G300" s="931"/>
      <c r="H300" s="931"/>
      <c r="I300" s="931"/>
      <c r="J300" s="931"/>
    </row>
    <row r="301" spans="2:10" x14ac:dyDescent="0.2">
      <c r="B301" s="931"/>
      <c r="C301" s="931"/>
      <c r="D301" s="931"/>
      <c r="E301" s="931"/>
      <c r="F301" s="931"/>
      <c r="G301" s="931"/>
      <c r="H301" s="931"/>
      <c r="I301" s="931"/>
      <c r="J301" s="931"/>
    </row>
    <row r="302" spans="2:10" x14ac:dyDescent="0.2">
      <c r="B302" s="931"/>
      <c r="C302" s="931"/>
      <c r="D302" s="931"/>
      <c r="E302" s="931"/>
      <c r="F302" s="931"/>
      <c r="G302" s="931"/>
      <c r="H302" s="931"/>
      <c r="I302" s="931"/>
      <c r="J302" s="931"/>
    </row>
    <row r="303" spans="2:10" x14ac:dyDescent="0.2">
      <c r="B303" s="931"/>
      <c r="C303" s="931"/>
      <c r="D303" s="931"/>
      <c r="E303" s="931"/>
      <c r="F303" s="931"/>
      <c r="G303" s="931"/>
      <c r="H303" s="931"/>
      <c r="I303" s="931"/>
      <c r="J303" s="931"/>
    </row>
    <row r="304" spans="2:10" x14ac:dyDescent="0.2">
      <c r="B304" s="931"/>
      <c r="C304" s="931"/>
      <c r="D304" s="931"/>
      <c r="E304" s="931"/>
      <c r="F304" s="931"/>
      <c r="G304" s="931"/>
      <c r="H304" s="931"/>
      <c r="I304" s="931"/>
      <c r="J304" s="931"/>
    </row>
    <row r="305" spans="2:10" x14ac:dyDescent="0.2">
      <c r="B305" s="931"/>
      <c r="C305" s="931"/>
      <c r="D305" s="931"/>
      <c r="E305" s="931"/>
      <c r="F305" s="931"/>
      <c r="G305" s="931"/>
      <c r="H305" s="931"/>
      <c r="I305" s="931"/>
      <c r="J305" s="931"/>
    </row>
    <row r="306" spans="2:10" x14ac:dyDescent="0.2">
      <c r="B306" s="931"/>
      <c r="C306" s="931"/>
      <c r="D306" s="931"/>
      <c r="E306" s="931"/>
      <c r="F306" s="931"/>
      <c r="G306" s="931"/>
      <c r="H306" s="931"/>
      <c r="I306" s="931"/>
      <c r="J306" s="931"/>
    </row>
    <row r="307" spans="2:10" x14ac:dyDescent="0.2">
      <c r="B307" s="931"/>
      <c r="C307" s="931"/>
      <c r="D307" s="931"/>
      <c r="E307" s="931"/>
      <c r="F307" s="931"/>
      <c r="G307" s="931"/>
      <c r="H307" s="931"/>
      <c r="I307" s="931"/>
      <c r="J307" s="931"/>
    </row>
    <row r="308" spans="2:10" x14ac:dyDescent="0.2">
      <c r="B308" s="931"/>
      <c r="C308" s="931"/>
      <c r="D308" s="931"/>
      <c r="E308" s="931"/>
      <c r="F308" s="931"/>
      <c r="G308" s="931"/>
      <c r="H308" s="931"/>
      <c r="I308" s="931"/>
      <c r="J308" s="931"/>
    </row>
    <row r="309" spans="2:10" x14ac:dyDescent="0.2">
      <c r="B309" s="931"/>
      <c r="C309" s="931"/>
      <c r="D309" s="931"/>
      <c r="E309" s="931"/>
      <c r="F309" s="931"/>
      <c r="G309" s="931"/>
      <c r="H309" s="931"/>
      <c r="I309" s="931"/>
      <c r="J309" s="931"/>
    </row>
    <row r="310" spans="2:10" x14ac:dyDescent="0.2">
      <c r="B310" s="931"/>
      <c r="C310" s="931"/>
      <c r="D310" s="931"/>
      <c r="E310" s="931"/>
      <c r="F310" s="931"/>
      <c r="G310" s="931"/>
      <c r="H310" s="931"/>
      <c r="I310" s="931"/>
      <c r="J310" s="931"/>
    </row>
    <row r="311" spans="2:10" x14ac:dyDescent="0.2">
      <c r="B311" s="931"/>
      <c r="C311" s="931"/>
      <c r="D311" s="931"/>
      <c r="E311" s="931"/>
      <c r="F311" s="931"/>
      <c r="G311" s="931"/>
      <c r="H311" s="931"/>
      <c r="I311" s="931"/>
      <c r="J311" s="931"/>
    </row>
    <row r="312" spans="2:10" x14ac:dyDescent="0.2">
      <c r="B312" s="931"/>
      <c r="C312" s="931"/>
      <c r="D312" s="931"/>
      <c r="E312" s="931"/>
      <c r="F312" s="931"/>
      <c r="G312" s="931"/>
      <c r="H312" s="931"/>
      <c r="I312" s="931"/>
      <c r="J312" s="931"/>
    </row>
    <row r="313" spans="2:10" x14ac:dyDescent="0.2">
      <c r="B313" s="931"/>
      <c r="C313" s="931"/>
      <c r="D313" s="931"/>
      <c r="E313" s="931"/>
      <c r="F313" s="931"/>
      <c r="G313" s="931"/>
      <c r="H313" s="931"/>
      <c r="I313" s="931"/>
      <c r="J313" s="931"/>
    </row>
    <row r="314" spans="2:10" x14ac:dyDescent="0.2">
      <c r="B314" s="931"/>
      <c r="C314" s="931"/>
      <c r="D314" s="931"/>
      <c r="E314" s="931"/>
      <c r="F314" s="931"/>
      <c r="G314" s="931"/>
      <c r="H314" s="931"/>
      <c r="I314" s="931"/>
      <c r="J314" s="931"/>
    </row>
    <row r="315" spans="2:10" x14ac:dyDescent="0.2">
      <c r="B315" s="931"/>
      <c r="C315" s="931"/>
      <c r="D315" s="931"/>
      <c r="E315" s="931"/>
      <c r="F315" s="931"/>
      <c r="G315" s="931"/>
      <c r="H315" s="931"/>
      <c r="I315" s="931"/>
      <c r="J315" s="931"/>
    </row>
    <row r="316" spans="2:10" x14ac:dyDescent="0.2">
      <c r="B316" s="931"/>
      <c r="C316" s="931"/>
      <c r="D316" s="931"/>
      <c r="E316" s="931"/>
      <c r="F316" s="931"/>
      <c r="G316" s="931"/>
      <c r="H316" s="931"/>
      <c r="I316" s="931"/>
      <c r="J316" s="931"/>
    </row>
    <row r="317" spans="2:10" x14ac:dyDescent="0.2">
      <c r="B317" s="931"/>
      <c r="C317" s="931"/>
      <c r="D317" s="931"/>
      <c r="E317" s="931"/>
      <c r="F317" s="931"/>
      <c r="G317" s="931"/>
      <c r="H317" s="931"/>
      <c r="I317" s="931"/>
      <c r="J317" s="931"/>
    </row>
    <row r="318" spans="2:10" x14ac:dyDescent="0.2">
      <c r="B318" s="931"/>
      <c r="C318" s="931"/>
      <c r="D318" s="931"/>
      <c r="E318" s="931"/>
      <c r="F318" s="931"/>
      <c r="G318" s="931"/>
      <c r="H318" s="931"/>
      <c r="I318" s="931"/>
      <c r="J318" s="931"/>
    </row>
    <row r="319" spans="2:10" x14ac:dyDescent="0.2">
      <c r="B319" s="931"/>
      <c r="C319" s="931"/>
      <c r="D319" s="931"/>
      <c r="E319" s="931"/>
      <c r="F319" s="931"/>
      <c r="G319" s="931"/>
      <c r="H319" s="931"/>
      <c r="I319" s="931"/>
      <c r="J319" s="931"/>
    </row>
    <row r="320" spans="2:10" x14ac:dyDescent="0.2">
      <c r="B320" s="931"/>
      <c r="C320" s="931"/>
      <c r="D320" s="931"/>
      <c r="E320" s="931"/>
      <c r="F320" s="931"/>
      <c r="G320" s="931"/>
      <c r="H320" s="931"/>
      <c r="I320" s="931"/>
      <c r="J320" s="931"/>
    </row>
    <row r="321" spans="2:10" x14ac:dyDescent="0.2">
      <c r="B321" s="931"/>
      <c r="C321" s="931"/>
      <c r="D321" s="931"/>
      <c r="E321" s="931"/>
      <c r="F321" s="931"/>
      <c r="G321" s="931"/>
      <c r="H321" s="931"/>
      <c r="I321" s="931"/>
      <c r="J321" s="931"/>
    </row>
    <row r="322" spans="2:10" x14ac:dyDescent="0.2">
      <c r="B322" s="931"/>
      <c r="C322" s="931"/>
      <c r="D322" s="931"/>
      <c r="E322" s="931"/>
      <c r="F322" s="931"/>
      <c r="G322" s="931"/>
      <c r="H322" s="931"/>
      <c r="I322" s="931"/>
      <c r="J322" s="931"/>
    </row>
    <row r="323" spans="2:10" x14ac:dyDescent="0.2">
      <c r="B323" s="931"/>
      <c r="C323" s="931"/>
      <c r="D323" s="931"/>
      <c r="E323" s="931"/>
      <c r="F323" s="931"/>
      <c r="G323" s="931"/>
      <c r="H323" s="931"/>
      <c r="I323" s="931"/>
      <c r="J323" s="931"/>
    </row>
    <row r="324" spans="2:10" x14ac:dyDescent="0.2">
      <c r="B324" s="931"/>
      <c r="C324" s="931"/>
      <c r="D324" s="931"/>
      <c r="E324" s="931"/>
      <c r="F324" s="931"/>
      <c r="G324" s="931"/>
      <c r="H324" s="931"/>
      <c r="I324" s="931"/>
      <c r="J324" s="931"/>
    </row>
    <row r="325" spans="2:10" x14ac:dyDescent="0.2">
      <c r="B325" s="931"/>
      <c r="C325" s="931"/>
      <c r="D325" s="931"/>
      <c r="E325" s="931"/>
      <c r="F325" s="931"/>
      <c r="G325" s="931"/>
      <c r="H325" s="931"/>
      <c r="I325" s="931"/>
      <c r="J325" s="931"/>
    </row>
    <row r="326" spans="2:10" x14ac:dyDescent="0.2">
      <c r="B326" s="931"/>
      <c r="C326" s="931"/>
      <c r="D326" s="931"/>
      <c r="E326" s="931"/>
      <c r="F326" s="931"/>
      <c r="G326" s="931"/>
      <c r="H326" s="931"/>
      <c r="I326" s="931"/>
      <c r="J326" s="931"/>
    </row>
    <row r="327" spans="2:10" x14ac:dyDescent="0.2">
      <c r="B327" s="931"/>
      <c r="C327" s="931"/>
      <c r="D327" s="931"/>
      <c r="E327" s="931"/>
      <c r="F327" s="931"/>
      <c r="G327" s="931"/>
      <c r="H327" s="931"/>
      <c r="I327" s="931"/>
      <c r="J327" s="931"/>
    </row>
    <row r="328" spans="2:10" x14ac:dyDescent="0.2">
      <c r="B328" s="931"/>
      <c r="C328" s="931"/>
      <c r="D328" s="931"/>
      <c r="E328" s="931"/>
      <c r="F328" s="931"/>
      <c r="G328" s="931"/>
      <c r="H328" s="931"/>
      <c r="I328" s="931"/>
      <c r="J328" s="931"/>
    </row>
    <row r="329" spans="2:10" x14ac:dyDescent="0.2">
      <c r="B329" s="931"/>
      <c r="C329" s="931"/>
      <c r="D329" s="931"/>
      <c r="E329" s="931"/>
      <c r="F329" s="931"/>
      <c r="G329" s="931"/>
      <c r="H329" s="931"/>
      <c r="I329" s="931"/>
      <c r="J329" s="931"/>
    </row>
    <row r="330" spans="2:10" x14ac:dyDescent="0.2">
      <c r="B330" s="931"/>
      <c r="C330" s="931"/>
      <c r="D330" s="931"/>
      <c r="E330" s="931"/>
      <c r="F330" s="931"/>
      <c r="G330" s="931"/>
      <c r="H330" s="931"/>
      <c r="I330" s="931"/>
      <c r="J330" s="931"/>
    </row>
    <row r="331" spans="2:10" x14ac:dyDescent="0.2">
      <c r="B331" s="931"/>
      <c r="C331" s="931"/>
      <c r="D331" s="931"/>
      <c r="E331" s="931"/>
      <c r="F331" s="931"/>
      <c r="G331" s="931"/>
      <c r="H331" s="931"/>
      <c r="I331" s="931"/>
      <c r="J331" s="931"/>
    </row>
    <row r="332" spans="2:10" x14ac:dyDescent="0.2">
      <c r="B332" s="931"/>
      <c r="C332" s="931"/>
      <c r="D332" s="931"/>
      <c r="E332" s="931"/>
      <c r="F332" s="931"/>
      <c r="G332" s="931"/>
      <c r="H332" s="931"/>
      <c r="I332" s="931"/>
      <c r="J332" s="931"/>
    </row>
    <row r="333" spans="2:10" x14ac:dyDescent="0.2">
      <c r="B333" s="931"/>
      <c r="C333" s="931"/>
      <c r="D333" s="931"/>
      <c r="E333" s="931"/>
      <c r="F333" s="931"/>
      <c r="G333" s="931"/>
      <c r="H333" s="931"/>
      <c r="I333" s="931"/>
      <c r="J333" s="931"/>
    </row>
    <row r="334" spans="2:10" x14ac:dyDescent="0.2">
      <c r="B334" s="931"/>
      <c r="C334" s="931"/>
      <c r="D334" s="931"/>
      <c r="E334" s="931"/>
      <c r="F334" s="931"/>
      <c r="G334" s="931"/>
      <c r="H334" s="931"/>
      <c r="I334" s="931"/>
      <c r="J334" s="931"/>
    </row>
    <row r="335" spans="2:10" x14ac:dyDescent="0.2">
      <c r="B335" s="931"/>
      <c r="C335" s="931"/>
      <c r="D335" s="931"/>
      <c r="E335" s="931"/>
      <c r="F335" s="931"/>
      <c r="G335" s="931"/>
      <c r="H335" s="931"/>
      <c r="I335" s="931"/>
      <c r="J335" s="931"/>
    </row>
    <row r="336" spans="2:10" x14ac:dyDescent="0.2">
      <c r="B336" s="931"/>
      <c r="C336" s="931"/>
      <c r="D336" s="931"/>
      <c r="E336" s="931"/>
      <c r="F336" s="931"/>
      <c r="G336" s="931"/>
      <c r="H336" s="931"/>
      <c r="I336" s="931"/>
      <c r="J336" s="931"/>
    </row>
    <row r="337" spans="2:10" x14ac:dyDescent="0.2">
      <c r="B337" s="931"/>
      <c r="C337" s="931"/>
      <c r="D337" s="931"/>
      <c r="E337" s="931"/>
      <c r="F337" s="931"/>
      <c r="G337" s="931"/>
      <c r="H337" s="931"/>
      <c r="I337" s="931"/>
      <c r="J337" s="931"/>
    </row>
    <row r="338" spans="2:10" x14ac:dyDescent="0.2">
      <c r="B338" s="931"/>
      <c r="C338" s="931"/>
      <c r="D338" s="931"/>
      <c r="E338" s="931"/>
      <c r="F338" s="931"/>
      <c r="G338" s="931"/>
      <c r="H338" s="931"/>
      <c r="I338" s="931"/>
      <c r="J338" s="931"/>
    </row>
    <row r="339" spans="2:10" x14ac:dyDescent="0.2">
      <c r="B339" s="931"/>
      <c r="C339" s="931"/>
      <c r="D339" s="931"/>
      <c r="E339" s="931"/>
      <c r="F339" s="931"/>
      <c r="G339" s="931"/>
      <c r="H339" s="931"/>
      <c r="I339" s="931"/>
      <c r="J339" s="931"/>
    </row>
    <row r="340" spans="2:10" x14ac:dyDescent="0.2">
      <c r="B340" s="931"/>
      <c r="C340" s="931"/>
      <c r="D340" s="931"/>
      <c r="E340" s="931"/>
      <c r="F340" s="931"/>
      <c r="G340" s="931"/>
      <c r="H340" s="931"/>
      <c r="I340" s="931"/>
      <c r="J340" s="931"/>
    </row>
    <row r="341" spans="2:10" x14ac:dyDescent="0.2">
      <c r="B341" s="931"/>
      <c r="C341" s="931"/>
      <c r="D341" s="931"/>
      <c r="E341" s="931"/>
      <c r="F341" s="931"/>
      <c r="G341" s="931"/>
      <c r="H341" s="931"/>
      <c r="I341" s="931"/>
      <c r="J341" s="931"/>
    </row>
    <row r="342" spans="2:10" x14ac:dyDescent="0.2">
      <c r="B342" s="931"/>
      <c r="C342" s="931"/>
      <c r="D342" s="931"/>
      <c r="E342" s="931"/>
      <c r="F342" s="931"/>
      <c r="G342" s="931"/>
      <c r="H342" s="931"/>
      <c r="I342" s="931"/>
      <c r="J342" s="931"/>
    </row>
    <row r="343" spans="2:10" x14ac:dyDescent="0.2">
      <c r="B343" s="931"/>
      <c r="C343" s="931"/>
      <c r="D343" s="931"/>
      <c r="E343" s="931"/>
      <c r="F343" s="931"/>
      <c r="G343" s="931"/>
      <c r="H343" s="931"/>
      <c r="I343" s="931"/>
      <c r="J343" s="931"/>
    </row>
    <row r="344" spans="2:10" x14ac:dyDescent="0.2">
      <c r="B344" s="931"/>
      <c r="C344" s="931"/>
      <c r="D344" s="931"/>
      <c r="E344" s="931"/>
      <c r="F344" s="931"/>
      <c r="G344" s="931"/>
      <c r="H344" s="931"/>
      <c r="I344" s="931"/>
      <c r="J344" s="931"/>
    </row>
    <row r="345" spans="2:10" x14ac:dyDescent="0.2">
      <c r="B345" s="931"/>
      <c r="C345" s="931"/>
      <c r="D345" s="931"/>
      <c r="E345" s="931"/>
      <c r="F345" s="931"/>
      <c r="G345" s="931"/>
      <c r="H345" s="931"/>
      <c r="I345" s="931"/>
      <c r="J345" s="931"/>
    </row>
    <row r="346" spans="2:10" x14ac:dyDescent="0.2">
      <c r="B346" s="931"/>
      <c r="C346" s="931"/>
      <c r="D346" s="931"/>
      <c r="E346" s="931"/>
      <c r="F346" s="931"/>
      <c r="G346" s="931"/>
      <c r="H346" s="931"/>
      <c r="I346" s="931"/>
      <c r="J346" s="931"/>
    </row>
    <row r="347" spans="2:10" x14ac:dyDescent="0.2">
      <c r="B347" s="931"/>
      <c r="C347" s="931"/>
      <c r="D347" s="931"/>
      <c r="E347" s="931"/>
      <c r="F347" s="931"/>
      <c r="G347" s="931"/>
      <c r="H347" s="931"/>
      <c r="I347" s="931"/>
      <c r="J347" s="931"/>
    </row>
    <row r="348" spans="2:10" x14ac:dyDescent="0.2">
      <c r="B348" s="931"/>
      <c r="C348" s="931"/>
      <c r="D348" s="931"/>
      <c r="E348" s="931"/>
      <c r="F348" s="931"/>
      <c r="G348" s="931"/>
      <c r="H348" s="931"/>
      <c r="I348" s="931"/>
      <c r="J348" s="931"/>
    </row>
    <row r="349" spans="2:10" x14ac:dyDescent="0.2">
      <c r="B349" s="931"/>
      <c r="C349" s="931"/>
      <c r="D349" s="931"/>
      <c r="E349" s="931"/>
      <c r="F349" s="931"/>
      <c r="G349" s="931"/>
      <c r="H349" s="931"/>
      <c r="I349" s="931"/>
      <c r="J349" s="931"/>
    </row>
    <row r="350" spans="2:10" x14ac:dyDescent="0.2">
      <c r="B350" s="931"/>
      <c r="C350" s="931"/>
      <c r="D350" s="931"/>
      <c r="E350" s="931"/>
      <c r="F350" s="931"/>
      <c r="G350" s="931"/>
      <c r="H350" s="931"/>
      <c r="I350" s="931"/>
      <c r="J350" s="931"/>
    </row>
    <row r="351" spans="2:10" x14ac:dyDescent="0.2">
      <c r="B351" s="931"/>
      <c r="C351" s="931"/>
      <c r="D351" s="931"/>
      <c r="E351" s="931"/>
      <c r="F351" s="931"/>
      <c r="G351" s="931"/>
      <c r="H351" s="931"/>
      <c r="I351" s="931"/>
      <c r="J351" s="931"/>
    </row>
    <row r="352" spans="2:10" x14ac:dyDescent="0.2">
      <c r="B352" s="931"/>
      <c r="C352" s="931"/>
      <c r="D352" s="931"/>
      <c r="E352" s="931"/>
      <c r="F352" s="931"/>
      <c r="G352" s="931"/>
      <c r="H352" s="931"/>
      <c r="I352" s="931"/>
      <c r="J352" s="931"/>
    </row>
    <row r="353" spans="2:10" x14ac:dyDescent="0.2">
      <c r="B353" s="931"/>
      <c r="C353" s="931"/>
      <c r="D353" s="931"/>
      <c r="E353" s="931"/>
      <c r="F353" s="931"/>
      <c r="G353" s="931"/>
      <c r="H353" s="931"/>
      <c r="I353" s="931"/>
      <c r="J353" s="931"/>
    </row>
    <row r="354" spans="2:10" x14ac:dyDescent="0.2">
      <c r="B354" s="931"/>
      <c r="C354" s="931"/>
      <c r="D354" s="931"/>
      <c r="E354" s="931"/>
      <c r="F354" s="931"/>
      <c r="G354" s="931"/>
      <c r="H354" s="931"/>
      <c r="I354" s="931"/>
      <c r="J354" s="931"/>
    </row>
    <row r="355" spans="2:10" x14ac:dyDescent="0.2">
      <c r="B355" s="931"/>
      <c r="C355" s="931"/>
      <c r="D355" s="931"/>
      <c r="E355" s="931"/>
      <c r="F355" s="931"/>
      <c r="G355" s="931"/>
      <c r="H355" s="931"/>
      <c r="I355" s="931"/>
      <c r="J355" s="931"/>
    </row>
    <row r="356" spans="2:10" x14ac:dyDescent="0.2">
      <c r="B356" s="931"/>
      <c r="C356" s="931"/>
      <c r="D356" s="931"/>
      <c r="E356" s="931"/>
      <c r="F356" s="931"/>
      <c r="G356" s="931"/>
      <c r="H356" s="931"/>
      <c r="I356" s="931"/>
      <c r="J356" s="931"/>
    </row>
    <row r="357" spans="2:10" x14ac:dyDescent="0.2">
      <c r="B357" s="931"/>
      <c r="C357" s="931"/>
      <c r="D357" s="931"/>
      <c r="E357" s="931"/>
      <c r="F357" s="931"/>
      <c r="G357" s="931"/>
      <c r="H357" s="931"/>
      <c r="I357" s="931"/>
      <c r="J357" s="931"/>
    </row>
    <row r="358" spans="2:10" x14ac:dyDescent="0.2">
      <c r="B358" s="931"/>
      <c r="C358" s="931"/>
      <c r="D358" s="931"/>
      <c r="E358" s="931"/>
      <c r="F358" s="931"/>
      <c r="G358" s="931"/>
      <c r="H358" s="931"/>
      <c r="I358" s="931"/>
      <c r="J358" s="931"/>
    </row>
    <row r="359" spans="2:10" x14ac:dyDescent="0.2">
      <c r="B359" s="931"/>
      <c r="C359" s="931"/>
      <c r="D359" s="931"/>
      <c r="E359" s="931"/>
      <c r="F359" s="931"/>
      <c r="G359" s="931"/>
      <c r="H359" s="931"/>
      <c r="I359" s="931"/>
      <c r="J359" s="931"/>
    </row>
    <row r="360" spans="2:10" x14ac:dyDescent="0.2">
      <c r="B360" s="931"/>
      <c r="C360" s="931"/>
      <c r="D360" s="931"/>
      <c r="E360" s="931"/>
      <c r="F360" s="931"/>
      <c r="G360" s="931"/>
      <c r="H360" s="931"/>
      <c r="I360" s="931"/>
      <c r="J360" s="931"/>
    </row>
    <row r="361" spans="2:10" x14ac:dyDescent="0.2">
      <c r="B361" s="931"/>
      <c r="C361" s="931"/>
      <c r="D361" s="931"/>
      <c r="E361" s="931"/>
      <c r="F361" s="931"/>
      <c r="G361" s="931"/>
      <c r="H361" s="931"/>
      <c r="I361" s="931"/>
      <c r="J361" s="931"/>
    </row>
    <row r="362" spans="2:10" x14ac:dyDescent="0.2">
      <c r="B362" s="931"/>
      <c r="C362" s="931"/>
      <c r="D362" s="931"/>
      <c r="E362" s="931"/>
      <c r="F362" s="931"/>
      <c r="G362" s="931"/>
      <c r="H362" s="931"/>
      <c r="I362" s="931"/>
      <c r="J362" s="931"/>
    </row>
    <row r="363" spans="2:10" x14ac:dyDescent="0.2">
      <c r="B363" s="931"/>
      <c r="C363" s="931"/>
      <c r="D363" s="931"/>
      <c r="E363" s="931"/>
      <c r="F363" s="931"/>
      <c r="G363" s="931"/>
      <c r="H363" s="931"/>
      <c r="I363" s="931"/>
      <c r="J363" s="931"/>
    </row>
    <row r="364" spans="2:10" x14ac:dyDescent="0.2">
      <c r="B364" s="931"/>
      <c r="C364" s="931"/>
      <c r="D364" s="931"/>
      <c r="E364" s="931"/>
      <c r="F364" s="931"/>
      <c r="G364" s="931"/>
      <c r="H364" s="931"/>
      <c r="I364" s="931"/>
      <c r="J364" s="931"/>
    </row>
    <row r="365" spans="2:10" x14ac:dyDescent="0.2">
      <c r="B365" s="931"/>
      <c r="C365" s="931"/>
      <c r="D365" s="931"/>
      <c r="E365" s="931"/>
      <c r="F365" s="931"/>
      <c r="G365" s="931"/>
      <c r="H365" s="931"/>
      <c r="I365" s="931"/>
      <c r="J365" s="931"/>
    </row>
    <row r="366" spans="2:10" x14ac:dyDescent="0.2">
      <c r="B366" s="931"/>
      <c r="C366" s="931"/>
      <c r="D366" s="931"/>
      <c r="E366" s="931"/>
      <c r="F366" s="931"/>
      <c r="G366" s="931"/>
      <c r="H366" s="931"/>
      <c r="I366" s="931"/>
      <c r="J366" s="931"/>
    </row>
    <row r="367" spans="2:10" x14ac:dyDescent="0.2">
      <c r="B367" s="931"/>
      <c r="C367" s="931"/>
      <c r="D367" s="931"/>
      <c r="E367" s="931"/>
      <c r="F367" s="931"/>
      <c r="G367" s="931"/>
      <c r="H367" s="931"/>
      <c r="I367" s="931"/>
      <c r="J367" s="931"/>
    </row>
    <row r="368" spans="2:10" x14ac:dyDescent="0.2">
      <c r="B368" s="931"/>
      <c r="C368" s="931"/>
      <c r="D368" s="931"/>
      <c r="E368" s="931"/>
      <c r="F368" s="931"/>
      <c r="G368" s="931"/>
      <c r="H368" s="931"/>
      <c r="I368" s="931"/>
      <c r="J368" s="931"/>
    </row>
    <row r="369" spans="2:10" x14ac:dyDescent="0.2">
      <c r="B369" s="931"/>
      <c r="C369" s="931"/>
      <c r="D369" s="931"/>
      <c r="E369" s="931"/>
      <c r="F369" s="931"/>
      <c r="G369" s="931"/>
      <c r="H369" s="931"/>
      <c r="I369" s="931"/>
      <c r="J369" s="931"/>
    </row>
    <row r="370" spans="2:10" x14ac:dyDescent="0.2">
      <c r="B370" s="931"/>
      <c r="C370" s="931"/>
      <c r="D370" s="931"/>
      <c r="E370" s="931"/>
      <c r="F370" s="931"/>
      <c r="G370" s="931"/>
      <c r="H370" s="931"/>
      <c r="I370" s="931"/>
      <c r="J370" s="931"/>
    </row>
    <row r="371" spans="2:10" x14ac:dyDescent="0.2">
      <c r="B371" s="931"/>
      <c r="C371" s="931"/>
      <c r="D371" s="931"/>
      <c r="E371" s="931"/>
      <c r="F371" s="931"/>
      <c r="G371" s="931"/>
      <c r="H371" s="931"/>
      <c r="I371" s="931"/>
      <c r="J371" s="931"/>
    </row>
    <row r="372" spans="2:10" x14ac:dyDescent="0.2">
      <c r="B372" s="931"/>
      <c r="C372" s="931"/>
      <c r="D372" s="931"/>
      <c r="E372" s="931"/>
      <c r="F372" s="931"/>
      <c r="G372" s="931"/>
      <c r="H372" s="931"/>
      <c r="I372" s="931"/>
      <c r="J372" s="931"/>
    </row>
    <row r="373" spans="2:10" x14ac:dyDescent="0.2">
      <c r="B373" s="931"/>
      <c r="C373" s="931"/>
      <c r="D373" s="931"/>
      <c r="E373" s="931"/>
      <c r="F373" s="931"/>
      <c r="G373" s="931"/>
      <c r="H373" s="931"/>
      <c r="I373" s="931"/>
      <c r="J373" s="931"/>
    </row>
    <row r="374" spans="2:10" x14ac:dyDescent="0.2">
      <c r="B374" s="931"/>
      <c r="C374" s="931"/>
      <c r="D374" s="931"/>
      <c r="E374" s="931"/>
      <c r="F374" s="931"/>
      <c r="G374" s="931"/>
      <c r="H374" s="931"/>
      <c r="I374" s="931"/>
      <c r="J374" s="931"/>
    </row>
    <row r="375" spans="2:10" x14ac:dyDescent="0.2">
      <c r="B375" s="931"/>
      <c r="C375" s="931"/>
      <c r="D375" s="931"/>
      <c r="E375" s="931"/>
      <c r="F375" s="931"/>
      <c r="G375" s="931"/>
      <c r="H375" s="931"/>
      <c r="I375" s="931"/>
      <c r="J375" s="931"/>
    </row>
    <row r="376" spans="2:10" x14ac:dyDescent="0.2">
      <c r="B376" s="931"/>
      <c r="C376" s="931"/>
      <c r="D376" s="931"/>
      <c r="E376" s="931"/>
      <c r="F376" s="931"/>
      <c r="G376" s="931"/>
      <c r="H376" s="931"/>
      <c r="I376" s="931"/>
      <c r="J376" s="931"/>
    </row>
    <row r="377" spans="2:10" x14ac:dyDescent="0.2">
      <c r="B377" s="931"/>
      <c r="C377" s="931"/>
      <c r="D377" s="931"/>
      <c r="E377" s="931"/>
      <c r="F377" s="931"/>
      <c r="G377" s="931"/>
      <c r="H377" s="931"/>
      <c r="I377" s="931"/>
      <c r="J377" s="931"/>
    </row>
    <row r="378" spans="2:10" x14ac:dyDescent="0.2">
      <c r="B378" s="931"/>
      <c r="C378" s="931"/>
      <c r="D378" s="931"/>
      <c r="E378" s="931"/>
      <c r="F378" s="931"/>
      <c r="G378" s="931"/>
      <c r="H378" s="931"/>
      <c r="I378" s="931"/>
      <c r="J378" s="931"/>
    </row>
    <row r="379" spans="2:10" x14ac:dyDescent="0.2">
      <c r="B379" s="931"/>
      <c r="C379" s="931"/>
      <c r="D379" s="931"/>
      <c r="E379" s="931"/>
      <c r="F379" s="931"/>
      <c r="G379" s="931"/>
      <c r="H379" s="931"/>
      <c r="I379" s="931"/>
      <c r="J379" s="931"/>
    </row>
    <row r="380" spans="2:10" x14ac:dyDescent="0.2">
      <c r="B380" s="931"/>
      <c r="C380" s="931"/>
      <c r="D380" s="931"/>
      <c r="E380" s="931"/>
      <c r="F380" s="931"/>
      <c r="G380" s="931"/>
      <c r="H380" s="931"/>
      <c r="I380" s="931"/>
      <c r="J380" s="931"/>
    </row>
    <row r="381" spans="2:10" x14ac:dyDescent="0.2">
      <c r="B381" s="931"/>
      <c r="C381" s="931"/>
      <c r="D381" s="931"/>
      <c r="E381" s="931"/>
      <c r="F381" s="931"/>
      <c r="G381" s="931"/>
      <c r="H381" s="931"/>
      <c r="I381" s="931"/>
      <c r="J381" s="931"/>
    </row>
    <row r="382" spans="2:10" x14ac:dyDescent="0.2">
      <c r="B382" s="931"/>
      <c r="C382" s="931"/>
      <c r="D382" s="931"/>
      <c r="E382" s="931"/>
      <c r="F382" s="931"/>
      <c r="G382" s="931"/>
      <c r="H382" s="931"/>
      <c r="I382" s="931"/>
      <c r="J382" s="931"/>
    </row>
    <row r="383" spans="2:10" x14ac:dyDescent="0.2">
      <c r="B383" s="931"/>
      <c r="C383" s="931"/>
      <c r="D383" s="931"/>
      <c r="E383" s="931"/>
      <c r="F383" s="931"/>
      <c r="G383" s="931"/>
      <c r="H383" s="931"/>
      <c r="I383" s="931"/>
      <c r="J383" s="931"/>
    </row>
    <row r="384" spans="2:10" x14ac:dyDescent="0.2">
      <c r="B384" s="931"/>
      <c r="C384" s="931"/>
      <c r="D384" s="931"/>
      <c r="E384" s="931"/>
      <c r="F384" s="931"/>
      <c r="G384" s="931"/>
      <c r="H384" s="931"/>
      <c r="I384" s="931"/>
      <c r="J384" s="931"/>
    </row>
    <row r="385" spans="2:10" x14ac:dyDescent="0.2">
      <c r="B385" s="931"/>
      <c r="C385" s="931"/>
      <c r="D385" s="931"/>
      <c r="E385" s="931"/>
      <c r="F385" s="931"/>
      <c r="G385" s="931"/>
      <c r="H385" s="931"/>
      <c r="I385" s="931"/>
      <c r="J385" s="931"/>
    </row>
    <row r="386" spans="2:10" x14ac:dyDescent="0.2">
      <c r="B386" s="931"/>
      <c r="C386" s="931"/>
      <c r="D386" s="931"/>
      <c r="E386" s="931"/>
      <c r="F386" s="931"/>
      <c r="G386" s="931"/>
      <c r="H386" s="931"/>
      <c r="I386" s="931"/>
      <c r="J386" s="931"/>
    </row>
    <row r="387" spans="2:10" x14ac:dyDescent="0.2">
      <c r="B387" s="931"/>
      <c r="C387" s="931"/>
      <c r="D387" s="931"/>
      <c r="E387" s="931"/>
      <c r="F387" s="931"/>
      <c r="G387" s="931"/>
      <c r="H387" s="931"/>
      <c r="I387" s="931"/>
      <c r="J387" s="931"/>
    </row>
    <row r="388" spans="2:10" x14ac:dyDescent="0.2">
      <c r="B388" s="931"/>
      <c r="C388" s="931"/>
      <c r="D388" s="931"/>
      <c r="E388" s="931"/>
      <c r="F388" s="931"/>
      <c r="G388" s="931"/>
      <c r="H388" s="931"/>
      <c r="I388" s="931"/>
      <c r="J388" s="931"/>
    </row>
    <row r="389" spans="2:10" x14ac:dyDescent="0.2">
      <c r="B389" s="931"/>
      <c r="C389" s="931"/>
      <c r="D389" s="931"/>
      <c r="E389" s="931"/>
      <c r="F389" s="931"/>
      <c r="G389" s="931"/>
      <c r="H389" s="931"/>
      <c r="I389" s="931"/>
      <c r="J389" s="931"/>
    </row>
    <row r="390" spans="2:10" x14ac:dyDescent="0.2">
      <c r="B390" s="931"/>
      <c r="C390" s="931"/>
      <c r="D390" s="931"/>
      <c r="E390" s="931"/>
      <c r="F390" s="931"/>
      <c r="G390" s="931"/>
      <c r="H390" s="931"/>
      <c r="I390" s="931"/>
      <c r="J390" s="931"/>
    </row>
    <row r="391" spans="2:10" x14ac:dyDescent="0.2">
      <c r="B391" s="931"/>
      <c r="C391" s="931"/>
      <c r="D391" s="931"/>
      <c r="E391" s="931"/>
      <c r="F391" s="931"/>
      <c r="G391" s="931"/>
      <c r="H391" s="931"/>
      <c r="I391" s="931"/>
      <c r="J391" s="931"/>
    </row>
    <row r="392" spans="2:10" x14ac:dyDescent="0.2">
      <c r="B392" s="931"/>
      <c r="C392" s="931"/>
      <c r="D392" s="931"/>
      <c r="E392" s="931"/>
      <c r="F392" s="931"/>
      <c r="G392" s="931"/>
      <c r="H392" s="931"/>
      <c r="I392" s="931"/>
      <c r="J392" s="931"/>
    </row>
    <row r="393" spans="2:10" x14ac:dyDescent="0.2">
      <c r="B393" s="931"/>
      <c r="C393" s="931"/>
      <c r="D393" s="931"/>
      <c r="E393" s="931"/>
      <c r="F393" s="931"/>
      <c r="G393" s="931"/>
      <c r="H393" s="931"/>
      <c r="I393" s="931"/>
      <c r="J393" s="931"/>
    </row>
    <row r="394" spans="2:10" x14ac:dyDescent="0.2">
      <c r="B394" s="931"/>
      <c r="C394" s="931"/>
      <c r="D394" s="931"/>
      <c r="E394" s="931"/>
      <c r="F394" s="931"/>
      <c r="G394" s="931"/>
      <c r="H394" s="931"/>
      <c r="I394" s="931"/>
      <c r="J394" s="931"/>
    </row>
    <row r="395" spans="2:10" x14ac:dyDescent="0.2">
      <c r="B395" s="931"/>
      <c r="C395" s="931"/>
      <c r="D395" s="931"/>
      <c r="E395" s="931"/>
      <c r="F395" s="931"/>
      <c r="G395" s="931"/>
      <c r="H395" s="931"/>
      <c r="I395" s="931"/>
      <c r="J395" s="931"/>
    </row>
    <row r="396" spans="2:10" x14ac:dyDescent="0.2">
      <c r="B396" s="931"/>
      <c r="C396" s="931"/>
      <c r="D396" s="931"/>
      <c r="E396" s="931"/>
      <c r="F396" s="931"/>
      <c r="G396" s="931"/>
      <c r="H396" s="931"/>
      <c r="I396" s="931"/>
      <c r="J396" s="931"/>
    </row>
    <row r="397" spans="2:10" x14ac:dyDescent="0.2">
      <c r="B397" s="931"/>
      <c r="C397" s="931"/>
      <c r="D397" s="931"/>
      <c r="E397" s="931"/>
      <c r="F397" s="931"/>
      <c r="G397" s="931"/>
      <c r="H397" s="931"/>
      <c r="I397" s="931"/>
      <c r="J397" s="931"/>
    </row>
    <row r="398" spans="2:10" x14ac:dyDescent="0.2">
      <c r="B398" s="931"/>
      <c r="C398" s="931"/>
      <c r="D398" s="931"/>
      <c r="E398" s="931"/>
      <c r="F398" s="931"/>
      <c r="G398" s="931"/>
      <c r="H398" s="931"/>
      <c r="I398" s="931"/>
      <c r="J398" s="931"/>
    </row>
    <row r="399" spans="2:10" x14ac:dyDescent="0.2">
      <c r="B399" s="931"/>
      <c r="C399" s="931"/>
      <c r="D399" s="931"/>
      <c r="E399" s="931"/>
      <c r="F399" s="931"/>
      <c r="G399" s="931"/>
      <c r="H399" s="931"/>
      <c r="I399" s="931"/>
      <c r="J399" s="931"/>
    </row>
    <row r="400" spans="2:10" x14ac:dyDescent="0.2">
      <c r="B400" s="931"/>
      <c r="C400" s="931"/>
      <c r="D400" s="931"/>
      <c r="E400" s="931"/>
      <c r="F400" s="931"/>
      <c r="G400" s="931"/>
      <c r="H400" s="931"/>
      <c r="I400" s="931"/>
      <c r="J400" s="931"/>
    </row>
    <row r="401" spans="2:10" x14ac:dyDescent="0.2">
      <c r="B401" s="931"/>
      <c r="C401" s="931"/>
      <c r="D401" s="931"/>
      <c r="E401" s="931"/>
      <c r="F401" s="931"/>
      <c r="G401" s="931"/>
      <c r="H401" s="931"/>
      <c r="I401" s="931"/>
      <c r="J401" s="931"/>
    </row>
    <row r="402" spans="2:10" x14ac:dyDescent="0.2">
      <c r="B402" s="931"/>
      <c r="C402" s="931"/>
      <c r="D402" s="931"/>
      <c r="E402" s="931"/>
      <c r="F402" s="931"/>
      <c r="G402" s="931"/>
      <c r="H402" s="931"/>
      <c r="I402" s="931"/>
      <c r="J402" s="931"/>
    </row>
    <row r="403" spans="2:10" x14ac:dyDescent="0.2">
      <c r="B403" s="931"/>
      <c r="C403" s="931"/>
      <c r="D403" s="931"/>
      <c r="E403" s="931"/>
      <c r="F403" s="931"/>
      <c r="G403" s="931"/>
      <c r="H403" s="931"/>
      <c r="I403" s="931"/>
      <c r="J403" s="931"/>
    </row>
    <row r="404" spans="2:10" x14ac:dyDescent="0.2">
      <c r="B404" s="931"/>
      <c r="C404" s="931"/>
      <c r="D404" s="931"/>
      <c r="E404" s="931"/>
      <c r="F404" s="931"/>
      <c r="G404" s="931"/>
      <c r="H404" s="931"/>
      <c r="I404" s="931"/>
      <c r="J404" s="931"/>
    </row>
    <row r="405" spans="2:10" x14ac:dyDescent="0.2">
      <c r="B405" s="931"/>
      <c r="C405" s="931"/>
      <c r="D405" s="931"/>
      <c r="E405" s="931"/>
      <c r="F405" s="931"/>
      <c r="G405" s="931"/>
      <c r="H405" s="931"/>
      <c r="I405" s="931"/>
      <c r="J405" s="931"/>
    </row>
    <row r="406" spans="2:10" x14ac:dyDescent="0.2">
      <c r="B406" s="931"/>
      <c r="C406" s="931"/>
      <c r="D406" s="931"/>
      <c r="E406" s="931"/>
      <c r="F406" s="931"/>
      <c r="G406" s="931"/>
      <c r="H406" s="931"/>
      <c r="I406" s="931"/>
      <c r="J406" s="931"/>
    </row>
    <row r="407" spans="2:10" x14ac:dyDescent="0.2">
      <c r="B407" s="931"/>
      <c r="C407" s="931"/>
      <c r="D407" s="931"/>
      <c r="E407" s="931"/>
      <c r="F407" s="931"/>
      <c r="G407" s="931"/>
      <c r="H407" s="931"/>
      <c r="I407" s="931"/>
      <c r="J407" s="931"/>
    </row>
    <row r="408" spans="2:10" x14ac:dyDescent="0.2">
      <c r="B408" s="931"/>
      <c r="C408" s="931"/>
      <c r="D408" s="931"/>
      <c r="E408" s="931"/>
      <c r="F408" s="931"/>
      <c r="G408" s="931"/>
      <c r="H408" s="931"/>
      <c r="I408" s="931"/>
      <c r="J408" s="931"/>
    </row>
    <row r="409" spans="2:10" x14ac:dyDescent="0.2">
      <c r="B409" s="931"/>
      <c r="C409" s="931"/>
      <c r="D409" s="931"/>
      <c r="E409" s="931"/>
      <c r="F409" s="931"/>
      <c r="G409" s="931"/>
      <c r="H409" s="931"/>
      <c r="I409" s="931"/>
      <c r="J409" s="931"/>
    </row>
    <row r="410" spans="2:10" x14ac:dyDescent="0.2">
      <c r="B410" s="931"/>
      <c r="C410" s="931"/>
      <c r="D410" s="931"/>
      <c r="E410" s="931"/>
      <c r="F410" s="931"/>
      <c r="G410" s="931"/>
      <c r="H410" s="931"/>
      <c r="I410" s="931"/>
      <c r="J410" s="931"/>
    </row>
    <row r="411" spans="2:10" x14ac:dyDescent="0.2">
      <c r="B411" s="931"/>
      <c r="C411" s="931"/>
      <c r="D411" s="931"/>
      <c r="E411" s="931"/>
      <c r="F411" s="931"/>
      <c r="G411" s="931"/>
      <c r="H411" s="931"/>
      <c r="I411" s="931"/>
      <c r="J411" s="931"/>
    </row>
    <row r="412" spans="2:10" x14ac:dyDescent="0.2">
      <c r="B412" s="931"/>
      <c r="C412" s="931"/>
      <c r="D412" s="931"/>
      <c r="E412" s="931"/>
      <c r="F412" s="931"/>
      <c r="G412" s="931"/>
      <c r="H412" s="931"/>
      <c r="I412" s="931"/>
      <c r="J412" s="931"/>
    </row>
    <row r="413" spans="2:10" x14ac:dyDescent="0.2">
      <c r="B413" s="931"/>
      <c r="C413" s="931"/>
      <c r="D413" s="931"/>
      <c r="E413" s="931"/>
      <c r="F413" s="931"/>
      <c r="G413" s="931"/>
      <c r="H413" s="931"/>
      <c r="I413" s="931"/>
      <c r="J413" s="931"/>
    </row>
    <row r="414" spans="2:10" x14ac:dyDescent="0.2">
      <c r="B414" s="931"/>
      <c r="C414" s="931"/>
      <c r="D414" s="931"/>
      <c r="E414" s="931"/>
      <c r="F414" s="931"/>
      <c r="G414" s="931"/>
      <c r="H414" s="931"/>
      <c r="I414" s="931"/>
      <c r="J414" s="931"/>
    </row>
    <row r="415" spans="2:10" x14ac:dyDescent="0.2">
      <c r="B415" s="931"/>
      <c r="C415" s="931"/>
      <c r="D415" s="931"/>
      <c r="E415" s="931"/>
      <c r="F415" s="931"/>
      <c r="G415" s="931"/>
      <c r="H415" s="931"/>
      <c r="I415" s="931"/>
      <c r="J415" s="931"/>
    </row>
    <row r="416" spans="2:10" x14ac:dyDescent="0.2">
      <c r="B416" s="931"/>
      <c r="C416" s="931"/>
      <c r="D416" s="931"/>
      <c r="E416" s="931"/>
      <c r="F416" s="931"/>
      <c r="G416" s="931"/>
      <c r="H416" s="931"/>
      <c r="I416" s="931"/>
      <c r="J416" s="931"/>
    </row>
    <row r="417" spans="2:10" x14ac:dyDescent="0.2">
      <c r="B417" s="931"/>
      <c r="C417" s="931"/>
      <c r="D417" s="931"/>
      <c r="E417" s="931"/>
      <c r="F417" s="931"/>
      <c r="G417" s="931"/>
      <c r="H417" s="931"/>
      <c r="I417" s="931"/>
      <c r="J417" s="931"/>
    </row>
    <row r="418" spans="2:10" x14ac:dyDescent="0.2">
      <c r="B418" s="931"/>
      <c r="C418" s="931"/>
      <c r="D418" s="931"/>
      <c r="E418" s="931"/>
      <c r="F418" s="931"/>
      <c r="G418" s="931"/>
      <c r="H418" s="931"/>
      <c r="I418" s="931"/>
      <c r="J418" s="931"/>
    </row>
    <row r="419" spans="2:10" x14ac:dyDescent="0.2">
      <c r="B419" s="931"/>
      <c r="C419" s="931"/>
      <c r="D419" s="931"/>
      <c r="E419" s="931"/>
      <c r="F419" s="931"/>
      <c r="G419" s="931"/>
      <c r="H419" s="931"/>
      <c r="I419" s="931"/>
      <c r="J419" s="931"/>
    </row>
    <row r="420" spans="2:10" x14ac:dyDescent="0.2">
      <c r="B420" s="931"/>
      <c r="C420" s="931"/>
      <c r="D420" s="931"/>
      <c r="E420" s="931"/>
      <c r="F420" s="931"/>
      <c r="G420" s="931"/>
      <c r="H420" s="931"/>
      <c r="I420" s="931"/>
      <c r="J420" s="931"/>
    </row>
    <row r="421" spans="2:10" x14ac:dyDescent="0.2">
      <c r="B421" s="931"/>
      <c r="C421" s="931"/>
      <c r="D421" s="931"/>
      <c r="E421" s="931"/>
      <c r="F421" s="931"/>
      <c r="G421" s="931"/>
      <c r="H421" s="931"/>
      <c r="I421" s="931"/>
      <c r="J421" s="931"/>
    </row>
    <row r="422" spans="2:10" x14ac:dyDescent="0.2">
      <c r="B422" s="931"/>
      <c r="C422" s="931"/>
      <c r="D422" s="931"/>
      <c r="E422" s="931"/>
      <c r="F422" s="931"/>
      <c r="G422" s="931"/>
      <c r="H422" s="931"/>
      <c r="I422" s="931"/>
      <c r="J422" s="931"/>
    </row>
    <row r="423" spans="2:10" x14ac:dyDescent="0.2">
      <c r="B423" s="931"/>
      <c r="C423" s="931"/>
      <c r="D423" s="931"/>
      <c r="E423" s="931"/>
      <c r="F423" s="931"/>
      <c r="G423" s="931"/>
      <c r="H423" s="931"/>
      <c r="I423" s="931"/>
      <c r="J423" s="931"/>
    </row>
    <row r="424" spans="2:10" x14ac:dyDescent="0.2">
      <c r="B424" s="931"/>
      <c r="C424" s="931"/>
      <c r="D424" s="931"/>
      <c r="E424" s="931"/>
      <c r="F424" s="931"/>
      <c r="G424" s="931"/>
      <c r="H424" s="931"/>
      <c r="I424" s="931"/>
      <c r="J424" s="931"/>
    </row>
    <row r="425" spans="2:10" x14ac:dyDescent="0.2">
      <c r="B425" s="931"/>
      <c r="C425" s="931"/>
      <c r="D425" s="931"/>
      <c r="E425" s="931"/>
      <c r="F425" s="931"/>
      <c r="G425" s="931"/>
      <c r="H425" s="931"/>
      <c r="I425" s="931"/>
      <c r="J425" s="931"/>
    </row>
    <row r="426" spans="2:10" x14ac:dyDescent="0.2">
      <c r="B426" s="931"/>
      <c r="C426" s="931"/>
      <c r="D426" s="931"/>
      <c r="E426" s="931"/>
      <c r="F426" s="931"/>
      <c r="G426" s="931"/>
      <c r="H426" s="931"/>
      <c r="I426" s="931"/>
      <c r="J426" s="931"/>
    </row>
    <row r="427" spans="2:10" x14ac:dyDescent="0.2">
      <c r="B427" s="931"/>
      <c r="C427" s="931"/>
      <c r="D427" s="931"/>
      <c r="E427" s="931"/>
      <c r="F427" s="931"/>
      <c r="G427" s="931"/>
      <c r="H427" s="931"/>
      <c r="I427" s="931"/>
      <c r="J427" s="931"/>
    </row>
    <row r="428" spans="2:10" x14ac:dyDescent="0.2">
      <c r="B428" s="931"/>
      <c r="C428" s="931"/>
      <c r="D428" s="931"/>
      <c r="E428" s="931"/>
      <c r="F428" s="931"/>
      <c r="G428" s="931"/>
      <c r="H428" s="931"/>
      <c r="I428" s="931"/>
      <c r="J428" s="931"/>
    </row>
    <row r="429" spans="2:10" x14ac:dyDescent="0.2">
      <c r="B429" s="931"/>
      <c r="C429" s="931"/>
      <c r="D429" s="931"/>
      <c r="E429" s="931"/>
      <c r="F429" s="931"/>
      <c r="G429" s="931"/>
      <c r="H429" s="931"/>
      <c r="I429" s="931"/>
      <c r="J429" s="931"/>
    </row>
    <row r="430" spans="2:10" x14ac:dyDescent="0.2">
      <c r="B430" s="931"/>
      <c r="C430" s="931"/>
      <c r="D430" s="931"/>
      <c r="E430" s="931"/>
      <c r="F430" s="931"/>
      <c r="G430" s="931"/>
      <c r="H430" s="931"/>
      <c r="I430" s="931"/>
      <c r="J430" s="931"/>
    </row>
    <row r="431" spans="2:10" x14ac:dyDescent="0.2">
      <c r="B431" s="931"/>
      <c r="C431" s="931"/>
      <c r="D431" s="931"/>
      <c r="E431" s="931"/>
      <c r="F431" s="931"/>
      <c r="G431" s="931"/>
      <c r="H431" s="931"/>
      <c r="I431" s="931"/>
      <c r="J431" s="931"/>
    </row>
    <row r="432" spans="2:10" x14ac:dyDescent="0.2">
      <c r="B432" s="931"/>
      <c r="C432" s="931"/>
      <c r="D432" s="931"/>
      <c r="E432" s="931"/>
      <c r="F432" s="931"/>
      <c r="G432" s="931"/>
      <c r="H432" s="931"/>
      <c r="I432" s="931"/>
      <c r="J432" s="931"/>
    </row>
    <row r="433" spans="2:10" x14ac:dyDescent="0.2">
      <c r="B433" s="931"/>
      <c r="C433" s="931"/>
      <c r="D433" s="931"/>
      <c r="E433" s="931"/>
      <c r="F433" s="931"/>
      <c r="G433" s="931"/>
      <c r="H433" s="931"/>
      <c r="I433" s="931"/>
      <c r="J433" s="931"/>
    </row>
    <row r="434" spans="2:10" x14ac:dyDescent="0.2">
      <c r="B434" s="931"/>
      <c r="C434" s="931"/>
      <c r="D434" s="931"/>
      <c r="E434" s="931"/>
      <c r="F434" s="931"/>
      <c r="G434" s="931"/>
      <c r="H434" s="931"/>
      <c r="I434" s="931"/>
      <c r="J434" s="931"/>
    </row>
    <row r="435" spans="2:10" x14ac:dyDescent="0.2">
      <c r="B435" s="931"/>
      <c r="C435" s="931"/>
      <c r="D435" s="931"/>
      <c r="E435" s="931"/>
      <c r="F435" s="931"/>
      <c r="G435" s="931"/>
      <c r="H435" s="931"/>
      <c r="I435" s="931"/>
      <c r="J435" s="931"/>
    </row>
    <row r="436" spans="2:10" x14ac:dyDescent="0.2">
      <c r="B436" s="931"/>
      <c r="C436" s="931"/>
      <c r="D436" s="931"/>
      <c r="E436" s="931"/>
      <c r="F436" s="931"/>
      <c r="G436" s="931"/>
      <c r="H436" s="931"/>
      <c r="I436" s="931"/>
      <c r="J436" s="931"/>
    </row>
    <row r="437" spans="2:10" x14ac:dyDescent="0.2">
      <c r="B437" s="931"/>
      <c r="C437" s="931"/>
      <c r="D437" s="931"/>
      <c r="E437" s="931"/>
      <c r="F437" s="931"/>
      <c r="G437" s="931"/>
      <c r="H437" s="931"/>
      <c r="I437" s="931"/>
      <c r="J437" s="931"/>
    </row>
    <row r="438" spans="2:10" x14ac:dyDescent="0.2">
      <c r="B438" s="931"/>
      <c r="C438" s="931"/>
      <c r="D438" s="931"/>
      <c r="E438" s="931"/>
      <c r="F438" s="931"/>
      <c r="G438" s="931"/>
      <c r="H438" s="931"/>
      <c r="I438" s="931"/>
      <c r="J438" s="931"/>
    </row>
    <row r="439" spans="2:10" x14ac:dyDescent="0.2">
      <c r="B439" s="931"/>
      <c r="C439" s="931"/>
      <c r="D439" s="931"/>
      <c r="E439" s="931"/>
      <c r="F439" s="931"/>
      <c r="G439" s="931"/>
      <c r="H439" s="931"/>
      <c r="I439" s="931"/>
      <c r="J439" s="931"/>
    </row>
    <row r="440" spans="2:10" x14ac:dyDescent="0.2">
      <c r="B440" s="931"/>
      <c r="C440" s="931"/>
      <c r="D440" s="931"/>
      <c r="E440" s="931"/>
      <c r="F440" s="931"/>
      <c r="G440" s="931"/>
      <c r="H440" s="931"/>
      <c r="I440" s="931"/>
      <c r="J440" s="931"/>
    </row>
    <row r="441" spans="2:10" x14ac:dyDescent="0.2">
      <c r="B441" s="931"/>
      <c r="C441" s="931"/>
      <c r="D441" s="931"/>
      <c r="E441" s="931"/>
      <c r="F441" s="931"/>
      <c r="G441" s="931"/>
      <c r="H441" s="931"/>
      <c r="I441" s="931"/>
      <c r="J441" s="931"/>
    </row>
    <row r="442" spans="2:10" x14ac:dyDescent="0.2">
      <c r="B442" s="931"/>
      <c r="C442" s="931"/>
      <c r="D442" s="931"/>
      <c r="E442" s="931"/>
      <c r="F442" s="931"/>
      <c r="G442" s="931"/>
      <c r="H442" s="931"/>
      <c r="I442" s="931"/>
      <c r="J442" s="931"/>
    </row>
    <row r="443" spans="2:10" x14ac:dyDescent="0.2">
      <c r="B443" s="931"/>
      <c r="C443" s="931"/>
      <c r="D443" s="931"/>
      <c r="E443" s="931"/>
      <c r="F443" s="931"/>
      <c r="G443" s="931"/>
      <c r="H443" s="931"/>
      <c r="I443" s="931"/>
      <c r="J443" s="931"/>
    </row>
    <row r="444" spans="2:10" x14ac:dyDescent="0.2">
      <c r="B444" s="931"/>
      <c r="C444" s="931"/>
      <c r="D444" s="931"/>
      <c r="E444" s="931"/>
      <c r="F444" s="931"/>
      <c r="G444" s="931"/>
      <c r="H444" s="931"/>
      <c r="I444" s="931"/>
      <c r="J444" s="931"/>
    </row>
    <row r="445" spans="2:10" x14ac:dyDescent="0.2">
      <c r="B445" s="931"/>
      <c r="C445" s="931"/>
      <c r="D445" s="931"/>
      <c r="E445" s="931"/>
      <c r="F445" s="931"/>
      <c r="G445" s="931"/>
      <c r="H445" s="931"/>
      <c r="I445" s="931"/>
      <c r="J445" s="931"/>
    </row>
    <row r="446" spans="2:10" x14ac:dyDescent="0.2">
      <c r="B446" s="931"/>
      <c r="C446" s="931"/>
      <c r="D446" s="931"/>
      <c r="E446" s="931"/>
      <c r="F446" s="931"/>
      <c r="G446" s="931"/>
      <c r="H446" s="931"/>
      <c r="I446" s="931"/>
      <c r="J446" s="931"/>
    </row>
    <row r="447" spans="2:10" x14ac:dyDescent="0.2">
      <c r="B447" s="931"/>
      <c r="C447" s="931"/>
      <c r="D447" s="931"/>
      <c r="E447" s="931"/>
      <c r="F447" s="931"/>
      <c r="G447" s="931"/>
      <c r="H447" s="931"/>
      <c r="I447" s="931"/>
      <c r="J447" s="931"/>
    </row>
    <row r="448" spans="2:10" x14ac:dyDescent="0.2">
      <c r="B448" s="931"/>
      <c r="C448" s="931"/>
      <c r="D448" s="931"/>
      <c r="E448" s="931"/>
      <c r="F448" s="931"/>
      <c r="G448" s="931"/>
      <c r="H448" s="931"/>
      <c r="I448" s="931"/>
      <c r="J448" s="931"/>
    </row>
    <row r="449" spans="2:10" x14ac:dyDescent="0.2">
      <c r="B449" s="931"/>
      <c r="C449" s="931"/>
      <c r="D449" s="931"/>
      <c r="E449" s="931"/>
      <c r="F449" s="931"/>
      <c r="G449" s="931"/>
      <c r="H449" s="931"/>
      <c r="I449" s="931"/>
      <c r="J449" s="931"/>
    </row>
    <row r="450" spans="2:10" x14ac:dyDescent="0.2">
      <c r="B450" s="931"/>
      <c r="C450" s="931"/>
      <c r="D450" s="931"/>
      <c r="E450" s="931"/>
      <c r="F450" s="931"/>
      <c r="G450" s="931"/>
      <c r="H450" s="931"/>
      <c r="I450" s="931"/>
      <c r="J450" s="931"/>
    </row>
    <row r="451" spans="2:10" x14ac:dyDescent="0.2">
      <c r="B451" s="931"/>
      <c r="C451" s="931"/>
      <c r="D451" s="931"/>
      <c r="E451" s="931"/>
      <c r="F451" s="931"/>
      <c r="G451" s="931"/>
      <c r="H451" s="931"/>
      <c r="I451" s="931"/>
      <c r="J451" s="931"/>
    </row>
    <row r="452" spans="2:10" x14ac:dyDescent="0.2">
      <c r="B452" s="931"/>
      <c r="C452" s="931"/>
      <c r="D452" s="931"/>
      <c r="E452" s="931"/>
      <c r="F452" s="931"/>
      <c r="G452" s="931"/>
      <c r="H452" s="931"/>
      <c r="I452" s="931"/>
      <c r="J452" s="931"/>
    </row>
    <row r="453" spans="2:10" x14ac:dyDescent="0.2">
      <c r="B453" s="931"/>
      <c r="C453" s="931"/>
      <c r="D453" s="931"/>
      <c r="E453" s="931"/>
      <c r="F453" s="931"/>
      <c r="G453" s="931"/>
      <c r="H453" s="931"/>
      <c r="I453" s="931"/>
      <c r="J453" s="931"/>
    </row>
    <row r="454" spans="2:10" x14ac:dyDescent="0.2">
      <c r="B454" s="931"/>
      <c r="C454" s="931"/>
      <c r="D454" s="931"/>
      <c r="E454" s="931"/>
      <c r="F454" s="931"/>
      <c r="G454" s="931"/>
      <c r="H454" s="931"/>
      <c r="I454" s="931"/>
      <c r="J454" s="931"/>
    </row>
    <row r="455" spans="2:10" x14ac:dyDescent="0.2">
      <c r="B455" s="931"/>
      <c r="C455" s="931"/>
      <c r="D455" s="931"/>
      <c r="E455" s="931"/>
      <c r="F455" s="931"/>
      <c r="G455" s="931"/>
      <c r="H455" s="931"/>
      <c r="I455" s="931"/>
      <c r="J455" s="931"/>
    </row>
    <row r="456" spans="2:10" x14ac:dyDescent="0.2">
      <c r="B456" s="931"/>
      <c r="C456" s="931"/>
      <c r="D456" s="931"/>
      <c r="E456" s="931"/>
      <c r="F456" s="931"/>
      <c r="G456" s="931"/>
      <c r="H456" s="931"/>
      <c r="I456" s="931"/>
      <c r="J456" s="931"/>
    </row>
    <row r="457" spans="2:10" x14ac:dyDescent="0.2">
      <c r="B457" s="931"/>
      <c r="C457" s="931"/>
      <c r="D457" s="931"/>
      <c r="E457" s="931"/>
      <c r="F457" s="931"/>
      <c r="G457" s="931"/>
      <c r="H457" s="931"/>
      <c r="I457" s="931"/>
      <c r="J457" s="931"/>
    </row>
    <row r="458" spans="2:10" x14ac:dyDescent="0.2">
      <c r="B458" s="931"/>
      <c r="C458" s="931"/>
      <c r="D458" s="931"/>
      <c r="E458" s="931"/>
      <c r="F458" s="931"/>
      <c r="G458" s="931"/>
      <c r="H458" s="931"/>
      <c r="I458" s="931"/>
      <c r="J458" s="931"/>
    </row>
    <row r="459" spans="2:10" x14ac:dyDescent="0.2">
      <c r="B459" s="931"/>
      <c r="C459" s="931"/>
      <c r="D459" s="931"/>
      <c r="E459" s="931"/>
      <c r="F459" s="931"/>
      <c r="G459" s="931"/>
      <c r="H459" s="931"/>
      <c r="I459" s="931"/>
      <c r="J459" s="931"/>
    </row>
    <row r="460" spans="2:10" x14ac:dyDescent="0.2">
      <c r="B460" s="931"/>
      <c r="C460" s="931"/>
      <c r="D460" s="931"/>
      <c r="E460" s="931"/>
      <c r="F460" s="931"/>
      <c r="G460" s="931"/>
      <c r="H460" s="931"/>
      <c r="I460" s="931"/>
      <c r="J460" s="931"/>
    </row>
    <row r="461" spans="2:10" x14ac:dyDescent="0.2">
      <c r="B461" s="931"/>
      <c r="C461" s="931"/>
      <c r="D461" s="931"/>
      <c r="E461" s="931"/>
      <c r="F461" s="931"/>
      <c r="G461" s="931"/>
      <c r="H461" s="931"/>
      <c r="I461" s="931"/>
      <c r="J461" s="931"/>
    </row>
    <row r="462" spans="2:10" x14ac:dyDescent="0.2">
      <c r="B462" s="931"/>
      <c r="C462" s="931"/>
      <c r="D462" s="931"/>
      <c r="E462" s="931"/>
      <c r="F462" s="931"/>
      <c r="G462" s="931"/>
      <c r="H462" s="931"/>
      <c r="I462" s="931"/>
      <c r="J462" s="931"/>
    </row>
    <row r="463" spans="2:10" x14ac:dyDescent="0.2">
      <c r="B463" s="931"/>
      <c r="C463" s="931"/>
      <c r="D463" s="931"/>
      <c r="E463" s="931"/>
      <c r="F463" s="931"/>
      <c r="G463" s="931"/>
      <c r="H463" s="931"/>
      <c r="I463" s="931"/>
      <c r="J463" s="931"/>
    </row>
    <row r="464" spans="2:10" x14ac:dyDescent="0.2">
      <c r="B464" s="931"/>
      <c r="C464" s="931"/>
      <c r="D464" s="931"/>
      <c r="E464" s="931"/>
      <c r="F464" s="931"/>
      <c r="G464" s="931"/>
      <c r="H464" s="931"/>
      <c r="I464" s="931"/>
      <c r="J464" s="931"/>
    </row>
    <row r="465" spans="2:10" x14ac:dyDescent="0.2">
      <c r="B465" s="931"/>
      <c r="C465" s="931"/>
      <c r="D465" s="931"/>
      <c r="E465" s="931"/>
      <c r="F465" s="931"/>
      <c r="G465" s="931"/>
      <c r="H465" s="931"/>
      <c r="I465" s="931"/>
      <c r="J465" s="931"/>
    </row>
    <row r="466" spans="2:10" x14ac:dyDescent="0.2">
      <c r="B466" s="931"/>
      <c r="C466" s="931"/>
      <c r="D466" s="931"/>
      <c r="E466" s="931"/>
      <c r="F466" s="931"/>
      <c r="G466" s="931"/>
      <c r="H466" s="931"/>
      <c r="I466" s="931"/>
      <c r="J466" s="931"/>
    </row>
    <row r="467" spans="2:10" x14ac:dyDescent="0.2">
      <c r="B467" s="931"/>
      <c r="C467" s="931"/>
      <c r="D467" s="931"/>
      <c r="E467" s="931"/>
      <c r="F467" s="931"/>
      <c r="G467" s="931"/>
      <c r="H467" s="931"/>
      <c r="I467" s="931"/>
      <c r="J467" s="931"/>
    </row>
    <row r="468" spans="2:10" x14ac:dyDescent="0.2">
      <c r="B468" s="931"/>
      <c r="C468" s="931"/>
      <c r="D468" s="931"/>
      <c r="E468" s="931"/>
      <c r="F468" s="931"/>
      <c r="G468" s="931"/>
      <c r="H468" s="931"/>
      <c r="I468" s="931"/>
      <c r="J468" s="931"/>
    </row>
    <row r="469" spans="2:10" x14ac:dyDescent="0.2">
      <c r="B469" s="931"/>
      <c r="C469" s="931"/>
      <c r="D469" s="931"/>
      <c r="E469" s="931"/>
      <c r="F469" s="931"/>
      <c r="G469" s="931"/>
      <c r="H469" s="931"/>
      <c r="I469" s="931"/>
      <c r="J469" s="931"/>
    </row>
    <row r="470" spans="2:10" x14ac:dyDescent="0.2">
      <c r="B470" s="931"/>
      <c r="C470" s="931"/>
      <c r="D470" s="931"/>
      <c r="E470" s="931"/>
      <c r="F470" s="931"/>
      <c r="G470" s="931"/>
      <c r="H470" s="931"/>
      <c r="I470" s="931"/>
      <c r="J470" s="931"/>
    </row>
    <row r="471" spans="2:10" x14ac:dyDescent="0.2">
      <c r="B471" s="931"/>
      <c r="C471" s="931"/>
      <c r="D471" s="931"/>
      <c r="E471" s="931"/>
      <c r="F471" s="931"/>
      <c r="G471" s="931"/>
      <c r="H471" s="931"/>
      <c r="I471" s="931"/>
      <c r="J471" s="931"/>
    </row>
    <row r="472" spans="2:10" x14ac:dyDescent="0.2">
      <c r="B472" s="931"/>
      <c r="C472" s="931"/>
      <c r="D472" s="931"/>
      <c r="E472" s="931"/>
      <c r="F472" s="931"/>
      <c r="G472" s="931"/>
      <c r="H472" s="931"/>
      <c r="I472" s="931"/>
      <c r="J472" s="931"/>
    </row>
    <row r="473" spans="2:10" x14ac:dyDescent="0.2">
      <c r="B473" s="931"/>
      <c r="C473" s="931"/>
      <c r="D473" s="931"/>
      <c r="E473" s="931"/>
      <c r="F473" s="931"/>
      <c r="G473" s="931"/>
      <c r="H473" s="931"/>
      <c r="I473" s="931"/>
      <c r="J473" s="931"/>
    </row>
    <row r="474" spans="2:10" x14ac:dyDescent="0.2">
      <c r="B474" s="931"/>
      <c r="C474" s="931"/>
      <c r="D474" s="931"/>
      <c r="E474" s="931"/>
      <c r="F474" s="931"/>
      <c r="G474" s="931"/>
      <c r="H474" s="931"/>
      <c r="I474" s="931"/>
      <c r="J474" s="931"/>
    </row>
    <row r="475" spans="2:10" x14ac:dyDescent="0.2">
      <c r="B475" s="931"/>
      <c r="C475" s="931"/>
      <c r="D475" s="931"/>
      <c r="E475" s="931"/>
      <c r="F475" s="931"/>
      <c r="G475" s="931"/>
      <c r="H475" s="931"/>
      <c r="I475" s="931"/>
      <c r="J475" s="931"/>
    </row>
    <row r="476" spans="2:10" x14ac:dyDescent="0.2">
      <c r="B476" s="931"/>
      <c r="C476" s="931"/>
      <c r="D476" s="931"/>
      <c r="E476" s="931"/>
      <c r="F476" s="931"/>
      <c r="G476" s="931"/>
      <c r="H476" s="931"/>
      <c r="I476" s="931"/>
      <c r="J476" s="931"/>
    </row>
    <row r="477" spans="2:10" x14ac:dyDescent="0.2">
      <c r="B477" s="931"/>
      <c r="C477" s="931"/>
      <c r="D477" s="931"/>
      <c r="E477" s="931"/>
      <c r="F477" s="931"/>
      <c r="G477" s="931"/>
      <c r="H477" s="931"/>
      <c r="I477" s="931"/>
      <c r="J477" s="931"/>
    </row>
    <row r="478" spans="2:10" x14ac:dyDescent="0.2">
      <c r="B478" s="931"/>
      <c r="C478" s="931"/>
      <c r="D478" s="931"/>
      <c r="E478" s="931"/>
      <c r="F478" s="931"/>
      <c r="G478" s="931"/>
      <c r="H478" s="931"/>
      <c r="I478" s="931"/>
      <c r="J478" s="931"/>
    </row>
    <row r="479" spans="2:10" x14ac:dyDescent="0.2">
      <c r="B479" s="931"/>
      <c r="C479" s="931"/>
      <c r="D479" s="931"/>
      <c r="E479" s="931"/>
      <c r="F479" s="931"/>
      <c r="G479" s="931"/>
      <c r="H479" s="931"/>
      <c r="I479" s="931"/>
      <c r="J479" s="931"/>
    </row>
    <row r="480" spans="2:10" x14ac:dyDescent="0.2">
      <c r="B480" s="931"/>
      <c r="C480" s="931"/>
      <c r="D480" s="931"/>
      <c r="E480" s="931"/>
      <c r="F480" s="931"/>
      <c r="G480" s="931"/>
      <c r="H480" s="931"/>
      <c r="I480" s="931"/>
      <c r="J480" s="931"/>
    </row>
    <row r="481" spans="2:10" x14ac:dyDescent="0.2">
      <c r="B481" s="931"/>
      <c r="C481" s="931"/>
      <c r="D481" s="931"/>
      <c r="E481" s="931"/>
      <c r="F481" s="931"/>
      <c r="G481" s="931"/>
      <c r="H481" s="931"/>
      <c r="I481" s="931"/>
      <c r="J481" s="931"/>
    </row>
    <row r="482" spans="2:10" x14ac:dyDescent="0.2">
      <c r="B482" s="931"/>
      <c r="C482" s="931"/>
      <c r="D482" s="931"/>
      <c r="E482" s="931"/>
      <c r="F482" s="931"/>
      <c r="G482" s="931"/>
      <c r="H482" s="931"/>
      <c r="I482" s="931"/>
      <c r="J482" s="931"/>
    </row>
    <row r="483" spans="2:10" x14ac:dyDescent="0.2">
      <c r="B483" s="931"/>
      <c r="C483" s="931"/>
      <c r="D483" s="931"/>
      <c r="E483" s="931"/>
      <c r="F483" s="931"/>
      <c r="G483" s="931"/>
      <c r="H483" s="931"/>
      <c r="I483" s="931"/>
      <c r="J483" s="931"/>
    </row>
    <row r="484" spans="2:10" x14ac:dyDescent="0.2">
      <c r="B484" s="931"/>
      <c r="C484" s="931"/>
      <c r="D484" s="931"/>
      <c r="E484" s="931"/>
      <c r="F484" s="931"/>
      <c r="G484" s="931"/>
      <c r="H484" s="931"/>
      <c r="I484" s="931"/>
      <c r="J484" s="931"/>
    </row>
    <row r="485" spans="2:10" x14ac:dyDescent="0.2">
      <c r="B485" s="931"/>
      <c r="C485" s="931"/>
      <c r="D485" s="931"/>
      <c r="E485" s="931"/>
      <c r="F485" s="931"/>
      <c r="G485" s="931"/>
      <c r="H485" s="931"/>
      <c r="I485" s="931"/>
      <c r="J485" s="931"/>
    </row>
    <row r="486" spans="2:10" x14ac:dyDescent="0.2">
      <c r="B486" s="931"/>
      <c r="C486" s="931"/>
      <c r="D486" s="931"/>
      <c r="E486" s="931"/>
      <c r="F486" s="931"/>
      <c r="G486" s="931"/>
      <c r="H486" s="931"/>
      <c r="I486" s="931"/>
      <c r="J486" s="931"/>
    </row>
    <row r="487" spans="2:10" x14ac:dyDescent="0.2">
      <c r="B487" s="931"/>
      <c r="C487" s="931"/>
      <c r="D487" s="931"/>
      <c r="E487" s="931"/>
      <c r="F487" s="931"/>
      <c r="G487" s="931"/>
      <c r="H487" s="931"/>
      <c r="I487" s="931"/>
      <c r="J487" s="931"/>
    </row>
    <row r="488" spans="2:10" x14ac:dyDescent="0.2">
      <c r="B488" s="931"/>
      <c r="C488" s="931"/>
      <c r="D488" s="931"/>
      <c r="E488" s="931"/>
      <c r="F488" s="931"/>
      <c r="G488" s="931"/>
      <c r="H488" s="931"/>
      <c r="I488" s="931"/>
      <c r="J488" s="931"/>
    </row>
    <row r="489" spans="2:10" x14ac:dyDescent="0.2">
      <c r="B489" s="931"/>
      <c r="C489" s="931"/>
      <c r="D489" s="931"/>
      <c r="E489" s="931"/>
      <c r="F489" s="931"/>
      <c r="G489" s="931"/>
      <c r="H489" s="931"/>
      <c r="I489" s="931"/>
      <c r="J489" s="931"/>
    </row>
    <row r="490" spans="2:10" x14ac:dyDescent="0.2">
      <c r="B490" s="931"/>
      <c r="C490" s="931"/>
      <c r="D490" s="931"/>
      <c r="E490" s="931"/>
      <c r="F490" s="931"/>
      <c r="G490" s="931"/>
      <c r="H490" s="931"/>
      <c r="I490" s="931"/>
      <c r="J490" s="931"/>
    </row>
    <row r="491" spans="2:10" x14ac:dyDescent="0.2">
      <c r="B491" s="931"/>
      <c r="C491" s="931"/>
      <c r="D491" s="931"/>
      <c r="E491" s="931"/>
      <c r="F491" s="931"/>
      <c r="G491" s="931"/>
      <c r="H491" s="931"/>
      <c r="I491" s="931"/>
      <c r="J491" s="931"/>
    </row>
    <row r="492" spans="2:10" x14ac:dyDescent="0.2">
      <c r="B492" s="931"/>
      <c r="C492" s="931"/>
      <c r="D492" s="931"/>
      <c r="E492" s="931"/>
      <c r="F492" s="931"/>
      <c r="G492" s="931"/>
      <c r="H492" s="931"/>
      <c r="I492" s="931"/>
      <c r="J492" s="931"/>
    </row>
    <row r="493" spans="2:10" x14ac:dyDescent="0.2">
      <c r="B493" s="931"/>
      <c r="C493" s="931"/>
      <c r="D493" s="931"/>
      <c r="E493" s="931"/>
      <c r="F493" s="931"/>
      <c r="G493" s="931"/>
      <c r="H493" s="931"/>
      <c r="I493" s="931"/>
      <c r="J493" s="931"/>
    </row>
    <row r="494" spans="2:10" x14ac:dyDescent="0.2">
      <c r="B494" s="931"/>
      <c r="C494" s="931"/>
      <c r="D494" s="931"/>
      <c r="E494" s="931"/>
      <c r="F494" s="931"/>
      <c r="G494" s="931"/>
      <c r="H494" s="931"/>
      <c r="I494" s="931"/>
      <c r="J494" s="931"/>
    </row>
    <row r="495" spans="2:10" x14ac:dyDescent="0.2">
      <c r="B495" s="931"/>
      <c r="C495" s="931"/>
      <c r="D495" s="931"/>
      <c r="E495" s="931"/>
      <c r="F495" s="931"/>
      <c r="G495" s="931"/>
      <c r="H495" s="931"/>
      <c r="I495" s="931"/>
      <c r="J495" s="931"/>
    </row>
    <row r="496" spans="2:10" x14ac:dyDescent="0.2">
      <c r="B496" s="931"/>
      <c r="C496" s="931"/>
      <c r="D496" s="931"/>
      <c r="E496" s="931"/>
      <c r="F496" s="931"/>
      <c r="G496" s="931"/>
      <c r="H496" s="931"/>
      <c r="I496" s="931"/>
      <c r="J496" s="931"/>
    </row>
    <row r="497" spans="2:10" x14ac:dyDescent="0.2">
      <c r="B497" s="931"/>
      <c r="C497" s="931"/>
      <c r="D497" s="931"/>
      <c r="E497" s="931"/>
      <c r="F497" s="931"/>
      <c r="G497" s="931"/>
      <c r="H497" s="931"/>
      <c r="I497" s="931"/>
      <c r="J497" s="931"/>
    </row>
    <row r="498" spans="2:10" x14ac:dyDescent="0.2">
      <c r="B498" s="931"/>
      <c r="C498" s="931"/>
      <c r="D498" s="931"/>
      <c r="E498" s="931"/>
      <c r="F498" s="931"/>
      <c r="G498" s="931"/>
      <c r="H498" s="931"/>
      <c r="I498" s="931"/>
      <c r="J498" s="931"/>
    </row>
    <row r="499" spans="2:10" x14ac:dyDescent="0.2">
      <c r="B499" s="931"/>
      <c r="C499" s="931"/>
      <c r="D499" s="931"/>
      <c r="E499" s="931"/>
      <c r="F499" s="931"/>
      <c r="G499" s="931"/>
      <c r="H499" s="931"/>
      <c r="I499" s="931"/>
      <c r="J499" s="931"/>
    </row>
    <row r="500" spans="2:10" x14ac:dyDescent="0.2">
      <c r="B500" s="931"/>
      <c r="C500" s="931"/>
      <c r="D500" s="931"/>
      <c r="E500" s="931"/>
      <c r="F500" s="931"/>
      <c r="G500" s="931"/>
      <c r="H500" s="931"/>
      <c r="I500" s="931"/>
      <c r="J500" s="931"/>
    </row>
    <row r="501" spans="2:10" x14ac:dyDescent="0.2">
      <c r="B501" s="931"/>
      <c r="C501" s="931"/>
      <c r="D501" s="931"/>
      <c r="E501" s="931"/>
      <c r="F501" s="931"/>
      <c r="G501" s="931"/>
      <c r="H501" s="931"/>
      <c r="I501" s="931"/>
      <c r="J501" s="931"/>
    </row>
    <row r="502" spans="2:10" x14ac:dyDescent="0.2">
      <c r="B502" s="931"/>
      <c r="C502" s="931"/>
      <c r="D502" s="931"/>
      <c r="E502" s="931"/>
      <c r="F502" s="931"/>
      <c r="G502" s="931"/>
      <c r="H502" s="931"/>
      <c r="I502" s="931"/>
      <c r="J502" s="931"/>
    </row>
    <row r="503" spans="2:10" x14ac:dyDescent="0.2">
      <c r="B503" s="931"/>
      <c r="C503" s="931"/>
      <c r="D503" s="931"/>
      <c r="E503" s="931"/>
      <c r="F503" s="931"/>
      <c r="G503" s="931"/>
      <c r="H503" s="931"/>
      <c r="I503" s="931"/>
      <c r="J503" s="931"/>
    </row>
    <row r="504" spans="2:10" x14ac:dyDescent="0.2">
      <c r="B504" s="931"/>
      <c r="C504" s="931"/>
      <c r="D504" s="931"/>
      <c r="E504" s="931"/>
      <c r="F504" s="931"/>
      <c r="G504" s="931"/>
      <c r="H504" s="931"/>
      <c r="I504" s="931"/>
      <c r="J504" s="931"/>
    </row>
    <row r="505" spans="2:10" x14ac:dyDescent="0.2">
      <c r="B505" s="931"/>
      <c r="C505" s="931"/>
      <c r="D505" s="931"/>
      <c r="E505" s="931"/>
      <c r="F505" s="931"/>
      <c r="G505" s="931"/>
      <c r="H505" s="931"/>
      <c r="I505" s="931"/>
      <c r="J505" s="931"/>
    </row>
    <row r="506" spans="2:10" x14ac:dyDescent="0.2">
      <c r="B506" s="931"/>
      <c r="C506" s="931"/>
      <c r="D506" s="931"/>
      <c r="E506" s="931"/>
      <c r="F506" s="931"/>
      <c r="G506" s="931"/>
      <c r="H506" s="931"/>
      <c r="I506" s="931"/>
      <c r="J506" s="931"/>
    </row>
    <row r="507" spans="2:10" x14ac:dyDescent="0.2">
      <c r="B507" s="931"/>
      <c r="C507" s="931"/>
      <c r="D507" s="931"/>
      <c r="E507" s="931"/>
      <c r="F507" s="931"/>
      <c r="G507" s="931"/>
      <c r="H507" s="931"/>
      <c r="I507" s="931"/>
      <c r="J507" s="931"/>
    </row>
    <row r="508" spans="2:10" x14ac:dyDescent="0.2">
      <c r="B508" s="931"/>
      <c r="C508" s="931"/>
      <c r="D508" s="931"/>
      <c r="E508" s="931"/>
      <c r="F508" s="931"/>
      <c r="G508" s="931"/>
      <c r="H508" s="931"/>
      <c r="I508" s="931"/>
      <c r="J508" s="931"/>
    </row>
    <row r="509" spans="2:10" x14ac:dyDescent="0.2">
      <c r="B509" s="931"/>
      <c r="C509" s="931"/>
      <c r="D509" s="931"/>
      <c r="E509" s="931"/>
      <c r="F509" s="931"/>
      <c r="G509" s="931"/>
      <c r="H509" s="931"/>
      <c r="I509" s="931"/>
      <c r="J509" s="931"/>
    </row>
    <row r="510" spans="2:10" x14ac:dyDescent="0.2">
      <c r="B510" s="931"/>
      <c r="C510" s="931"/>
      <c r="D510" s="931"/>
      <c r="E510" s="931"/>
      <c r="F510" s="931"/>
      <c r="G510" s="931"/>
      <c r="H510" s="931"/>
      <c r="I510" s="931"/>
      <c r="J510" s="931"/>
    </row>
    <row r="511" spans="2:10" x14ac:dyDescent="0.2">
      <c r="B511" s="931"/>
      <c r="C511" s="931"/>
      <c r="D511" s="931"/>
      <c r="E511" s="931"/>
      <c r="F511" s="931"/>
      <c r="G511" s="931"/>
      <c r="H511" s="931"/>
      <c r="I511" s="931"/>
      <c r="J511" s="931"/>
    </row>
    <row r="512" spans="2:10" x14ac:dyDescent="0.2">
      <c r="B512" s="931"/>
      <c r="C512" s="931"/>
      <c r="D512" s="931"/>
      <c r="E512" s="931"/>
      <c r="F512" s="931"/>
      <c r="G512" s="931"/>
      <c r="H512" s="931"/>
      <c r="I512" s="931"/>
      <c r="J512" s="931"/>
    </row>
    <row r="513" spans="2:10" x14ac:dyDescent="0.2">
      <c r="B513" s="931"/>
      <c r="C513" s="931"/>
      <c r="D513" s="931"/>
      <c r="E513" s="931"/>
      <c r="F513" s="931"/>
      <c r="G513" s="931"/>
      <c r="H513" s="931"/>
      <c r="I513" s="931"/>
      <c r="J513" s="931"/>
    </row>
    <row r="514" spans="2:10" x14ac:dyDescent="0.2">
      <c r="B514" s="931"/>
      <c r="C514" s="931"/>
      <c r="D514" s="931"/>
      <c r="E514" s="931"/>
      <c r="F514" s="931"/>
      <c r="G514" s="931"/>
      <c r="H514" s="931"/>
      <c r="I514" s="931"/>
      <c r="J514" s="931"/>
    </row>
    <row r="515" spans="2:10" x14ac:dyDescent="0.2">
      <c r="B515" s="931"/>
      <c r="C515" s="931"/>
      <c r="D515" s="931"/>
      <c r="E515" s="931"/>
      <c r="F515" s="931"/>
      <c r="G515" s="931"/>
      <c r="H515" s="931"/>
      <c r="I515" s="931"/>
      <c r="J515" s="931"/>
    </row>
    <row r="516" spans="2:10" x14ac:dyDescent="0.2">
      <c r="B516" s="931"/>
      <c r="C516" s="931"/>
      <c r="D516" s="931"/>
      <c r="E516" s="931"/>
      <c r="F516" s="931"/>
      <c r="G516" s="931"/>
      <c r="H516" s="931"/>
      <c r="I516" s="931"/>
      <c r="J516" s="931"/>
    </row>
    <row r="517" spans="2:10" x14ac:dyDescent="0.2">
      <c r="B517" s="931"/>
      <c r="C517" s="931"/>
      <c r="D517" s="931"/>
      <c r="E517" s="931"/>
      <c r="F517" s="931"/>
      <c r="G517" s="931"/>
      <c r="H517" s="931"/>
      <c r="I517" s="931"/>
      <c r="J517" s="931"/>
    </row>
    <row r="518" spans="2:10" x14ac:dyDescent="0.2">
      <c r="B518" s="931"/>
      <c r="C518" s="931"/>
      <c r="D518" s="931"/>
      <c r="E518" s="931"/>
      <c r="F518" s="931"/>
      <c r="G518" s="931"/>
      <c r="H518" s="931"/>
      <c r="I518" s="931"/>
      <c r="J518" s="931"/>
    </row>
    <row r="519" spans="2:10" x14ac:dyDescent="0.2">
      <c r="B519" s="931"/>
      <c r="C519" s="931"/>
      <c r="D519" s="931"/>
      <c r="E519" s="931"/>
      <c r="F519" s="931"/>
      <c r="G519" s="931"/>
      <c r="H519" s="931"/>
      <c r="I519" s="931"/>
      <c r="J519" s="931"/>
    </row>
    <row r="520" spans="2:10" x14ac:dyDescent="0.2">
      <c r="B520" s="931"/>
      <c r="C520" s="931"/>
      <c r="D520" s="931"/>
      <c r="E520" s="931"/>
      <c r="F520" s="931"/>
      <c r="G520" s="931"/>
      <c r="H520" s="931"/>
      <c r="I520" s="931"/>
      <c r="J520" s="931"/>
    </row>
    <row r="521" spans="2:10" x14ac:dyDescent="0.2">
      <c r="B521" s="931"/>
      <c r="C521" s="931"/>
      <c r="D521" s="931"/>
      <c r="E521" s="931"/>
      <c r="F521" s="931"/>
      <c r="G521" s="931"/>
      <c r="H521" s="931"/>
      <c r="I521" s="931"/>
      <c r="J521" s="931"/>
    </row>
    <row r="522" spans="2:10" x14ac:dyDescent="0.2">
      <c r="B522" s="931"/>
      <c r="C522" s="931"/>
      <c r="D522" s="931"/>
      <c r="E522" s="931"/>
      <c r="F522" s="931"/>
      <c r="G522" s="931"/>
      <c r="H522" s="931"/>
      <c r="I522" s="931"/>
      <c r="J522" s="931"/>
    </row>
    <row r="523" spans="2:10" x14ac:dyDescent="0.2">
      <c r="B523" s="931"/>
      <c r="C523" s="931"/>
      <c r="D523" s="931"/>
      <c r="E523" s="931"/>
      <c r="F523" s="931"/>
      <c r="G523" s="931"/>
      <c r="H523" s="931"/>
      <c r="I523" s="931"/>
      <c r="J523" s="931"/>
    </row>
    <row r="524" spans="2:10" x14ac:dyDescent="0.2">
      <c r="B524" s="931"/>
      <c r="C524" s="931"/>
      <c r="D524" s="931"/>
      <c r="E524" s="931"/>
      <c r="F524" s="931"/>
      <c r="G524" s="931"/>
      <c r="H524" s="931"/>
      <c r="I524" s="931"/>
      <c r="J524" s="931"/>
    </row>
    <row r="525" spans="2:10" x14ac:dyDescent="0.2">
      <c r="B525" s="931"/>
      <c r="C525" s="931"/>
      <c r="D525" s="931"/>
      <c r="E525" s="931"/>
      <c r="F525" s="931"/>
      <c r="G525" s="931"/>
      <c r="H525" s="931"/>
      <c r="I525" s="931"/>
      <c r="J525" s="931"/>
    </row>
    <row r="526" spans="2:10" x14ac:dyDescent="0.2">
      <c r="B526" s="931"/>
      <c r="C526" s="931"/>
      <c r="D526" s="931"/>
      <c r="E526" s="931"/>
      <c r="F526" s="931"/>
      <c r="G526" s="931"/>
      <c r="H526" s="931"/>
      <c r="I526" s="931"/>
      <c r="J526" s="931"/>
    </row>
    <row r="527" spans="2:10" x14ac:dyDescent="0.2">
      <c r="B527" s="931"/>
      <c r="C527" s="931"/>
      <c r="D527" s="931"/>
      <c r="E527" s="931"/>
      <c r="F527" s="931"/>
      <c r="G527" s="931"/>
      <c r="H527" s="931"/>
      <c r="I527" s="931"/>
      <c r="J527" s="931"/>
    </row>
    <row r="528" spans="2:10" x14ac:dyDescent="0.2">
      <c r="B528" s="931"/>
      <c r="C528" s="931"/>
      <c r="D528" s="931"/>
      <c r="E528" s="931"/>
      <c r="F528" s="931"/>
      <c r="G528" s="931"/>
      <c r="H528" s="931"/>
      <c r="I528" s="931"/>
      <c r="J528" s="931"/>
    </row>
    <row r="529" spans="2:10" x14ac:dyDescent="0.2">
      <c r="B529" s="931"/>
      <c r="C529" s="931"/>
      <c r="D529" s="931"/>
      <c r="E529" s="931"/>
      <c r="F529" s="931"/>
      <c r="G529" s="931"/>
      <c r="H529" s="931"/>
      <c r="I529" s="931"/>
      <c r="J529" s="931"/>
    </row>
    <row r="530" spans="2:10" x14ac:dyDescent="0.2">
      <c r="B530" s="931"/>
      <c r="C530" s="931"/>
      <c r="D530" s="931"/>
      <c r="E530" s="931"/>
      <c r="F530" s="931"/>
      <c r="G530" s="931"/>
      <c r="H530" s="931"/>
      <c r="I530" s="931"/>
      <c r="J530" s="931"/>
    </row>
    <row r="531" spans="2:10" x14ac:dyDescent="0.2">
      <c r="B531" s="931"/>
      <c r="C531" s="931"/>
      <c r="D531" s="931"/>
      <c r="E531" s="931"/>
      <c r="F531" s="931"/>
      <c r="G531" s="931"/>
      <c r="H531" s="931"/>
      <c r="I531" s="931"/>
      <c r="J531" s="931"/>
    </row>
    <row r="532" spans="2:10" x14ac:dyDescent="0.2">
      <c r="B532" s="931"/>
      <c r="C532" s="931"/>
      <c r="D532" s="931"/>
      <c r="E532" s="931"/>
      <c r="F532" s="931"/>
      <c r="G532" s="931"/>
      <c r="H532" s="931"/>
      <c r="I532" s="931"/>
      <c r="J532" s="931"/>
    </row>
    <row r="533" spans="2:10" x14ac:dyDescent="0.2">
      <c r="B533" s="931"/>
      <c r="C533" s="931"/>
      <c r="D533" s="931"/>
      <c r="E533" s="931"/>
      <c r="F533" s="931"/>
      <c r="G533" s="931"/>
      <c r="H533" s="931"/>
      <c r="I533" s="931"/>
      <c r="J533" s="931"/>
    </row>
    <row r="534" spans="2:10" x14ac:dyDescent="0.2">
      <c r="B534" s="931"/>
      <c r="C534" s="931"/>
      <c r="D534" s="931"/>
      <c r="E534" s="931"/>
      <c r="F534" s="931"/>
      <c r="G534" s="931"/>
      <c r="H534" s="931"/>
      <c r="I534" s="931"/>
      <c r="J534" s="931"/>
    </row>
    <row r="535" spans="2:10" x14ac:dyDescent="0.2">
      <c r="B535" s="931"/>
      <c r="C535" s="931"/>
      <c r="D535" s="931"/>
      <c r="E535" s="931"/>
      <c r="F535" s="931"/>
      <c r="G535" s="931"/>
      <c r="H535" s="931"/>
      <c r="I535" s="931"/>
      <c r="J535" s="931"/>
    </row>
    <row r="536" spans="2:10" x14ac:dyDescent="0.2">
      <c r="B536" s="931"/>
      <c r="C536" s="931"/>
      <c r="D536" s="931"/>
      <c r="E536" s="931"/>
      <c r="F536" s="931"/>
      <c r="G536" s="931"/>
      <c r="H536" s="931"/>
      <c r="I536" s="931"/>
      <c r="J536" s="931"/>
    </row>
    <row r="537" spans="2:10" x14ac:dyDescent="0.2">
      <c r="B537" s="931"/>
      <c r="C537" s="931"/>
      <c r="D537" s="931"/>
      <c r="E537" s="931"/>
      <c r="F537" s="931"/>
      <c r="G537" s="931"/>
      <c r="H537" s="931"/>
      <c r="I537" s="931"/>
      <c r="J537" s="931"/>
    </row>
    <row r="538" spans="2:10" x14ac:dyDescent="0.2">
      <c r="B538" s="931"/>
      <c r="C538" s="931"/>
      <c r="D538" s="931"/>
      <c r="E538" s="931"/>
      <c r="F538" s="931"/>
      <c r="G538" s="931"/>
      <c r="H538" s="931"/>
      <c r="I538" s="931"/>
      <c r="J538" s="931"/>
    </row>
    <row r="539" spans="2:10" x14ac:dyDescent="0.2">
      <c r="B539" s="931"/>
      <c r="C539" s="931"/>
      <c r="D539" s="931"/>
      <c r="E539" s="931"/>
      <c r="F539" s="931"/>
      <c r="G539" s="931"/>
      <c r="H539" s="931"/>
      <c r="I539" s="931"/>
      <c r="J539" s="931"/>
    </row>
    <row r="540" spans="2:10" x14ac:dyDescent="0.2">
      <c r="B540" s="931"/>
      <c r="C540" s="931"/>
      <c r="D540" s="931"/>
      <c r="E540" s="931"/>
      <c r="F540" s="931"/>
      <c r="G540" s="931"/>
      <c r="H540" s="931"/>
      <c r="I540" s="931"/>
      <c r="J540" s="931"/>
    </row>
    <row r="541" spans="2:10" x14ac:dyDescent="0.2">
      <c r="B541" s="931"/>
      <c r="C541" s="931"/>
      <c r="D541" s="931"/>
      <c r="E541" s="931"/>
      <c r="F541" s="931"/>
      <c r="G541" s="931"/>
      <c r="H541" s="931"/>
      <c r="I541" s="931"/>
      <c r="J541" s="931"/>
    </row>
    <row r="542" spans="2:10" x14ac:dyDescent="0.2">
      <c r="B542" s="931"/>
      <c r="C542" s="931"/>
      <c r="D542" s="931"/>
      <c r="E542" s="931"/>
      <c r="F542" s="931"/>
      <c r="G542" s="931"/>
      <c r="H542" s="931"/>
      <c r="I542" s="931"/>
      <c r="J542" s="931"/>
    </row>
    <row r="543" spans="2:10" x14ac:dyDescent="0.2">
      <c r="B543" s="931"/>
      <c r="C543" s="931"/>
      <c r="D543" s="931"/>
      <c r="E543" s="931"/>
      <c r="F543" s="931"/>
      <c r="G543" s="931"/>
      <c r="H543" s="931"/>
      <c r="I543" s="931"/>
      <c r="J543" s="931"/>
    </row>
    <row r="544" spans="2:10" x14ac:dyDescent="0.2">
      <c r="B544" s="931"/>
      <c r="C544" s="931"/>
      <c r="D544" s="931"/>
      <c r="E544" s="931"/>
      <c r="F544" s="931"/>
      <c r="G544" s="931"/>
      <c r="H544" s="931"/>
      <c r="I544" s="931"/>
      <c r="J544" s="931"/>
    </row>
    <row r="545" spans="2:10" x14ac:dyDescent="0.2">
      <c r="B545" s="931"/>
      <c r="C545" s="931"/>
      <c r="D545" s="931"/>
      <c r="E545" s="931"/>
      <c r="F545" s="931"/>
      <c r="G545" s="931"/>
      <c r="H545" s="931"/>
      <c r="I545" s="931"/>
      <c r="J545" s="931"/>
    </row>
    <row r="546" spans="2:10" x14ac:dyDescent="0.2">
      <c r="B546" s="931"/>
      <c r="C546" s="931"/>
      <c r="D546" s="931"/>
      <c r="E546" s="931"/>
      <c r="F546" s="931"/>
      <c r="G546" s="931"/>
      <c r="H546" s="931"/>
      <c r="I546" s="931"/>
      <c r="J546" s="931"/>
    </row>
    <row r="547" spans="2:10" x14ac:dyDescent="0.2">
      <c r="B547" s="931"/>
      <c r="C547" s="931"/>
      <c r="D547" s="931"/>
      <c r="E547" s="931"/>
      <c r="F547" s="931"/>
      <c r="G547" s="931"/>
      <c r="H547" s="931"/>
      <c r="I547" s="931"/>
      <c r="J547" s="931"/>
    </row>
    <row r="548" spans="2:10" x14ac:dyDescent="0.2">
      <c r="B548" s="931"/>
      <c r="C548" s="931"/>
      <c r="D548" s="931"/>
      <c r="E548" s="931"/>
      <c r="F548" s="931"/>
      <c r="G548" s="931"/>
      <c r="H548" s="931"/>
      <c r="I548" s="931"/>
      <c r="J548" s="931"/>
    </row>
    <row r="549" spans="2:10" x14ac:dyDescent="0.2">
      <c r="B549" s="931"/>
      <c r="C549" s="931"/>
      <c r="D549" s="931"/>
      <c r="E549" s="931"/>
      <c r="F549" s="931"/>
      <c r="G549" s="931"/>
      <c r="H549" s="931"/>
      <c r="I549" s="931"/>
      <c r="J549" s="931"/>
    </row>
    <row r="550" spans="2:10" x14ac:dyDescent="0.2">
      <c r="B550" s="931"/>
      <c r="C550" s="931"/>
      <c r="D550" s="931"/>
      <c r="E550" s="931"/>
      <c r="F550" s="931"/>
      <c r="G550" s="931"/>
      <c r="H550" s="931"/>
      <c r="I550" s="931"/>
      <c r="J550" s="931"/>
    </row>
    <row r="551" spans="2:10" x14ac:dyDescent="0.2">
      <c r="B551" s="931"/>
      <c r="C551" s="931"/>
      <c r="D551" s="931"/>
      <c r="E551" s="931"/>
      <c r="F551" s="931"/>
      <c r="G551" s="931"/>
      <c r="H551" s="931"/>
      <c r="I551" s="931"/>
      <c r="J551" s="931"/>
    </row>
    <row r="552" spans="2:10" x14ac:dyDescent="0.2">
      <c r="B552" s="931"/>
      <c r="C552" s="931"/>
      <c r="D552" s="931"/>
      <c r="E552" s="931"/>
      <c r="F552" s="931"/>
      <c r="G552" s="931"/>
      <c r="H552" s="931"/>
      <c r="I552" s="931"/>
      <c r="J552" s="931"/>
    </row>
    <row r="553" spans="2:10" x14ac:dyDescent="0.2">
      <c r="B553" s="931"/>
      <c r="C553" s="931"/>
      <c r="D553" s="931"/>
      <c r="E553" s="931"/>
      <c r="F553" s="931"/>
      <c r="G553" s="931"/>
      <c r="H553" s="931"/>
      <c r="I553" s="931"/>
      <c r="J553" s="931"/>
    </row>
    <row r="554" spans="2:10" x14ac:dyDescent="0.2">
      <c r="B554" s="931"/>
      <c r="C554" s="931"/>
      <c r="D554" s="931"/>
      <c r="E554" s="931"/>
      <c r="F554" s="931"/>
      <c r="G554" s="931"/>
      <c r="H554" s="931"/>
      <c r="I554" s="931"/>
      <c r="J554" s="931"/>
    </row>
    <row r="555" spans="2:10" x14ac:dyDescent="0.2">
      <c r="B555" s="931"/>
      <c r="C555" s="931"/>
      <c r="D555" s="931"/>
      <c r="E555" s="931"/>
      <c r="F555" s="931"/>
      <c r="G555" s="931"/>
      <c r="H555" s="931"/>
      <c r="I555" s="931"/>
      <c r="J555" s="931"/>
    </row>
    <row r="556" spans="2:10" x14ac:dyDescent="0.2">
      <c r="B556" s="931"/>
      <c r="C556" s="931"/>
      <c r="D556" s="931"/>
      <c r="E556" s="931"/>
      <c r="F556" s="931"/>
      <c r="G556" s="931"/>
      <c r="H556" s="931"/>
      <c r="I556" s="931"/>
      <c r="J556" s="931"/>
    </row>
    <row r="557" spans="2:10" x14ac:dyDescent="0.2">
      <c r="B557" s="931"/>
      <c r="C557" s="931"/>
      <c r="D557" s="931"/>
      <c r="E557" s="931"/>
      <c r="F557" s="931"/>
      <c r="G557" s="931"/>
      <c r="H557" s="931"/>
      <c r="I557" s="931"/>
      <c r="J557" s="931"/>
    </row>
    <row r="558" spans="2:10" x14ac:dyDescent="0.2">
      <c r="B558" s="931"/>
      <c r="C558" s="931"/>
      <c r="D558" s="931"/>
      <c r="E558" s="931"/>
      <c r="F558" s="931"/>
      <c r="G558" s="931"/>
      <c r="H558" s="931"/>
      <c r="I558" s="931"/>
      <c r="J558" s="931"/>
    </row>
    <row r="559" spans="2:10" x14ac:dyDescent="0.2">
      <c r="B559" s="931"/>
      <c r="C559" s="931"/>
      <c r="D559" s="931"/>
      <c r="E559" s="931"/>
      <c r="F559" s="931"/>
      <c r="G559" s="931"/>
      <c r="H559" s="931"/>
      <c r="I559" s="931"/>
      <c r="J559" s="931"/>
    </row>
    <row r="560" spans="2:10" x14ac:dyDescent="0.2">
      <c r="B560" s="931"/>
      <c r="C560" s="931"/>
      <c r="D560" s="931"/>
      <c r="E560" s="931"/>
      <c r="F560" s="931"/>
      <c r="G560" s="931"/>
      <c r="H560" s="931"/>
      <c r="I560" s="931"/>
      <c r="J560" s="931"/>
    </row>
    <row r="561" spans="2:10" x14ac:dyDescent="0.2">
      <c r="B561" s="931"/>
      <c r="C561" s="931"/>
      <c r="D561" s="931"/>
      <c r="E561" s="931"/>
      <c r="F561" s="931"/>
      <c r="G561" s="931"/>
      <c r="H561" s="931"/>
      <c r="I561" s="931"/>
      <c r="J561" s="931"/>
    </row>
    <row r="562" spans="2:10" x14ac:dyDescent="0.2">
      <c r="B562" s="931"/>
      <c r="C562" s="931"/>
      <c r="D562" s="931"/>
      <c r="E562" s="931"/>
      <c r="F562" s="931"/>
      <c r="G562" s="931"/>
      <c r="H562" s="931"/>
      <c r="I562" s="931"/>
      <c r="J562" s="931"/>
    </row>
    <row r="563" spans="2:10" x14ac:dyDescent="0.2">
      <c r="B563" s="931"/>
      <c r="C563" s="931"/>
      <c r="D563" s="931"/>
      <c r="E563" s="931"/>
      <c r="F563" s="931"/>
      <c r="G563" s="931"/>
      <c r="H563" s="931"/>
      <c r="I563" s="931"/>
      <c r="J563" s="931"/>
    </row>
    <row r="564" spans="2:10" x14ac:dyDescent="0.2">
      <c r="B564" s="931"/>
      <c r="C564" s="931"/>
      <c r="D564" s="931"/>
      <c r="E564" s="931"/>
      <c r="F564" s="931"/>
      <c r="G564" s="931"/>
      <c r="H564" s="931"/>
      <c r="I564" s="931"/>
      <c r="J564" s="931"/>
    </row>
    <row r="565" spans="2:10" x14ac:dyDescent="0.2">
      <c r="B565" s="931"/>
      <c r="C565" s="931"/>
      <c r="D565" s="931"/>
      <c r="E565" s="931"/>
      <c r="F565" s="931"/>
      <c r="G565" s="931"/>
      <c r="H565" s="931"/>
      <c r="I565" s="931"/>
      <c r="J565" s="931"/>
    </row>
    <row r="566" spans="2:10" x14ac:dyDescent="0.2">
      <c r="B566" s="931"/>
      <c r="C566" s="931"/>
      <c r="D566" s="931"/>
      <c r="E566" s="931"/>
      <c r="F566" s="931"/>
      <c r="G566" s="931"/>
      <c r="H566" s="931"/>
      <c r="I566" s="931"/>
      <c r="J566" s="931"/>
    </row>
    <row r="567" spans="2:10" x14ac:dyDescent="0.2">
      <c r="B567" s="931"/>
      <c r="C567" s="931"/>
      <c r="D567" s="931"/>
      <c r="E567" s="931"/>
      <c r="F567" s="931"/>
      <c r="G567" s="931"/>
      <c r="H567" s="931"/>
      <c r="I567" s="931"/>
      <c r="J567" s="931"/>
    </row>
    <row r="568" spans="2:10" x14ac:dyDescent="0.2">
      <c r="B568" s="931"/>
      <c r="C568" s="931"/>
      <c r="D568" s="931"/>
      <c r="E568" s="931"/>
      <c r="F568" s="931"/>
      <c r="G568" s="931"/>
      <c r="H568" s="931"/>
      <c r="I568" s="931"/>
      <c r="J568" s="931"/>
    </row>
    <row r="569" spans="2:10" x14ac:dyDescent="0.2">
      <c r="B569" s="931"/>
      <c r="C569" s="931"/>
      <c r="D569" s="931"/>
      <c r="E569" s="931"/>
      <c r="F569" s="931"/>
      <c r="G569" s="931"/>
      <c r="H569" s="931"/>
      <c r="I569" s="931"/>
      <c r="J569" s="931"/>
    </row>
    <row r="570" spans="2:10" x14ac:dyDescent="0.2">
      <c r="B570" s="931"/>
      <c r="C570" s="931"/>
      <c r="D570" s="931"/>
      <c r="E570" s="931"/>
      <c r="F570" s="931"/>
      <c r="G570" s="931"/>
      <c r="H570" s="931"/>
      <c r="I570" s="931"/>
      <c r="J570" s="931"/>
    </row>
    <row r="571" spans="2:10" x14ac:dyDescent="0.2">
      <c r="B571" s="931"/>
      <c r="C571" s="931"/>
      <c r="D571" s="931"/>
      <c r="E571" s="931"/>
      <c r="F571" s="931"/>
      <c r="G571" s="931"/>
      <c r="H571" s="931"/>
      <c r="I571" s="931"/>
      <c r="J571" s="931"/>
    </row>
    <row r="572" spans="2:10" x14ac:dyDescent="0.2">
      <c r="B572" s="931"/>
      <c r="C572" s="931"/>
      <c r="D572" s="931"/>
      <c r="E572" s="931"/>
      <c r="F572" s="931"/>
      <c r="G572" s="931"/>
      <c r="H572" s="931"/>
      <c r="I572" s="931"/>
      <c r="J572" s="931"/>
    </row>
    <row r="573" spans="2:10" x14ac:dyDescent="0.2">
      <c r="B573" s="931"/>
      <c r="C573" s="931"/>
      <c r="D573" s="931"/>
      <c r="E573" s="931"/>
      <c r="F573" s="931"/>
      <c r="G573" s="931"/>
      <c r="H573" s="931"/>
      <c r="I573" s="931"/>
      <c r="J573" s="931"/>
    </row>
    <row r="574" spans="2:10" x14ac:dyDescent="0.2">
      <c r="B574" s="931"/>
      <c r="C574" s="931"/>
      <c r="D574" s="931"/>
      <c r="E574" s="931"/>
      <c r="F574" s="931"/>
      <c r="G574" s="931"/>
      <c r="H574" s="931"/>
      <c r="I574" s="931"/>
      <c r="J574" s="931"/>
    </row>
    <row r="575" spans="2:10" x14ac:dyDescent="0.2">
      <c r="B575" s="931"/>
      <c r="C575" s="931"/>
      <c r="D575" s="931"/>
      <c r="E575" s="931"/>
      <c r="F575" s="931"/>
      <c r="G575" s="931"/>
      <c r="H575" s="931"/>
      <c r="I575" s="931"/>
      <c r="J575" s="931"/>
    </row>
    <row r="576" spans="2:10" x14ac:dyDescent="0.2">
      <c r="B576" s="931"/>
      <c r="C576" s="931"/>
      <c r="D576" s="931"/>
      <c r="E576" s="931"/>
      <c r="F576" s="931"/>
      <c r="G576" s="931"/>
      <c r="H576" s="931"/>
      <c r="I576" s="931"/>
      <c r="J576" s="931"/>
    </row>
    <row r="577" spans="2:10" x14ac:dyDescent="0.2">
      <c r="B577" s="931"/>
      <c r="C577" s="931"/>
      <c r="D577" s="931"/>
      <c r="E577" s="931"/>
      <c r="F577" s="931"/>
      <c r="G577" s="931"/>
      <c r="H577" s="931"/>
      <c r="I577" s="931"/>
      <c r="J577" s="931"/>
    </row>
    <row r="578" spans="2:10" x14ac:dyDescent="0.2">
      <c r="B578" s="931"/>
      <c r="C578" s="931"/>
      <c r="D578" s="931"/>
      <c r="E578" s="931"/>
      <c r="F578" s="931"/>
      <c r="G578" s="931"/>
      <c r="H578" s="931"/>
      <c r="I578" s="931"/>
      <c r="J578" s="931"/>
    </row>
    <row r="579" spans="2:10" x14ac:dyDescent="0.2">
      <c r="B579" s="931"/>
      <c r="C579" s="931"/>
      <c r="D579" s="931"/>
      <c r="E579" s="931"/>
      <c r="F579" s="931"/>
      <c r="G579" s="931"/>
      <c r="H579" s="931"/>
      <c r="I579" s="931"/>
      <c r="J579" s="931"/>
    </row>
    <row r="580" spans="2:10" x14ac:dyDescent="0.2">
      <c r="B580" s="931"/>
      <c r="C580" s="931"/>
      <c r="D580" s="931"/>
      <c r="E580" s="931"/>
      <c r="F580" s="931"/>
      <c r="G580" s="931"/>
      <c r="H580" s="931"/>
      <c r="I580" s="931"/>
      <c r="J580" s="931"/>
    </row>
    <row r="581" spans="2:10" x14ac:dyDescent="0.2">
      <c r="B581" s="931"/>
      <c r="C581" s="931"/>
      <c r="D581" s="931"/>
      <c r="E581" s="931"/>
      <c r="F581" s="931"/>
      <c r="G581" s="931"/>
      <c r="H581" s="931"/>
      <c r="I581" s="931"/>
      <c r="J581" s="931"/>
    </row>
    <row r="582" spans="2:10" x14ac:dyDescent="0.2">
      <c r="B582" s="931"/>
      <c r="C582" s="931"/>
      <c r="D582" s="931"/>
      <c r="E582" s="931"/>
      <c r="F582" s="931"/>
      <c r="G582" s="931"/>
      <c r="H582" s="931"/>
      <c r="I582" s="931"/>
      <c r="J582" s="931"/>
    </row>
    <row r="583" spans="2:10" x14ac:dyDescent="0.2">
      <c r="B583" s="931"/>
      <c r="C583" s="931"/>
      <c r="D583" s="931"/>
      <c r="E583" s="931"/>
      <c r="F583" s="931"/>
      <c r="G583" s="931"/>
      <c r="H583" s="931"/>
      <c r="I583" s="931"/>
      <c r="J583" s="931"/>
    </row>
    <row r="584" spans="2:10" x14ac:dyDescent="0.2">
      <c r="B584" s="931"/>
      <c r="C584" s="931"/>
      <c r="D584" s="931"/>
      <c r="E584" s="931"/>
      <c r="F584" s="931"/>
      <c r="G584" s="931"/>
      <c r="H584" s="931"/>
      <c r="I584" s="931"/>
      <c r="J584" s="931"/>
    </row>
    <row r="585" spans="2:10" x14ac:dyDescent="0.2">
      <c r="B585" s="931"/>
      <c r="C585" s="931"/>
      <c r="D585" s="931"/>
      <c r="E585" s="931"/>
      <c r="F585" s="931"/>
      <c r="G585" s="931"/>
      <c r="H585" s="931"/>
      <c r="I585" s="931"/>
      <c r="J585" s="931"/>
    </row>
    <row r="586" spans="2:10" x14ac:dyDescent="0.2">
      <c r="B586" s="931"/>
      <c r="C586" s="931"/>
      <c r="D586" s="931"/>
      <c r="E586" s="931"/>
      <c r="F586" s="931"/>
      <c r="G586" s="931"/>
      <c r="H586" s="931"/>
      <c r="I586" s="931"/>
      <c r="J586" s="931"/>
    </row>
    <row r="587" spans="2:10" x14ac:dyDescent="0.2">
      <c r="B587" s="931"/>
      <c r="C587" s="931"/>
      <c r="D587" s="931"/>
      <c r="E587" s="931"/>
      <c r="F587" s="931"/>
      <c r="G587" s="931"/>
      <c r="H587" s="931"/>
      <c r="I587" s="931"/>
      <c r="J587" s="931"/>
    </row>
    <row r="588" spans="2:10" x14ac:dyDescent="0.2">
      <c r="B588" s="931"/>
      <c r="C588" s="931"/>
      <c r="D588" s="931"/>
      <c r="E588" s="931"/>
      <c r="F588" s="931"/>
      <c r="G588" s="931"/>
      <c r="H588" s="931"/>
      <c r="I588" s="931"/>
      <c r="J588" s="931"/>
    </row>
    <row r="589" spans="2:10" x14ac:dyDescent="0.2">
      <c r="B589" s="931"/>
      <c r="C589" s="931"/>
      <c r="D589" s="931"/>
      <c r="E589" s="931"/>
      <c r="F589" s="931"/>
      <c r="G589" s="931"/>
      <c r="H589" s="931"/>
      <c r="I589" s="931"/>
      <c r="J589" s="931"/>
    </row>
    <row r="590" spans="2:10" x14ac:dyDescent="0.2">
      <c r="B590" s="931"/>
      <c r="C590" s="931"/>
      <c r="D590" s="931"/>
      <c r="E590" s="931"/>
      <c r="F590" s="931"/>
      <c r="G590" s="931"/>
      <c r="H590" s="931"/>
      <c r="I590" s="931"/>
      <c r="J590" s="931"/>
    </row>
    <row r="591" spans="2:10" x14ac:dyDescent="0.2">
      <c r="B591" s="931"/>
      <c r="C591" s="931"/>
      <c r="D591" s="931"/>
      <c r="E591" s="931"/>
      <c r="F591" s="931"/>
      <c r="G591" s="931"/>
      <c r="H591" s="931"/>
      <c r="I591" s="931"/>
      <c r="J591" s="931"/>
    </row>
    <row r="592" spans="2:10" x14ac:dyDescent="0.2">
      <c r="B592" s="931"/>
      <c r="C592" s="931"/>
      <c r="D592" s="931"/>
      <c r="E592" s="931"/>
      <c r="F592" s="931"/>
      <c r="G592" s="931"/>
      <c r="H592" s="931"/>
      <c r="I592" s="931"/>
      <c r="J592" s="931"/>
    </row>
    <row r="593" spans="2:10" x14ac:dyDescent="0.2">
      <c r="B593" s="931"/>
      <c r="C593" s="931"/>
      <c r="D593" s="931"/>
      <c r="E593" s="931"/>
      <c r="F593" s="931"/>
      <c r="G593" s="931"/>
      <c r="H593" s="931"/>
      <c r="I593" s="931"/>
      <c r="J593" s="931"/>
    </row>
    <row r="594" spans="2:10" x14ac:dyDescent="0.2">
      <c r="B594" s="931"/>
      <c r="C594" s="931"/>
      <c r="D594" s="931"/>
      <c r="E594" s="931"/>
      <c r="F594" s="931"/>
      <c r="G594" s="931"/>
      <c r="H594" s="931"/>
      <c r="I594" s="931"/>
      <c r="J594" s="931"/>
    </row>
    <row r="595" spans="2:10" x14ac:dyDescent="0.2">
      <c r="B595" s="931"/>
      <c r="C595" s="931"/>
      <c r="D595" s="931"/>
      <c r="E595" s="931"/>
      <c r="F595" s="931"/>
      <c r="G595" s="931"/>
      <c r="H595" s="931"/>
      <c r="I595" s="931"/>
      <c r="J595" s="931"/>
    </row>
    <row r="596" spans="2:10" x14ac:dyDescent="0.2">
      <c r="B596" s="931"/>
      <c r="C596" s="931"/>
      <c r="D596" s="931"/>
      <c r="E596" s="931"/>
      <c r="F596" s="931"/>
      <c r="G596" s="931"/>
      <c r="H596" s="931"/>
      <c r="I596" s="931"/>
      <c r="J596" s="931"/>
    </row>
    <row r="597" spans="2:10" x14ac:dyDescent="0.2">
      <c r="B597" s="931"/>
      <c r="C597" s="931"/>
      <c r="D597" s="931"/>
      <c r="E597" s="931"/>
      <c r="F597" s="931"/>
      <c r="G597" s="931"/>
      <c r="H597" s="931"/>
      <c r="I597" s="931"/>
      <c r="J597" s="931"/>
    </row>
    <row r="598" spans="2:10" x14ac:dyDescent="0.2">
      <c r="B598" s="931"/>
      <c r="C598" s="931"/>
      <c r="D598" s="931"/>
      <c r="E598" s="931"/>
      <c r="F598" s="931"/>
      <c r="G598" s="931"/>
      <c r="H598" s="931"/>
      <c r="I598" s="931"/>
      <c r="J598" s="931"/>
    </row>
    <row r="599" spans="2:10" x14ac:dyDescent="0.2">
      <c r="B599" s="931"/>
      <c r="C599" s="931"/>
      <c r="D599" s="931"/>
      <c r="E599" s="931"/>
      <c r="F599" s="931"/>
      <c r="G599" s="931"/>
      <c r="H599" s="931"/>
      <c r="I599" s="931"/>
      <c r="J599" s="931"/>
    </row>
    <row r="600" spans="2:10" x14ac:dyDescent="0.2">
      <c r="B600" s="931"/>
      <c r="C600" s="931"/>
      <c r="D600" s="931"/>
      <c r="E600" s="931"/>
      <c r="F600" s="931"/>
      <c r="G600" s="931"/>
      <c r="H600" s="931"/>
      <c r="I600" s="931"/>
      <c r="J600" s="931"/>
    </row>
    <row r="601" spans="2:10" x14ac:dyDescent="0.2">
      <c r="B601" s="931"/>
      <c r="C601" s="931"/>
      <c r="D601" s="931"/>
      <c r="E601" s="931"/>
      <c r="F601" s="931"/>
      <c r="G601" s="931"/>
      <c r="H601" s="931"/>
      <c r="I601" s="931"/>
      <c r="J601" s="931"/>
    </row>
    <row r="602" spans="2:10" x14ac:dyDescent="0.2">
      <c r="B602" s="931"/>
      <c r="C602" s="931"/>
      <c r="D602" s="931"/>
      <c r="E602" s="931"/>
      <c r="F602" s="931"/>
      <c r="G602" s="931"/>
      <c r="H602" s="931"/>
      <c r="I602" s="931"/>
      <c r="J602" s="931"/>
    </row>
    <row r="603" spans="2:10" x14ac:dyDescent="0.2">
      <c r="B603" s="931"/>
      <c r="C603" s="931"/>
      <c r="D603" s="931"/>
      <c r="E603" s="931"/>
      <c r="F603" s="931"/>
      <c r="G603" s="931"/>
      <c r="H603" s="931"/>
      <c r="I603" s="931"/>
      <c r="J603" s="931"/>
    </row>
    <row r="604" spans="2:10" x14ac:dyDescent="0.2">
      <c r="B604" s="931"/>
      <c r="C604" s="931"/>
      <c r="D604" s="931"/>
      <c r="E604" s="931"/>
      <c r="F604" s="931"/>
      <c r="G604" s="931"/>
      <c r="H604" s="931"/>
      <c r="I604" s="931"/>
      <c r="J604" s="931"/>
    </row>
    <row r="605" spans="2:10" x14ac:dyDescent="0.2">
      <c r="B605" s="931"/>
      <c r="C605" s="931"/>
      <c r="D605" s="931"/>
      <c r="E605" s="931"/>
      <c r="F605" s="931"/>
      <c r="G605" s="931"/>
      <c r="H605" s="931"/>
      <c r="I605" s="931"/>
      <c r="J605" s="931"/>
    </row>
    <row r="606" spans="2:10" x14ac:dyDescent="0.2">
      <c r="B606" s="931"/>
      <c r="C606" s="931"/>
      <c r="D606" s="931"/>
      <c r="E606" s="931"/>
      <c r="F606" s="931"/>
      <c r="G606" s="931"/>
      <c r="H606" s="931"/>
      <c r="I606" s="931"/>
      <c r="J606" s="931"/>
    </row>
    <row r="607" spans="2:10" x14ac:dyDescent="0.2">
      <c r="B607" s="931"/>
      <c r="C607" s="931"/>
      <c r="D607" s="931"/>
      <c r="E607" s="931"/>
      <c r="F607" s="931"/>
      <c r="G607" s="931"/>
      <c r="H607" s="931"/>
      <c r="I607" s="931"/>
      <c r="J607" s="931"/>
    </row>
    <row r="608" spans="2:10" x14ac:dyDescent="0.2">
      <c r="B608" s="931"/>
      <c r="C608" s="931"/>
      <c r="D608" s="931"/>
      <c r="E608" s="931"/>
      <c r="F608" s="931"/>
      <c r="G608" s="931"/>
      <c r="H608" s="931"/>
      <c r="I608" s="931"/>
      <c r="J608" s="931"/>
    </row>
    <row r="609" spans="2:10" x14ac:dyDescent="0.2">
      <c r="B609" s="931"/>
      <c r="C609" s="931"/>
      <c r="D609" s="931"/>
      <c r="E609" s="931"/>
      <c r="F609" s="931"/>
      <c r="G609" s="931"/>
      <c r="H609" s="931"/>
      <c r="I609" s="931"/>
      <c r="J609" s="931"/>
    </row>
    <row r="610" spans="2:10" x14ac:dyDescent="0.2">
      <c r="B610" s="931"/>
      <c r="C610" s="931"/>
      <c r="D610" s="931"/>
      <c r="E610" s="931"/>
      <c r="F610" s="931"/>
      <c r="G610" s="931"/>
      <c r="H610" s="931"/>
      <c r="I610" s="931"/>
      <c r="J610" s="931"/>
    </row>
    <row r="611" spans="2:10" x14ac:dyDescent="0.2">
      <c r="B611" s="931"/>
      <c r="C611" s="931"/>
      <c r="D611" s="931"/>
      <c r="E611" s="931"/>
      <c r="F611" s="931"/>
      <c r="G611" s="931"/>
      <c r="H611" s="931"/>
      <c r="I611" s="931"/>
      <c r="J611" s="931"/>
    </row>
    <row r="612" spans="2:10" x14ac:dyDescent="0.2">
      <c r="B612" s="931"/>
      <c r="C612" s="931"/>
      <c r="D612" s="931"/>
      <c r="E612" s="931"/>
      <c r="F612" s="931"/>
      <c r="G612" s="931"/>
      <c r="H612" s="931"/>
      <c r="I612" s="931"/>
      <c r="J612" s="931"/>
    </row>
    <row r="613" spans="2:10" x14ac:dyDescent="0.2">
      <c r="B613" s="931"/>
      <c r="C613" s="931"/>
      <c r="D613" s="931"/>
      <c r="E613" s="931"/>
      <c r="F613" s="931"/>
      <c r="G613" s="931"/>
      <c r="H613" s="931"/>
      <c r="I613" s="931"/>
      <c r="J613" s="931"/>
    </row>
    <row r="614" spans="2:10" x14ac:dyDescent="0.2">
      <c r="B614" s="931"/>
      <c r="C614" s="931"/>
      <c r="D614" s="931"/>
      <c r="E614" s="931"/>
      <c r="F614" s="931"/>
      <c r="G614" s="931"/>
      <c r="H614" s="931"/>
      <c r="I614" s="931"/>
      <c r="J614" s="931"/>
    </row>
    <row r="615" spans="2:10" x14ac:dyDescent="0.2">
      <c r="B615" s="931"/>
      <c r="C615" s="931"/>
      <c r="D615" s="931"/>
      <c r="E615" s="931"/>
      <c r="F615" s="931"/>
      <c r="G615" s="931"/>
      <c r="H615" s="931"/>
      <c r="I615" s="931"/>
      <c r="J615" s="931"/>
    </row>
    <row r="616" spans="2:10" x14ac:dyDescent="0.2">
      <c r="B616" s="931"/>
      <c r="C616" s="931"/>
      <c r="D616" s="931"/>
      <c r="E616" s="931"/>
      <c r="F616" s="931"/>
      <c r="G616" s="931"/>
      <c r="H616" s="931"/>
      <c r="I616" s="931"/>
      <c r="J616" s="931"/>
    </row>
    <row r="617" spans="2:10" x14ac:dyDescent="0.2">
      <c r="B617" s="931"/>
      <c r="C617" s="931"/>
      <c r="D617" s="931"/>
      <c r="E617" s="931"/>
      <c r="F617" s="931"/>
      <c r="G617" s="931"/>
      <c r="H617" s="931"/>
      <c r="I617" s="931"/>
      <c r="J617" s="931"/>
    </row>
    <row r="618" spans="2:10" x14ac:dyDescent="0.2">
      <c r="B618" s="931"/>
      <c r="C618" s="931"/>
      <c r="D618" s="931"/>
      <c r="E618" s="931"/>
      <c r="F618" s="931"/>
      <c r="G618" s="931"/>
      <c r="H618" s="931"/>
      <c r="I618" s="931"/>
      <c r="J618" s="931"/>
    </row>
    <row r="619" spans="2:10" x14ac:dyDescent="0.2">
      <c r="B619" s="931"/>
      <c r="C619" s="931"/>
      <c r="D619" s="931"/>
      <c r="E619" s="931"/>
      <c r="F619" s="931"/>
      <c r="G619" s="931"/>
      <c r="H619" s="931"/>
      <c r="I619" s="931"/>
      <c r="J619" s="931"/>
    </row>
    <row r="620" spans="2:10" x14ac:dyDescent="0.2">
      <c r="B620" s="931"/>
      <c r="C620" s="931"/>
      <c r="D620" s="931"/>
      <c r="E620" s="931"/>
      <c r="F620" s="931"/>
      <c r="G620" s="931"/>
      <c r="H620" s="931"/>
      <c r="I620" s="931"/>
      <c r="J620" s="931"/>
    </row>
    <row r="621" spans="2:10" x14ac:dyDescent="0.2">
      <c r="B621" s="931"/>
      <c r="C621" s="931"/>
      <c r="D621" s="931"/>
      <c r="E621" s="931"/>
      <c r="F621" s="931"/>
      <c r="G621" s="931"/>
      <c r="H621" s="931"/>
      <c r="I621" s="931"/>
      <c r="J621" s="931"/>
    </row>
    <row r="622" spans="2:10" x14ac:dyDescent="0.2">
      <c r="B622" s="931"/>
      <c r="C622" s="931"/>
      <c r="D622" s="931"/>
      <c r="E622" s="931"/>
      <c r="F622" s="931"/>
      <c r="G622" s="931"/>
      <c r="H622" s="931"/>
      <c r="I622" s="931"/>
      <c r="J622" s="931"/>
    </row>
    <row r="623" spans="2:10" x14ac:dyDescent="0.2">
      <c r="B623" s="931"/>
      <c r="C623" s="931"/>
      <c r="D623" s="931"/>
      <c r="E623" s="931"/>
      <c r="F623" s="931"/>
      <c r="G623" s="931"/>
      <c r="H623" s="931"/>
      <c r="I623" s="931"/>
      <c r="J623" s="931"/>
    </row>
    <row r="624" spans="2:10" x14ac:dyDescent="0.2">
      <c r="B624" s="931"/>
      <c r="C624" s="931"/>
      <c r="D624" s="931"/>
      <c r="E624" s="931"/>
      <c r="F624" s="931"/>
      <c r="G624" s="931"/>
      <c r="H624" s="931"/>
      <c r="I624" s="931"/>
      <c r="J624" s="931"/>
    </row>
  </sheetData>
  <pageMargins left="0.75" right="0.75" top="0.32" bottom="0.28999999999999998" header="0.5" footer="0.5"/>
  <pageSetup scale="56" orientation="landscape" r:id="rId1"/>
  <headerFooter alignWithMargins="0"/>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3:K46"/>
  <sheetViews>
    <sheetView workbookViewId="0">
      <selection activeCell="AP20" sqref="AP20"/>
    </sheetView>
  </sheetViews>
  <sheetFormatPr defaultColWidth="8" defaultRowHeight="12.75" x14ac:dyDescent="0.2"/>
  <cols>
    <col min="1" max="1" width="30.7109375" style="11" customWidth="1"/>
    <col min="2" max="2" width="18" style="11" customWidth="1"/>
    <col min="3" max="3" width="10.85546875" style="11" customWidth="1"/>
    <col min="4" max="4" width="11.5703125" style="11" customWidth="1"/>
    <col min="5" max="5" width="10.85546875" style="11" customWidth="1"/>
    <col min="6" max="11" width="10.7109375" style="11" customWidth="1"/>
    <col min="12" max="16384" width="8" style="11"/>
  </cols>
  <sheetData>
    <row r="3" spans="1:2" x14ac:dyDescent="0.2">
      <c r="A3" s="242" t="s">
        <v>1093</v>
      </c>
    </row>
    <row r="4" spans="1:2" x14ac:dyDescent="0.2">
      <c r="A4" s="11" t="s">
        <v>764</v>
      </c>
      <c r="B4" s="61">
        <f>'Financial summ-SPG'!B48</f>
        <v>43121531.416585565</v>
      </c>
    </row>
    <row r="5" spans="1:2" x14ac:dyDescent="0.2">
      <c r="A5" s="11" t="s">
        <v>1370</v>
      </c>
      <c r="B5" s="61">
        <f>'Financial summ-SPG'!B49</f>
        <v>24894539.754962429</v>
      </c>
    </row>
    <row r="6" spans="1:2" x14ac:dyDescent="0.2">
      <c r="A6" s="186" t="s">
        <v>1280</v>
      </c>
      <c r="B6" s="61">
        <f>'Financial summ-SPG'!B50</f>
        <v>3773584.9056603773</v>
      </c>
    </row>
    <row r="7" spans="1:2" x14ac:dyDescent="0.2">
      <c r="A7" s="11" t="s">
        <v>1094</v>
      </c>
      <c r="B7" s="215">
        <f>'Financial summ-SPG'!B51</f>
        <v>29561828.079708628</v>
      </c>
    </row>
    <row r="8" spans="1:2" x14ac:dyDescent="0.2">
      <c r="B8" s="216">
        <f>SUM(B4:B7)</f>
        <v>101351484.15691701</v>
      </c>
    </row>
    <row r="20" spans="1:2" x14ac:dyDescent="0.2">
      <c r="A20" s="242" t="s">
        <v>1095</v>
      </c>
      <c r="B20" s="186" t="s">
        <v>1283</v>
      </c>
    </row>
    <row r="21" spans="1:2" x14ac:dyDescent="0.2">
      <c r="A21" s="11" t="s">
        <v>764</v>
      </c>
      <c r="B21" s="190">
        <f>'Financial summ-EES'!B57</f>
        <v>5096302.9619304715</v>
      </c>
    </row>
    <row r="22" spans="1:2" x14ac:dyDescent="0.2">
      <c r="A22" s="11" t="s">
        <v>1370</v>
      </c>
      <c r="B22" s="190">
        <f>'Financial summ-EES'!B58</f>
        <v>10256443.044769729</v>
      </c>
    </row>
    <row r="23" spans="1:2" x14ac:dyDescent="0.2">
      <c r="A23" s="11" t="s">
        <v>1094</v>
      </c>
      <c r="B23" s="190">
        <f>'Financial summ-EES'!B59</f>
        <v>0</v>
      </c>
    </row>
    <row r="24" spans="1:2" x14ac:dyDescent="0.2">
      <c r="B24" s="216">
        <f>SUM(B21:B23)</f>
        <v>15352746.006700199</v>
      </c>
    </row>
    <row r="26" spans="1:2" x14ac:dyDescent="0.2">
      <c r="A26" s="11" t="s">
        <v>1096</v>
      </c>
    </row>
    <row r="43" spans="1:11" x14ac:dyDescent="0.2">
      <c r="A43" s="11" t="s">
        <v>1110</v>
      </c>
    </row>
    <row r="44" spans="1:11" x14ac:dyDescent="0.2">
      <c r="B44" s="11">
        <v>1</v>
      </c>
      <c r="C44" s="11">
        <v>2</v>
      </c>
      <c r="D44" s="11">
        <v>3</v>
      </c>
      <c r="E44" s="11">
        <v>4</v>
      </c>
      <c r="F44" s="11">
        <v>5</v>
      </c>
      <c r="G44" s="11">
        <v>6</v>
      </c>
      <c r="H44" s="11">
        <v>7</v>
      </c>
      <c r="I44" s="11">
        <v>8</v>
      </c>
      <c r="J44" s="11">
        <v>9</v>
      </c>
      <c r="K44" s="11">
        <v>10</v>
      </c>
    </row>
    <row r="45" spans="1:11" x14ac:dyDescent="0.2">
      <c r="A45" s="11" t="s">
        <v>1111</v>
      </c>
      <c r="B45" s="61">
        <f>'Financial summ-SPG'!C9+'Financial summ-SPG'!C14</f>
        <v>12251522.541030942</v>
      </c>
      <c r="C45" s="61">
        <f>'Financial summ-SPG'!D9+'Financial summ-SPG'!D14</f>
        <v>13617292.006097978</v>
      </c>
      <c r="D45" s="61">
        <f>'Financial summ-SPG'!E9+'Financial summ-SPG'!E14</f>
        <v>15240147.488118811</v>
      </c>
      <c r="E45" s="61">
        <f>'Financial summ-SPG'!F9+'Financial summ-SPG'!F14</f>
        <v>15818591.026264848</v>
      </c>
      <c r="F45" s="61">
        <f>'Financial summ-SPG'!G9+'Financial summ-SPG'!G14</f>
        <v>15818591.026264848</v>
      </c>
      <c r="G45" s="61">
        <f>'Financial summ-SPG'!H9+'Financial summ-SPG'!H14</f>
        <v>15818591.026264848</v>
      </c>
      <c r="H45" s="61">
        <f>'Financial summ-SPG'!I9+'Financial summ-SPG'!I14</f>
        <v>15818591.026264848</v>
      </c>
      <c r="I45" s="61">
        <f>'Financial summ-SPG'!J9+'Financial summ-SPG'!J14</f>
        <v>15818591.026264848</v>
      </c>
      <c r="J45" s="61">
        <f>'Financial summ-SPG'!K9+'Financial summ-SPG'!K14</f>
        <v>15818591.026264848</v>
      </c>
      <c r="K45" s="61">
        <f>'Financial summ-SPG'!L9+'Financial summ-SPG'!L14</f>
        <v>15818591.026264848</v>
      </c>
    </row>
    <row r="46" spans="1:11" x14ac:dyDescent="0.2">
      <c r="A46" s="11" t="s">
        <v>1112</v>
      </c>
      <c r="B46" s="246">
        <f>-'Financial summ-SPG'!C25</f>
        <v>10742000</v>
      </c>
      <c r="C46" s="246">
        <f>-'Financial summ-SPG'!D25</f>
        <v>10955872.603689183</v>
      </c>
      <c r="D46" s="246">
        <f>-'Financial summ-SPG'!E25</f>
        <v>11174003.398647103</v>
      </c>
      <c r="E46" s="246">
        <f>-'Financial summ-SPG'!F25</f>
        <v>11396477.165217614</v>
      </c>
      <c r="F46" s="246">
        <f>-'Financial summ-SPG'!G25</f>
        <v>11623380.371716348</v>
      </c>
      <c r="G46" s="246">
        <f>-'Financial summ-SPG'!H25</f>
        <v>11854801.208038142</v>
      </c>
      <c r="H46" s="246">
        <f>-'Financial summ-SPG'!I25</f>
        <v>12090829.619933579</v>
      </c>
      <c r="I46" s="246">
        <f>-'Financial summ-SPG'!J25</f>
        <v>12331557.343967976</v>
      </c>
      <c r="J46" s="246">
        <f>-'Financial summ-SPG'!K25</f>
        <v>12577077.9431764</v>
      </c>
      <c r="K46" s="246">
        <f>-'Financial summ-SPG'!L25</f>
        <v>12827486.84342858</v>
      </c>
    </row>
  </sheetData>
  <pageMargins left="0.75" right="0.75" top="1" bottom="1" header="0.5" footer="0.5"/>
  <pageSetup scale="75" orientation="landscape" r:id="rId1"/>
  <headerFooter alignWithMargins="0"/>
  <rowBreaks count="1" manualBreakCount="1">
    <brk id="51" max="16383" man="1"/>
  </rowBreak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2:L84"/>
  <sheetViews>
    <sheetView workbookViewId="0">
      <selection activeCell="C16" sqref="C16"/>
    </sheetView>
  </sheetViews>
  <sheetFormatPr defaultColWidth="8" defaultRowHeight="12.75" x14ac:dyDescent="0.2"/>
  <cols>
    <col min="1" max="1" width="31.7109375" style="11" customWidth="1"/>
    <col min="2" max="2" width="17.42578125" style="11" bestFit="1" customWidth="1"/>
    <col min="3" max="4" width="12.7109375" style="11" customWidth="1"/>
    <col min="5" max="5" width="11.140625" style="11" customWidth="1"/>
    <col min="6" max="6" width="15.7109375" style="11" customWidth="1"/>
    <col min="7" max="12" width="10.42578125" style="11" bestFit="1" customWidth="1"/>
    <col min="13" max="16384" width="8" style="11"/>
  </cols>
  <sheetData>
    <row r="2" spans="1:12" ht="18.75" x14ac:dyDescent="0.3">
      <c r="A2" s="187" t="s">
        <v>1113</v>
      </c>
      <c r="B2" s="186"/>
      <c r="C2" s="191"/>
      <c r="D2" s="186"/>
    </row>
    <row r="3" spans="1:12" ht="18.75" x14ac:dyDescent="0.3">
      <c r="A3" s="187"/>
      <c r="B3" s="186"/>
      <c r="C3" s="191"/>
      <c r="D3" s="186"/>
    </row>
    <row r="4" spans="1:12" x14ac:dyDescent="0.2">
      <c r="A4" s="224" t="s">
        <v>1109</v>
      </c>
      <c r="B4" s="186"/>
      <c r="C4" s="191"/>
      <c r="D4" s="186"/>
    </row>
    <row r="5" spans="1:12" x14ac:dyDescent="0.2">
      <c r="B5" s="11" t="s">
        <v>1114</v>
      </c>
      <c r="C5" s="11" t="s">
        <v>1115</v>
      </c>
    </row>
    <row r="6" spans="1:12" x14ac:dyDescent="0.2">
      <c r="A6" s="11" t="s">
        <v>1116</v>
      </c>
      <c r="B6" s="191">
        <v>0</v>
      </c>
      <c r="C6" s="191">
        <v>435000</v>
      </c>
    </row>
    <row r="7" spans="1:12" x14ac:dyDescent="0.2">
      <c r="A7" s="11" t="s">
        <v>1123</v>
      </c>
      <c r="B7" s="191">
        <v>0</v>
      </c>
      <c r="C7" s="191">
        <v>150000</v>
      </c>
    </row>
    <row r="8" spans="1:12" x14ac:dyDescent="0.2">
      <c r="A8" s="11" t="s">
        <v>1124</v>
      </c>
      <c r="B8" s="247">
        <v>20000</v>
      </c>
      <c r="C8" s="247">
        <v>6000</v>
      </c>
    </row>
    <row r="9" spans="1:12" x14ac:dyDescent="0.2">
      <c r="A9" s="11" t="s">
        <v>619</v>
      </c>
      <c r="B9" s="216">
        <f>SUM(B6:B8)</f>
        <v>20000</v>
      </c>
      <c r="C9" s="216">
        <f>SUM(C6:C8)</f>
        <v>591000</v>
      </c>
    </row>
    <row r="10" spans="1:12" x14ac:dyDescent="0.2">
      <c r="B10" s="216"/>
      <c r="C10" s="216"/>
    </row>
    <row r="11" spans="1:12" x14ac:dyDescent="0.2">
      <c r="A11" s="11" t="s">
        <v>1125</v>
      </c>
      <c r="B11" s="220">
        <v>0.02</v>
      </c>
    </row>
    <row r="12" spans="1:12" x14ac:dyDescent="0.2">
      <c r="B12" s="220"/>
    </row>
    <row r="14" spans="1:12" ht="18.75" x14ac:dyDescent="0.3">
      <c r="A14" s="187" t="s">
        <v>1126</v>
      </c>
    </row>
    <row r="16" spans="1:12" x14ac:dyDescent="0.2">
      <c r="A16" s="224" t="s">
        <v>1048</v>
      </c>
      <c r="C16" s="11">
        <v>1</v>
      </c>
      <c r="D16" s="11">
        <v>2</v>
      </c>
      <c r="E16" s="11">
        <v>3</v>
      </c>
      <c r="F16" s="11">
        <v>4</v>
      </c>
      <c r="G16" s="11">
        <v>5</v>
      </c>
      <c r="H16" s="11">
        <v>6</v>
      </c>
      <c r="I16" s="11">
        <v>7</v>
      </c>
      <c r="J16" s="11">
        <v>8</v>
      </c>
      <c r="K16" s="11">
        <v>9</v>
      </c>
      <c r="L16" s="11">
        <v>10</v>
      </c>
    </row>
    <row r="17" spans="1:12" x14ac:dyDescent="0.2">
      <c r="E17" s="1027"/>
    </row>
    <row r="18" spans="1:12" x14ac:dyDescent="0.2">
      <c r="A18" s="224" t="s">
        <v>1127</v>
      </c>
    </row>
    <row r="19" spans="1:12" x14ac:dyDescent="0.2">
      <c r="A19" s="11" t="s">
        <v>1116</v>
      </c>
      <c r="C19" s="216">
        <f>B6+C6</f>
        <v>435000</v>
      </c>
      <c r="D19" s="1045">
        <f>C6*(1+$B$11)</f>
        <v>443700</v>
      </c>
      <c r="E19" s="1003">
        <f t="shared" ref="E19:L21" si="0">D19*(1+$B$11)</f>
        <v>452574</v>
      </c>
      <c r="F19" s="216">
        <f t="shared" si="0"/>
        <v>461625.48</v>
      </c>
      <c r="G19" s="216">
        <f t="shared" si="0"/>
        <v>470857.98959999997</v>
      </c>
      <c r="H19" s="216">
        <f t="shared" si="0"/>
        <v>480275.14939199999</v>
      </c>
      <c r="I19" s="216">
        <f t="shared" si="0"/>
        <v>489880.65237983997</v>
      </c>
      <c r="J19" s="216">
        <f t="shared" si="0"/>
        <v>499678.2654274368</v>
      </c>
      <c r="K19" s="216">
        <f t="shared" si="0"/>
        <v>509671.83073598554</v>
      </c>
      <c r="L19" s="216">
        <f t="shared" si="0"/>
        <v>519865.26735070528</v>
      </c>
    </row>
    <row r="20" spans="1:12" x14ac:dyDescent="0.2">
      <c r="A20" s="11" t="s">
        <v>1123</v>
      </c>
      <c r="C20" s="216">
        <f>B7+C7</f>
        <v>150000</v>
      </c>
      <c r="D20" s="1045">
        <f>C20*(1+$B$11)</f>
        <v>153000</v>
      </c>
      <c r="E20" s="1003">
        <f t="shared" ref="E20:L20" si="1">D20*(1+$B$11)</f>
        <v>156060</v>
      </c>
      <c r="F20" s="216">
        <f t="shared" si="1"/>
        <v>159181.20000000001</v>
      </c>
      <c r="G20" s="216">
        <f t="shared" si="1"/>
        <v>162364.82400000002</v>
      </c>
      <c r="H20" s="216">
        <f t="shared" si="1"/>
        <v>165612.12048000001</v>
      </c>
      <c r="I20" s="216">
        <f t="shared" si="1"/>
        <v>168924.36288960002</v>
      </c>
      <c r="J20" s="216">
        <f t="shared" si="1"/>
        <v>172302.85014739202</v>
      </c>
      <c r="K20" s="216">
        <f t="shared" si="1"/>
        <v>175748.90715033986</v>
      </c>
      <c r="L20" s="216">
        <f t="shared" si="1"/>
        <v>179263.88529334666</v>
      </c>
    </row>
    <row r="21" spans="1:12" x14ac:dyDescent="0.2">
      <c r="A21" s="11" t="s">
        <v>1124</v>
      </c>
      <c r="C21" s="216">
        <f>B8+C8</f>
        <v>26000</v>
      </c>
      <c r="D21" s="1045">
        <f>C8*(1+$B$11)</f>
        <v>6120</v>
      </c>
      <c r="E21" s="1003">
        <f>D21*(1+$B$11)</f>
        <v>6242.4000000000005</v>
      </c>
      <c r="F21" s="216">
        <f t="shared" si="0"/>
        <v>6367.2480000000005</v>
      </c>
      <c r="G21" s="216">
        <f t="shared" si="0"/>
        <v>6494.5929600000009</v>
      </c>
      <c r="H21" s="216">
        <f t="shared" si="0"/>
        <v>6624.4848192000009</v>
      </c>
      <c r="I21" s="216">
        <f t="shared" si="0"/>
        <v>6756.974515584001</v>
      </c>
      <c r="J21" s="216">
        <f t="shared" si="0"/>
        <v>6892.1140058956807</v>
      </c>
      <c r="K21" s="216">
        <f t="shared" si="0"/>
        <v>7029.9562860135948</v>
      </c>
      <c r="L21" s="216">
        <f t="shared" si="0"/>
        <v>7170.555411733867</v>
      </c>
    </row>
    <row r="23" spans="1:12" x14ac:dyDescent="0.2">
      <c r="A23" s="213" t="s">
        <v>1128</v>
      </c>
      <c r="C23" s="216">
        <f t="shared" ref="C23:L23" si="2">C17-SUM(C19:C21)</f>
        <v>-611000</v>
      </c>
      <c r="D23" s="216">
        <f t="shared" si="2"/>
        <v>-602820</v>
      </c>
      <c r="E23" s="1003">
        <f>E17-SUM(E19:E21)</f>
        <v>-614876.4</v>
      </c>
      <c r="F23" s="216">
        <f t="shared" si="2"/>
        <v>-627173.92799999996</v>
      </c>
      <c r="G23" s="216">
        <f t="shared" si="2"/>
        <v>-639717.40656000003</v>
      </c>
      <c r="H23" s="216">
        <f t="shared" si="2"/>
        <v>-652511.75469119998</v>
      </c>
      <c r="I23" s="216">
        <f t="shared" si="2"/>
        <v>-665561.98978502396</v>
      </c>
      <c r="J23" s="216">
        <f t="shared" si="2"/>
        <v>-678873.2295807245</v>
      </c>
      <c r="K23" s="216">
        <f t="shared" si="2"/>
        <v>-692450.69417233905</v>
      </c>
      <c r="L23" s="216">
        <f t="shared" si="2"/>
        <v>-706299.70805578586</v>
      </c>
    </row>
    <row r="25" spans="1:12" x14ac:dyDescent="0.2">
      <c r="A25" s="11" t="s">
        <v>1071</v>
      </c>
      <c r="C25" s="243">
        <f>NPV('general info'!B45,'account mgt'!C23:L23)</f>
        <v>-3390987.2362686545</v>
      </c>
    </row>
    <row r="27" spans="1:12" x14ac:dyDescent="0.2">
      <c r="A27" s="186"/>
      <c r="C27" s="216"/>
      <c r="D27" s="216"/>
      <c r="E27" s="216"/>
      <c r="F27" s="216"/>
      <c r="G27" s="216"/>
      <c r="H27" s="216"/>
      <c r="I27" s="216"/>
      <c r="J27" s="216"/>
      <c r="K27" s="216"/>
      <c r="L27" s="216"/>
    </row>
    <row r="28" spans="1:12" x14ac:dyDescent="0.2">
      <c r="A28" s="186"/>
    </row>
    <row r="29" spans="1:12" x14ac:dyDescent="0.2">
      <c r="A29" s="186"/>
    </row>
    <row r="73" spans="2:2" x14ac:dyDescent="0.2">
      <c r="B73" s="208"/>
    </row>
    <row r="84" spans="2:2" x14ac:dyDescent="0.2">
      <c r="B84" s="208"/>
    </row>
  </sheetData>
  <pageMargins left="0.25" right="0.25" top="0.5" bottom="0.5" header="0.5" footer="0.5"/>
  <pageSetup scale="75" orientation="landscape" r:id="rId1"/>
  <headerFooter alignWithMargins="0">
    <oddFooter>&amp;L&amp;A&amp;C&amp;D &amp;T</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2:L84"/>
  <sheetViews>
    <sheetView workbookViewId="0">
      <selection activeCell="B10" sqref="B10"/>
    </sheetView>
  </sheetViews>
  <sheetFormatPr defaultColWidth="8" defaultRowHeight="12.75" x14ac:dyDescent="0.2"/>
  <cols>
    <col min="1" max="1" width="24.5703125" style="11" customWidth="1"/>
    <col min="2" max="2" width="11.85546875" style="11" customWidth="1"/>
    <col min="3" max="4" width="9.85546875" style="11" customWidth="1"/>
    <col min="5" max="11" width="9.85546875" style="11" bestFit="1" customWidth="1"/>
    <col min="12" max="16384" width="8" style="11"/>
  </cols>
  <sheetData>
    <row r="2" spans="1:11" ht="20.25" x14ac:dyDescent="0.3">
      <c r="A2" s="147" t="s">
        <v>1129</v>
      </c>
    </row>
    <row r="3" spans="1:11" ht="20.25" x14ac:dyDescent="0.3">
      <c r="A3" s="147"/>
    </row>
    <row r="4" spans="1:11" ht="12.75" customHeight="1" x14ac:dyDescent="0.2">
      <c r="A4" s="186" t="s">
        <v>1130</v>
      </c>
      <c r="E4" s="248">
        <f>'wholesale services'!C28</f>
        <v>1.4999999999999999E-2</v>
      </c>
    </row>
    <row r="5" spans="1:11" ht="15" customHeight="1" x14ac:dyDescent="0.3">
      <c r="A5" s="147"/>
    </row>
    <row r="6" spans="1:11" x14ac:dyDescent="0.2">
      <c r="B6" s="11">
        <v>1</v>
      </c>
      <c r="C6" s="11">
        <v>2</v>
      </c>
      <c r="D6" s="11">
        <v>3</v>
      </c>
      <c r="E6" s="11">
        <v>4</v>
      </c>
      <c r="F6" s="11">
        <v>5</v>
      </c>
      <c r="G6" s="11">
        <v>6</v>
      </c>
      <c r="H6" s="11">
        <v>7</v>
      </c>
      <c r="I6" s="11">
        <v>8</v>
      </c>
      <c r="J6" s="11">
        <v>9</v>
      </c>
      <c r="K6" s="11">
        <v>10</v>
      </c>
    </row>
    <row r="7" spans="1:11" x14ac:dyDescent="0.2">
      <c r="A7" s="11" t="s">
        <v>1131</v>
      </c>
      <c r="B7" s="190">
        <f>-'wholesale services'!D128</f>
        <v>662655</v>
      </c>
      <c r="C7" s="190">
        <f>-'wholesale services'!E128</f>
        <v>662655</v>
      </c>
      <c r="D7" s="190">
        <f>-'wholesale services'!F128</f>
        <v>662655</v>
      </c>
      <c r="E7" s="190">
        <f>-'wholesale services'!G128</f>
        <v>662655</v>
      </c>
      <c r="F7" s="190">
        <f>-'wholesale services'!H128</f>
        <v>662655</v>
      </c>
      <c r="G7" s="190">
        <f>-'wholesale services'!I128</f>
        <v>662655</v>
      </c>
      <c r="H7" s="190">
        <f>-'wholesale services'!J128</f>
        <v>662655</v>
      </c>
      <c r="I7" s="190">
        <f>-'wholesale services'!K128</f>
        <v>662655</v>
      </c>
      <c r="J7" s="190">
        <f>-'wholesale services'!L128</f>
        <v>662655</v>
      </c>
      <c r="K7" s="190">
        <f>-'wholesale services'!M128</f>
        <v>662655</v>
      </c>
    </row>
    <row r="8" spans="1:11" x14ac:dyDescent="0.2">
      <c r="A8" s="11" t="s">
        <v>1132</v>
      </c>
      <c r="B8" s="190">
        <f>-'wholesale services'!D127</f>
        <v>0</v>
      </c>
      <c r="C8" s="190">
        <f>-'wholesale services'!E127</f>
        <v>0</v>
      </c>
      <c r="D8" s="190">
        <f>-'wholesale services'!F127</f>
        <v>0</v>
      </c>
      <c r="E8" s="190">
        <f>-'wholesale services'!G127</f>
        <v>0</v>
      </c>
      <c r="F8" s="190">
        <f>-'wholesale services'!H127</f>
        <v>0</v>
      </c>
      <c r="G8" s="190">
        <f>-'wholesale services'!I127</f>
        <v>0</v>
      </c>
      <c r="H8" s="190">
        <f>-'wholesale services'!J127</f>
        <v>0</v>
      </c>
      <c r="I8" s="190">
        <f>-'wholesale services'!K127</f>
        <v>0</v>
      </c>
      <c r="J8" s="190">
        <f>-'wholesale services'!L127</f>
        <v>0</v>
      </c>
      <c r="K8" s="190">
        <f>-'wholesale services'!M127</f>
        <v>0</v>
      </c>
    </row>
    <row r="10" spans="1:11" x14ac:dyDescent="0.2">
      <c r="A10" s="11" t="s">
        <v>1071</v>
      </c>
      <c r="B10" s="198">
        <f>-NPV('general info'!B45,'non-cash charges'!B7:K7)-NPV('general info'!B45,'non-cash charges'!B8:K8)</f>
        <v>-3525004.8012830918</v>
      </c>
    </row>
    <row r="20" spans="3:12" x14ac:dyDescent="0.2">
      <c r="C20" s="303"/>
      <c r="D20" s="303"/>
      <c r="E20" s="303"/>
      <c r="F20" s="303"/>
      <c r="G20" s="303"/>
      <c r="H20" s="303"/>
      <c r="I20" s="303"/>
      <c r="J20" s="303"/>
      <c r="K20" s="303"/>
      <c r="L20" s="303"/>
    </row>
    <row r="73" spans="2:2" x14ac:dyDescent="0.2">
      <c r="B73" s="208"/>
    </row>
    <row r="84" spans="2:2" x14ac:dyDescent="0.2">
      <c r="B84" s="208"/>
    </row>
  </sheetData>
  <pageMargins left="0.23" right="0.28999999999999998" top="1" bottom="1" header="0.5" footer="0.5"/>
  <pageSetup orientation="landscape" r:id="rId1"/>
  <headerFooter alignWithMargins="0">
    <oddFooter>&amp;L&amp;A&amp;C&amp;D &amp;T</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O95"/>
  <sheetViews>
    <sheetView topLeftCell="A17" zoomScale="75" workbookViewId="0">
      <selection activeCell="F45" sqref="F45"/>
    </sheetView>
  </sheetViews>
  <sheetFormatPr defaultColWidth="8" defaultRowHeight="12.75" x14ac:dyDescent="0.2"/>
  <cols>
    <col min="1" max="1" width="6" style="11" customWidth="1"/>
    <col min="2" max="2" width="49.28515625" style="11" customWidth="1"/>
    <col min="3" max="3" width="17.42578125" style="11" customWidth="1"/>
    <col min="4" max="4" width="16.42578125" style="11" customWidth="1"/>
    <col min="5" max="5" width="14.5703125" style="11" customWidth="1"/>
    <col min="6" max="6" width="15.140625" style="186" customWidth="1"/>
    <col min="7" max="7" width="15.42578125" style="11" customWidth="1"/>
    <col min="8" max="8" width="14.140625" style="11" customWidth="1"/>
    <col min="9" max="9" width="11.7109375" style="11" customWidth="1"/>
    <col min="10" max="13" width="12.85546875" style="11" bestFit="1" customWidth="1"/>
    <col min="14" max="14" width="12.5703125" style="11" customWidth="1"/>
    <col min="15" max="15" width="12" style="11" customWidth="1"/>
    <col min="16" max="16384" width="8" style="11"/>
  </cols>
  <sheetData>
    <row r="1" spans="1:10" ht="20.25" x14ac:dyDescent="0.3">
      <c r="A1" s="147" t="s">
        <v>1148</v>
      </c>
      <c r="B1" s="147"/>
      <c r="C1" s="147"/>
      <c r="D1" s="147"/>
      <c r="E1" s="147"/>
    </row>
    <row r="2" spans="1:10" ht="20.25" x14ac:dyDescent="0.3">
      <c r="A2" s="147" t="s">
        <v>1229</v>
      </c>
      <c r="B2" s="147"/>
      <c r="C2" s="147"/>
      <c r="D2" s="147"/>
      <c r="E2" s="147"/>
    </row>
    <row r="3" spans="1:10" ht="20.25" x14ac:dyDescent="0.3">
      <c r="A3" s="147"/>
      <c r="B3" s="362" t="s">
        <v>1149</v>
      </c>
      <c r="C3" s="376" t="s">
        <v>1412</v>
      </c>
      <c r="D3" s="147"/>
      <c r="E3" s="147"/>
    </row>
    <row r="4" spans="1:10" ht="20.25" x14ac:dyDescent="0.3">
      <c r="A4" s="147"/>
      <c r="B4" s="362" t="s">
        <v>1155</v>
      </c>
      <c r="C4" s="376" t="s">
        <v>1417</v>
      </c>
      <c r="D4" s="147"/>
      <c r="E4" s="147"/>
    </row>
    <row r="5" spans="1:10" ht="20.25" x14ac:dyDescent="0.3">
      <c r="A5" s="147"/>
      <c r="B5" s="362" t="s">
        <v>1027</v>
      </c>
      <c r="C5" s="376" t="s">
        <v>1417</v>
      </c>
      <c r="D5" s="186" t="s">
        <v>1028</v>
      </c>
      <c r="E5" s="147"/>
      <c r="G5" s="375">
        <v>6350000</v>
      </c>
    </row>
    <row r="6" spans="1:10" ht="20.25" x14ac:dyDescent="0.3">
      <c r="A6" s="147"/>
      <c r="B6" s="362"/>
      <c r="C6" s="364"/>
      <c r="D6" s="147"/>
      <c r="E6" s="147"/>
    </row>
    <row r="7" spans="1:10" ht="12.75" customHeight="1" x14ac:dyDescent="0.3">
      <c r="B7" s="363"/>
      <c r="C7" s="183"/>
      <c r="D7" s="102"/>
      <c r="E7" s="147"/>
    </row>
    <row r="8" spans="1:10" ht="18" customHeight="1" x14ac:dyDescent="0.3">
      <c r="A8" s="187" t="s">
        <v>1150</v>
      </c>
      <c r="B8" s="251"/>
      <c r="C8" s="183"/>
      <c r="D8" s="102"/>
      <c r="E8" s="187"/>
    </row>
    <row r="9" spans="1:10" ht="18" customHeight="1" x14ac:dyDescent="0.3">
      <c r="A9" s="187"/>
      <c r="B9" s="251"/>
      <c r="C9" s="183"/>
      <c r="D9" s="102"/>
      <c r="E9" s="187"/>
    </row>
    <row r="10" spans="1:10" ht="12.75" customHeight="1" x14ac:dyDescent="0.3">
      <c r="A10" s="224"/>
      <c r="B10" s="186" t="s">
        <v>1151</v>
      </c>
      <c r="C10" s="104">
        <f>IF('general info'!B46="y",'general info'!B14,'general info'!D14)</f>
        <v>19378447.57713601</v>
      </c>
      <c r="D10" s="235" t="s">
        <v>1152</v>
      </c>
      <c r="E10" s="187"/>
    </row>
    <row r="11" spans="1:10" ht="12.75" customHeight="1" x14ac:dyDescent="0.3">
      <c r="A11" s="224"/>
      <c r="B11" s="186" t="s">
        <v>1170</v>
      </c>
      <c r="C11" s="252">
        <f>IF('general info'!B46="y",'general info'!B15,'general info'!D15)</f>
        <v>16686824.271888662</v>
      </c>
      <c r="D11" s="235" t="s">
        <v>1171</v>
      </c>
      <c r="E11" s="187"/>
    </row>
    <row r="12" spans="1:10" ht="12.75" customHeight="1" x14ac:dyDescent="0.3">
      <c r="A12" s="224"/>
      <c r="B12" s="186" t="s">
        <v>1172</v>
      </c>
      <c r="C12" s="61">
        <f>'Redistribution Scenarios'!C8</f>
        <v>50509297.999999993</v>
      </c>
      <c r="D12" s="187"/>
      <c r="E12" s="187"/>
    </row>
    <row r="13" spans="1:10" ht="12.75" customHeight="1" x14ac:dyDescent="0.3">
      <c r="A13" s="224"/>
      <c r="B13" s="186"/>
      <c r="C13" s="203"/>
      <c r="D13" s="187"/>
      <c r="E13" s="187"/>
    </row>
    <row r="14" spans="1:10" ht="12.75" customHeight="1" x14ac:dyDescent="0.3">
      <c r="A14" s="224"/>
      <c r="B14" s="186" t="s">
        <v>1173</v>
      </c>
      <c r="C14" s="1006">
        <f>'commodity information'!G6*1000</f>
        <v>928000</v>
      </c>
      <c r="D14" s="187"/>
      <c r="E14" s="187"/>
    </row>
    <row r="15" spans="1:10" ht="12.75" customHeight="1" x14ac:dyDescent="0.3">
      <c r="A15" s="224"/>
      <c r="B15" s="186" t="s">
        <v>1174</v>
      </c>
      <c r="C15" s="1007">
        <v>0.2</v>
      </c>
      <c r="D15" s="187"/>
      <c r="E15" s="187"/>
    </row>
    <row r="16" spans="1:10" ht="12.75" customHeight="1" x14ac:dyDescent="0.2">
      <c r="A16" s="224"/>
      <c r="B16" s="213"/>
      <c r="C16" s="213"/>
      <c r="D16" s="213"/>
      <c r="E16" s="257"/>
      <c r="G16" s="198" t="s">
        <v>1411</v>
      </c>
      <c r="H16" s="186"/>
      <c r="I16" s="186"/>
      <c r="J16" s="186"/>
    </row>
    <row r="17" spans="1:13" ht="18.75" x14ac:dyDescent="0.3">
      <c r="A17" s="187" t="s">
        <v>1175</v>
      </c>
    </row>
    <row r="19" spans="1:13" x14ac:dyDescent="0.2">
      <c r="C19" s="221" t="s">
        <v>742</v>
      </c>
      <c r="D19" s="11">
        <v>1</v>
      </c>
      <c r="E19" s="11">
        <v>2</v>
      </c>
      <c r="F19" s="186">
        <v>3</v>
      </c>
      <c r="G19" s="11">
        <v>4</v>
      </c>
      <c r="H19" s="11">
        <v>5</v>
      </c>
      <c r="I19" s="11">
        <v>6</v>
      </c>
      <c r="J19" s="11">
        <v>7</v>
      </c>
      <c r="K19" s="11">
        <v>8</v>
      </c>
      <c r="L19" s="11">
        <v>9</v>
      </c>
      <c r="M19" s="11">
        <v>10</v>
      </c>
    </row>
    <row r="20" spans="1:13" x14ac:dyDescent="0.2">
      <c r="B20" s="11" t="s">
        <v>1176</v>
      </c>
      <c r="C20" s="303">
        <v>0</v>
      </c>
      <c r="D20" s="258">
        <f t="shared" ref="D20:M20" si="0">D22/C22-1</f>
        <v>2.4177771031390183E-2</v>
      </c>
      <c r="E20" s="258">
        <f t="shared" si="0"/>
        <v>0.11147752946566469</v>
      </c>
      <c r="F20" s="1046">
        <f t="shared" si="0"/>
        <v>0.11917608003809388</v>
      </c>
      <c r="G20" s="258">
        <f t="shared" si="0"/>
        <v>3.7955245419835526E-2</v>
      </c>
      <c r="H20" s="258">
        <f t="shared" si="0"/>
        <v>0</v>
      </c>
      <c r="I20" s="258">
        <f t="shared" si="0"/>
        <v>0</v>
      </c>
      <c r="J20" s="258">
        <f t="shared" si="0"/>
        <v>0</v>
      </c>
      <c r="K20" s="258">
        <f t="shared" si="0"/>
        <v>0</v>
      </c>
      <c r="L20" s="258">
        <f t="shared" si="0"/>
        <v>0</v>
      </c>
      <c r="M20" s="258">
        <f t="shared" si="0"/>
        <v>0</v>
      </c>
    </row>
    <row r="22" spans="1:13" x14ac:dyDescent="0.2">
      <c r="B22" s="11" t="s">
        <v>1177</v>
      </c>
      <c r="C22" s="216">
        <f>'Redistribution Scenarios'!B4</f>
        <v>61345132.1638868</v>
      </c>
      <c r="D22" s="216">
        <f>'Redistribution Scenarios'!C4</f>
        <v>62828320.723235622</v>
      </c>
      <c r="E22" s="216">
        <f>'Redistribution Scenarios'!D4</f>
        <v>69832266.697938353</v>
      </c>
      <c r="F22" s="1003">
        <f>'Redistribution Scenarios'!E4</f>
        <v>78154602.503173366</v>
      </c>
      <c r="G22" s="216">
        <f>'Redistribution Scenarios'!F4</f>
        <v>81120979.621870995</v>
      </c>
      <c r="H22" s="216">
        <f>'Redistribution Scenarios'!G4</f>
        <v>81120979.621870995</v>
      </c>
      <c r="I22" s="216">
        <f>'Redistribution Scenarios'!H4</f>
        <v>81120979.621870995</v>
      </c>
      <c r="J22" s="216">
        <f>'Redistribution Scenarios'!I4</f>
        <v>81120979.621870995</v>
      </c>
      <c r="K22" s="216">
        <f>'Redistribution Scenarios'!J4</f>
        <v>81120979.621870995</v>
      </c>
      <c r="L22" s="216">
        <f>'Redistribution Scenarios'!K4</f>
        <v>81120979.621870995</v>
      </c>
      <c r="M22" s="216">
        <f>'Redistribution Scenarios'!L4</f>
        <v>81120979.621870995</v>
      </c>
    </row>
    <row r="23" spans="1:13" x14ac:dyDescent="0.2">
      <c r="B23" s="11" t="s">
        <v>1178</v>
      </c>
      <c r="C23" s="1006">
        <f>$C$14*(1+$C$15)</f>
        <v>1113600</v>
      </c>
      <c r="D23" s="449">
        <f>$C$23*'commodity information'!D30</f>
        <v>1306249.0306293613</v>
      </c>
      <c r="E23" s="449">
        <f>$C$23*'commodity information'!E30</f>
        <v>1310472.7793099973</v>
      </c>
      <c r="F23" s="1005">
        <f>$C$23*'commodity information'!F30</f>
        <v>1325032.8596159723</v>
      </c>
      <c r="G23" s="449">
        <f>$C$23*'commodity information'!G30</f>
        <v>1347740.848639902</v>
      </c>
      <c r="H23" s="449">
        <f>$C$23*'commodity information'!H30</f>
        <v>1375391.527600423</v>
      </c>
      <c r="I23" s="449">
        <f>$C$23*'commodity information'!I30</f>
        <v>1407950.5913057209</v>
      </c>
      <c r="J23" s="449">
        <f>$C$23*'commodity information'!J30</f>
        <v>1445385.55879524</v>
      </c>
      <c r="K23" s="449">
        <f>$C$23*'commodity information'!K30</f>
        <v>1487665.8493687983</v>
      </c>
      <c r="L23" s="449">
        <f>$C$23*'commodity information'!L30</f>
        <v>1534762.8185920694</v>
      </c>
      <c r="M23" s="449">
        <f>$C$23*'commodity information'!M30</f>
        <v>1586649.7588408131</v>
      </c>
    </row>
    <row r="25" spans="1:13" x14ac:dyDescent="0.2">
      <c r="B25" s="148" t="s">
        <v>1179</v>
      </c>
      <c r="C25" s="260">
        <v>0</v>
      </c>
    </row>
    <row r="27" spans="1:13" ht="18.75" x14ac:dyDescent="0.3">
      <c r="A27" s="187" t="s">
        <v>1180</v>
      </c>
      <c r="C27" s="221" t="s">
        <v>1411</v>
      </c>
    </row>
    <row r="28" spans="1:13" ht="18.75" x14ac:dyDescent="0.3">
      <c r="A28" s="187"/>
      <c r="C28" s="221"/>
    </row>
    <row r="29" spans="1:13" ht="14.25" customHeight="1" x14ac:dyDescent="0.3">
      <c r="A29" s="187"/>
      <c r="B29" s="224" t="s">
        <v>1411</v>
      </c>
      <c r="C29" s="218" t="s">
        <v>620</v>
      </c>
      <c r="D29" s="166" t="s">
        <v>1181</v>
      </c>
    </row>
    <row r="30" spans="1:13" ht="14.25" customHeight="1" x14ac:dyDescent="0.3">
      <c r="A30" s="187"/>
      <c r="B30" s="11" t="s">
        <v>1182</v>
      </c>
      <c r="C30" s="219">
        <f>'commodity information'!C13</f>
        <v>7.1999999999999995E-2</v>
      </c>
      <c r="D30" s="261">
        <f>'commodity information'!C17</f>
        <v>5</v>
      </c>
    </row>
    <row r="31" spans="1:13" ht="14.25" customHeight="1" x14ac:dyDescent="0.3">
      <c r="A31" s="187"/>
      <c r="B31" s="11" t="s">
        <v>1183</v>
      </c>
      <c r="C31" s="215">
        <f>C12</f>
        <v>50509297.999999993</v>
      </c>
      <c r="D31" s="1042">
        <f>C14</f>
        <v>928000</v>
      </c>
    </row>
    <row r="32" spans="1:13" ht="14.25" customHeight="1" x14ac:dyDescent="0.3">
      <c r="A32" s="187"/>
      <c r="B32" s="11" t="s">
        <v>1184</v>
      </c>
      <c r="C32" s="198">
        <f>C31/C30</f>
        <v>701518027.77777767</v>
      </c>
      <c r="D32" s="1018">
        <f>D31/D30</f>
        <v>185600</v>
      </c>
    </row>
    <row r="33" spans="1:13" ht="14.25" customHeight="1" x14ac:dyDescent="0.3">
      <c r="A33" s="187"/>
      <c r="C33" s="198"/>
      <c r="D33" s="198"/>
    </row>
    <row r="34" spans="1:13" ht="14.25" customHeight="1" x14ac:dyDescent="0.3">
      <c r="A34" s="187"/>
      <c r="B34" s="11" t="s">
        <v>1185</v>
      </c>
      <c r="C34" s="1044">
        <v>500000</v>
      </c>
      <c r="D34" s="198"/>
    </row>
    <row r="35" spans="1:13" ht="14.25" customHeight="1" x14ac:dyDescent="0.3">
      <c r="A35" s="187"/>
      <c r="C35" s="198"/>
      <c r="D35" s="198"/>
    </row>
    <row r="36" spans="1:13" ht="18.75" x14ac:dyDescent="0.3">
      <c r="A36" s="187" t="s">
        <v>1191</v>
      </c>
    </row>
    <row r="37" spans="1:13" x14ac:dyDescent="0.2">
      <c r="B37" s="186" t="s">
        <v>1192</v>
      </c>
      <c r="C37" s="191">
        <v>0</v>
      </c>
    </row>
    <row r="38" spans="1:13" x14ac:dyDescent="0.2">
      <c r="B38" s="186" t="s">
        <v>1035</v>
      </c>
      <c r="C38" s="234">
        <v>4.5</v>
      </c>
    </row>
    <row r="39" spans="1:13" x14ac:dyDescent="0.2">
      <c r="B39" s="186" t="s">
        <v>1193</v>
      </c>
      <c r="C39" s="248">
        <f>C37/C38/(C32*C30)</f>
        <v>0</v>
      </c>
    </row>
    <row r="40" spans="1:13" x14ac:dyDescent="0.2">
      <c r="B40" s="186" t="s">
        <v>1038</v>
      </c>
      <c r="C40" s="203">
        <v>0.4</v>
      </c>
    </row>
    <row r="41" spans="1:13" x14ac:dyDescent="0.2">
      <c r="B41" s="186"/>
      <c r="C41" s="203"/>
    </row>
    <row r="42" spans="1:13" ht="18.75" x14ac:dyDescent="0.3">
      <c r="A42" s="187" t="s">
        <v>1194</v>
      </c>
      <c r="B42" s="186"/>
      <c r="C42" s="203"/>
    </row>
    <row r="43" spans="1:13" x14ac:dyDescent="0.2">
      <c r="B43" s="186"/>
      <c r="C43" s="11" t="s">
        <v>742</v>
      </c>
      <c r="D43" s="11">
        <v>1</v>
      </c>
      <c r="E43" s="11">
        <v>2</v>
      </c>
      <c r="F43" s="186">
        <v>3</v>
      </c>
      <c r="G43" s="11">
        <v>4</v>
      </c>
      <c r="H43" s="11">
        <v>5</v>
      </c>
      <c r="I43" s="11">
        <v>6</v>
      </c>
      <c r="J43" s="11">
        <v>7</v>
      </c>
      <c r="K43" s="11">
        <v>8</v>
      </c>
      <c r="L43" s="11">
        <v>9</v>
      </c>
      <c r="M43" s="11">
        <v>10</v>
      </c>
    </row>
    <row r="44" spans="1:13" x14ac:dyDescent="0.2">
      <c r="B44" s="186" t="s">
        <v>1195</v>
      </c>
      <c r="C44" s="169">
        <v>6500</v>
      </c>
      <c r="D44" s="190">
        <f t="shared" ref="D44:M44" si="1">C44*(1+D20)</f>
        <v>6657.1555117040361</v>
      </c>
      <c r="E44" s="991">
        <f t="shared" si="1"/>
        <v>7399.278761417535</v>
      </c>
      <c r="F44" s="1008">
        <f>E44*(1+F20)</f>
        <v>8281.0957993123993</v>
      </c>
      <c r="G44" s="190">
        <f t="shared" si="1"/>
        <v>8595.4068227204698</v>
      </c>
      <c r="H44" s="190">
        <f t="shared" si="1"/>
        <v>8595.4068227204698</v>
      </c>
      <c r="I44" s="190">
        <f t="shared" si="1"/>
        <v>8595.4068227204698</v>
      </c>
      <c r="J44" s="190">
        <f t="shared" si="1"/>
        <v>8595.4068227204698</v>
      </c>
      <c r="K44" s="190">
        <f t="shared" si="1"/>
        <v>8595.4068227204698</v>
      </c>
      <c r="L44" s="190">
        <f t="shared" si="1"/>
        <v>8595.4068227204698</v>
      </c>
      <c r="M44" s="190">
        <f t="shared" si="1"/>
        <v>8595.4068227204698</v>
      </c>
    </row>
    <row r="45" spans="1:13" x14ac:dyDescent="0.2">
      <c r="B45" s="186" t="s">
        <v>1196</v>
      </c>
      <c r="C45" s="247">
        <v>100</v>
      </c>
      <c r="D45" s="247">
        <f>7*12</f>
        <v>84</v>
      </c>
      <c r="E45" s="247">
        <f t="shared" ref="E45:M45" si="2">D45</f>
        <v>84</v>
      </c>
      <c r="F45" s="241">
        <f t="shared" si="2"/>
        <v>84</v>
      </c>
      <c r="G45" s="247">
        <f t="shared" si="2"/>
        <v>84</v>
      </c>
      <c r="H45" s="247">
        <f t="shared" si="2"/>
        <v>84</v>
      </c>
      <c r="I45" s="247">
        <f t="shared" si="2"/>
        <v>84</v>
      </c>
      <c r="J45" s="247">
        <f t="shared" si="2"/>
        <v>84</v>
      </c>
      <c r="K45" s="247">
        <f t="shared" si="2"/>
        <v>84</v>
      </c>
      <c r="L45" s="247">
        <f t="shared" si="2"/>
        <v>84</v>
      </c>
      <c r="M45" s="247">
        <f t="shared" si="2"/>
        <v>84</v>
      </c>
    </row>
    <row r="46" spans="1:13" x14ac:dyDescent="0.2">
      <c r="B46" s="186" t="s">
        <v>1197</v>
      </c>
      <c r="C46" s="61">
        <f t="shared" ref="C46:M46" si="3">C44*C45</f>
        <v>650000</v>
      </c>
      <c r="D46" s="61">
        <f t="shared" si="3"/>
        <v>559201.06298313907</v>
      </c>
      <c r="E46" s="61">
        <f t="shared" si="3"/>
        <v>621539.41595907288</v>
      </c>
      <c r="F46" s="1008">
        <f t="shared" si="3"/>
        <v>695612.0471422415</v>
      </c>
      <c r="G46" s="61">
        <f t="shared" si="3"/>
        <v>722014.17310851952</v>
      </c>
      <c r="H46" s="61">
        <f t="shared" si="3"/>
        <v>722014.17310851952</v>
      </c>
      <c r="I46" s="61">
        <f t="shared" si="3"/>
        <v>722014.17310851952</v>
      </c>
      <c r="J46" s="61">
        <f t="shared" si="3"/>
        <v>722014.17310851952</v>
      </c>
      <c r="K46" s="61">
        <f t="shared" si="3"/>
        <v>722014.17310851952</v>
      </c>
      <c r="L46" s="61">
        <f t="shared" si="3"/>
        <v>722014.17310851952</v>
      </c>
      <c r="M46" s="61">
        <f t="shared" si="3"/>
        <v>722014.17310851952</v>
      </c>
    </row>
    <row r="47" spans="1:13" x14ac:dyDescent="0.2">
      <c r="B47" s="186"/>
      <c r="C47" s="61"/>
      <c r="D47" s="61"/>
      <c r="E47" s="61"/>
      <c r="F47" s="190"/>
      <c r="G47" s="61"/>
      <c r="H47" s="61"/>
      <c r="I47" s="61"/>
      <c r="J47" s="61"/>
      <c r="K47" s="61"/>
      <c r="L47" s="61"/>
      <c r="M47" s="61"/>
    </row>
    <row r="48" spans="1:13" ht="18.75" x14ac:dyDescent="0.3">
      <c r="A48" s="187" t="s">
        <v>1198</v>
      </c>
      <c r="B48" s="186"/>
      <c r="C48" s="61"/>
      <c r="D48" s="61"/>
      <c r="E48" s="61"/>
      <c r="F48" s="190"/>
      <c r="G48" s="61"/>
      <c r="H48" s="61"/>
      <c r="I48" s="61"/>
      <c r="J48" s="61"/>
      <c r="K48" s="61"/>
      <c r="L48" s="61"/>
      <c r="M48" s="61"/>
    </row>
    <row r="49" spans="1:14" x14ac:dyDescent="0.2">
      <c r="C49" s="11" t="s">
        <v>742</v>
      </c>
      <c r="D49" s="11">
        <v>1</v>
      </c>
      <c r="E49" s="11">
        <v>2</v>
      </c>
      <c r="F49" s="186">
        <v>3</v>
      </c>
      <c r="G49" s="11">
        <v>4</v>
      </c>
      <c r="H49" s="11">
        <v>5</v>
      </c>
      <c r="I49" s="11">
        <v>6</v>
      </c>
      <c r="J49" s="11">
        <v>7</v>
      </c>
      <c r="K49" s="11">
        <v>8</v>
      </c>
      <c r="L49" s="11">
        <v>9</v>
      </c>
      <c r="M49" s="11">
        <v>10</v>
      </c>
    </row>
    <row r="50" spans="1:14" x14ac:dyDescent="0.2">
      <c r="B50" s="186" t="s">
        <v>1199</v>
      </c>
      <c r="C50" s="1006">
        <f>C34</f>
        <v>500000</v>
      </c>
      <c r="D50" s="259">
        <f>D60/C60*C50</f>
        <v>512088.88551569509</v>
      </c>
      <c r="E50" s="259">
        <f t="shared" ref="E50:M50" si="4">$C$50/5+(E60-D60)/D60*2000000</f>
        <v>322955.0589313294</v>
      </c>
      <c r="F50" s="1043">
        <f>$C$50/5+(F60-E60)/E60*2000000</f>
        <v>338352.16007618757</v>
      </c>
      <c r="G50" s="259">
        <f t="shared" si="4"/>
        <v>175910.49083967082</v>
      </c>
      <c r="H50" s="259">
        <f t="shared" si="4"/>
        <v>100000</v>
      </c>
      <c r="I50" s="259">
        <f t="shared" si="4"/>
        <v>100000</v>
      </c>
      <c r="J50" s="259">
        <f t="shared" si="4"/>
        <v>100000</v>
      </c>
      <c r="K50" s="259">
        <f t="shared" si="4"/>
        <v>100000</v>
      </c>
      <c r="L50" s="259">
        <f t="shared" si="4"/>
        <v>100000</v>
      </c>
      <c r="M50" s="259">
        <f t="shared" si="4"/>
        <v>100000</v>
      </c>
    </row>
    <row r="51" spans="1:14" x14ac:dyDescent="0.2">
      <c r="B51" s="186"/>
      <c r="C51" s="220"/>
      <c r="D51" s="61"/>
      <c r="E51" s="61"/>
      <c r="F51" s="190"/>
      <c r="G51" s="61"/>
      <c r="H51" s="61"/>
      <c r="I51" s="61"/>
      <c r="J51" s="61"/>
      <c r="K51" s="61"/>
      <c r="L51" s="61"/>
      <c r="M51" s="61"/>
    </row>
    <row r="52" spans="1:14" ht="18.75" x14ac:dyDescent="0.3">
      <c r="A52" s="187" t="s">
        <v>1132</v>
      </c>
      <c r="B52" s="186"/>
      <c r="C52" s="220"/>
      <c r="D52" s="61"/>
      <c r="E52" s="61"/>
      <c r="F52" s="190"/>
      <c r="G52" s="61"/>
      <c r="H52" s="61"/>
      <c r="I52" s="61"/>
      <c r="J52" s="61"/>
      <c r="K52" s="61"/>
      <c r="L52" s="61"/>
      <c r="M52" s="61"/>
    </row>
    <row r="53" spans="1:14" x14ac:dyDescent="0.2">
      <c r="B53" s="186" t="s">
        <v>1584</v>
      </c>
      <c r="C53" s="509">
        <v>1275000</v>
      </c>
      <c r="D53" s="61"/>
      <c r="E53" s="61"/>
      <c r="F53" s="190"/>
      <c r="G53" s="61"/>
      <c r="H53" s="61"/>
      <c r="I53" s="61"/>
      <c r="J53" s="61"/>
      <c r="K53" s="61"/>
      <c r="L53" s="61"/>
      <c r="M53" s="61"/>
    </row>
    <row r="54" spans="1:14" x14ac:dyDescent="0.2">
      <c r="B54" s="186"/>
      <c r="C54" s="220"/>
      <c r="D54" s="61"/>
      <c r="E54" s="61"/>
      <c r="F54" s="190"/>
      <c r="G54" s="61"/>
      <c r="H54" s="61"/>
      <c r="I54" s="61"/>
      <c r="J54" s="61"/>
      <c r="K54" s="61"/>
      <c r="L54" s="61"/>
      <c r="M54" s="61"/>
    </row>
    <row r="55" spans="1:14" x14ac:dyDescent="0.2">
      <c r="B55" s="186"/>
      <c r="C55" s="220"/>
      <c r="D55" s="61"/>
      <c r="E55" s="61"/>
      <c r="F55" s="190"/>
      <c r="G55" s="61"/>
      <c r="H55" s="61"/>
      <c r="I55" s="61"/>
      <c r="J55" s="61"/>
      <c r="K55" s="61"/>
      <c r="L55" s="61"/>
      <c r="M55" s="61"/>
    </row>
    <row r="56" spans="1:14" ht="18.75" x14ac:dyDescent="0.3">
      <c r="A56" s="187" t="s">
        <v>1200</v>
      </c>
      <c r="C56" s="935"/>
      <c r="D56" s="935"/>
      <c r="E56"/>
      <c r="F56"/>
      <c r="G56"/>
      <c r="H56"/>
      <c r="I56"/>
      <c r="J56"/>
      <c r="K56"/>
      <c r="L56"/>
      <c r="M56"/>
    </row>
    <row r="57" spans="1:14" ht="18.75" x14ac:dyDescent="0.3">
      <c r="A57" s="187"/>
    </row>
    <row r="58" spans="1:14" x14ac:dyDescent="0.2">
      <c r="A58" s="213" t="s">
        <v>1048</v>
      </c>
      <c r="B58" s="186"/>
      <c r="C58" s="11" t="s">
        <v>742</v>
      </c>
      <c r="D58" s="11">
        <v>1</v>
      </c>
      <c r="E58" s="11">
        <v>2</v>
      </c>
      <c r="F58" s="186">
        <v>3</v>
      </c>
      <c r="G58" s="11">
        <v>4</v>
      </c>
      <c r="H58" s="11">
        <v>5</v>
      </c>
      <c r="I58" s="11">
        <v>6</v>
      </c>
      <c r="J58" s="11">
        <v>7</v>
      </c>
      <c r="K58" s="11">
        <v>8</v>
      </c>
      <c r="L58" s="11">
        <v>9</v>
      </c>
      <c r="M58" s="11">
        <v>10</v>
      </c>
    </row>
    <row r="59" spans="1:14" x14ac:dyDescent="0.2">
      <c r="A59" s="213"/>
      <c r="B59" s="186" t="s">
        <v>1201</v>
      </c>
      <c r="C59" s="237">
        <v>0</v>
      </c>
      <c r="D59" s="61">
        <f>C25</f>
        <v>0</v>
      </c>
      <c r="E59" s="61">
        <f t="shared" ref="E59:M59" si="5">D25</f>
        <v>0</v>
      </c>
      <c r="F59" s="448">
        <f t="shared" si="5"/>
        <v>0</v>
      </c>
      <c r="G59" s="61">
        <f t="shared" si="5"/>
        <v>0</v>
      </c>
      <c r="H59" s="61">
        <f t="shared" si="5"/>
        <v>0</v>
      </c>
      <c r="I59" s="61">
        <f t="shared" si="5"/>
        <v>0</v>
      </c>
      <c r="J59" s="61">
        <f t="shared" si="5"/>
        <v>0</v>
      </c>
      <c r="K59" s="61">
        <f t="shared" si="5"/>
        <v>0</v>
      </c>
      <c r="L59" s="61">
        <f t="shared" si="5"/>
        <v>0</v>
      </c>
      <c r="M59" s="61">
        <f t="shared" si="5"/>
        <v>0</v>
      </c>
    </row>
    <row r="60" spans="1:14" x14ac:dyDescent="0.2">
      <c r="B60" s="186" t="s">
        <v>1218</v>
      </c>
      <c r="C60" s="216">
        <f t="shared" ref="C60:M60" si="6">C22</f>
        <v>61345132.1638868</v>
      </c>
      <c r="D60" s="216">
        <f t="shared" si="6"/>
        <v>62828320.723235622</v>
      </c>
      <c r="E60" s="1045">
        <f t="shared" si="6"/>
        <v>69832266.697938353</v>
      </c>
      <c r="F60" s="1002">
        <f t="shared" si="6"/>
        <v>78154602.503173366</v>
      </c>
      <c r="G60" s="216">
        <f t="shared" si="6"/>
        <v>81120979.621870995</v>
      </c>
      <c r="H60" s="216">
        <f t="shared" si="6"/>
        <v>81120979.621870995</v>
      </c>
      <c r="I60" s="216">
        <f t="shared" si="6"/>
        <v>81120979.621870995</v>
      </c>
      <c r="J60" s="216">
        <f t="shared" si="6"/>
        <v>81120979.621870995</v>
      </c>
      <c r="K60" s="216">
        <f t="shared" si="6"/>
        <v>81120979.621870995</v>
      </c>
      <c r="L60" s="216">
        <f t="shared" si="6"/>
        <v>81120979.621870995</v>
      </c>
      <c r="M60" s="216">
        <f t="shared" si="6"/>
        <v>81120979.621870995</v>
      </c>
      <c r="N60" s="243">
        <f>NPV('general info'!$B$45,'power redistribution'!D60:M60)</f>
        <v>404615786.61992025</v>
      </c>
    </row>
    <row r="61" spans="1:14" x14ac:dyDescent="0.2">
      <c r="B61" s="186" t="s">
        <v>1219</v>
      </c>
      <c r="C61" s="240">
        <f t="shared" ref="C61:M61" si="7">C23</f>
        <v>1113600</v>
      </c>
      <c r="D61" s="240">
        <f t="shared" si="7"/>
        <v>1306249.0306293613</v>
      </c>
      <c r="E61" s="240">
        <f t="shared" si="7"/>
        <v>1310472.7793099973</v>
      </c>
      <c r="F61" s="227">
        <f t="shared" si="7"/>
        <v>1325032.8596159723</v>
      </c>
      <c r="G61" s="240">
        <f t="shared" si="7"/>
        <v>1347740.848639902</v>
      </c>
      <c r="H61" s="240">
        <f t="shared" si="7"/>
        <v>1375391.527600423</v>
      </c>
      <c r="I61" s="240">
        <f t="shared" si="7"/>
        <v>1407950.5913057209</v>
      </c>
      <c r="J61" s="240">
        <f t="shared" si="7"/>
        <v>1445385.55879524</v>
      </c>
      <c r="K61" s="240">
        <f t="shared" si="7"/>
        <v>1487665.8493687983</v>
      </c>
      <c r="L61" s="240">
        <f t="shared" si="7"/>
        <v>1534762.8185920694</v>
      </c>
      <c r="M61" s="240">
        <f t="shared" si="7"/>
        <v>1586649.7588408131</v>
      </c>
    </row>
    <row r="62" spans="1:14" x14ac:dyDescent="0.2">
      <c r="A62" s="213"/>
      <c r="B62" s="213" t="s">
        <v>1220</v>
      </c>
      <c r="C62" s="216">
        <f t="shared" ref="C62:M62" si="8">SUM(C59:C61)</f>
        <v>62458732.1638868</v>
      </c>
      <c r="D62" s="216">
        <f t="shared" si="8"/>
        <v>64134569.753864981</v>
      </c>
      <c r="E62" s="216">
        <f t="shared" si="8"/>
        <v>71142739.477248356</v>
      </c>
      <c r="F62" s="1002">
        <f t="shared" si="8"/>
        <v>79479635.362789333</v>
      </c>
      <c r="G62" s="216">
        <f t="shared" si="8"/>
        <v>82468720.4705109</v>
      </c>
      <c r="H62" s="216">
        <f t="shared" si="8"/>
        <v>82496371.149471417</v>
      </c>
      <c r="I62" s="216">
        <f t="shared" si="8"/>
        <v>82528930.213176712</v>
      </c>
      <c r="J62" s="216">
        <f t="shared" si="8"/>
        <v>82566365.180666238</v>
      </c>
      <c r="K62" s="216">
        <f t="shared" si="8"/>
        <v>82608645.47123979</v>
      </c>
      <c r="L62" s="216">
        <f t="shared" si="8"/>
        <v>82655742.440463066</v>
      </c>
      <c r="M62" s="216">
        <f t="shared" si="8"/>
        <v>82707629.380711809</v>
      </c>
      <c r="N62" s="243">
        <f>NPV('general info'!$B$45,'power redistribution'!D62:M62)</f>
        <v>411965165.18773228</v>
      </c>
    </row>
    <row r="63" spans="1:14" x14ac:dyDescent="0.2">
      <c r="A63" s="213"/>
      <c r="B63" s="213"/>
    </row>
    <row r="64" spans="1:14" x14ac:dyDescent="0.2">
      <c r="A64" s="213" t="s">
        <v>1051</v>
      </c>
      <c r="B64" s="186"/>
      <c r="C64" s="372"/>
      <c r="D64" s="372"/>
      <c r="E64" s="372"/>
      <c r="F64" s="447"/>
      <c r="G64" s="372"/>
      <c r="H64" s="372"/>
      <c r="I64" s="372"/>
      <c r="J64" s="372"/>
      <c r="K64" s="372"/>
      <c r="L64" s="372"/>
      <c r="M64" s="372"/>
    </row>
    <row r="65" spans="1:15" x14ac:dyDescent="0.2">
      <c r="B65" s="11" t="s">
        <v>1221</v>
      </c>
      <c r="C65" s="344"/>
      <c r="D65" s="344">
        <f>IF($C$4="y",'Redistribution Scenarios'!C22,0)+IF($C$5="y",'Redistribution Scenarios'!C29,0)</f>
        <v>0</v>
      </c>
      <c r="E65" s="344">
        <f>IF($C$4="y",'Redistribution Scenarios'!D22,0)+IF($C$5="y",'Redistribution Scenarios'!D29,0)</f>
        <v>0</v>
      </c>
      <c r="F65" s="344">
        <f>IF($C$4="y",'Redistribution Scenarios'!E22,0)+IF($C$5="y",'Redistribution Scenarios'!E29,0)</f>
        <v>0</v>
      </c>
      <c r="G65" s="344">
        <f>IF($C$4="y",'Redistribution Scenarios'!F22,0)+IF($C$5="y",'Redistribution Scenarios'!F29,0)</f>
        <v>0</v>
      </c>
      <c r="H65" s="344">
        <f>IF($C$4="y",'Redistribution Scenarios'!G22,0)+IF($C$5="y",'Redistribution Scenarios'!G29,0)</f>
        <v>0</v>
      </c>
      <c r="I65" s="344">
        <f>IF($C$4="y",'Redistribution Scenarios'!H22,0)+IF($C$5="y",'Redistribution Scenarios'!H29,0)</f>
        <v>0</v>
      </c>
      <c r="J65" s="344">
        <f>IF($C$4="y",'Redistribution Scenarios'!I22,0)+IF($C$5="y",'Redistribution Scenarios'!I29,0)</f>
        <v>0</v>
      </c>
      <c r="K65" s="344">
        <f>IF($C$4="y",'Redistribution Scenarios'!J22,0)+IF($C$5="y",'Redistribution Scenarios'!J29,0)</f>
        <v>0</v>
      </c>
      <c r="L65" s="344">
        <f>IF($C$4="y",'Redistribution Scenarios'!K22,0)+IF($C$5="y",'Redistribution Scenarios'!K29,0)</f>
        <v>0</v>
      </c>
      <c r="M65" s="344">
        <f>IF($C$4="y",'Redistribution Scenarios'!L22,0)+IF($C$5="y",'Redistribution Scenarios'!L29,0)</f>
        <v>0</v>
      </c>
    </row>
    <row r="66" spans="1:15" x14ac:dyDescent="0.2">
      <c r="A66" s="213"/>
      <c r="B66" s="186" t="s">
        <v>1222</v>
      </c>
      <c r="C66" s="259">
        <f>IF($C$3="y",'Redistribution Scenarios'!B26,IF($C$4="y",'Redistribution Scenarios'!B23,IF($C$5="y",'Redistribution Scenarios'!B30+'Redistribution Scenarios'!B31)))</f>
        <v>0</v>
      </c>
      <c r="D66" s="259">
        <f>IF($C$3="y",'Redistribution Scenarios'!C26,IF($C$4="y",'Redistribution Scenarios'!C23,IF($C$5="y",'Redistribution Scenarios'!C30+'Redistribution Scenarios'!C31)))</f>
        <v>12251522.541030942</v>
      </c>
      <c r="E66" s="259">
        <f>IF($C$3="y",'Redistribution Scenarios'!D26,IF($C$4="y",'Redistribution Scenarios'!D23,IF($C$5="y",'Redistribution Scenarios'!D30+'Redistribution Scenarios'!D31)))</f>
        <v>13617292.006097978</v>
      </c>
      <c r="F66" s="1005">
        <f>IF($C$3="y",'Redistribution Scenarios'!E26,IF($C$4="y",'Redistribution Scenarios'!E23,IF($C$5="y",'Redistribution Scenarios'!E30+'Redistribution Scenarios'!E31)))</f>
        <v>15240147.488118811</v>
      </c>
      <c r="G66" s="259">
        <f>IF($C$3="y",'Redistribution Scenarios'!F26,IF($C$4="y",'Redistribution Scenarios'!F23,IF($C$5="y",'Redistribution Scenarios'!F30+'Redistribution Scenarios'!F31)))</f>
        <v>15818591.026264848</v>
      </c>
      <c r="H66" s="259">
        <f>IF($C$3="y",'Redistribution Scenarios'!G26,IF($C$4="y",'Redistribution Scenarios'!G23,IF($C$5="y",'Redistribution Scenarios'!G30+'Redistribution Scenarios'!G31)))</f>
        <v>15818591.026264848</v>
      </c>
      <c r="I66" s="259">
        <f>IF($C$3="y",'Redistribution Scenarios'!H26,IF($C$4="y",'Redistribution Scenarios'!H23,IF($C$5="y",'Redistribution Scenarios'!H30+'Redistribution Scenarios'!H31)))</f>
        <v>15818591.026264848</v>
      </c>
      <c r="J66" s="259">
        <f>IF($C$3="y",'Redistribution Scenarios'!I26,IF($C$4="y",'Redistribution Scenarios'!I23,IF($C$5="y",'Redistribution Scenarios'!I30+'Redistribution Scenarios'!I31)))</f>
        <v>15818591.026264848</v>
      </c>
      <c r="K66" s="259">
        <f>IF($C$3="y",'Redistribution Scenarios'!J26,IF($C$4="y",'Redistribution Scenarios'!J23,IF($C$5="y",'Redistribution Scenarios'!J30+'Redistribution Scenarios'!J31)))</f>
        <v>15818591.026264848</v>
      </c>
      <c r="L66" s="259">
        <f>IF($C$3="y",'Redistribution Scenarios'!K26,IF($C$4="y",'Redistribution Scenarios'!K23,IF($C$5="y",'Redistribution Scenarios'!K30+'Redistribution Scenarios'!K31)))</f>
        <v>15818591.026264848</v>
      </c>
      <c r="M66" s="259">
        <f>IF($C$3="y",'Redistribution Scenarios'!L26,IF($C$4="y",'Redistribution Scenarios'!L23,IF($C$5="y",'Redistribution Scenarios'!L30+'Redistribution Scenarios'!L31)))</f>
        <v>15818591.026264848</v>
      </c>
      <c r="N66" s="243">
        <f>NPV('general info'!$B$45,'power redistribution'!D66:M66)</f>
        <v>78900078.390884474</v>
      </c>
    </row>
    <row r="67" spans="1:15" x14ac:dyDescent="0.2">
      <c r="B67" s="186" t="s">
        <v>1223</v>
      </c>
      <c r="C67" s="238">
        <f>'Redistribution Scenarios'!B8</f>
        <v>50239000</v>
      </c>
      <c r="D67" s="238">
        <f>'Redistribution Scenarios'!C8</f>
        <v>50509297.999999993</v>
      </c>
      <c r="E67" s="238">
        <f>'Redistribution Scenarios'!D8</f>
        <v>56300149.666666664</v>
      </c>
      <c r="F67" s="1041">
        <f>'Redistribution Scenarios'!E8</f>
        <v>60021991.799999997</v>
      </c>
      <c r="G67" s="238">
        <f>'Redistribution Scenarios'!F8</f>
        <v>62351958</v>
      </c>
      <c r="H67" s="238">
        <f>'Redistribution Scenarios'!G8</f>
        <v>61039285.20000001</v>
      </c>
      <c r="I67" s="238">
        <f>'Redistribution Scenarios'!H8</f>
        <v>61039285.20000001</v>
      </c>
      <c r="J67" s="238">
        <f>'Redistribution Scenarios'!I8</f>
        <v>61039285.20000001</v>
      </c>
      <c r="K67" s="238">
        <f>'Redistribution Scenarios'!J8</f>
        <v>61039285.20000001</v>
      </c>
      <c r="L67" s="238">
        <f>'Redistribution Scenarios'!K8</f>
        <v>59070276</v>
      </c>
      <c r="M67" s="238">
        <f>'Redistribution Scenarios'!L8</f>
        <v>59070276</v>
      </c>
      <c r="N67" s="243">
        <f>NPV('general info'!$B$45,'power redistribution'!D67:M67)</f>
        <v>310653527.95457852</v>
      </c>
      <c r="O67" s="967" t="s">
        <v>1411</v>
      </c>
    </row>
    <row r="68" spans="1:15" x14ac:dyDescent="0.2">
      <c r="B68" s="11" t="s">
        <v>1224</v>
      </c>
      <c r="C68" s="936">
        <f>$D$32*IF('wholesale services'!$C$10="offer",'commodity information'!C31,'commodity information'!C29)</f>
        <v>928000</v>
      </c>
      <c r="D68" s="936">
        <f>$D$32*IF('wholesale services'!$C$10="offer",'commodity information'!D31,'commodity information'!D29)</f>
        <v>1066770.041680645</v>
      </c>
      <c r="E68" s="936">
        <f>$D$32*IF('wholesale services'!$C$10="offer",'commodity information'!E31,'commodity information'!E29)</f>
        <v>1070219.4364364978</v>
      </c>
      <c r="F68" s="1006">
        <f>$D$32*IF('wholesale services'!$C$10="offer",'commodity information'!F31,'commodity information'!F29)</f>
        <v>1082110.1686863771</v>
      </c>
      <c r="G68" s="936">
        <f>$D$32*IF('wholesale services'!$C$10="offer",'commodity information'!G31,'commodity information'!G29)</f>
        <v>1100655.0263892533</v>
      </c>
      <c r="H68" s="936">
        <f>$D$32*IF('wholesale services'!$C$10="offer",'commodity information'!H31,'commodity information'!H29)</f>
        <v>1123236.4142070122</v>
      </c>
      <c r="I68" s="936">
        <f>$D$32*IF('wholesale services'!$C$10="offer",'commodity information'!I31,'commodity information'!I29)</f>
        <v>1149826.3162330054</v>
      </c>
      <c r="J68" s="936">
        <f>$D$32*IF('wholesale services'!$C$10="offer",'commodity information'!J31,'commodity information'!J29)</f>
        <v>1180398.206349446</v>
      </c>
      <c r="K68" s="936">
        <f>$D$32*IF('wholesale services'!$C$10="offer",'commodity information'!K31,'commodity information'!K29)</f>
        <v>1214927.1103178519</v>
      </c>
      <c r="L68" s="936">
        <f>$D$32*IF('wholesale services'!$C$10="offer",'commodity information'!L31,'commodity information'!L29)</f>
        <v>1253389.6351835232</v>
      </c>
      <c r="M68" s="936">
        <f>$D$32*IF('wholesale services'!$C$10="offer",'commodity information'!M31,'commodity information'!M29)</f>
        <v>1295763.9697199974</v>
      </c>
      <c r="N68" s="243">
        <f>NPV('general info'!$B$45,'power redistribution'!D68:M68)</f>
        <v>6001992.4970464464</v>
      </c>
      <c r="O68" s="243">
        <f>N62-N67-N68</f>
        <v>95309644.73610732</v>
      </c>
    </row>
    <row r="69" spans="1:15" s="910" customFormat="1" x14ac:dyDescent="0.2">
      <c r="B69" s="910" t="s">
        <v>1225</v>
      </c>
      <c r="C69" s="911">
        <f t="shared" ref="C69:M69" si="9">C46</f>
        <v>650000</v>
      </c>
      <c r="D69" s="911">
        <f t="shared" si="9"/>
        <v>559201.06298313907</v>
      </c>
      <c r="E69" s="911">
        <f t="shared" si="9"/>
        <v>621539.41595907288</v>
      </c>
      <c r="F69" s="1006">
        <f t="shared" si="9"/>
        <v>695612.0471422415</v>
      </c>
      <c r="G69" s="911">
        <f t="shared" si="9"/>
        <v>722014.17310851952</v>
      </c>
      <c r="H69" s="911">
        <f t="shared" si="9"/>
        <v>722014.17310851952</v>
      </c>
      <c r="I69" s="911">
        <f t="shared" si="9"/>
        <v>722014.17310851952</v>
      </c>
      <c r="J69" s="911">
        <f t="shared" si="9"/>
        <v>722014.17310851952</v>
      </c>
      <c r="K69" s="911">
        <f t="shared" si="9"/>
        <v>722014.17310851952</v>
      </c>
      <c r="L69" s="911">
        <f t="shared" si="9"/>
        <v>722014.17310851952</v>
      </c>
      <c r="M69" s="911">
        <f t="shared" si="9"/>
        <v>722014.17310851952</v>
      </c>
      <c r="N69" s="243">
        <f>NPV('general info'!$B$45,'power redistribution'!D69:M69)</f>
        <v>3601267.3166026655</v>
      </c>
    </row>
    <row r="70" spans="1:15" s="910" customFormat="1" x14ac:dyDescent="0.2">
      <c r="B70" s="910" t="s">
        <v>1226</v>
      </c>
      <c r="C70" s="911">
        <f t="shared" ref="C70:M70" si="10">C50</f>
        <v>500000</v>
      </c>
      <c r="D70" s="911">
        <f t="shared" si="10"/>
        <v>512088.88551569509</v>
      </c>
      <c r="E70" s="911">
        <f t="shared" si="10"/>
        <v>322955.0589313294</v>
      </c>
      <c r="F70" s="1008">
        <f t="shared" si="10"/>
        <v>338352.16007618757</v>
      </c>
      <c r="G70" s="911">
        <f t="shared" si="10"/>
        <v>175910.49083967082</v>
      </c>
      <c r="H70" s="911">
        <f t="shared" si="10"/>
        <v>100000</v>
      </c>
      <c r="I70" s="911">
        <f t="shared" si="10"/>
        <v>100000</v>
      </c>
      <c r="J70" s="911">
        <f t="shared" si="10"/>
        <v>100000</v>
      </c>
      <c r="K70" s="911">
        <f t="shared" si="10"/>
        <v>100000</v>
      </c>
      <c r="L70" s="911">
        <f t="shared" si="10"/>
        <v>100000</v>
      </c>
      <c r="M70" s="911">
        <f t="shared" si="10"/>
        <v>100000</v>
      </c>
    </row>
    <row r="71" spans="1:15" x14ac:dyDescent="0.2">
      <c r="B71" s="186" t="s">
        <v>1227</v>
      </c>
      <c r="C71" s="215">
        <v>0</v>
      </c>
      <c r="D71" s="215">
        <f>C37</f>
        <v>0</v>
      </c>
      <c r="E71" s="215">
        <v>0</v>
      </c>
      <c r="F71" s="241">
        <f t="shared" ref="F71:M71" si="11">E71</f>
        <v>0</v>
      </c>
      <c r="G71" s="215">
        <f t="shared" si="11"/>
        <v>0</v>
      </c>
      <c r="H71" s="215">
        <f t="shared" si="11"/>
        <v>0</v>
      </c>
      <c r="I71" s="215">
        <f t="shared" si="11"/>
        <v>0</v>
      </c>
      <c r="J71" s="215">
        <f t="shared" si="11"/>
        <v>0</v>
      </c>
      <c r="K71" s="215">
        <f t="shared" si="11"/>
        <v>0</v>
      </c>
      <c r="L71" s="215">
        <f t="shared" si="11"/>
        <v>0</v>
      </c>
      <c r="M71" s="215">
        <f t="shared" si="11"/>
        <v>0</v>
      </c>
    </row>
    <row r="72" spans="1:15" x14ac:dyDescent="0.2">
      <c r="A72" s="186"/>
      <c r="B72" s="213" t="s">
        <v>1228</v>
      </c>
      <c r="C72" s="238">
        <f t="shared" ref="C72:M72" si="12">SUM(C65:C71)</f>
        <v>52317000</v>
      </c>
      <c r="D72" s="238">
        <f t="shared" si="12"/>
        <v>64898880.531210415</v>
      </c>
      <c r="E72" s="238">
        <f t="shared" si="12"/>
        <v>71932155.584091559</v>
      </c>
      <c r="F72" s="238">
        <f t="shared" si="12"/>
        <v>77378213.664023608</v>
      </c>
      <c r="G72" s="238">
        <f t="shared" si="12"/>
        <v>80169128.716602296</v>
      </c>
      <c r="H72" s="238">
        <f t="shared" si="12"/>
        <v>78803126.813580394</v>
      </c>
      <c r="I72" s="238">
        <f t="shared" si="12"/>
        <v>78829716.715606391</v>
      </c>
      <c r="J72" s="238">
        <f t="shared" si="12"/>
        <v>78860288.60572283</v>
      </c>
      <c r="K72" s="238">
        <f t="shared" si="12"/>
        <v>78894817.509691238</v>
      </c>
      <c r="L72" s="238">
        <f t="shared" si="12"/>
        <v>76964270.834556893</v>
      </c>
      <c r="M72" s="238">
        <f t="shared" si="12"/>
        <v>77006645.169093356</v>
      </c>
    </row>
    <row r="73" spans="1:15" x14ac:dyDescent="0.2">
      <c r="A73" s="186"/>
    </row>
    <row r="74" spans="1:15" x14ac:dyDescent="0.2">
      <c r="A74" s="186"/>
      <c r="B74" s="213" t="s">
        <v>1585</v>
      </c>
      <c r="C74" s="216">
        <f t="shared" ref="C74:M74" si="13">C62-C72</f>
        <v>10141732.1638868</v>
      </c>
      <c r="D74" s="216">
        <f t="shared" si="13"/>
        <v>-764310.77734543383</v>
      </c>
      <c r="E74" s="216">
        <f t="shared" si="13"/>
        <v>-789416.10684320331</v>
      </c>
      <c r="F74" s="200">
        <f t="shared" si="13"/>
        <v>2101421.6987657249</v>
      </c>
      <c r="G74" s="216">
        <f t="shared" si="13"/>
        <v>2299591.7539086044</v>
      </c>
      <c r="H74" s="216">
        <f t="shared" si="13"/>
        <v>3693244.3358910233</v>
      </c>
      <c r="I74" s="216">
        <f t="shared" si="13"/>
        <v>3699213.497570321</v>
      </c>
      <c r="J74" s="216">
        <f t="shared" si="13"/>
        <v>3706076.5749434084</v>
      </c>
      <c r="K74" s="216">
        <f t="shared" si="13"/>
        <v>3713827.9615485519</v>
      </c>
      <c r="L74" s="216">
        <f t="shared" si="13"/>
        <v>5691471.6059061736</v>
      </c>
      <c r="M74" s="216">
        <f t="shared" si="13"/>
        <v>5700984.2116184533</v>
      </c>
    </row>
    <row r="75" spans="1:15" x14ac:dyDescent="0.2">
      <c r="A75" s="186"/>
      <c r="B75" s="213" t="s">
        <v>1132</v>
      </c>
      <c r="C75" s="216"/>
      <c r="D75" s="240">
        <f>PMT('general info'!B45,10,C53,0)</f>
        <v>-239683.39693961959</v>
      </c>
      <c r="E75" s="240">
        <f>D75</f>
        <v>-239683.39693961959</v>
      </c>
      <c r="F75" s="240">
        <f t="shared" ref="F75:M75" si="14">E75</f>
        <v>-239683.39693961959</v>
      </c>
      <c r="G75" s="240">
        <f t="shared" si="14"/>
        <v>-239683.39693961959</v>
      </c>
      <c r="H75" s="240">
        <f t="shared" si="14"/>
        <v>-239683.39693961959</v>
      </c>
      <c r="I75" s="240">
        <f t="shared" si="14"/>
        <v>-239683.39693961959</v>
      </c>
      <c r="J75" s="240">
        <f t="shared" si="14"/>
        <v>-239683.39693961959</v>
      </c>
      <c r="K75" s="240">
        <f t="shared" si="14"/>
        <v>-239683.39693961959</v>
      </c>
      <c r="L75" s="240">
        <f t="shared" si="14"/>
        <v>-239683.39693961959</v>
      </c>
      <c r="M75" s="240">
        <f t="shared" si="14"/>
        <v>-239683.39693961959</v>
      </c>
    </row>
    <row r="76" spans="1:15" x14ac:dyDescent="0.2">
      <c r="A76" s="186"/>
      <c r="B76" s="213" t="s">
        <v>1586</v>
      </c>
      <c r="C76" s="216"/>
      <c r="D76" s="216">
        <f>D74+D75</f>
        <v>-1003994.1742850534</v>
      </c>
      <c r="E76" s="216">
        <f t="shared" ref="E76:M76" si="15">E74+E75</f>
        <v>-1029099.5037828229</v>
      </c>
      <c r="F76" s="216">
        <f t="shared" si="15"/>
        <v>1861738.3018261052</v>
      </c>
      <c r="G76" s="216">
        <f t="shared" si="15"/>
        <v>2059908.3569689847</v>
      </c>
      <c r="H76" s="216">
        <f t="shared" si="15"/>
        <v>3453560.9389514038</v>
      </c>
      <c r="I76" s="216">
        <f t="shared" si="15"/>
        <v>3459530.1006307015</v>
      </c>
      <c r="J76" s="216">
        <f t="shared" si="15"/>
        <v>3466393.1780037889</v>
      </c>
      <c r="K76" s="216">
        <f t="shared" si="15"/>
        <v>3474144.5646089325</v>
      </c>
      <c r="L76" s="216">
        <f t="shared" si="15"/>
        <v>5451788.2089665541</v>
      </c>
      <c r="M76" s="216">
        <f t="shared" si="15"/>
        <v>5461300.8146788338</v>
      </c>
    </row>
    <row r="78" spans="1:15" x14ac:dyDescent="0.2">
      <c r="B78" s="213" t="s">
        <v>784</v>
      </c>
      <c r="C78" s="262">
        <f>NPV('general info'!B45,D76:M76)</f>
        <v>10256443.044769729</v>
      </c>
      <c r="D78" s="208"/>
    </row>
    <row r="79" spans="1:15" x14ac:dyDescent="0.2">
      <c r="B79" s="186" t="s">
        <v>1281</v>
      </c>
      <c r="C79" s="303">
        <f>IRR(D76:M76)</f>
        <v>0.83437618652098167</v>
      </c>
    </row>
    <row r="80" spans="1:15" ht="13.5" customHeight="1" x14ac:dyDescent="0.2"/>
    <row r="81" spans="1:13" x14ac:dyDescent="0.2">
      <c r="D81" s="243"/>
    </row>
    <row r="82" spans="1:13" x14ac:dyDescent="0.2">
      <c r="A82" s="101"/>
      <c r="B82" s="102"/>
      <c r="C82" s="102"/>
      <c r="D82" s="245"/>
      <c r="E82" s="102"/>
      <c r="F82" s="266"/>
      <c r="G82" s="102"/>
      <c r="H82" s="102"/>
      <c r="I82" s="102"/>
      <c r="J82" s="102"/>
      <c r="K82" s="102"/>
      <c r="L82" s="102"/>
      <c r="M82" s="106"/>
    </row>
    <row r="83" spans="1:13" ht="13.5" thickBot="1" x14ac:dyDescent="0.25">
      <c r="A83" s="107"/>
      <c r="B83" s="108"/>
      <c r="C83" s="108"/>
      <c r="D83" s="267"/>
      <c r="E83" s="268"/>
      <c r="F83" s="269"/>
      <c r="G83" s="108"/>
      <c r="H83" s="108"/>
      <c r="I83" s="108"/>
      <c r="J83" s="108"/>
      <c r="K83" s="108"/>
      <c r="L83" s="108"/>
      <c r="M83" s="112"/>
    </row>
    <row r="85" spans="1:13" x14ac:dyDescent="0.2">
      <c r="D85" s="243" t="s">
        <v>1411</v>
      </c>
    </row>
    <row r="89" spans="1:13" x14ac:dyDescent="0.2">
      <c r="B89" s="208"/>
    </row>
    <row r="95" spans="1:13" x14ac:dyDescent="0.2">
      <c r="E95" s="213"/>
    </row>
  </sheetData>
  <pageMargins left="0.2" right="0.2" top="0.5" bottom="0.25" header="0.5" footer="0.5"/>
  <pageSetup scale="60" orientation="landscape" r:id="rId1"/>
  <headerFooter alignWithMargins="0">
    <oddFooter>&amp;L&amp;A&amp;C &amp;D &amp;T</oddFooter>
  </headerFooter>
  <rowBreaks count="2" manualBreakCount="2">
    <brk id="55" max="16383" man="1"/>
    <brk id="80" max="16383" man="1"/>
  </rowBreaks>
  <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pageSetUpPr fitToPage="1"/>
  </sheetPr>
  <dimension ref="A3:L84"/>
  <sheetViews>
    <sheetView workbookViewId="0">
      <selection activeCell="E2" sqref="E2"/>
    </sheetView>
  </sheetViews>
  <sheetFormatPr defaultRowHeight="12.75" x14ac:dyDescent="0.2"/>
  <cols>
    <col min="1" max="1" width="28.7109375" customWidth="1"/>
    <col min="2" max="2" width="14.85546875" bestFit="1" customWidth="1"/>
    <col min="3" max="3" width="14.28515625" bestFit="1" customWidth="1"/>
    <col min="4" max="12" width="12.28515625" bestFit="1" customWidth="1"/>
  </cols>
  <sheetData>
    <row r="3" spans="1:12" s="369" customFormat="1" x14ac:dyDescent="0.2">
      <c r="B3" s="369" t="s">
        <v>742</v>
      </c>
      <c r="C3" s="369">
        <v>1</v>
      </c>
      <c r="D3" s="369">
        <v>2</v>
      </c>
      <c r="E3" s="369">
        <v>3</v>
      </c>
      <c r="F3" s="369">
        <v>4</v>
      </c>
      <c r="G3" s="369">
        <v>5</v>
      </c>
      <c r="H3" s="369">
        <v>6</v>
      </c>
      <c r="I3" s="369">
        <v>7</v>
      </c>
      <c r="J3" s="369">
        <v>8</v>
      </c>
      <c r="K3" s="369">
        <v>9</v>
      </c>
      <c r="L3" s="369">
        <v>10</v>
      </c>
    </row>
    <row r="4" spans="1:12" ht="12.75" customHeight="1" x14ac:dyDescent="0.2">
      <c r="A4" s="368" t="s">
        <v>1588</v>
      </c>
      <c r="B4" s="365">
        <f>'[2]Chris'' Flows'!I9*12</f>
        <v>61345132.1638868</v>
      </c>
      <c r="C4" s="365">
        <f>SUM('[2]Chris'' Flows'!I9:I20)</f>
        <v>62828320.723235622</v>
      </c>
      <c r="D4" s="365">
        <f>SUM('[2]Chris'' Flows'!I21:I32)</f>
        <v>69832266.697938353</v>
      </c>
      <c r="E4" s="1004">
        <f>SUM('[2]Chris'' Flows'!I33:I44)</f>
        <v>78154602.503173366</v>
      </c>
      <c r="F4" s="365">
        <f>SUM('[2]Chris'' Flows'!I45:I56)</f>
        <v>81120979.621870995</v>
      </c>
      <c r="G4" s="365">
        <f>SUM('[2]Chris'' Flows'!I57:I68)</f>
        <v>81120979.621870995</v>
      </c>
      <c r="H4" s="365">
        <f>SUM('[2]Chris'' Flows'!I69:I80)</f>
        <v>81120979.621870995</v>
      </c>
      <c r="I4" s="365">
        <f>SUM('[2]Chris'' Flows'!I81:I92)</f>
        <v>81120979.621870995</v>
      </c>
      <c r="J4" s="365">
        <f>SUM('[2]Chris'' Flows'!I93:I104)</f>
        <v>81120979.621870995</v>
      </c>
      <c r="K4" s="365">
        <f>SUM('[2]Chris'' Flows'!I105:I116)</f>
        <v>81120979.621870995</v>
      </c>
      <c r="L4" s="365">
        <f>SUM('[2]Chris'' Flows'!I117:I128)</f>
        <v>81120979.621870995</v>
      </c>
    </row>
    <row r="5" spans="1:12" x14ac:dyDescent="0.2">
      <c r="A5" t="s">
        <v>1156</v>
      </c>
      <c r="C5" s="361">
        <f t="shared" ref="C5:L5" si="0">C4-B4</f>
        <v>1483188.5593488216</v>
      </c>
      <c r="D5" s="361">
        <f t="shared" si="0"/>
        <v>7003945.9747027308</v>
      </c>
      <c r="E5" s="361">
        <f t="shared" si="0"/>
        <v>8322335.8052350134</v>
      </c>
      <c r="F5" s="361">
        <f t="shared" si="0"/>
        <v>2966377.1186976284</v>
      </c>
      <c r="G5" s="361">
        <f t="shared" si="0"/>
        <v>0</v>
      </c>
      <c r="H5" s="361">
        <f t="shared" si="0"/>
        <v>0</v>
      </c>
      <c r="I5" s="361">
        <f t="shared" si="0"/>
        <v>0</v>
      </c>
      <c r="J5" s="361">
        <f t="shared" si="0"/>
        <v>0</v>
      </c>
      <c r="K5" s="361">
        <f t="shared" si="0"/>
        <v>0</v>
      </c>
      <c r="L5" s="361">
        <f t="shared" si="0"/>
        <v>0</v>
      </c>
    </row>
    <row r="6" spans="1:12" x14ac:dyDescent="0.2">
      <c r="A6" t="s">
        <v>1157</v>
      </c>
      <c r="C6" s="366">
        <f t="shared" ref="C6:L6" si="1">C5/B4</f>
        <v>2.4177771031390138E-2</v>
      </c>
      <c r="D6" s="366">
        <f t="shared" si="1"/>
        <v>0.11147752946566469</v>
      </c>
      <c r="E6" s="366">
        <f t="shared" si="1"/>
        <v>0.1191760800380938</v>
      </c>
      <c r="F6" s="366">
        <f t="shared" si="1"/>
        <v>3.7955245419835415E-2</v>
      </c>
      <c r="G6" s="366">
        <f t="shared" si="1"/>
        <v>0</v>
      </c>
      <c r="H6" s="366">
        <f t="shared" si="1"/>
        <v>0</v>
      </c>
      <c r="I6" s="366">
        <f t="shared" si="1"/>
        <v>0</v>
      </c>
      <c r="J6" s="366">
        <f t="shared" si="1"/>
        <v>0</v>
      </c>
      <c r="K6" s="366">
        <f t="shared" si="1"/>
        <v>0</v>
      </c>
      <c r="L6" s="366">
        <f t="shared" si="1"/>
        <v>0</v>
      </c>
    </row>
    <row r="8" spans="1:12" ht="12.75" customHeight="1" x14ac:dyDescent="0.2">
      <c r="A8" s="370" t="s">
        <v>1589</v>
      </c>
      <c r="B8" s="361">
        <f>'Updated Final List'!AS254*1000</f>
        <v>50239000</v>
      </c>
      <c r="C8" s="361">
        <f>SUM('[2]Chris'' Flows'!E9:E20)</f>
        <v>50509297.999999993</v>
      </c>
      <c r="D8" s="361">
        <f>SUM('[2]Chris'' Flows'!E21:E32)</f>
        <v>56300149.666666664</v>
      </c>
      <c r="E8" s="1015">
        <f>SUM('[2]Chris'' Flows'!E33:E44)</f>
        <v>60021991.799999997</v>
      </c>
      <c r="F8" s="361">
        <f>SUM('[2]Chris'' Flows'!E45:E56)</f>
        <v>62351958</v>
      </c>
      <c r="G8" s="361">
        <f>SUM('[2]Chris'' Flows'!E57:E68)</f>
        <v>61039285.20000001</v>
      </c>
      <c r="H8" s="361">
        <f>SUM('[2]Chris'' Flows'!E69:E80)</f>
        <v>61039285.20000001</v>
      </c>
      <c r="I8" s="361">
        <f>SUM('[2]Chris'' Flows'!E81:E92)</f>
        <v>61039285.20000001</v>
      </c>
      <c r="J8" s="361">
        <f>SUM('[2]Chris'' Flows'!E93:E104)</f>
        <v>61039285.20000001</v>
      </c>
      <c r="K8" s="361">
        <f>SUM('[2]Chris'' Flows'!E105:E116)</f>
        <v>59070276</v>
      </c>
      <c r="L8" s="361">
        <f>SUM('[2]Chris'' Flows'!E117:E128)</f>
        <v>59070276</v>
      </c>
    </row>
    <row r="9" spans="1:12" x14ac:dyDescent="0.2">
      <c r="A9" t="s">
        <v>1161</v>
      </c>
      <c r="C9" s="361">
        <f t="shared" ref="C9:L9" si="2">C8-B8</f>
        <v>270297.99999999255</v>
      </c>
      <c r="D9" s="361">
        <f t="shared" si="2"/>
        <v>5790851.6666666716</v>
      </c>
      <c r="E9" s="361">
        <f t="shared" si="2"/>
        <v>3721842.1333333328</v>
      </c>
      <c r="F9" s="361">
        <f t="shared" si="2"/>
        <v>2329966.200000003</v>
      </c>
      <c r="G9" s="361">
        <f t="shared" si="2"/>
        <v>-1312672.7999999896</v>
      </c>
      <c r="H9" s="361">
        <f t="shared" si="2"/>
        <v>0</v>
      </c>
      <c r="I9" s="361">
        <f t="shared" si="2"/>
        <v>0</v>
      </c>
      <c r="J9" s="361">
        <f t="shared" si="2"/>
        <v>0</v>
      </c>
      <c r="K9" s="361">
        <f t="shared" si="2"/>
        <v>-1969009.2000000104</v>
      </c>
      <c r="L9" s="361">
        <f t="shared" si="2"/>
        <v>0</v>
      </c>
    </row>
    <row r="10" spans="1:12" x14ac:dyDescent="0.2">
      <c r="A10" t="s">
        <v>1162</v>
      </c>
      <c r="C10" s="366">
        <f t="shared" ref="C10:L10" si="3">C9/B8</f>
        <v>5.3802424411312439E-3</v>
      </c>
      <c r="D10" s="366">
        <f t="shared" si="3"/>
        <v>0.11464922095465814</v>
      </c>
      <c r="E10" s="366">
        <f t="shared" si="3"/>
        <v>6.6107144570113005E-2</v>
      </c>
      <c r="F10" s="366">
        <f t="shared" si="3"/>
        <v>3.8818541839859486E-2</v>
      </c>
      <c r="G10" s="366">
        <f t="shared" si="3"/>
        <v>-2.1052631578947201E-2</v>
      </c>
      <c r="H10" s="366">
        <f t="shared" si="3"/>
        <v>0</v>
      </c>
      <c r="I10" s="366">
        <f t="shared" si="3"/>
        <v>0</v>
      </c>
      <c r="J10" s="366">
        <f t="shared" si="3"/>
        <v>0</v>
      </c>
      <c r="K10" s="366">
        <f t="shared" si="3"/>
        <v>-3.2258064516129198E-2</v>
      </c>
      <c r="L10" s="366">
        <f t="shared" si="3"/>
        <v>0</v>
      </c>
    </row>
    <row r="12" spans="1:12" x14ac:dyDescent="0.2">
      <c r="A12" s="369" t="s">
        <v>1163</v>
      </c>
      <c r="B12" s="361">
        <f t="shared" ref="B12:L12" si="4">B4-B8</f>
        <v>11106132.1638868</v>
      </c>
      <c r="C12" s="361">
        <f t="shared" si="4"/>
        <v>12319022.723235629</v>
      </c>
      <c r="D12" s="361">
        <f t="shared" si="4"/>
        <v>13532117.031271689</v>
      </c>
      <c r="E12" s="361">
        <f t="shared" si="4"/>
        <v>18132610.703173369</v>
      </c>
      <c r="F12" s="361">
        <f t="shared" si="4"/>
        <v>18769021.621870995</v>
      </c>
      <c r="G12" s="361">
        <f t="shared" si="4"/>
        <v>20081694.421870984</v>
      </c>
      <c r="H12" s="361">
        <f t="shared" si="4"/>
        <v>20081694.421870984</v>
      </c>
      <c r="I12" s="361">
        <f t="shared" si="4"/>
        <v>20081694.421870984</v>
      </c>
      <c r="J12" s="361">
        <f t="shared" si="4"/>
        <v>20081694.421870984</v>
      </c>
      <c r="K12" s="361">
        <f t="shared" si="4"/>
        <v>22050703.621870995</v>
      </c>
      <c r="L12" s="361">
        <f t="shared" si="4"/>
        <v>22050703.621870995</v>
      </c>
    </row>
    <row r="13" spans="1:12" x14ac:dyDescent="0.2">
      <c r="A13" t="s">
        <v>1164</v>
      </c>
      <c r="C13" s="361">
        <f t="shared" ref="C13:L13" si="5">C12-B12</f>
        <v>1212890.5593488291</v>
      </c>
      <c r="D13" s="361">
        <f t="shared" si="5"/>
        <v>1213094.3080360591</v>
      </c>
      <c r="E13" s="361">
        <f t="shared" si="5"/>
        <v>4600493.6719016805</v>
      </c>
      <c r="F13" s="361">
        <f t="shared" si="5"/>
        <v>636410.9186976254</v>
      </c>
      <c r="G13" s="361">
        <f t="shared" si="5"/>
        <v>1312672.7999999896</v>
      </c>
      <c r="H13" s="361">
        <f t="shared" si="5"/>
        <v>0</v>
      </c>
      <c r="I13" s="361">
        <f t="shared" si="5"/>
        <v>0</v>
      </c>
      <c r="J13" s="361">
        <f t="shared" si="5"/>
        <v>0</v>
      </c>
      <c r="K13" s="361">
        <f t="shared" si="5"/>
        <v>1969009.2000000104</v>
      </c>
      <c r="L13" s="361">
        <f t="shared" si="5"/>
        <v>0</v>
      </c>
    </row>
    <row r="14" spans="1:12" x14ac:dyDescent="0.2">
      <c r="A14" t="s">
        <v>1165</v>
      </c>
      <c r="C14" s="366">
        <f t="shared" ref="C14:L14" si="6">C13/B12</f>
        <v>0.10920908750687469</v>
      </c>
      <c r="D14" s="366">
        <f t="shared" si="6"/>
        <v>9.8473258414238568E-2</v>
      </c>
      <c r="E14" s="366">
        <f t="shared" si="6"/>
        <v>0.33996851056418526</v>
      </c>
      <c r="F14" s="366">
        <f t="shared" si="6"/>
        <v>3.5097589040846047E-2</v>
      </c>
      <c r="G14" s="366">
        <f t="shared" si="6"/>
        <v>6.9938264574769857E-2</v>
      </c>
      <c r="H14" s="366">
        <f t="shared" si="6"/>
        <v>0</v>
      </c>
      <c r="I14" s="366">
        <f t="shared" si="6"/>
        <v>0</v>
      </c>
      <c r="J14" s="366">
        <f t="shared" si="6"/>
        <v>0</v>
      </c>
      <c r="K14" s="366">
        <f t="shared" si="6"/>
        <v>9.8049953287585201E-2</v>
      </c>
      <c r="L14" s="366">
        <f t="shared" si="6"/>
        <v>0</v>
      </c>
    </row>
    <row r="16" spans="1:12" x14ac:dyDescent="0.2">
      <c r="A16" s="369" t="s">
        <v>1168</v>
      </c>
      <c r="B16" s="361"/>
      <c r="C16" s="361"/>
      <c r="D16" s="361"/>
      <c r="E16" s="361"/>
      <c r="F16" s="361"/>
      <c r="G16" s="361"/>
      <c r="H16" s="361"/>
      <c r="I16" s="361"/>
      <c r="J16" s="361"/>
      <c r="K16" s="361"/>
      <c r="L16" s="361"/>
    </row>
    <row r="17" spans="1:12" x14ac:dyDescent="0.2">
      <c r="A17" t="s">
        <v>1166</v>
      </c>
      <c r="C17" s="367">
        <f>'[2]Chris'' Flows'!$AI$9</f>
        <v>13306028.1404576</v>
      </c>
      <c r="D17" s="367">
        <f>SUM('[2]Chris'' Flows'!$AG$21:$AG$32)</f>
        <v>13617497.737920849</v>
      </c>
      <c r="E17" s="361">
        <f>SUM('[2]Chris'' Flows'!$AG$33:$AG$44)</f>
        <v>14759552.928619443</v>
      </c>
      <c r="F17" s="361">
        <f>SUM('[2]Chris'' Flows'!$AG$45:$AG$56)</f>
        <v>15382492.123545937</v>
      </c>
      <c r="G17" s="361">
        <f>SUM('[2]Chris'' Flows'!$AG$57:$AG$68)</f>
        <v>15382492.123545937</v>
      </c>
      <c r="H17" s="361">
        <f>SUM('[2]Chris'' Flows'!$AG$69:$AG$80)</f>
        <v>15382492.123545937</v>
      </c>
      <c r="I17" s="361">
        <f>SUM('[2]Chris'' Flows'!$AG$81:$AG$92)</f>
        <v>15382492.123545937</v>
      </c>
      <c r="J17" s="361">
        <f>SUM('[2]Chris'' Flows'!$AG$93:$AG$104)</f>
        <v>15382492.123545937</v>
      </c>
      <c r="K17" s="361">
        <f>SUM('[2]Chris'' Flows'!$AG$105:$AG$116)</f>
        <v>15382492.123545937</v>
      </c>
      <c r="L17" s="361">
        <f>SUM('[2]Chris'' Flows'!$AG$117:$AG$128)</f>
        <v>15382492.123545937</v>
      </c>
    </row>
    <row r="18" spans="1:12" x14ac:dyDescent="0.2">
      <c r="A18" t="s">
        <v>1167</v>
      </c>
      <c r="C18" s="367">
        <f>SUM('[2]Chris'' Flows'!$AH$9:$AH$20)</f>
        <v>155734.79873162555</v>
      </c>
      <c r="D18" s="367">
        <f>SUM('[2]Chris'' Flows'!$AH$21:$AH$32)</f>
        <v>579679.52861216175</v>
      </c>
      <c r="E18" s="367">
        <f>SUM('[2]Chris'' Flows'!$AH$33:$AH$44)</f>
        <v>311469.59746325121</v>
      </c>
      <c r="F18" s="367">
        <f>SUM('[2]Chris'' Flows'!$AH$45:$AH$56)</f>
        <v>0</v>
      </c>
      <c r="G18" s="367">
        <f>SUM('[2]Chris'' Flows'!$AH$57:$AH$68)</f>
        <v>0</v>
      </c>
      <c r="H18" s="367">
        <f>SUM('[2]Chris'' Flows'!$AH$69:$AH$80)</f>
        <v>0</v>
      </c>
      <c r="I18" s="367">
        <f>SUM('[2]Chris'' Flows'!$AH$81:$AH$92)</f>
        <v>0</v>
      </c>
      <c r="J18" s="367">
        <f>SUM('[2]Chris'' Flows'!$AH$93:$AH$104)</f>
        <v>0</v>
      </c>
      <c r="K18" s="367">
        <f>SUM('[2]Chris'' Flows'!$AH$105:$AH$116)</f>
        <v>0</v>
      </c>
      <c r="L18" s="367">
        <f>SUM('[2]Chris'' Flows'!$AH$117:$AH$128)</f>
        <v>0</v>
      </c>
    </row>
    <row r="19" spans="1:12" x14ac:dyDescent="0.2">
      <c r="A19" t="s">
        <v>682</v>
      </c>
      <c r="C19" s="367">
        <f>C17+C18</f>
        <v>13461762.939189225</v>
      </c>
      <c r="D19" s="367">
        <f t="shared" ref="D19:L19" si="7">D17+D18</f>
        <v>14197177.26653301</v>
      </c>
      <c r="E19" s="367">
        <f t="shared" si="7"/>
        <v>15071022.526082695</v>
      </c>
      <c r="F19" s="367">
        <f t="shared" si="7"/>
        <v>15382492.123545937</v>
      </c>
      <c r="G19" s="367">
        <f t="shared" si="7"/>
        <v>15382492.123545937</v>
      </c>
      <c r="H19" s="367">
        <f t="shared" si="7"/>
        <v>15382492.123545937</v>
      </c>
      <c r="I19" s="367">
        <f t="shared" si="7"/>
        <v>15382492.123545937</v>
      </c>
      <c r="J19" s="367">
        <f t="shared" si="7"/>
        <v>15382492.123545937</v>
      </c>
      <c r="K19" s="367">
        <f t="shared" si="7"/>
        <v>15382492.123545937</v>
      </c>
      <c r="L19" s="367">
        <f t="shared" si="7"/>
        <v>15382492.123545937</v>
      </c>
    </row>
    <row r="20" spans="1:12" x14ac:dyDescent="0.2">
      <c r="C20" s="613"/>
      <c r="D20" s="613"/>
      <c r="E20" s="613"/>
      <c r="F20" s="613"/>
      <c r="G20" s="613"/>
      <c r="H20" s="613"/>
      <c r="I20" s="613"/>
      <c r="J20" s="613"/>
      <c r="K20" s="613"/>
      <c r="L20" s="613"/>
    </row>
    <row r="21" spans="1:12" x14ac:dyDescent="0.2">
      <c r="A21" s="369" t="s">
        <v>1561</v>
      </c>
      <c r="C21" s="367"/>
      <c r="D21" s="367"/>
      <c r="E21" s="367"/>
      <c r="F21" s="367"/>
      <c r="G21" s="367"/>
      <c r="H21" s="367"/>
      <c r="I21" s="367"/>
      <c r="J21" s="367"/>
      <c r="K21" s="367"/>
      <c r="L21" s="367"/>
    </row>
    <row r="22" spans="1:12" x14ac:dyDescent="0.2">
      <c r="A22" t="s">
        <v>1166</v>
      </c>
      <c r="C22" s="476">
        <f>IF('general info'!B47="y",9750000,12900000)</f>
        <v>12900000</v>
      </c>
      <c r="D22" s="367">
        <f>$C$22</f>
        <v>12900000</v>
      </c>
      <c r="E22" s="367">
        <f t="shared" ref="E22:L22" si="8">$C$22</f>
        <v>12900000</v>
      </c>
      <c r="F22" s="367">
        <f t="shared" si="8"/>
        <v>12900000</v>
      </c>
      <c r="G22" s="367">
        <f t="shared" si="8"/>
        <v>12900000</v>
      </c>
      <c r="H22" s="367">
        <f t="shared" si="8"/>
        <v>12900000</v>
      </c>
      <c r="I22" s="367">
        <f t="shared" si="8"/>
        <v>12900000</v>
      </c>
      <c r="J22" s="367">
        <f t="shared" si="8"/>
        <v>12900000</v>
      </c>
      <c r="K22" s="367">
        <f t="shared" si="8"/>
        <v>12900000</v>
      </c>
      <c r="L22" s="367">
        <f t="shared" si="8"/>
        <v>12900000</v>
      </c>
    </row>
    <row r="23" spans="1:12" x14ac:dyDescent="0.2">
      <c r="A23" t="s">
        <v>1167</v>
      </c>
      <c r="C23" s="897">
        <f>(C4-$B$4)*'[2]Chris'' Flows'!$AH$4</f>
        <v>155734.79873162627</v>
      </c>
      <c r="D23" s="897">
        <f>(D4-$B$4)*'[2]Chris'' Flows'!$AH$4</f>
        <v>891149.12607541296</v>
      </c>
      <c r="E23" s="897">
        <f>(E4-$B$4)*'[2]Chris'' Flows'!$AH$4</f>
        <v>1764994.3856250893</v>
      </c>
      <c r="F23" s="897">
        <f>(F4-$B$4)*'[2]Chris'' Flows'!$AH$4</f>
        <v>2076463.9830883404</v>
      </c>
      <c r="G23" s="897">
        <f>(G4-$B$4)*'[2]Chris'' Flows'!$AH$4</f>
        <v>2076463.9830883404</v>
      </c>
      <c r="H23" s="897">
        <f>(H4-$B$4)*'[2]Chris'' Flows'!$AH$4</f>
        <v>2076463.9830883404</v>
      </c>
      <c r="I23" s="897">
        <f>(I4-$B$4)*'[2]Chris'' Flows'!$AH$4</f>
        <v>2076463.9830883404</v>
      </c>
      <c r="J23" s="897">
        <f>(J4-$B$4)*'[2]Chris'' Flows'!$AH$4</f>
        <v>2076463.9830883404</v>
      </c>
      <c r="K23" s="897">
        <f>(K4-$B$4)*'[2]Chris'' Flows'!$AH$4</f>
        <v>2076463.9830883404</v>
      </c>
      <c r="L23" s="897">
        <f>(L4-$B$4)*'[2]Chris'' Flows'!$AH$4</f>
        <v>2076463.9830883404</v>
      </c>
    </row>
    <row r="24" spans="1:12" x14ac:dyDescent="0.2">
      <c r="A24" t="s">
        <v>682</v>
      </c>
      <c r="C24" s="361">
        <f>C22+C23</f>
        <v>13055734.798731627</v>
      </c>
      <c r="D24" s="361">
        <f t="shared" ref="D24:L24" si="9">D22+D23</f>
        <v>13791149.126075413</v>
      </c>
      <c r="E24" s="361">
        <f t="shared" si="9"/>
        <v>14664994.385625089</v>
      </c>
      <c r="F24" s="361">
        <f t="shared" si="9"/>
        <v>14976463.983088341</v>
      </c>
      <c r="G24" s="361">
        <f t="shared" si="9"/>
        <v>14976463.983088341</v>
      </c>
      <c r="H24" s="361">
        <f t="shared" si="9"/>
        <v>14976463.983088341</v>
      </c>
      <c r="I24" s="361">
        <f t="shared" si="9"/>
        <v>14976463.983088341</v>
      </c>
      <c r="J24" s="361">
        <f t="shared" si="9"/>
        <v>14976463.983088341</v>
      </c>
      <c r="K24" s="361">
        <f t="shared" si="9"/>
        <v>14976463.983088341</v>
      </c>
      <c r="L24" s="361">
        <f t="shared" si="9"/>
        <v>14976463.983088341</v>
      </c>
    </row>
    <row r="25" spans="1:12" x14ac:dyDescent="0.2">
      <c r="C25" s="361"/>
      <c r="D25" s="361"/>
      <c r="E25" s="361"/>
      <c r="F25" s="361"/>
      <c r="G25" s="361"/>
      <c r="H25" s="361"/>
      <c r="I25" s="361"/>
      <c r="J25" s="361"/>
      <c r="K25" s="361"/>
      <c r="L25" s="361"/>
    </row>
    <row r="26" spans="1:12" x14ac:dyDescent="0.2">
      <c r="A26" s="369" t="s">
        <v>1169</v>
      </c>
      <c r="C26" s="361">
        <f>SUM('[2]Chris'' Flows'!$AL$9:$AL$20)</f>
        <v>12251522.541030942</v>
      </c>
      <c r="D26" s="361">
        <f>SUM('[2]Chris'' Flows'!$AL$21:$AL$32)</f>
        <v>13617292.006097978</v>
      </c>
      <c r="E26" s="1015">
        <f>SUM('[2]Chris'' Flows'!$AL$33:$AL$44)</f>
        <v>15240147.488118811</v>
      </c>
      <c r="F26" s="361">
        <f>SUM('[2]Chris'' Flows'!$AL$45:$AL$56)</f>
        <v>15818591.026264848</v>
      </c>
      <c r="G26" s="361">
        <f>SUM('[2]Chris'' Flows'!$AL$57:$AL$68)</f>
        <v>15818591.026264848</v>
      </c>
      <c r="H26" s="361">
        <f>SUM('[2]Chris'' Flows'!$AL$69:$AL$80)</f>
        <v>15818591.026264848</v>
      </c>
      <c r="I26" s="361">
        <f>SUM('[2]Chris'' Flows'!$AL$81:$AL$92)</f>
        <v>15818591.026264848</v>
      </c>
      <c r="J26" s="361">
        <f>SUM('[2]Chris'' Flows'!$AL$93:$AL$104)</f>
        <v>15818591.026264848</v>
      </c>
      <c r="K26" s="361">
        <f>SUM('[2]Chris'' Flows'!$AL$105:$AL$116)</f>
        <v>15818591.026264848</v>
      </c>
      <c r="L26" s="361">
        <f>SUM('[2]Chris'' Flows'!$AL$117:$AL$128)</f>
        <v>15818591.026264848</v>
      </c>
    </row>
    <row r="27" spans="1:12" x14ac:dyDescent="0.2">
      <c r="A27" s="369"/>
      <c r="C27" s="361"/>
      <c r="D27" s="361"/>
      <c r="E27" s="361"/>
      <c r="F27" s="361"/>
      <c r="G27" s="361"/>
      <c r="H27" s="361"/>
      <c r="I27" s="361"/>
      <c r="J27" s="361"/>
      <c r="K27" s="361"/>
      <c r="L27" s="361"/>
    </row>
    <row r="28" spans="1:12" x14ac:dyDescent="0.2">
      <c r="A28" s="369" t="s">
        <v>1029</v>
      </c>
      <c r="D28" s="361"/>
      <c r="E28" s="361"/>
      <c r="F28" s="361"/>
      <c r="G28" s="361"/>
      <c r="H28" s="361"/>
      <c r="I28" s="361"/>
      <c r="J28" s="361"/>
      <c r="K28" s="361"/>
      <c r="L28" s="361"/>
    </row>
    <row r="29" spans="1:12" x14ac:dyDescent="0.2">
      <c r="A29" s="369" t="s">
        <v>1166</v>
      </c>
      <c r="C29" s="361">
        <f>IF(C4&lt;$B$32,C22,0)</f>
        <v>12900000</v>
      </c>
      <c r="D29" s="361">
        <f t="shared" ref="D29:L29" si="10">IF(D4&lt;$B$32,D22,0)</f>
        <v>12900000</v>
      </c>
      <c r="E29" s="361">
        <f t="shared" si="10"/>
        <v>0</v>
      </c>
      <c r="F29" s="361">
        <f t="shared" si="10"/>
        <v>0</v>
      </c>
      <c r="G29" s="361">
        <f t="shared" si="10"/>
        <v>0</v>
      </c>
      <c r="H29" s="361">
        <f t="shared" si="10"/>
        <v>0</v>
      </c>
      <c r="I29" s="361">
        <f t="shared" si="10"/>
        <v>0</v>
      </c>
      <c r="J29" s="361">
        <f t="shared" si="10"/>
        <v>0</v>
      </c>
      <c r="K29" s="361">
        <f t="shared" si="10"/>
        <v>0</v>
      </c>
      <c r="L29" s="361">
        <f t="shared" si="10"/>
        <v>0</v>
      </c>
    </row>
    <row r="30" spans="1:12" x14ac:dyDescent="0.2">
      <c r="A30" s="369" t="s">
        <v>1031</v>
      </c>
      <c r="C30" s="361">
        <f>IF(C4&lt;$B$32,C23,0)</f>
        <v>155734.79873162627</v>
      </c>
      <c r="D30" s="361">
        <f t="shared" ref="D30:L30" si="11">IF(D4&lt;$B$32,D23,0)</f>
        <v>891149.12607541296</v>
      </c>
      <c r="E30" s="361">
        <f t="shared" si="11"/>
        <v>0</v>
      </c>
      <c r="F30" s="361">
        <f t="shared" si="11"/>
        <v>0</v>
      </c>
      <c r="G30" s="361">
        <f t="shared" si="11"/>
        <v>0</v>
      </c>
      <c r="H30" s="361">
        <f t="shared" si="11"/>
        <v>0</v>
      </c>
      <c r="I30" s="361">
        <f t="shared" si="11"/>
        <v>0</v>
      </c>
      <c r="J30" s="361">
        <f t="shared" si="11"/>
        <v>0</v>
      </c>
      <c r="K30" s="361">
        <f t="shared" si="11"/>
        <v>0</v>
      </c>
      <c r="L30" s="361">
        <f t="shared" si="11"/>
        <v>0</v>
      </c>
    </row>
    <row r="31" spans="1:12" x14ac:dyDescent="0.2">
      <c r="A31" s="369" t="s">
        <v>1032</v>
      </c>
      <c r="C31" s="361">
        <f>IF(C4&lt;$B$32,0,(C4*'[2]Chris'' Flows'!$AL$4))</f>
        <v>0</v>
      </c>
      <c r="D31" s="361">
        <f>IF(D4&lt;$B$32,0,(D4*'[2]Chris'' Flows'!$AL$4))</f>
        <v>0</v>
      </c>
      <c r="E31" s="361">
        <f>IF(E4&lt;$B$32,0,E26)</f>
        <v>15240147.488118811</v>
      </c>
      <c r="F31" s="361">
        <f t="shared" ref="F31:L31" si="12">IF(F4&lt;$B$32,0,F26)</f>
        <v>15818591.026264848</v>
      </c>
      <c r="G31" s="361">
        <f t="shared" si="12"/>
        <v>15818591.026264848</v>
      </c>
      <c r="H31" s="361">
        <f t="shared" si="12"/>
        <v>15818591.026264848</v>
      </c>
      <c r="I31" s="361">
        <f t="shared" si="12"/>
        <v>15818591.026264848</v>
      </c>
      <c r="J31" s="361">
        <f t="shared" si="12"/>
        <v>15818591.026264848</v>
      </c>
      <c r="K31" s="361">
        <f t="shared" si="12"/>
        <v>15818591.026264848</v>
      </c>
      <c r="L31" s="361">
        <f t="shared" si="12"/>
        <v>15818591.026264848</v>
      </c>
    </row>
    <row r="32" spans="1:12" x14ac:dyDescent="0.2">
      <c r="A32" s="369" t="s">
        <v>1030</v>
      </c>
      <c r="B32" s="377">
        <f>'power redistribution'!G5*12</f>
        <v>76200000</v>
      </c>
      <c r="C32" s="361"/>
      <c r="D32" s="361"/>
      <c r="E32" s="361"/>
      <c r="F32" s="361"/>
      <c r="G32" s="361"/>
      <c r="H32" s="361"/>
      <c r="I32" s="361"/>
      <c r="J32" s="361"/>
      <c r="K32" s="361"/>
      <c r="L32" s="361"/>
    </row>
    <row r="34" spans="1:3" x14ac:dyDescent="0.2">
      <c r="A34" s="369" t="s">
        <v>1055</v>
      </c>
      <c r="C34" s="513">
        <f>NPV(0.1,C26:L26)</f>
        <v>91701755.966288745</v>
      </c>
    </row>
    <row r="35" spans="1:3" x14ac:dyDescent="0.2">
      <c r="A35" t="s">
        <v>22</v>
      </c>
      <c r="C35" s="513">
        <f>NPV(0.1,C24:L24)</f>
        <v>89064159.73594363</v>
      </c>
    </row>
    <row r="38" spans="1:3" x14ac:dyDescent="0.2">
      <c r="A38" s="369"/>
    </row>
    <row r="73" spans="2:2" x14ac:dyDescent="0.2">
      <c r="B73" s="616"/>
    </row>
    <row r="84" spans="2:2" x14ac:dyDescent="0.2">
      <c r="B84" s="616"/>
    </row>
  </sheetData>
  <pageMargins left="0.75" right="0.75" top="1" bottom="1" header="0.5" footer="0.5"/>
  <pageSetup scale="72" orientation="landscape" r:id="rId1"/>
  <headerFooter alignWithMargins="0"/>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B1:C39"/>
  <sheetViews>
    <sheetView topLeftCell="A22" workbookViewId="0">
      <selection activeCell="C41" sqref="C41"/>
    </sheetView>
  </sheetViews>
  <sheetFormatPr defaultColWidth="8" defaultRowHeight="12.75" x14ac:dyDescent="0.2"/>
  <cols>
    <col min="1" max="1" width="8" style="11" customWidth="1"/>
    <col min="2" max="2" width="32.140625" style="11" customWidth="1"/>
    <col min="3" max="3" width="17.42578125" style="11" customWidth="1"/>
    <col min="4" max="16384" width="8" style="11"/>
  </cols>
  <sheetData>
    <row r="1" spans="2:3" ht="18.75" x14ac:dyDescent="0.3">
      <c r="B1" s="187" t="s">
        <v>1133</v>
      </c>
    </row>
    <row r="3" spans="2:3" ht="15.75" x14ac:dyDescent="0.25">
      <c r="B3" s="249" t="s">
        <v>764</v>
      </c>
    </row>
    <row r="5" spans="2:3" x14ac:dyDescent="0.2">
      <c r="B5" s="186" t="s">
        <v>1328</v>
      </c>
      <c r="C5" s="11" t="str">
        <f>IF('general info'!B46="y","Wholly-Owned Only","All Facilities")</f>
        <v>Wholly-Owned Only</v>
      </c>
    </row>
    <row r="6" spans="2:3" x14ac:dyDescent="0.2">
      <c r="B6" s="11" t="s">
        <v>1134</v>
      </c>
      <c r="C6" s="11" t="str">
        <f>IF('wholesale services'!C6="y"," All FM"," Energy-related FM only")</f>
        <v xml:space="preserve"> Energy-related FM only</v>
      </c>
    </row>
    <row r="7" spans="2:3" x14ac:dyDescent="0.2">
      <c r="B7" s="11" t="s">
        <v>1135</v>
      </c>
      <c r="C7" s="61">
        <f>'wholesale services'!F62</f>
        <v>58672380.355999999</v>
      </c>
    </row>
    <row r="8" spans="2:3" x14ac:dyDescent="0.2">
      <c r="B8" s="11" t="s">
        <v>1020</v>
      </c>
      <c r="C8" s="248">
        <f>'wholesale services'!C9</f>
        <v>0.04</v>
      </c>
    </row>
    <row r="9" spans="2:3" x14ac:dyDescent="0.2">
      <c r="B9" s="11" t="s">
        <v>1136</v>
      </c>
      <c r="C9" s="248">
        <f>'wholesale services'!D104</f>
        <v>1.15E-2</v>
      </c>
    </row>
    <row r="10" spans="2:3" x14ac:dyDescent="0.2">
      <c r="B10" s="209" t="s">
        <v>1137</v>
      </c>
      <c r="C10" s="248">
        <f>'wholesale services'!C8</f>
        <v>5.5E-2</v>
      </c>
    </row>
    <row r="11" spans="2:3" x14ac:dyDescent="0.2">
      <c r="B11" s="209"/>
      <c r="C11" s="61"/>
    </row>
    <row r="12" spans="2:3" x14ac:dyDescent="0.2">
      <c r="B12" s="186" t="s">
        <v>1329</v>
      </c>
      <c r="C12" s="61">
        <f>'wholesale services'!C72</f>
        <v>33178880</v>
      </c>
    </row>
    <row r="13" spans="2:3" x14ac:dyDescent="0.2">
      <c r="B13" s="11" t="s">
        <v>1035</v>
      </c>
      <c r="C13" s="250">
        <f>'wholesale services'!C73</f>
        <v>3.8651584972343613</v>
      </c>
    </row>
    <row r="15" spans="2:3" x14ac:dyDescent="0.2">
      <c r="B15" s="11" t="s">
        <v>1138</v>
      </c>
      <c r="C15" s="236">
        <f>'wholesale services'!C28</f>
        <v>1.4999999999999999E-2</v>
      </c>
    </row>
    <row r="16" spans="2:3" x14ac:dyDescent="0.2">
      <c r="C16" s="236"/>
    </row>
    <row r="17" spans="2:3" x14ac:dyDescent="0.2">
      <c r="B17" s="11" t="s">
        <v>1139</v>
      </c>
      <c r="C17" s="11" t="str">
        <f>'wholesale services'!C10</f>
        <v>mid</v>
      </c>
    </row>
    <row r="18" spans="2:3" x14ac:dyDescent="0.2">
      <c r="B18" s="186" t="s">
        <v>1330</v>
      </c>
      <c r="C18" s="11" t="str">
        <f>'wholesale services'!C12</f>
        <v>n</v>
      </c>
    </row>
    <row r="19" spans="2:3" x14ac:dyDescent="0.2">
      <c r="B19" s="11" t="s">
        <v>1140</v>
      </c>
      <c r="C19" s="243">
        <f>'wholesale services'!C131</f>
        <v>913657.54329380626</v>
      </c>
    </row>
    <row r="20" spans="2:3" x14ac:dyDescent="0.2">
      <c r="C20" s="243"/>
    </row>
    <row r="22" spans="2:3" ht="15.75" x14ac:dyDescent="0.25">
      <c r="B22" s="249" t="s">
        <v>1141</v>
      </c>
    </row>
    <row r="23" spans="2:3" ht="12.75" customHeight="1" x14ac:dyDescent="0.25">
      <c r="B23" s="249"/>
    </row>
    <row r="24" spans="2:3" x14ac:dyDescent="0.2">
      <c r="B24" s="11" t="s">
        <v>1142</v>
      </c>
      <c r="C24" s="303" t="str">
        <f>IF([2]Sensitivities!$C$20="yes","all","wholly owned")</f>
        <v>all</v>
      </c>
    </row>
    <row r="25" spans="2:3" x14ac:dyDescent="0.2">
      <c r="B25" s="11" t="s">
        <v>1143</v>
      </c>
      <c r="C25" s="11" t="str">
        <f>IF('power redistribution'!C3="y","Pure Participation","Adjusting Guarentee")</f>
        <v>Pure Participation</v>
      </c>
    </row>
    <row r="26" spans="2:3" x14ac:dyDescent="0.2">
      <c r="B26" s="11" t="s">
        <v>1144</v>
      </c>
      <c r="C26" s="61">
        <f>'power redistribution'!C25</f>
        <v>0</v>
      </c>
    </row>
    <row r="27" spans="2:3" x14ac:dyDescent="0.2">
      <c r="B27" s="11" t="s">
        <v>1145</v>
      </c>
      <c r="C27" s="237">
        <f>'power redistribution'!C37</f>
        <v>0</v>
      </c>
    </row>
    <row r="29" spans="2:3" x14ac:dyDescent="0.2">
      <c r="B29" s="11" t="s">
        <v>1140</v>
      </c>
      <c r="C29" s="243">
        <f>'power redistribution'!C78</f>
        <v>10256443.044769729</v>
      </c>
    </row>
    <row r="32" spans="2:3" ht="15.75" x14ac:dyDescent="0.25">
      <c r="B32" s="249" t="s">
        <v>1146</v>
      </c>
    </row>
    <row r="34" spans="2:3" x14ac:dyDescent="0.2">
      <c r="B34" s="11" t="s">
        <v>1147</v>
      </c>
      <c r="C34" s="61">
        <f>'FM Summary'!B12</f>
        <v>4000000</v>
      </c>
    </row>
    <row r="35" spans="2:3" x14ac:dyDescent="0.2">
      <c r="B35" s="186" t="s">
        <v>1331</v>
      </c>
      <c r="C35" s="248">
        <f>'FM Summary'!B15</f>
        <v>0.05</v>
      </c>
    </row>
    <row r="36" spans="2:3" x14ac:dyDescent="0.2">
      <c r="B36" s="186" t="s">
        <v>1349</v>
      </c>
      <c r="C36" s="61">
        <f>'FM Summary'!B13</f>
        <v>5000000</v>
      </c>
    </row>
    <row r="37" spans="2:3" x14ac:dyDescent="0.2">
      <c r="B37" s="186" t="s">
        <v>1350</v>
      </c>
      <c r="C37" s="236">
        <f>'FM Summary'!B29</f>
        <v>0.01</v>
      </c>
    </row>
    <row r="38" spans="2:3" x14ac:dyDescent="0.2">
      <c r="B38" s="11" t="s">
        <v>1411</v>
      </c>
    </row>
    <row r="39" spans="2:3" x14ac:dyDescent="0.2">
      <c r="B39" s="11" t="s">
        <v>1140</v>
      </c>
      <c r="C39" s="243">
        <f>'FM Summary'!B102</f>
        <v>318414.27688983781</v>
      </c>
    </row>
  </sheetData>
  <pageMargins left="0.25" right="0.4" top="0.48" bottom="0.43" header="0.5" footer="0.5"/>
  <pageSetup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L102"/>
  <sheetViews>
    <sheetView topLeftCell="A81" zoomScale="75" workbookViewId="0">
      <selection activeCell="E102" sqref="E102"/>
    </sheetView>
  </sheetViews>
  <sheetFormatPr defaultColWidth="10.140625" defaultRowHeight="12.75" x14ac:dyDescent="0.2"/>
  <cols>
    <col min="1" max="1" width="41.28515625" style="343" customWidth="1"/>
    <col min="2" max="2" width="18.28515625" style="344" customWidth="1"/>
    <col min="3" max="11" width="17" style="344" customWidth="1"/>
    <col min="12" max="12" width="12.7109375" style="343" customWidth="1"/>
    <col min="13" max="16384" width="10.140625" style="343"/>
  </cols>
  <sheetData>
    <row r="1" spans="1:2" ht="20.25" x14ac:dyDescent="0.3">
      <c r="A1" s="306" t="s">
        <v>1327</v>
      </c>
      <c r="B1" s="306"/>
    </row>
    <row r="2" spans="1:2" ht="20.25" x14ac:dyDescent="0.3">
      <c r="A2" s="306"/>
      <c r="B2" s="306"/>
    </row>
    <row r="3" spans="1:2" ht="18.75" x14ac:dyDescent="0.3">
      <c r="A3" s="307" t="s">
        <v>1351</v>
      </c>
      <c r="B3" s="250"/>
    </row>
    <row r="4" spans="1:2" ht="18.75" x14ac:dyDescent="0.3">
      <c r="A4" s="307"/>
      <c r="B4" s="250"/>
    </row>
    <row r="5" spans="1:2" ht="15.75" x14ac:dyDescent="0.25">
      <c r="A5" s="511" t="s">
        <v>818</v>
      </c>
      <c r="B5"/>
    </row>
    <row r="6" spans="1:2" x14ac:dyDescent="0.2">
      <c r="A6" s="239" t="s">
        <v>1352</v>
      </c>
      <c r="B6" s="510">
        <v>0.25</v>
      </c>
    </row>
    <row r="7" spans="1:2" x14ac:dyDescent="0.2">
      <c r="A7" s="239" t="s">
        <v>1362</v>
      </c>
      <c r="B7" s="204">
        <v>7.4999999999999997E-2</v>
      </c>
    </row>
    <row r="8" spans="1:2" x14ac:dyDescent="0.2">
      <c r="A8" s="239" t="s">
        <v>1364</v>
      </c>
      <c r="B8" s="509">
        <v>22500000</v>
      </c>
    </row>
    <row r="9" spans="1:2" x14ac:dyDescent="0.2">
      <c r="A9" s="239" t="s">
        <v>823</v>
      </c>
      <c r="B9" s="509">
        <v>700000</v>
      </c>
    </row>
    <row r="10" spans="1:2" x14ac:dyDescent="0.2">
      <c r="A10" s="239"/>
      <c r="B10" s="510"/>
    </row>
    <row r="11" spans="1:2" ht="15.75" x14ac:dyDescent="0.25">
      <c r="A11" s="511" t="s">
        <v>819</v>
      </c>
      <c r="B11" s="510"/>
    </row>
    <row r="12" spans="1:2" x14ac:dyDescent="0.2">
      <c r="A12" s="239" t="s">
        <v>1361</v>
      </c>
      <c r="B12" s="509">
        <v>4000000</v>
      </c>
    </row>
    <row r="13" spans="1:2" x14ac:dyDescent="0.2">
      <c r="A13" s="239" t="s">
        <v>1425</v>
      </c>
      <c r="B13" s="509">
        <v>5000000</v>
      </c>
    </row>
    <row r="14" spans="1:2" x14ac:dyDescent="0.2">
      <c r="A14" s="239" t="s">
        <v>1426</v>
      </c>
      <c r="B14" s="308">
        <v>3</v>
      </c>
    </row>
    <row r="15" spans="1:2" x14ac:dyDescent="0.2">
      <c r="A15" s="239" t="s">
        <v>1427</v>
      </c>
      <c r="B15" s="220">
        <v>0.05</v>
      </c>
    </row>
    <row r="16" spans="1:2" x14ac:dyDescent="0.2">
      <c r="A16" s="239" t="s">
        <v>820</v>
      </c>
      <c r="B16" s="220">
        <v>0.09</v>
      </c>
    </row>
    <row r="17" spans="1:12" x14ac:dyDescent="0.2">
      <c r="A17" s="239"/>
      <c r="B17" s="220"/>
    </row>
    <row r="18" spans="1:12" x14ac:dyDescent="0.2">
      <c r="A18" s="239"/>
      <c r="B18" s="220"/>
    </row>
    <row r="19" spans="1:12" x14ac:dyDescent="0.2">
      <c r="A19" s="239" t="s">
        <v>824</v>
      </c>
      <c r="B19" s="509">
        <v>120000000</v>
      </c>
      <c r="C19" s="512" t="s">
        <v>825</v>
      </c>
    </row>
    <row r="20" spans="1:12" x14ac:dyDescent="0.2">
      <c r="A20" s="239"/>
      <c r="B20" s="509"/>
      <c r="C20" s="512"/>
      <c r="D20" s="512"/>
      <c r="E20" s="512"/>
      <c r="F20" s="512"/>
      <c r="G20" s="512"/>
      <c r="H20" s="512"/>
      <c r="I20" s="512"/>
      <c r="J20" s="512"/>
      <c r="K20" s="512"/>
      <c r="L20" s="512"/>
    </row>
    <row r="21" spans="1:12" x14ac:dyDescent="0.2">
      <c r="A21" s="239"/>
      <c r="B21" s="583">
        <v>1</v>
      </c>
      <c r="C21" s="583">
        <v>2</v>
      </c>
      <c r="D21" s="584">
        <v>3</v>
      </c>
      <c r="E21" s="584">
        <v>4</v>
      </c>
      <c r="F21" s="584">
        <v>5</v>
      </c>
      <c r="G21" s="584">
        <v>6</v>
      </c>
      <c r="H21" s="584">
        <v>7</v>
      </c>
      <c r="I21" s="584">
        <v>8</v>
      </c>
      <c r="J21" s="584">
        <v>9</v>
      </c>
      <c r="K21" s="584">
        <v>10</v>
      </c>
    </row>
    <row r="22" spans="1:12" x14ac:dyDescent="0.2">
      <c r="A22" s="239" t="s">
        <v>1367</v>
      </c>
      <c r="B22" s="346">
        <v>7.4999999999999997E-2</v>
      </c>
      <c r="C22" s="346">
        <f>B22-0.0025</f>
        <v>7.2499999999999995E-2</v>
      </c>
      <c r="D22" s="346">
        <f t="shared" ref="D22:K22" si="0">C22-0.0025</f>
        <v>6.9999999999999993E-2</v>
      </c>
      <c r="E22" s="346">
        <f t="shared" si="0"/>
        <v>6.7499999999999991E-2</v>
      </c>
      <c r="F22" s="346">
        <f t="shared" si="0"/>
        <v>6.4999999999999988E-2</v>
      </c>
      <c r="G22" s="346">
        <f t="shared" si="0"/>
        <v>6.2499999999999986E-2</v>
      </c>
      <c r="H22" s="346">
        <f t="shared" si="0"/>
        <v>5.9999999999999984E-2</v>
      </c>
      <c r="I22" s="346">
        <f t="shared" si="0"/>
        <v>5.7499999999999982E-2</v>
      </c>
      <c r="J22" s="346">
        <f t="shared" si="0"/>
        <v>5.4999999999999979E-2</v>
      </c>
      <c r="K22" s="346">
        <f t="shared" si="0"/>
        <v>5.2499999999999977E-2</v>
      </c>
    </row>
    <row r="23" spans="1:12" x14ac:dyDescent="0.2">
      <c r="A23" s="239"/>
      <c r="B23" s="509"/>
      <c r="C23" s="512"/>
    </row>
    <row r="24" spans="1:12" x14ac:dyDescent="0.2">
      <c r="A24" s="239"/>
      <c r="B24" s="509"/>
      <c r="C24" s="512"/>
    </row>
    <row r="25" spans="1:12" ht="18.75" x14ac:dyDescent="0.3">
      <c r="A25" s="351" t="s">
        <v>1428</v>
      </c>
      <c r="B25" s="343"/>
    </row>
    <row r="26" spans="1:12" ht="18.75" x14ac:dyDescent="0.3">
      <c r="A26" s="351"/>
      <c r="B26" s="343"/>
    </row>
    <row r="27" spans="1:12" ht="15.75" x14ac:dyDescent="0.25">
      <c r="A27" s="585" t="s">
        <v>1429</v>
      </c>
      <c r="B27" s="343"/>
    </row>
    <row r="28" spans="1:12" ht="15" customHeight="1" x14ac:dyDescent="0.2">
      <c r="A28" s="343" t="s">
        <v>1430</v>
      </c>
      <c r="B28" s="586">
        <f>B16</f>
        <v>0.09</v>
      </c>
    </row>
    <row r="29" spans="1:12" ht="15" customHeight="1" x14ac:dyDescent="0.2">
      <c r="A29" s="343" t="s">
        <v>1431</v>
      </c>
      <c r="B29" s="220">
        <v>0.01</v>
      </c>
      <c r="C29" s="512" t="s">
        <v>1432</v>
      </c>
    </row>
    <row r="30" spans="1:12" ht="15" customHeight="1" x14ac:dyDescent="0.3">
      <c r="A30" s="351"/>
      <c r="B30" s="343"/>
    </row>
    <row r="31" spans="1:12" ht="15" customHeight="1" x14ac:dyDescent="0.3">
      <c r="A31" s="351"/>
      <c r="B31" s="343"/>
    </row>
    <row r="32" spans="1:12" x14ac:dyDescent="0.2">
      <c r="B32" s="257">
        <v>1</v>
      </c>
      <c r="C32" s="257">
        <v>2</v>
      </c>
      <c r="D32" s="257">
        <v>3</v>
      </c>
      <c r="E32" s="257">
        <v>4</v>
      </c>
      <c r="F32" s="257">
        <v>5</v>
      </c>
      <c r="G32" s="257">
        <v>6</v>
      </c>
      <c r="H32" s="257">
        <v>7</v>
      </c>
      <c r="I32" s="257">
        <v>8</v>
      </c>
      <c r="J32" s="257">
        <v>9</v>
      </c>
      <c r="K32" s="257">
        <v>10</v>
      </c>
    </row>
    <row r="33" spans="1:11" x14ac:dyDescent="0.2">
      <c r="A33" s="343" t="s">
        <v>1433</v>
      </c>
      <c r="B33" s="509">
        <v>100000000</v>
      </c>
      <c r="C33" s="509">
        <f>B33+75000000</f>
        <v>175000000</v>
      </c>
      <c r="D33" s="509">
        <f t="shared" ref="D33:K33" si="1">C33+75000000</f>
        <v>250000000</v>
      </c>
      <c r="E33" s="509">
        <f t="shared" si="1"/>
        <v>325000000</v>
      </c>
      <c r="F33" s="509">
        <f t="shared" si="1"/>
        <v>400000000</v>
      </c>
      <c r="G33" s="509">
        <f t="shared" si="1"/>
        <v>475000000</v>
      </c>
      <c r="H33" s="509">
        <f t="shared" si="1"/>
        <v>550000000</v>
      </c>
      <c r="I33" s="509">
        <f t="shared" si="1"/>
        <v>625000000</v>
      </c>
      <c r="J33" s="509">
        <f t="shared" si="1"/>
        <v>700000000</v>
      </c>
      <c r="K33" s="509">
        <f t="shared" si="1"/>
        <v>775000000</v>
      </c>
    </row>
    <row r="34" spans="1:11" x14ac:dyDescent="0.2">
      <c r="A34" s="343" t="s">
        <v>1434</v>
      </c>
      <c r="B34" s="203">
        <v>0.2</v>
      </c>
      <c r="C34" s="203">
        <v>0.2</v>
      </c>
      <c r="D34" s="203">
        <v>0.2</v>
      </c>
      <c r="E34" s="203">
        <v>0.2</v>
      </c>
      <c r="F34" s="203">
        <v>0.2</v>
      </c>
      <c r="G34" s="203">
        <v>0.2</v>
      </c>
      <c r="H34" s="203">
        <v>0.2</v>
      </c>
      <c r="I34" s="203">
        <v>0.2</v>
      </c>
      <c r="J34" s="203">
        <v>0.2</v>
      </c>
      <c r="K34" s="203">
        <v>0.2</v>
      </c>
    </row>
    <row r="35" spans="1:11" x14ac:dyDescent="0.2">
      <c r="A35" s="343" t="s">
        <v>1435</v>
      </c>
      <c r="B35" s="344">
        <f>B33*B34</f>
        <v>20000000</v>
      </c>
      <c r="C35" s="344">
        <f t="shared" ref="C35:K35" si="2">C33*C34</f>
        <v>35000000</v>
      </c>
      <c r="D35" s="344">
        <f t="shared" si="2"/>
        <v>50000000</v>
      </c>
      <c r="E35" s="344">
        <f t="shared" si="2"/>
        <v>65000000</v>
      </c>
      <c r="F35" s="344">
        <f t="shared" si="2"/>
        <v>80000000</v>
      </c>
      <c r="G35" s="344">
        <f t="shared" si="2"/>
        <v>95000000</v>
      </c>
      <c r="H35" s="344">
        <f t="shared" si="2"/>
        <v>110000000</v>
      </c>
      <c r="I35" s="344">
        <f t="shared" si="2"/>
        <v>125000000</v>
      </c>
      <c r="J35" s="344">
        <f t="shared" si="2"/>
        <v>140000000</v>
      </c>
      <c r="K35" s="344">
        <f t="shared" si="2"/>
        <v>155000000</v>
      </c>
    </row>
    <row r="36" spans="1:11" x14ac:dyDescent="0.2">
      <c r="A36" s="350"/>
      <c r="B36" s="358"/>
      <c r="C36" s="358"/>
      <c r="D36" s="358"/>
      <c r="E36" s="358"/>
      <c r="F36" s="358"/>
      <c r="G36" s="358"/>
      <c r="H36" s="358"/>
      <c r="I36" s="358"/>
      <c r="J36" s="358"/>
      <c r="K36" s="358"/>
    </row>
    <row r="37" spans="1:11" ht="20.25" x14ac:dyDescent="0.3">
      <c r="A37" s="347" t="s">
        <v>1436</v>
      </c>
      <c r="B37" s="587"/>
      <c r="C37" s="587"/>
      <c r="D37" s="587"/>
      <c r="E37" s="587"/>
      <c r="F37" s="587"/>
      <c r="G37" s="587"/>
      <c r="H37" s="587"/>
      <c r="I37" s="587"/>
      <c r="J37" s="587"/>
      <c r="K37" s="587"/>
    </row>
    <row r="38" spans="1:11" s="198" customFormat="1" x14ac:dyDescent="0.2">
      <c r="B38" s="257">
        <v>1</v>
      </c>
      <c r="C38" s="257">
        <v>2</v>
      </c>
      <c r="D38" s="257">
        <v>3</v>
      </c>
      <c r="E38" s="257">
        <v>4</v>
      </c>
      <c r="F38" s="257">
        <v>5</v>
      </c>
      <c r="G38" s="257">
        <v>6</v>
      </c>
      <c r="H38" s="257">
        <v>7</v>
      </c>
      <c r="I38" s="257">
        <v>8</v>
      </c>
      <c r="J38" s="257">
        <v>9</v>
      </c>
      <c r="K38" s="257">
        <v>10</v>
      </c>
    </row>
    <row r="40" spans="1:11" ht="18.75" x14ac:dyDescent="0.3">
      <c r="A40" s="351" t="s">
        <v>1295</v>
      </c>
    </row>
    <row r="41" spans="1:11" s="344" customFormat="1" x14ac:dyDescent="0.2">
      <c r="A41" s="352" t="s">
        <v>1296</v>
      </c>
      <c r="B41" s="344">
        <f>B8*(1+B42)</f>
        <v>29250000</v>
      </c>
      <c r="C41" s="344">
        <f>B41*(1+C42)</f>
        <v>38025000</v>
      </c>
      <c r="D41" s="344">
        <f t="shared" ref="D41:K41" si="3">C41*(1+D42)</f>
        <v>45630000</v>
      </c>
      <c r="E41" s="344">
        <f t="shared" si="3"/>
        <v>50193000.000000007</v>
      </c>
      <c r="F41" s="344">
        <f t="shared" si="3"/>
        <v>55212300.000000015</v>
      </c>
      <c r="G41" s="344">
        <f t="shared" si="3"/>
        <v>60733530.000000022</v>
      </c>
      <c r="H41" s="344">
        <f t="shared" si="3"/>
        <v>66806883.00000003</v>
      </c>
      <c r="I41" s="344">
        <f t="shared" si="3"/>
        <v>73487571.300000042</v>
      </c>
      <c r="J41" s="344">
        <f t="shared" si="3"/>
        <v>80836328.430000052</v>
      </c>
      <c r="K41" s="344">
        <f t="shared" si="3"/>
        <v>88919961.273000062</v>
      </c>
    </row>
    <row r="42" spans="1:11" s="345" customFormat="1" ht="13.5" customHeight="1" x14ac:dyDescent="0.2">
      <c r="A42" s="360" t="s">
        <v>821</v>
      </c>
      <c r="B42" s="203">
        <v>0.3</v>
      </c>
      <c r="C42" s="203">
        <v>0.3</v>
      </c>
      <c r="D42" s="203">
        <v>0.2</v>
      </c>
      <c r="E42" s="203">
        <v>0.1</v>
      </c>
      <c r="F42" s="203">
        <v>0.1</v>
      </c>
      <c r="G42" s="203">
        <v>0.1</v>
      </c>
      <c r="H42" s="203">
        <v>0.1</v>
      </c>
      <c r="I42" s="203">
        <v>0.1</v>
      </c>
      <c r="J42" s="203">
        <v>0.1</v>
      </c>
      <c r="K42" s="203">
        <v>0.1</v>
      </c>
    </row>
    <row r="43" spans="1:11" s="344" customFormat="1" x14ac:dyDescent="0.2">
      <c r="A43" s="352" t="s">
        <v>1297</v>
      </c>
      <c r="B43" s="344">
        <f>-B41*(1-B44)</f>
        <v>-21937500</v>
      </c>
      <c r="C43" s="344">
        <f t="shared" ref="C43:K43" si="4">-C41*(1-C44)</f>
        <v>-28518750</v>
      </c>
      <c r="D43" s="344">
        <f t="shared" si="4"/>
        <v>-34222500</v>
      </c>
      <c r="E43" s="344">
        <f t="shared" si="4"/>
        <v>-37644750.000000007</v>
      </c>
      <c r="F43" s="344">
        <f t="shared" si="4"/>
        <v>-41409225.000000015</v>
      </c>
      <c r="G43" s="344">
        <f t="shared" si="4"/>
        <v>-45550147.500000015</v>
      </c>
      <c r="H43" s="344">
        <f t="shared" si="4"/>
        <v>-50105162.250000022</v>
      </c>
      <c r="I43" s="344">
        <f t="shared" si="4"/>
        <v>-55115678.475000031</v>
      </c>
      <c r="J43" s="344">
        <f t="shared" si="4"/>
        <v>-60627246.322500035</v>
      </c>
      <c r="K43" s="344">
        <f t="shared" si="4"/>
        <v>-66689970.954750046</v>
      </c>
    </row>
    <row r="44" spans="1:11" x14ac:dyDescent="0.2">
      <c r="A44" s="353" t="s">
        <v>822</v>
      </c>
      <c r="B44" s="203">
        <f>B6</f>
        <v>0.25</v>
      </c>
      <c r="C44" s="203">
        <f t="shared" ref="C44:K44" si="5">$B$44</f>
        <v>0.25</v>
      </c>
      <c r="D44" s="203">
        <f t="shared" si="5"/>
        <v>0.25</v>
      </c>
      <c r="E44" s="203">
        <f t="shared" si="5"/>
        <v>0.25</v>
      </c>
      <c r="F44" s="203">
        <f t="shared" si="5"/>
        <v>0.25</v>
      </c>
      <c r="G44" s="203">
        <f t="shared" si="5"/>
        <v>0.25</v>
      </c>
      <c r="H44" s="203">
        <f t="shared" si="5"/>
        <v>0.25</v>
      </c>
      <c r="I44" s="203">
        <f t="shared" si="5"/>
        <v>0.25</v>
      </c>
      <c r="J44" s="203">
        <f t="shared" si="5"/>
        <v>0.25</v>
      </c>
      <c r="K44" s="203">
        <f t="shared" si="5"/>
        <v>0.25</v>
      </c>
    </row>
    <row r="45" spans="1:11" s="344" customFormat="1" x14ac:dyDescent="0.2">
      <c r="A45" s="352" t="s">
        <v>1437</v>
      </c>
      <c r="B45" s="344">
        <f>-B41*B22</f>
        <v>-2193750</v>
      </c>
      <c r="C45" s="344">
        <f t="shared" ref="C45:K45" si="6">-C41*C22</f>
        <v>-2756812.5</v>
      </c>
      <c r="D45" s="344">
        <f t="shared" si="6"/>
        <v>-3194099.9999999995</v>
      </c>
      <c r="E45" s="344">
        <f t="shared" si="6"/>
        <v>-3388027.5</v>
      </c>
      <c r="F45" s="344">
        <f t="shared" si="6"/>
        <v>-3588799.5000000005</v>
      </c>
      <c r="G45" s="344">
        <f t="shared" si="6"/>
        <v>-3795845.6250000005</v>
      </c>
      <c r="H45" s="344">
        <f t="shared" si="6"/>
        <v>-4008412.9800000009</v>
      </c>
      <c r="I45" s="344">
        <f t="shared" si="6"/>
        <v>-4225535.349750001</v>
      </c>
      <c r="J45" s="344">
        <f t="shared" si="6"/>
        <v>-4445998.0636500008</v>
      </c>
      <c r="K45" s="344">
        <f t="shared" si="6"/>
        <v>-4668297.9668325009</v>
      </c>
    </row>
    <row r="46" spans="1:11" s="344" customFormat="1" x14ac:dyDescent="0.2">
      <c r="A46" s="352" t="s">
        <v>823</v>
      </c>
      <c r="B46" s="344">
        <f>-B9</f>
        <v>-700000</v>
      </c>
      <c r="C46" s="344">
        <f>B46*(1+C42)</f>
        <v>-910000</v>
      </c>
      <c r="D46" s="344">
        <f t="shared" ref="D46:K46" si="7">C46*(1+D42)</f>
        <v>-1092000</v>
      </c>
      <c r="E46" s="344">
        <f t="shared" si="7"/>
        <v>-1201200</v>
      </c>
      <c r="F46" s="344">
        <f t="shared" si="7"/>
        <v>-1321320</v>
      </c>
      <c r="G46" s="344">
        <f t="shared" si="7"/>
        <v>-1453452.0000000002</v>
      </c>
      <c r="H46" s="344">
        <f t="shared" si="7"/>
        <v>-1598797.2000000004</v>
      </c>
      <c r="I46" s="344">
        <f t="shared" si="7"/>
        <v>-1758676.9200000006</v>
      </c>
      <c r="J46" s="344">
        <f t="shared" si="7"/>
        <v>-1934544.6120000009</v>
      </c>
      <c r="K46" s="344">
        <f t="shared" si="7"/>
        <v>-2127999.0732000014</v>
      </c>
    </row>
    <row r="47" spans="1:11" s="344" customFormat="1" x14ac:dyDescent="0.2">
      <c r="A47" s="352"/>
    </row>
    <row r="48" spans="1:11" s="344" customFormat="1" x14ac:dyDescent="0.2">
      <c r="A48" s="352" t="s">
        <v>1299</v>
      </c>
      <c r="B48" s="344">
        <f>B41+B43+B45+B46</f>
        <v>4418750</v>
      </c>
      <c r="C48" s="344">
        <f t="shared" ref="C48:K48" si="8">C41+C43+C45+C46</f>
        <v>5839437.5</v>
      </c>
      <c r="D48" s="344">
        <f t="shared" si="8"/>
        <v>7121400</v>
      </c>
      <c r="E48" s="344">
        <f t="shared" si="8"/>
        <v>7959022.5</v>
      </c>
      <c r="F48" s="344">
        <f t="shared" si="8"/>
        <v>8892955.5</v>
      </c>
      <c r="G48" s="344">
        <f t="shared" si="8"/>
        <v>9934084.8750000075</v>
      </c>
      <c r="H48" s="344">
        <f t="shared" si="8"/>
        <v>11094510.570000006</v>
      </c>
      <c r="I48" s="344">
        <f t="shared" si="8"/>
        <v>12387680.55525001</v>
      </c>
      <c r="J48" s="344">
        <f t="shared" si="8"/>
        <v>13828539.431850014</v>
      </c>
      <c r="K48" s="344">
        <f t="shared" si="8"/>
        <v>15433693.278217513</v>
      </c>
    </row>
    <row r="49" spans="1:12" s="344" customFormat="1" x14ac:dyDescent="0.2">
      <c r="A49" s="344" t="s">
        <v>1283</v>
      </c>
      <c r="B49" s="344">
        <f>NPV('general info'!B45,B48:K48)</f>
        <v>45305330.930740438</v>
      </c>
    </row>
    <row r="50" spans="1:12" x14ac:dyDescent="0.2">
      <c r="L50" s="477"/>
    </row>
    <row r="51" spans="1:12" ht="18.75" x14ac:dyDescent="0.3">
      <c r="A51" s="351" t="s">
        <v>1298</v>
      </c>
      <c r="B51" s="257">
        <v>1</v>
      </c>
      <c r="C51" s="257">
        <v>2</v>
      </c>
      <c r="D51" s="257">
        <v>3</v>
      </c>
      <c r="E51" s="257">
        <v>4</v>
      </c>
      <c r="F51" s="257">
        <v>5</v>
      </c>
      <c r="G51" s="257">
        <v>6</v>
      </c>
      <c r="H51" s="257">
        <v>7</v>
      </c>
      <c r="I51" s="257">
        <v>8</v>
      </c>
      <c r="J51" s="257">
        <v>9</v>
      </c>
      <c r="K51" s="257">
        <v>10</v>
      </c>
    </row>
    <row r="52" spans="1:12" s="344" customFormat="1" x14ac:dyDescent="0.2">
      <c r="A52" s="344" t="s">
        <v>1438</v>
      </c>
      <c r="B52" s="344">
        <f>B41</f>
        <v>29250000</v>
      </c>
      <c r="C52" s="344">
        <f t="shared" ref="C52:K52" si="9">C41</f>
        <v>38025000</v>
      </c>
      <c r="D52" s="344">
        <f t="shared" si="9"/>
        <v>45630000</v>
      </c>
      <c r="E52" s="344">
        <f t="shared" si="9"/>
        <v>50193000.000000007</v>
      </c>
      <c r="F52" s="344">
        <f t="shared" si="9"/>
        <v>55212300.000000015</v>
      </c>
      <c r="G52" s="344">
        <f t="shared" si="9"/>
        <v>60733530.000000022</v>
      </c>
      <c r="H52" s="344">
        <f t="shared" si="9"/>
        <v>66806883.00000003</v>
      </c>
      <c r="I52" s="344">
        <f t="shared" si="9"/>
        <v>73487571.300000042</v>
      </c>
      <c r="J52" s="344">
        <f t="shared" si="9"/>
        <v>80836328.430000052</v>
      </c>
      <c r="K52" s="344">
        <f t="shared" si="9"/>
        <v>88919961.273000062</v>
      </c>
    </row>
    <row r="53" spans="1:12" s="344" customFormat="1" x14ac:dyDescent="0.2">
      <c r="A53" s="344" t="s">
        <v>1297</v>
      </c>
      <c r="B53" s="344">
        <f>B43</f>
        <v>-21937500</v>
      </c>
      <c r="C53" s="344">
        <f t="shared" ref="C53:K53" si="10">C43</f>
        <v>-28518750</v>
      </c>
      <c r="D53" s="344">
        <f t="shared" si="10"/>
        <v>-34222500</v>
      </c>
      <c r="E53" s="344">
        <f t="shared" si="10"/>
        <v>-37644750.000000007</v>
      </c>
      <c r="F53" s="344">
        <f t="shared" si="10"/>
        <v>-41409225.000000015</v>
      </c>
      <c r="G53" s="344">
        <f t="shared" si="10"/>
        <v>-45550147.500000015</v>
      </c>
      <c r="H53" s="344">
        <f t="shared" si="10"/>
        <v>-50105162.250000022</v>
      </c>
      <c r="I53" s="344">
        <f t="shared" si="10"/>
        <v>-55115678.475000031</v>
      </c>
      <c r="J53" s="344">
        <f t="shared" si="10"/>
        <v>-60627246.322500035</v>
      </c>
      <c r="K53" s="344">
        <f t="shared" si="10"/>
        <v>-66689970.954750046</v>
      </c>
    </row>
    <row r="54" spans="1:12" s="345" customFormat="1" x14ac:dyDescent="0.2">
      <c r="A54" s="345" t="s">
        <v>1439</v>
      </c>
      <c r="B54" s="587">
        <f>B45</f>
        <v>-2193750</v>
      </c>
      <c r="C54" s="587">
        <f t="shared" ref="C54:K55" si="11">C45</f>
        <v>-2756812.5</v>
      </c>
      <c r="D54" s="587">
        <f t="shared" si="11"/>
        <v>-3194099.9999999995</v>
      </c>
      <c r="E54" s="587">
        <f t="shared" si="11"/>
        <v>-3388027.5</v>
      </c>
      <c r="F54" s="587">
        <f t="shared" si="11"/>
        <v>-3588799.5000000005</v>
      </c>
      <c r="G54" s="587">
        <f t="shared" si="11"/>
        <v>-3795845.6250000005</v>
      </c>
      <c r="H54" s="587">
        <f t="shared" si="11"/>
        <v>-4008412.9800000009</v>
      </c>
      <c r="I54" s="587">
        <f t="shared" si="11"/>
        <v>-4225535.349750001</v>
      </c>
      <c r="J54" s="587">
        <f t="shared" si="11"/>
        <v>-4445998.0636500008</v>
      </c>
      <c r="K54" s="587">
        <f t="shared" si="11"/>
        <v>-4668297.9668325009</v>
      </c>
    </row>
    <row r="55" spans="1:12" s="345" customFormat="1" x14ac:dyDescent="0.2">
      <c r="A55" s="345" t="s">
        <v>1440</v>
      </c>
      <c r="B55" s="587">
        <f>B46</f>
        <v>-700000</v>
      </c>
      <c r="C55" s="587">
        <f t="shared" si="11"/>
        <v>-910000</v>
      </c>
      <c r="D55" s="587">
        <f t="shared" si="11"/>
        <v>-1092000</v>
      </c>
      <c r="E55" s="587">
        <f t="shared" si="11"/>
        <v>-1201200</v>
      </c>
      <c r="F55" s="587">
        <f t="shared" si="11"/>
        <v>-1321320</v>
      </c>
      <c r="G55" s="587">
        <f t="shared" si="11"/>
        <v>-1453452.0000000002</v>
      </c>
      <c r="H55" s="587">
        <f t="shared" si="11"/>
        <v>-1598797.2000000004</v>
      </c>
      <c r="I55" s="587">
        <f t="shared" si="11"/>
        <v>-1758676.9200000006</v>
      </c>
      <c r="J55" s="587">
        <f t="shared" si="11"/>
        <v>-1934544.6120000009</v>
      </c>
      <c r="K55" s="587">
        <f t="shared" si="11"/>
        <v>-2127999.0732000014</v>
      </c>
    </row>
    <row r="56" spans="1:12" s="345" customFormat="1" x14ac:dyDescent="0.2">
      <c r="B56" s="587"/>
      <c r="C56" s="587"/>
      <c r="D56" s="587"/>
      <c r="E56" s="587"/>
      <c r="F56" s="587"/>
      <c r="G56" s="587"/>
      <c r="H56" s="587"/>
      <c r="I56" s="587"/>
      <c r="J56" s="587"/>
      <c r="K56" s="587"/>
    </row>
    <row r="57" spans="1:12" s="345" customFormat="1" x14ac:dyDescent="0.2">
      <c r="A57" s="345" t="s">
        <v>1441</v>
      </c>
      <c r="B57" s="587">
        <f>B35</f>
        <v>20000000</v>
      </c>
      <c r="C57" s="587">
        <f t="shared" ref="C57:K57" si="12">C35</f>
        <v>35000000</v>
      </c>
      <c r="D57" s="587">
        <f t="shared" si="12"/>
        <v>50000000</v>
      </c>
      <c r="E57" s="587">
        <f t="shared" si="12"/>
        <v>65000000</v>
      </c>
      <c r="F57" s="587">
        <f t="shared" si="12"/>
        <v>80000000</v>
      </c>
      <c r="G57" s="587">
        <f t="shared" si="12"/>
        <v>95000000</v>
      </c>
      <c r="H57" s="587">
        <f t="shared" si="12"/>
        <v>110000000</v>
      </c>
      <c r="I57" s="587">
        <f t="shared" si="12"/>
        <v>125000000</v>
      </c>
      <c r="J57" s="587">
        <f t="shared" si="12"/>
        <v>140000000</v>
      </c>
      <c r="K57" s="587">
        <f t="shared" si="12"/>
        <v>155000000</v>
      </c>
    </row>
    <row r="58" spans="1:12" s="345" customFormat="1" x14ac:dyDescent="0.2">
      <c r="A58" s="345" t="s">
        <v>1442</v>
      </c>
      <c r="B58" s="587">
        <f>-B57*(1-$B$16)</f>
        <v>-18200000</v>
      </c>
      <c r="C58" s="587">
        <f t="shared" ref="C58:K58" si="13">-C57*(1-$B$16)</f>
        <v>-31850000</v>
      </c>
      <c r="D58" s="587">
        <f t="shared" si="13"/>
        <v>-45500000</v>
      </c>
      <c r="E58" s="587">
        <f t="shared" si="13"/>
        <v>-59150000</v>
      </c>
      <c r="F58" s="587">
        <f t="shared" si="13"/>
        <v>-72800000</v>
      </c>
      <c r="G58" s="587">
        <f t="shared" si="13"/>
        <v>-86450000</v>
      </c>
      <c r="H58" s="587">
        <f t="shared" si="13"/>
        <v>-100100000</v>
      </c>
      <c r="I58" s="587">
        <f t="shared" si="13"/>
        <v>-113750000</v>
      </c>
      <c r="J58" s="587">
        <f t="shared" si="13"/>
        <v>-127400000</v>
      </c>
      <c r="K58" s="587">
        <f t="shared" si="13"/>
        <v>-141050000</v>
      </c>
    </row>
    <row r="59" spans="1:12" s="345" customFormat="1" x14ac:dyDescent="0.2">
      <c r="A59" s="345" t="s">
        <v>1443</v>
      </c>
      <c r="B59" s="587">
        <f>-B57*$B$15</f>
        <v>-1000000</v>
      </c>
      <c r="C59" s="587">
        <f t="shared" ref="C59:K59" si="14">-C57*$B$15</f>
        <v>-1750000</v>
      </c>
      <c r="D59" s="587">
        <f t="shared" si="14"/>
        <v>-2500000</v>
      </c>
      <c r="E59" s="587">
        <f t="shared" si="14"/>
        <v>-3250000</v>
      </c>
      <c r="F59" s="587">
        <f t="shared" si="14"/>
        <v>-4000000</v>
      </c>
      <c r="G59" s="587">
        <f t="shared" si="14"/>
        <v>-4750000</v>
      </c>
      <c r="H59" s="587">
        <f t="shared" si="14"/>
        <v>-5500000</v>
      </c>
      <c r="I59" s="587">
        <f t="shared" si="14"/>
        <v>-6250000</v>
      </c>
      <c r="J59" s="587">
        <f t="shared" si="14"/>
        <v>-7000000</v>
      </c>
      <c r="K59" s="587">
        <f t="shared" si="14"/>
        <v>-7750000</v>
      </c>
    </row>
    <row r="60" spans="1:12" s="345" customFormat="1" x14ac:dyDescent="0.2">
      <c r="B60" s="587"/>
      <c r="C60" s="587"/>
      <c r="D60" s="587"/>
      <c r="E60" s="587"/>
      <c r="F60" s="587"/>
      <c r="G60" s="587"/>
      <c r="H60" s="587"/>
      <c r="I60" s="587"/>
      <c r="J60" s="587"/>
      <c r="K60" s="587"/>
    </row>
    <row r="61" spans="1:12" s="345" customFormat="1" x14ac:dyDescent="0.2">
      <c r="A61" s="345" t="s">
        <v>1444</v>
      </c>
      <c r="B61" s="587">
        <f>SUM(B52:B59)</f>
        <v>5218750</v>
      </c>
      <c r="C61" s="587">
        <f t="shared" ref="C61:K61" si="15">SUM(C52:C59)</f>
        <v>7239437.5</v>
      </c>
      <c r="D61" s="587">
        <f t="shared" si="15"/>
        <v>9121400</v>
      </c>
      <c r="E61" s="587">
        <f t="shared" si="15"/>
        <v>10559022.5</v>
      </c>
      <c r="F61" s="587">
        <f t="shared" si="15"/>
        <v>12092955.5</v>
      </c>
      <c r="G61" s="587">
        <f t="shared" si="15"/>
        <v>13734084.875</v>
      </c>
      <c r="H61" s="587">
        <f t="shared" si="15"/>
        <v>15494510.570000008</v>
      </c>
      <c r="I61" s="587">
        <f t="shared" si="15"/>
        <v>17387680.555250019</v>
      </c>
      <c r="J61" s="587">
        <f t="shared" si="15"/>
        <v>19428539.431850016</v>
      </c>
      <c r="K61" s="587">
        <f t="shared" si="15"/>
        <v>21633693.278217524</v>
      </c>
    </row>
    <row r="62" spans="1:12" s="345" customFormat="1" x14ac:dyDescent="0.2">
      <c r="A62" s="345" t="s">
        <v>1283</v>
      </c>
      <c r="B62" s="587">
        <f>NPV('general info'!B45,B61:K61)</f>
        <v>60675904.337859273</v>
      </c>
      <c r="C62" s="587"/>
      <c r="D62" s="587"/>
      <c r="E62" s="587"/>
      <c r="F62" s="587"/>
      <c r="G62" s="587"/>
      <c r="H62" s="587"/>
      <c r="I62" s="587"/>
      <c r="J62" s="587"/>
      <c r="K62" s="587"/>
    </row>
    <row r="63" spans="1:12" s="345" customFormat="1" x14ac:dyDescent="0.2">
      <c r="A63" s="348" t="s">
        <v>1445</v>
      </c>
      <c r="B63" s="356">
        <f>B62-B49</f>
        <v>15370573.407118835</v>
      </c>
      <c r="C63" s="587"/>
      <c r="D63" s="587"/>
      <c r="E63" s="587"/>
      <c r="F63" s="587"/>
      <c r="G63" s="587"/>
      <c r="H63" s="587"/>
      <c r="I63" s="587"/>
      <c r="J63" s="587"/>
      <c r="K63" s="587"/>
    </row>
    <row r="64" spans="1:12" customFormat="1" x14ac:dyDescent="0.2"/>
    <row r="66" spans="1:11" s="350" customFormat="1" x14ac:dyDescent="0.2">
      <c r="B66" s="358"/>
      <c r="C66" s="358"/>
      <c r="D66" s="358"/>
      <c r="E66" s="358"/>
      <c r="F66" s="358"/>
      <c r="G66" s="358"/>
      <c r="H66" s="358"/>
      <c r="I66" s="358"/>
      <c r="J66" s="358"/>
      <c r="K66" s="358"/>
    </row>
    <row r="67" spans="1:11" ht="20.25" x14ac:dyDescent="0.3">
      <c r="A67" s="347" t="s">
        <v>1353</v>
      </c>
    </row>
    <row r="68" spans="1:11" ht="20.25" x14ac:dyDescent="0.3">
      <c r="A68" s="347"/>
    </row>
    <row r="70" spans="1:11" ht="18.75" x14ac:dyDescent="0.3">
      <c r="A70" s="351" t="s">
        <v>1295</v>
      </c>
      <c r="B70" s="257">
        <v>1</v>
      </c>
      <c r="C70" s="257">
        <v>2</v>
      </c>
      <c r="D70" s="257">
        <v>3</v>
      </c>
      <c r="E70" s="257">
        <v>4</v>
      </c>
      <c r="F70" s="257">
        <v>5</v>
      </c>
      <c r="G70" s="257">
        <v>6</v>
      </c>
      <c r="H70" s="257">
        <v>7</v>
      </c>
      <c r="I70" s="257">
        <v>8</v>
      </c>
      <c r="J70" s="257">
        <v>9</v>
      </c>
      <c r="K70" s="257">
        <v>10</v>
      </c>
    </row>
    <row r="71" spans="1:11" x14ac:dyDescent="0.2">
      <c r="A71" s="349" t="str">
        <f>A41</f>
        <v>Revenues from FM</v>
      </c>
      <c r="B71" s="344">
        <f t="shared" ref="B71:K71" si="16">B41</f>
        <v>29250000</v>
      </c>
      <c r="C71" s="344">
        <f t="shared" si="16"/>
        <v>38025000</v>
      </c>
      <c r="D71" s="344">
        <f t="shared" si="16"/>
        <v>45630000</v>
      </c>
      <c r="E71" s="344">
        <f t="shared" si="16"/>
        <v>50193000.000000007</v>
      </c>
      <c r="F71" s="344">
        <f t="shared" si="16"/>
        <v>55212300.000000015</v>
      </c>
      <c r="G71" s="344">
        <f t="shared" si="16"/>
        <v>60733530.000000022</v>
      </c>
      <c r="H71" s="344">
        <f t="shared" si="16"/>
        <v>66806883.00000003</v>
      </c>
      <c r="I71" s="344">
        <f t="shared" si="16"/>
        <v>73487571.300000042</v>
      </c>
      <c r="J71" s="344">
        <f t="shared" si="16"/>
        <v>80836328.430000052</v>
      </c>
      <c r="K71" s="344">
        <f t="shared" si="16"/>
        <v>88919961.273000062</v>
      </c>
    </row>
    <row r="72" spans="1:11" x14ac:dyDescent="0.2">
      <c r="A72" s="349" t="str">
        <f>A45</f>
        <v>TFSP Rent payment to Simon</v>
      </c>
      <c r="B72" s="344">
        <f>-B45</f>
        <v>2193750</v>
      </c>
      <c r="C72" s="344">
        <f t="shared" ref="C72:K72" si="17">-C45</f>
        <v>2756812.5</v>
      </c>
      <c r="D72" s="344">
        <f t="shared" si="17"/>
        <v>3194099.9999999995</v>
      </c>
      <c r="E72" s="344">
        <f t="shared" si="17"/>
        <v>3388027.5</v>
      </c>
      <c r="F72" s="344">
        <f t="shared" si="17"/>
        <v>3588799.5000000005</v>
      </c>
      <c r="G72" s="344">
        <f t="shared" si="17"/>
        <v>3795845.6250000005</v>
      </c>
      <c r="H72" s="344">
        <f t="shared" si="17"/>
        <v>4008412.9800000009</v>
      </c>
      <c r="I72" s="344">
        <f t="shared" si="17"/>
        <v>4225535.349750001</v>
      </c>
      <c r="J72" s="344">
        <f t="shared" si="17"/>
        <v>4445998.0636500008</v>
      </c>
      <c r="K72" s="344">
        <f t="shared" si="17"/>
        <v>4668297.9668325009</v>
      </c>
    </row>
    <row r="73" spans="1:11" x14ac:dyDescent="0.2">
      <c r="A73" s="343" t="s">
        <v>1283</v>
      </c>
      <c r="B73" s="344">
        <f>NPV('general info'!B45,B72:K72)</f>
        <v>17904283.329408843</v>
      </c>
    </row>
    <row r="76" spans="1:11" ht="18.75" x14ac:dyDescent="0.3">
      <c r="A76" s="351" t="s">
        <v>1298</v>
      </c>
      <c r="B76" s="257">
        <v>1</v>
      </c>
      <c r="C76" s="257">
        <v>2</v>
      </c>
      <c r="D76" s="257">
        <v>3</v>
      </c>
      <c r="E76" s="257">
        <v>4</v>
      </c>
      <c r="F76" s="257">
        <v>5</v>
      </c>
      <c r="G76" s="257">
        <v>6</v>
      </c>
      <c r="H76" s="257">
        <v>7</v>
      </c>
      <c r="I76" s="257">
        <v>8</v>
      </c>
      <c r="J76" s="257">
        <v>9</v>
      </c>
      <c r="K76" s="257">
        <v>10</v>
      </c>
    </row>
    <row r="77" spans="1:11" x14ac:dyDescent="0.2">
      <c r="A77" s="349" t="str">
        <f>A52</f>
        <v>Base Revenues from Tenant FM Business</v>
      </c>
      <c r="B77" s="344">
        <f t="shared" ref="B77:K77" si="18">B52</f>
        <v>29250000</v>
      </c>
      <c r="C77" s="344">
        <f t="shared" si="18"/>
        <v>38025000</v>
      </c>
      <c r="D77" s="344">
        <f t="shared" si="18"/>
        <v>45630000</v>
      </c>
      <c r="E77" s="344">
        <f t="shared" si="18"/>
        <v>50193000.000000007</v>
      </c>
      <c r="F77" s="344">
        <f t="shared" si="18"/>
        <v>55212300.000000015</v>
      </c>
      <c r="G77" s="344">
        <f t="shared" si="18"/>
        <v>60733530.000000022</v>
      </c>
      <c r="H77" s="344">
        <f t="shared" si="18"/>
        <v>66806883.00000003</v>
      </c>
      <c r="I77" s="344">
        <f t="shared" si="18"/>
        <v>73487571.300000042</v>
      </c>
      <c r="J77" s="344">
        <f t="shared" si="18"/>
        <v>80836328.430000052</v>
      </c>
      <c r="K77" s="344">
        <f t="shared" si="18"/>
        <v>88919961.273000062</v>
      </c>
    </row>
    <row r="78" spans="1:11" x14ac:dyDescent="0.2">
      <c r="A78" s="349"/>
    </row>
    <row r="79" spans="1:11" x14ac:dyDescent="0.2">
      <c r="A79" s="349" t="s">
        <v>1446</v>
      </c>
      <c r="B79" s="344">
        <f>B72</f>
        <v>2193750</v>
      </c>
      <c r="C79" s="344">
        <f t="shared" ref="C79:K79" si="19">C72</f>
        <v>2756812.5</v>
      </c>
      <c r="D79" s="344">
        <f t="shared" si="19"/>
        <v>3194099.9999999995</v>
      </c>
      <c r="E79" s="344">
        <f t="shared" si="19"/>
        <v>3388027.5</v>
      </c>
      <c r="F79" s="344">
        <f t="shared" si="19"/>
        <v>3588799.5000000005</v>
      </c>
      <c r="G79" s="344">
        <f t="shared" si="19"/>
        <v>3795845.6250000005</v>
      </c>
      <c r="H79" s="344">
        <f t="shared" si="19"/>
        <v>4008412.9800000009</v>
      </c>
      <c r="I79" s="344">
        <f t="shared" si="19"/>
        <v>4225535.349750001</v>
      </c>
      <c r="J79" s="344">
        <f t="shared" si="19"/>
        <v>4445998.0636500008</v>
      </c>
      <c r="K79" s="344">
        <f t="shared" si="19"/>
        <v>4668297.9668325009</v>
      </c>
    </row>
    <row r="80" spans="1:11" x14ac:dyDescent="0.2">
      <c r="A80" s="349" t="s">
        <v>1447</v>
      </c>
      <c r="B80" s="344">
        <f>B12</f>
        <v>4000000</v>
      </c>
    </row>
    <row r="81" spans="1:11" x14ac:dyDescent="0.2">
      <c r="A81" s="349" t="s">
        <v>1448</v>
      </c>
      <c r="B81" s="344">
        <f>-B59</f>
        <v>1000000</v>
      </c>
      <c r="C81" s="344">
        <f t="shared" ref="C81:K81" si="20">-C59</f>
        <v>1750000</v>
      </c>
      <c r="D81" s="344">
        <f t="shared" si="20"/>
        <v>2500000</v>
      </c>
      <c r="E81" s="344">
        <f t="shared" si="20"/>
        <v>3250000</v>
      </c>
      <c r="F81" s="344">
        <f t="shared" si="20"/>
        <v>4000000</v>
      </c>
      <c r="G81" s="344">
        <f t="shared" si="20"/>
        <v>4750000</v>
      </c>
      <c r="H81" s="344">
        <f t="shared" si="20"/>
        <v>5500000</v>
      </c>
      <c r="I81" s="344">
        <f t="shared" si="20"/>
        <v>6250000</v>
      </c>
      <c r="J81" s="344">
        <f t="shared" si="20"/>
        <v>7000000</v>
      </c>
      <c r="K81" s="344">
        <f t="shared" si="20"/>
        <v>7750000</v>
      </c>
    </row>
    <row r="82" spans="1:11" x14ac:dyDescent="0.2">
      <c r="A82" s="349" t="s">
        <v>1449</v>
      </c>
      <c r="B82" s="344">
        <f>-200000</f>
        <v>-200000</v>
      </c>
      <c r="C82" s="344">
        <f t="shared" ref="C82:K82" si="21">-200000</f>
        <v>-200000</v>
      </c>
      <c r="D82" s="344">
        <f t="shared" si="21"/>
        <v>-200000</v>
      </c>
      <c r="E82" s="344">
        <f t="shared" si="21"/>
        <v>-200000</v>
      </c>
      <c r="F82" s="344">
        <f t="shared" si="21"/>
        <v>-200000</v>
      </c>
      <c r="G82" s="344">
        <f t="shared" si="21"/>
        <v>-200000</v>
      </c>
      <c r="H82" s="344">
        <f t="shared" si="21"/>
        <v>-200000</v>
      </c>
      <c r="I82" s="344">
        <f t="shared" si="21"/>
        <v>-200000</v>
      </c>
      <c r="J82" s="344">
        <f t="shared" si="21"/>
        <v>-200000</v>
      </c>
      <c r="K82" s="344">
        <f t="shared" si="21"/>
        <v>-200000</v>
      </c>
    </row>
    <row r="83" spans="1:11" x14ac:dyDescent="0.2">
      <c r="A83" s="343" t="s">
        <v>1450</v>
      </c>
      <c r="B83" s="344">
        <f>SUM(B79:B82)</f>
        <v>6993750</v>
      </c>
      <c r="C83" s="344">
        <f t="shared" ref="C83:K83" si="22">SUM(C79:C82)</f>
        <v>4306812.5</v>
      </c>
      <c r="D83" s="344">
        <f t="shared" si="22"/>
        <v>5494100</v>
      </c>
      <c r="E83" s="344">
        <f t="shared" si="22"/>
        <v>6438027.5</v>
      </c>
      <c r="F83" s="344">
        <f t="shared" si="22"/>
        <v>7388799.5</v>
      </c>
      <c r="G83" s="344">
        <f t="shared" si="22"/>
        <v>8345845.625</v>
      </c>
      <c r="H83" s="344">
        <f t="shared" si="22"/>
        <v>9308412.9800000004</v>
      </c>
      <c r="I83" s="344">
        <f t="shared" si="22"/>
        <v>10275535.349750001</v>
      </c>
      <c r="J83" s="344">
        <f t="shared" si="22"/>
        <v>11245998.063650001</v>
      </c>
      <c r="K83" s="344">
        <f t="shared" si="22"/>
        <v>12218297.9668325</v>
      </c>
    </row>
    <row r="84" spans="1:11" x14ac:dyDescent="0.2">
      <c r="A84" s="343" t="s">
        <v>1283</v>
      </c>
      <c r="B84" s="344">
        <f>NPV('general info'!B45,'FM Summary'!B83:K83)</f>
        <v>39577825.683623977</v>
      </c>
    </row>
    <row r="86" spans="1:11" x14ac:dyDescent="0.2">
      <c r="A86" s="343" t="s">
        <v>1354</v>
      </c>
      <c r="B86" s="344">
        <f t="shared" ref="B86:K86" si="23">B83-B72</f>
        <v>4800000</v>
      </c>
      <c r="C86" s="344">
        <f t="shared" si="23"/>
        <v>1550000</v>
      </c>
      <c r="D86" s="344">
        <f t="shared" si="23"/>
        <v>2300000.0000000005</v>
      </c>
      <c r="E86" s="344">
        <f t="shared" si="23"/>
        <v>3050000</v>
      </c>
      <c r="F86" s="344">
        <f t="shared" si="23"/>
        <v>3799999.9999999995</v>
      </c>
      <c r="G86" s="344">
        <f t="shared" si="23"/>
        <v>4550000</v>
      </c>
      <c r="H86" s="344">
        <f t="shared" si="23"/>
        <v>5300000</v>
      </c>
      <c r="I86" s="344">
        <f t="shared" si="23"/>
        <v>6050000</v>
      </c>
      <c r="J86" s="344">
        <f t="shared" si="23"/>
        <v>6800000</v>
      </c>
      <c r="K86" s="344">
        <f t="shared" si="23"/>
        <v>7549999.9999999991</v>
      </c>
    </row>
    <row r="87" spans="1:11" x14ac:dyDescent="0.2">
      <c r="A87" s="348" t="s">
        <v>1355</v>
      </c>
      <c r="B87" s="356">
        <f>NPV(0.08,B86:K86)</f>
        <v>28554392.429993715</v>
      </c>
    </row>
    <row r="88" spans="1:11" x14ac:dyDescent="0.2">
      <c r="A88" s="354"/>
      <c r="B88" s="357"/>
    </row>
    <row r="89" spans="1:11" x14ac:dyDescent="0.2">
      <c r="A89" s="354"/>
      <c r="B89" s="359"/>
      <c r="C89" s="359"/>
      <c r="D89" s="359"/>
      <c r="E89" s="359"/>
      <c r="F89" s="359"/>
      <c r="G89" s="359"/>
      <c r="H89" s="359"/>
      <c r="I89" s="359"/>
      <c r="J89" s="359"/>
      <c r="K89" s="359"/>
    </row>
    <row r="90" spans="1:11" x14ac:dyDescent="0.2">
      <c r="A90" s="354"/>
      <c r="B90" s="357"/>
    </row>
    <row r="91" spans="1:11" s="350" customFormat="1" x14ac:dyDescent="0.2">
      <c r="B91" s="358"/>
      <c r="C91" s="358"/>
      <c r="D91" s="358"/>
      <c r="E91" s="358"/>
      <c r="F91" s="358"/>
      <c r="G91" s="358"/>
      <c r="H91" s="358"/>
      <c r="I91" s="358"/>
      <c r="J91" s="358"/>
      <c r="K91" s="358"/>
    </row>
    <row r="92" spans="1:11" ht="20.25" x14ac:dyDescent="0.3">
      <c r="A92" s="347" t="s">
        <v>1356</v>
      </c>
    </row>
    <row r="93" spans="1:11" ht="20.25" x14ac:dyDescent="0.3">
      <c r="A93" s="347"/>
    </row>
    <row r="94" spans="1:11" x14ac:dyDescent="0.2">
      <c r="A94" s="343" t="s">
        <v>1451</v>
      </c>
      <c r="B94" s="248">
        <f>B29</f>
        <v>0.01</v>
      </c>
    </row>
    <row r="95" spans="1:11" x14ac:dyDescent="0.2">
      <c r="B95" s="248"/>
    </row>
    <row r="96" spans="1:11" x14ac:dyDescent="0.2">
      <c r="B96" s="257">
        <v>1</v>
      </c>
      <c r="C96" s="257">
        <v>2</v>
      </c>
      <c r="D96" s="257">
        <v>3</v>
      </c>
      <c r="E96" s="257">
        <v>4</v>
      </c>
      <c r="F96" s="257">
        <v>5</v>
      </c>
      <c r="G96" s="257">
        <v>6</v>
      </c>
      <c r="H96" s="257">
        <v>7</v>
      </c>
      <c r="I96" s="257">
        <v>8</v>
      </c>
      <c r="J96" s="257">
        <v>9</v>
      </c>
      <c r="K96" s="257">
        <v>10</v>
      </c>
    </row>
    <row r="97" spans="1:11" x14ac:dyDescent="0.2">
      <c r="A97" s="343" t="s">
        <v>1357</v>
      </c>
      <c r="B97" s="588">
        <f>-B80</f>
        <v>-4000000</v>
      </c>
    </row>
    <row r="98" spans="1:11" x14ac:dyDescent="0.2">
      <c r="A98" s="343" t="s">
        <v>1452</v>
      </c>
      <c r="B98" s="588">
        <f>$B$94*B35</f>
        <v>200000</v>
      </c>
      <c r="C98" s="588">
        <f t="shared" ref="C98:K98" si="24">$B$94*C35</f>
        <v>350000</v>
      </c>
      <c r="D98" s="588">
        <f t="shared" si="24"/>
        <v>500000</v>
      </c>
      <c r="E98" s="588">
        <f t="shared" si="24"/>
        <v>650000</v>
      </c>
      <c r="F98" s="588">
        <f t="shared" si="24"/>
        <v>800000</v>
      </c>
      <c r="G98" s="588">
        <f t="shared" si="24"/>
        <v>950000</v>
      </c>
      <c r="H98" s="588">
        <f t="shared" si="24"/>
        <v>1100000</v>
      </c>
      <c r="I98" s="588">
        <f t="shared" si="24"/>
        <v>1250000</v>
      </c>
      <c r="J98" s="588">
        <f t="shared" si="24"/>
        <v>1400000</v>
      </c>
      <c r="K98" s="588">
        <f t="shared" si="24"/>
        <v>1550000</v>
      </c>
    </row>
    <row r="99" spans="1:11" x14ac:dyDescent="0.2">
      <c r="B99" s="588"/>
    </row>
    <row r="100" spans="1:11" s="342" customFormat="1" x14ac:dyDescent="0.2">
      <c r="A100" s="342" t="s">
        <v>1358</v>
      </c>
      <c r="B100" s="355">
        <f>SUM(B97:B99)</f>
        <v>-3800000</v>
      </c>
      <c r="C100" s="355">
        <f t="shared" ref="C100:K100" si="25">SUM(C97:C99)</f>
        <v>350000</v>
      </c>
      <c r="D100" s="355">
        <f t="shared" si="25"/>
        <v>500000</v>
      </c>
      <c r="E100" s="355">
        <f>SUM(E97:E99)</f>
        <v>650000</v>
      </c>
      <c r="F100" s="355">
        <f t="shared" si="25"/>
        <v>800000</v>
      </c>
      <c r="G100" s="355">
        <f t="shared" si="25"/>
        <v>950000</v>
      </c>
      <c r="H100" s="355">
        <f t="shared" si="25"/>
        <v>1100000</v>
      </c>
      <c r="I100" s="355">
        <f t="shared" si="25"/>
        <v>1250000</v>
      </c>
      <c r="J100" s="355">
        <f t="shared" si="25"/>
        <v>1400000</v>
      </c>
      <c r="K100" s="355">
        <f t="shared" si="25"/>
        <v>1550000</v>
      </c>
    </row>
    <row r="102" spans="1:11" x14ac:dyDescent="0.2">
      <c r="A102" s="348" t="s">
        <v>1360</v>
      </c>
      <c r="B102" s="589">
        <f>NPV('general info'!B45,B100:K100)</f>
        <v>318414.27688983781</v>
      </c>
    </row>
  </sheetData>
  <pageMargins left="0.75" right="0.75" top="1" bottom="1" header="0.5" footer="0.5"/>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2:DT86"/>
  <sheetViews>
    <sheetView workbookViewId="0">
      <selection activeCell="F18" sqref="F18"/>
    </sheetView>
  </sheetViews>
  <sheetFormatPr defaultColWidth="8" defaultRowHeight="12.75" x14ac:dyDescent="0.2"/>
  <cols>
    <col min="1" max="1" width="24.7109375" style="11" customWidth="1"/>
    <col min="2" max="2" width="13.42578125" style="11" customWidth="1"/>
    <col min="3" max="3" width="15.7109375" style="198" customWidth="1"/>
    <col min="4" max="4" width="13" style="198" customWidth="1"/>
    <col min="5" max="13" width="11.85546875" style="198" customWidth="1"/>
    <col min="14" max="14" width="16" style="198" customWidth="1"/>
    <col min="15" max="24" width="11.85546875" style="198" customWidth="1"/>
    <col min="25" max="124" width="11.85546875" style="11" customWidth="1"/>
    <col min="125" max="164" width="11" style="11" customWidth="1"/>
    <col min="165" max="16384" width="8" style="11"/>
  </cols>
  <sheetData>
    <row r="2" spans="1:24" x14ac:dyDescent="0.2">
      <c r="A2" s="213" t="s">
        <v>1495</v>
      </c>
      <c r="B2" s="213" t="s">
        <v>1417</v>
      </c>
    </row>
    <row r="3" spans="1:24" x14ac:dyDescent="0.2">
      <c r="M3" s="270" t="s">
        <v>1411</v>
      </c>
    </row>
    <row r="4" spans="1:24" ht="15.75" x14ac:dyDescent="0.25">
      <c r="A4" s="271" t="s">
        <v>1230</v>
      </c>
    </row>
    <row r="5" spans="1:24" s="213" customFormat="1" x14ac:dyDescent="0.2">
      <c r="C5" s="257"/>
      <c r="D5" s="257">
        <v>1</v>
      </c>
      <c r="E5" s="257">
        <v>2</v>
      </c>
      <c r="F5" s="257">
        <v>3</v>
      </c>
      <c r="G5" s="257">
        <v>4</v>
      </c>
      <c r="H5" s="257">
        <v>5</v>
      </c>
      <c r="I5" s="257">
        <v>6</v>
      </c>
      <c r="J5" s="257">
        <v>7</v>
      </c>
      <c r="K5" s="257">
        <v>8</v>
      </c>
      <c r="L5" s="257">
        <v>9</v>
      </c>
      <c r="M5" s="257">
        <v>10</v>
      </c>
      <c r="N5" s="257" t="s">
        <v>619</v>
      </c>
    </row>
    <row r="6" spans="1:24" x14ac:dyDescent="0.2">
      <c r="C6" s="912" t="s">
        <v>742</v>
      </c>
      <c r="D6" s="272"/>
      <c r="E6" s="273"/>
      <c r="F6" s="273"/>
      <c r="G6" s="273"/>
      <c r="H6" s="273"/>
      <c r="I6" s="273"/>
      <c r="J6" s="273"/>
      <c r="K6" s="273"/>
      <c r="L6" s="273"/>
      <c r="M6" s="273"/>
      <c r="N6" s="173"/>
      <c r="O6" s="11"/>
      <c r="P6" s="11"/>
      <c r="Q6" s="11"/>
      <c r="R6" s="11"/>
      <c r="S6" s="11"/>
      <c r="T6" s="11"/>
      <c r="U6" s="11"/>
      <c r="V6" s="11"/>
      <c r="W6" s="11"/>
      <c r="X6" s="11"/>
    </row>
    <row r="7" spans="1:24" x14ac:dyDescent="0.2">
      <c r="A7" s="274" t="s">
        <v>1048</v>
      </c>
      <c r="B7" s="274"/>
      <c r="C7" s="159"/>
      <c r="D7" s="11"/>
      <c r="E7" s="11"/>
      <c r="F7" s="11"/>
      <c r="G7" s="11"/>
      <c r="H7" s="11"/>
      <c r="I7" s="11"/>
      <c r="J7" s="11"/>
      <c r="K7" s="11"/>
      <c r="L7" s="11"/>
      <c r="M7" s="11"/>
      <c r="N7" s="156"/>
      <c r="O7" s="11"/>
      <c r="P7" s="11"/>
      <c r="Q7" s="11"/>
      <c r="R7" s="11"/>
      <c r="S7" s="11"/>
      <c r="T7" s="11"/>
      <c r="U7" s="11"/>
      <c r="V7" s="11"/>
      <c r="W7" s="11"/>
      <c r="X7" s="11"/>
    </row>
    <row r="8" spans="1:24" x14ac:dyDescent="0.2">
      <c r="A8" s="11" t="s">
        <v>1231</v>
      </c>
      <c r="C8" s="275">
        <f>'wholesale services'!C103</f>
        <v>0</v>
      </c>
      <c r="D8" s="104">
        <f>'wholesale services'!D103</f>
        <v>56663438.052610554</v>
      </c>
      <c r="E8" s="104">
        <f>'wholesale services'!E103</f>
        <v>57258542.886096679</v>
      </c>
      <c r="F8" s="972">
        <f>'wholesale services'!F103</f>
        <v>57849186.484344117</v>
      </c>
      <c r="G8" s="104">
        <f>'wholesale services'!G103</f>
        <v>58446622.483971402</v>
      </c>
      <c r="H8" s="104">
        <f>'wholesale services'!H103</f>
        <v>59050928.997594401</v>
      </c>
      <c r="I8" s="104">
        <f>'wholesale services'!I103</f>
        <v>59662185.036124066</v>
      </c>
      <c r="J8" s="104">
        <f>'wholesale services'!J103</f>
        <v>60280470.519096822</v>
      </c>
      <c r="K8" s="104">
        <f>'wholesale services'!K103</f>
        <v>60905866.285123758</v>
      </c>
      <c r="L8" s="104">
        <f>'wholesale services'!L103</f>
        <v>61538454.102460004</v>
      </c>
      <c r="M8" s="104">
        <f>'wholesale services'!M103</f>
        <v>62178316.679695621</v>
      </c>
      <c r="N8" s="159">
        <f>SUM(D8:M8)</f>
        <v>593834011.52711749</v>
      </c>
      <c r="O8" s="11"/>
      <c r="P8" s="11"/>
      <c r="Q8" s="11"/>
      <c r="R8" s="11"/>
      <c r="S8" s="11"/>
      <c r="T8" s="11"/>
      <c r="U8" s="11"/>
      <c r="V8" s="11"/>
      <c r="W8" s="11"/>
      <c r="X8" s="11"/>
    </row>
    <row r="9" spans="1:24" x14ac:dyDescent="0.2">
      <c r="A9" s="11" t="s">
        <v>1232</v>
      </c>
      <c r="C9" s="159">
        <f>'power redistribution'!C62</f>
        <v>62458732.1638868</v>
      </c>
      <c r="D9" s="104">
        <f>'power redistribution'!D62</f>
        <v>64134569.753864981</v>
      </c>
      <c r="E9" s="104">
        <f>'power redistribution'!E62</f>
        <v>71142739.477248356</v>
      </c>
      <c r="F9" s="972">
        <f>'power redistribution'!F62</f>
        <v>79479635.362789333</v>
      </c>
      <c r="G9" s="104">
        <f>'power redistribution'!G62</f>
        <v>82468720.4705109</v>
      </c>
      <c r="H9" s="104">
        <f>'power redistribution'!H62</f>
        <v>82496371.149471417</v>
      </c>
      <c r="I9" s="104">
        <f>'power redistribution'!I62</f>
        <v>82528930.213176712</v>
      </c>
      <c r="J9" s="104">
        <f>'power redistribution'!J62</f>
        <v>82566365.180666238</v>
      </c>
      <c r="K9" s="104">
        <f>'power redistribution'!K62</f>
        <v>82608645.47123979</v>
      </c>
      <c r="L9" s="104">
        <f>'power redistribution'!L62</f>
        <v>82655742.440463066</v>
      </c>
      <c r="M9" s="104">
        <f>'power redistribution'!M62</f>
        <v>82707629.380711809</v>
      </c>
      <c r="N9" s="159">
        <f>SUM(D9:M9)</f>
        <v>792789348.90014255</v>
      </c>
      <c r="O9" s="11"/>
      <c r="P9" s="11"/>
      <c r="Q9" s="11"/>
      <c r="R9" s="11"/>
      <c r="S9" s="11"/>
      <c r="T9" s="11"/>
      <c r="U9" s="11"/>
      <c r="V9" s="11"/>
      <c r="W9" s="11"/>
      <c r="X9" s="11"/>
    </row>
    <row r="10" spans="1:24" x14ac:dyDescent="0.2">
      <c r="A10" s="186" t="s">
        <v>1464</v>
      </c>
      <c r="C10" s="159">
        <v>0</v>
      </c>
      <c r="D10" s="104">
        <f>'power redistribution'!D59</f>
        <v>0</v>
      </c>
      <c r="E10" s="104">
        <f>'power redistribution'!E59</f>
        <v>0</v>
      </c>
      <c r="F10" s="104">
        <f>'power redistribution'!F59</f>
        <v>0</v>
      </c>
      <c r="G10" s="104">
        <f>'power redistribution'!G59</f>
        <v>0</v>
      </c>
      <c r="H10" s="104">
        <f>'power redistribution'!H59</f>
        <v>0</v>
      </c>
      <c r="I10" s="104">
        <f>'power redistribution'!I59</f>
        <v>0</v>
      </c>
      <c r="J10" s="104">
        <f>'power redistribution'!J59</f>
        <v>0</v>
      </c>
      <c r="K10" s="104">
        <f>'power redistribution'!K59</f>
        <v>0</v>
      </c>
      <c r="L10" s="104">
        <f>'power redistribution'!L59</f>
        <v>0</v>
      </c>
      <c r="M10" s="104">
        <f>'power redistribution'!M59</f>
        <v>0</v>
      </c>
      <c r="N10" s="168">
        <f>SUM(D10:M10)</f>
        <v>0</v>
      </c>
      <c r="O10" s="11"/>
      <c r="P10" s="11"/>
      <c r="Q10" s="11"/>
      <c r="R10" s="11"/>
      <c r="S10" s="11"/>
      <c r="T10" s="11"/>
      <c r="U10" s="11"/>
      <c r="V10" s="11"/>
      <c r="W10" s="11"/>
      <c r="X10" s="11"/>
    </row>
    <row r="11" spans="1:24" x14ac:dyDescent="0.2">
      <c r="A11" s="276" t="s">
        <v>1220</v>
      </c>
      <c r="C11" s="277" t="s">
        <v>1050</v>
      </c>
      <c r="D11" s="278">
        <f t="shared" ref="D11:N11" si="0">SUM(D8:D10)</f>
        <v>120798007.80647554</v>
      </c>
      <c r="E11" s="278">
        <f t="shared" si="0"/>
        <v>128401282.36334503</v>
      </c>
      <c r="F11" s="980">
        <f>SUM(F8:F10)</f>
        <v>137328821.84713346</v>
      </c>
      <c r="G11" s="278">
        <f t="shared" si="0"/>
        <v>140915342.95448232</v>
      </c>
      <c r="H11" s="278">
        <f t="shared" si="0"/>
        <v>141547300.14706582</v>
      </c>
      <c r="I11" s="278">
        <f t="shared" si="0"/>
        <v>142191115.24930078</v>
      </c>
      <c r="J11" s="278">
        <f t="shared" si="0"/>
        <v>142846835.69976306</v>
      </c>
      <c r="K11" s="278">
        <f t="shared" si="0"/>
        <v>143514511.75636354</v>
      </c>
      <c r="L11" s="278">
        <f t="shared" si="0"/>
        <v>144194196.54292306</v>
      </c>
      <c r="M11" s="278">
        <f t="shared" si="0"/>
        <v>144885946.06040743</v>
      </c>
      <c r="N11" s="278">
        <f t="shared" si="0"/>
        <v>1386623360.4272599</v>
      </c>
      <c r="O11" s="198">
        <f>'Re-Whole'!C35+'Re-Redis'!C34+'Re-FM'!C34</f>
        <v>1395373360.4272602</v>
      </c>
      <c r="P11" s="11"/>
      <c r="Q11" s="11"/>
      <c r="R11" s="11"/>
      <c r="S11" s="11"/>
      <c r="T11" s="11"/>
      <c r="U11" s="11"/>
      <c r="V11" s="11"/>
      <c r="W11" s="11"/>
      <c r="X11" s="11"/>
    </row>
    <row r="12" spans="1:24" ht="13.5" customHeight="1" x14ac:dyDescent="0.2">
      <c r="C12" s="159"/>
      <c r="D12" s="102"/>
      <c r="E12" s="102"/>
      <c r="F12" s="102"/>
      <c r="G12" s="102"/>
      <c r="H12" s="102"/>
      <c r="I12" s="102"/>
      <c r="J12" s="102"/>
      <c r="K12" s="102"/>
      <c r="L12" s="102"/>
      <c r="M12" s="102"/>
      <c r="N12" s="159"/>
      <c r="O12" s="11"/>
      <c r="P12" s="11"/>
      <c r="Q12" s="11"/>
      <c r="R12" s="11"/>
      <c r="S12" s="11"/>
      <c r="T12" s="11"/>
      <c r="U12" s="11"/>
      <c r="V12" s="11"/>
      <c r="W12" s="11"/>
      <c r="X12" s="11"/>
    </row>
    <row r="13" spans="1:24" x14ac:dyDescent="0.2">
      <c r="A13" s="274" t="s">
        <v>1127</v>
      </c>
      <c r="B13" s="274"/>
      <c r="C13" s="159"/>
      <c r="D13" s="102"/>
      <c r="E13" s="102"/>
      <c r="F13" s="102"/>
      <c r="G13" s="102"/>
      <c r="H13" s="102"/>
      <c r="I13" s="102"/>
      <c r="J13" s="102"/>
      <c r="K13" s="102"/>
      <c r="L13" s="102"/>
      <c r="M13" s="102"/>
      <c r="N13" s="159"/>
      <c r="O13" s="11"/>
      <c r="P13" s="11"/>
      <c r="Q13" s="11"/>
      <c r="R13" s="11"/>
      <c r="S13" s="11"/>
      <c r="T13" s="11"/>
      <c r="U13" s="11"/>
      <c r="V13" s="11"/>
      <c r="W13" s="11"/>
      <c r="X13" s="11"/>
    </row>
    <row r="14" spans="1:24" x14ac:dyDescent="0.2">
      <c r="A14" s="279" t="s">
        <v>1251</v>
      </c>
      <c r="B14" s="274"/>
      <c r="C14" s="159">
        <v>0</v>
      </c>
      <c r="D14" s="104">
        <f>-'power redistribution'!D65</f>
        <v>0</v>
      </c>
      <c r="E14" s="104">
        <f>-'power redistribution'!E65</f>
        <v>0</v>
      </c>
      <c r="F14" s="972">
        <f>-'power redistribution'!F65</f>
        <v>0</v>
      </c>
      <c r="G14" s="104">
        <f>-'power redistribution'!G65</f>
        <v>0</v>
      </c>
      <c r="H14" s="104">
        <f>-'power redistribution'!H65</f>
        <v>0</v>
      </c>
      <c r="I14" s="104">
        <f>-'power redistribution'!I65</f>
        <v>0</v>
      </c>
      <c r="J14" s="104">
        <f>-'power redistribution'!J65</f>
        <v>0</v>
      </c>
      <c r="K14" s="104">
        <f>-'power redistribution'!K65</f>
        <v>0</v>
      </c>
      <c r="L14" s="104">
        <f>-'power redistribution'!L65</f>
        <v>0</v>
      </c>
      <c r="M14" s="160">
        <f>-'power redistribution'!M65</f>
        <v>0</v>
      </c>
      <c r="N14" s="104">
        <f>SUM(D14:M14)</f>
        <v>0</v>
      </c>
      <c r="O14" s="11"/>
      <c r="P14" s="11"/>
      <c r="Q14" s="11"/>
      <c r="R14" s="11"/>
      <c r="S14" s="11"/>
      <c r="T14" s="11"/>
      <c r="U14" s="11"/>
      <c r="V14" s="11"/>
      <c r="W14" s="11"/>
      <c r="X14" s="11"/>
    </row>
    <row r="15" spans="1:24" x14ac:dyDescent="0.2">
      <c r="A15" s="11" t="s">
        <v>1252</v>
      </c>
      <c r="B15" s="274"/>
      <c r="C15" s="159">
        <v>0</v>
      </c>
      <c r="D15" s="177">
        <f>-'power redistribution'!D66</f>
        <v>-12251522.541030942</v>
      </c>
      <c r="E15" s="177">
        <f>-'power redistribution'!E66</f>
        <v>-13617292.006097978</v>
      </c>
      <c r="F15" s="1014">
        <f>-'power redistribution'!F66</f>
        <v>-15240147.488118811</v>
      </c>
      <c r="G15" s="177">
        <f>-'power redistribution'!G66</f>
        <v>-15818591.026264848</v>
      </c>
      <c r="H15" s="177">
        <f>-'power redistribution'!H66</f>
        <v>-15818591.026264848</v>
      </c>
      <c r="I15" s="177">
        <f>-'power redistribution'!I66</f>
        <v>-15818591.026264848</v>
      </c>
      <c r="J15" s="177">
        <f>-'power redistribution'!J66</f>
        <v>-15818591.026264848</v>
      </c>
      <c r="K15" s="177">
        <f>-'power redistribution'!K66</f>
        <v>-15818591.026264848</v>
      </c>
      <c r="L15" s="177">
        <f>-'power redistribution'!L66</f>
        <v>-15818591.026264848</v>
      </c>
      <c r="M15" s="455">
        <f>-'power redistribution'!M66</f>
        <v>-15818591.026264848</v>
      </c>
      <c r="N15" s="104">
        <f>SUM(D15:M15)</f>
        <v>-151839099.21910167</v>
      </c>
      <c r="O15" s="11"/>
      <c r="P15" s="11"/>
      <c r="Q15" s="11"/>
      <c r="R15" s="11"/>
      <c r="S15" s="11"/>
      <c r="T15" s="11"/>
      <c r="U15" s="11"/>
      <c r="V15" s="11"/>
      <c r="W15" s="11"/>
      <c r="X15" s="11"/>
    </row>
    <row r="16" spans="1:24" x14ac:dyDescent="0.2">
      <c r="A16" s="11" t="s">
        <v>1052</v>
      </c>
      <c r="B16" s="274"/>
      <c r="C16" s="159">
        <v>0</v>
      </c>
      <c r="D16" s="177">
        <f>-'wholesale services'!D109</f>
        <v>-3246342.8050974798</v>
      </c>
      <c r="E16" s="177">
        <f>-'wholesale services'!E109</f>
        <v>-3280437.3528492888</v>
      </c>
      <c r="F16" s="1014">
        <f>-'wholesale services'!F109</f>
        <v>-3314276.3089988818</v>
      </c>
      <c r="G16" s="177">
        <f>-'wholesale services'!G109</f>
        <v>-3348504.413144195</v>
      </c>
      <c r="H16" s="177">
        <f>-'wholesale services'!H109</f>
        <v>-3383126.1404871792</v>
      </c>
      <c r="I16" s="177">
        <f>-'wholesale services'!I109</f>
        <v>-3418146.0176946083</v>
      </c>
      <c r="J16" s="177">
        <f>-'wholesale services'!J109</f>
        <v>-3453568.6234899219</v>
      </c>
      <c r="K16" s="177">
        <f>-'wholesale services'!K109</f>
        <v>-3489398.5892518824</v>
      </c>
      <c r="L16" s="177">
        <f>-'wholesale services'!L109</f>
        <v>-3525640.5996201048</v>
      </c>
      <c r="M16" s="177">
        <f>-'wholesale services'!M109</f>
        <v>-3562299.3931075619</v>
      </c>
      <c r="N16" s="159">
        <f t="shared" ref="N16:N27" si="1">SUM(D16:M16)</f>
        <v>-34021740.24374111</v>
      </c>
      <c r="O16" s="11"/>
      <c r="P16" s="11"/>
      <c r="Q16" s="11"/>
      <c r="R16" s="11"/>
      <c r="S16" s="11"/>
      <c r="T16" s="11"/>
      <c r="U16" s="11"/>
      <c r="V16" s="11"/>
      <c r="W16" s="11"/>
      <c r="X16" s="11"/>
    </row>
    <row r="17" spans="1:24" x14ac:dyDescent="0.2">
      <c r="A17" s="11" t="s">
        <v>1253</v>
      </c>
      <c r="C17" s="159">
        <f>-'wholesale services'!C112</f>
        <v>-41943000</v>
      </c>
      <c r="D17" s="104">
        <f>-'wholesale services'!D112</f>
        <v>-39006989.999999993</v>
      </c>
      <c r="E17" s="104">
        <f>-'wholesale services'!E112</f>
        <v>-32686951.528749995</v>
      </c>
      <c r="F17" s="972">
        <f>-'wholesale services'!F112</f>
        <v>-31422943.834499996</v>
      </c>
      <c r="G17" s="104">
        <f>-'wholesale services'!G112</f>
        <v>-31422943.834499996</v>
      </c>
      <c r="H17" s="104">
        <f>-'wholesale services'!H112</f>
        <v>-31422943.834499996</v>
      </c>
      <c r="I17" s="104">
        <f>-'wholesale services'!I112</f>
        <v>-31422943.834499996</v>
      </c>
      <c r="J17" s="104">
        <f>-'wholesale services'!J112</f>
        <v>-31422943.834499996</v>
      </c>
      <c r="K17" s="104">
        <f>-'wholesale services'!K112</f>
        <v>-31422943.834499996</v>
      </c>
      <c r="L17" s="104">
        <f>-'wholesale services'!L112</f>
        <v>-31422943.834499996</v>
      </c>
      <c r="M17" s="104">
        <f>-'wholesale services'!M112</f>
        <v>-31422943.834499996</v>
      </c>
      <c r="N17" s="159">
        <f t="shared" si="1"/>
        <v>-323077492.20474994</v>
      </c>
      <c r="O17" s="102"/>
      <c r="P17" s="11"/>
      <c r="Q17" s="11"/>
      <c r="R17" s="11"/>
      <c r="S17" s="11"/>
      <c r="T17" s="11"/>
      <c r="U17" s="11"/>
      <c r="V17" s="11"/>
      <c r="W17" s="11"/>
      <c r="X17" s="11"/>
    </row>
    <row r="18" spans="1:24" x14ac:dyDescent="0.2">
      <c r="A18" s="11" t="s">
        <v>1254</v>
      </c>
      <c r="C18" s="159">
        <f>-'wholesale services'!C115</f>
        <v>-1486000</v>
      </c>
      <c r="D18" s="104">
        <f>-'wholesale services'!D115</f>
        <v>-1708211.5107084466</v>
      </c>
      <c r="E18" s="104">
        <f>-'wholesale services'!E115</f>
        <v>-1301250.1260907315</v>
      </c>
      <c r="F18" s="972">
        <f>-'wholesale services'!F115</f>
        <v>-1232294.1750597835</v>
      </c>
      <c r="G18" s="104">
        <f>-'wholesale services'!G115</f>
        <v>-1253412.838192123</v>
      </c>
      <c r="H18" s="104">
        <f>-'wholesale services'!H115</f>
        <v>-1279128.2537550048</v>
      </c>
      <c r="I18" s="104">
        <f>-'wholesale services'!I115</f>
        <v>-1309408.5175675321</v>
      </c>
      <c r="J18" s="104">
        <f>-'wholesale services'!J115</f>
        <v>-1344223.4220026238</v>
      </c>
      <c r="K18" s="104">
        <f>-'wholesale services'!K115</f>
        <v>-1383544.5266948738</v>
      </c>
      <c r="L18" s="104">
        <f>-'wholesale services'!L115</f>
        <v>-1427345.192026017</v>
      </c>
      <c r="M18" s="104">
        <f>-'wholesale services'!M115</f>
        <v>-1475600.5796310711</v>
      </c>
      <c r="N18" s="159">
        <f t="shared" si="1"/>
        <v>-13714419.141728207</v>
      </c>
      <c r="O18" s="11"/>
      <c r="P18" s="11"/>
      <c r="Q18" s="11"/>
      <c r="R18" s="11"/>
      <c r="S18" s="11"/>
      <c r="T18" s="11"/>
      <c r="U18" s="11"/>
      <c r="V18" s="11"/>
      <c r="W18" s="11"/>
      <c r="X18" s="11"/>
    </row>
    <row r="19" spans="1:24" x14ac:dyDescent="0.2">
      <c r="A19" s="11" t="s">
        <v>1259</v>
      </c>
      <c r="C19" s="159">
        <f>-'wholesale services'!C116</f>
        <v>-748000</v>
      </c>
      <c r="D19" s="104">
        <f>-'wholesale services'!D116</f>
        <v>-695640</v>
      </c>
      <c r="E19" s="104">
        <f>-'wholesale services'!E116</f>
        <v>-716509.20000000007</v>
      </c>
      <c r="F19" s="972">
        <f>-'wholesale services'!F116</f>
        <v>-738004.47600000002</v>
      </c>
      <c r="G19" s="104">
        <f>-'wholesale services'!G116</f>
        <v>-760144.61028000014</v>
      </c>
      <c r="H19" s="104">
        <f>-'wholesale services'!H116</f>
        <v>-782948.94858840003</v>
      </c>
      <c r="I19" s="104">
        <f>-'wholesale services'!I116</f>
        <v>-806437.41704605205</v>
      </c>
      <c r="J19" s="104">
        <f>-'wholesale services'!J116</f>
        <v>-830630.53955743369</v>
      </c>
      <c r="K19" s="104">
        <f>-'wholesale services'!K116</f>
        <v>-855549.45574415673</v>
      </c>
      <c r="L19" s="104">
        <f>-'wholesale services'!L116</f>
        <v>-881215.93941648153</v>
      </c>
      <c r="M19" s="104">
        <f>-'wholesale services'!M116</f>
        <v>-907652.41759897594</v>
      </c>
      <c r="N19" s="159">
        <f t="shared" si="1"/>
        <v>-7974733.0042314995</v>
      </c>
      <c r="O19" s="11"/>
      <c r="P19" s="11"/>
      <c r="Q19" s="11"/>
      <c r="R19" s="11"/>
      <c r="S19" s="11"/>
      <c r="T19" s="11"/>
      <c r="U19" s="11"/>
      <c r="V19" s="11"/>
      <c r="W19" s="11"/>
      <c r="X19" s="11"/>
    </row>
    <row r="20" spans="1:24" x14ac:dyDescent="0.2">
      <c r="A20" s="11" t="s">
        <v>1260</v>
      </c>
      <c r="C20" s="159">
        <f>-'wholesale services'!C117</f>
        <v>-5441000</v>
      </c>
      <c r="D20" s="104">
        <f>-'wholesale services'!D117</f>
        <v>-4654731.78330612</v>
      </c>
      <c r="E20" s="104">
        <f>-'wholesale services'!E117</f>
        <v>-4756204.9361821944</v>
      </c>
      <c r="F20" s="972">
        <f>-'wholesale services'!F117</f>
        <v>-4855609.6193484012</v>
      </c>
      <c r="G20" s="104">
        <f>-'wholesale services'!G117</f>
        <v>-4953207.372697304</v>
      </c>
      <c r="H20" s="104">
        <f>-'wholesale services'!H117</f>
        <v>-5049299.5957276318</v>
      </c>
      <c r="I20" s="104">
        <f>-'wholesale services'!I117</f>
        <v>-5143721.4981677383</v>
      </c>
      <c r="J20" s="104">
        <f>-'wholesale services'!J117</f>
        <v>-5236308.4851347581</v>
      </c>
      <c r="K20" s="104">
        <f>-'wholesale services'!K117</f>
        <v>-5327943.883624617</v>
      </c>
      <c r="L20" s="104">
        <f>-'wholesale services'!L117</f>
        <v>-5417453.3408695105</v>
      </c>
      <c r="M20" s="104">
        <f>-'wholesale services'!M117</f>
        <v>-5506299.5756597696</v>
      </c>
      <c r="N20" s="159">
        <f t="shared" si="1"/>
        <v>-50900780.090718038</v>
      </c>
      <c r="O20" s="11"/>
      <c r="P20" s="11"/>
      <c r="Q20" s="11"/>
      <c r="R20" s="11"/>
      <c r="S20" s="11"/>
      <c r="T20" s="11"/>
      <c r="U20" s="11"/>
      <c r="V20" s="11"/>
      <c r="W20" s="11"/>
      <c r="X20" s="11"/>
    </row>
    <row r="21" spans="1:24" x14ac:dyDescent="0.2">
      <c r="A21" s="11" t="s">
        <v>1261</v>
      </c>
      <c r="C21" s="159">
        <f>-'wholesale services'!C118</f>
        <v>-5006132.3560000015</v>
      </c>
      <c r="D21" s="104">
        <f>-'wholesale services'!D118</f>
        <v>-4611490.9325647522</v>
      </c>
      <c r="E21" s="104">
        <f>-'wholesale services'!E118</f>
        <v>-4712021.4348946642</v>
      </c>
      <c r="F21" s="972">
        <f>-'wholesale services'!F118</f>
        <v>-4810502.6828839621</v>
      </c>
      <c r="G21" s="104">
        <f>-'wholesale services'!G118</f>
        <v>-4907193.7868099296</v>
      </c>
      <c r="H21" s="104">
        <f>-'wholesale services'!H118</f>
        <v>-5002393.3462740425</v>
      </c>
      <c r="I21" s="104">
        <f>-'wholesale services'!I118</f>
        <v>-5095938.1018493678</v>
      </c>
      <c r="J21" s="104">
        <f>-'wholesale services'!J118</f>
        <v>-5187664.9876826555</v>
      </c>
      <c r="K21" s="104">
        <f>-'wholesale services'!K118</f>
        <v>-5278449.1249671029</v>
      </c>
      <c r="L21" s="104">
        <f>-'wholesale services'!L118</f>
        <v>-5367127.0702665504</v>
      </c>
      <c r="M21" s="104">
        <f>-'wholesale services'!M118</f>
        <v>-5455147.9542189213</v>
      </c>
      <c r="N21" s="159">
        <f t="shared" si="1"/>
        <v>-50427929.422411956</v>
      </c>
      <c r="O21" s="11"/>
      <c r="P21" s="11"/>
      <c r="Q21" s="11"/>
      <c r="R21" s="11"/>
      <c r="S21" s="11"/>
      <c r="T21" s="11"/>
      <c r="U21" s="11"/>
      <c r="V21" s="11"/>
      <c r="W21" s="11"/>
      <c r="X21" s="11"/>
    </row>
    <row r="22" spans="1:24" x14ac:dyDescent="0.2">
      <c r="A22" s="186" t="s">
        <v>150</v>
      </c>
      <c r="C22" s="159">
        <f>-('wholesale services'!C121+'wholesale services'!C122)</f>
        <v>0</v>
      </c>
      <c r="D22" s="104" t="str">
        <f>IF('wholesale services'!$C$12="y",-('wholesale services'!D121+'wholesale services'!D122),"NA")</f>
        <v>NA</v>
      </c>
      <c r="E22" s="104" t="str">
        <f>IF('wholesale services'!$C$12="y",-('wholesale services'!E121+'wholesale services'!E122),"NA")</f>
        <v>NA</v>
      </c>
      <c r="F22" s="972" t="str">
        <f>IF('wholesale services'!$C$12="y",-('wholesale services'!F121+'wholesale services'!F122),"NA")</f>
        <v>NA</v>
      </c>
      <c r="G22" s="104" t="str">
        <f>IF('wholesale services'!$C$12="y",-('wholesale services'!G121+'wholesale services'!G122),"NA")</f>
        <v>NA</v>
      </c>
      <c r="H22" s="104" t="str">
        <f>IF('wholesale services'!$C$12="y",-('wholesale services'!H121+'wholesale services'!H122),"NA")</f>
        <v>NA</v>
      </c>
      <c r="I22" s="104" t="str">
        <f>IF('wholesale services'!$C$12="y",-('wholesale services'!I121+'wholesale services'!I122),"NA")</f>
        <v>NA</v>
      </c>
      <c r="J22" s="104" t="str">
        <f>IF('wholesale services'!$C$12="y",-('wholesale services'!J121+'wholesale services'!J122),"NA")</f>
        <v>NA</v>
      </c>
      <c r="K22" s="104" t="str">
        <f>IF('wholesale services'!$C$12="y",-('wholesale services'!K121+'wholesale services'!K122),"NA")</f>
        <v>NA</v>
      </c>
      <c r="L22" s="104" t="str">
        <f>IF('wholesale services'!$C$12="y",-('wholesale services'!L121+'wholesale services'!L122),"NA")</f>
        <v>NA</v>
      </c>
      <c r="M22" s="104" t="str">
        <f>IF('wholesale services'!$C$12="y",-('wholesale services'!M121+'wholesale services'!M122),"NA")</f>
        <v>NA</v>
      </c>
      <c r="N22" s="159">
        <f t="shared" si="1"/>
        <v>0</v>
      </c>
      <c r="O22" s="11"/>
      <c r="P22" s="11"/>
      <c r="Q22" s="11"/>
      <c r="R22" s="11"/>
      <c r="S22" s="11"/>
      <c r="T22" s="11"/>
      <c r="U22" s="11"/>
      <c r="V22" s="11"/>
      <c r="W22" s="11"/>
      <c r="X22" s="11"/>
    </row>
    <row r="23" spans="1:24" x14ac:dyDescent="0.2">
      <c r="A23" s="11" t="s">
        <v>1262</v>
      </c>
      <c r="C23" s="159">
        <v>0</v>
      </c>
      <c r="D23" s="601">
        <f>IF(B2="y",'FM Summary'!B97,0)</f>
        <v>0</v>
      </c>
      <c r="E23" s="104">
        <v>0</v>
      </c>
      <c r="F23" s="972">
        <v>0</v>
      </c>
      <c r="G23" s="104">
        <v>0</v>
      </c>
      <c r="H23" s="104">
        <v>0</v>
      </c>
      <c r="I23" s="104">
        <v>0</v>
      </c>
      <c r="J23" s="104">
        <v>0</v>
      </c>
      <c r="K23" s="104">
        <v>0</v>
      </c>
      <c r="L23" s="104">
        <v>0</v>
      </c>
      <c r="M23" s="104">
        <v>0</v>
      </c>
      <c r="N23" s="159">
        <f t="shared" si="1"/>
        <v>0</v>
      </c>
      <c r="O23" s="11"/>
      <c r="P23" s="11"/>
      <c r="Q23" s="11"/>
      <c r="R23" s="11"/>
      <c r="S23" s="11"/>
      <c r="T23" s="11"/>
      <c r="U23" s="11"/>
      <c r="V23" s="11"/>
      <c r="W23" s="11"/>
      <c r="X23" s="11"/>
    </row>
    <row r="24" spans="1:24" x14ac:dyDescent="0.2">
      <c r="A24" s="11" t="s">
        <v>1263</v>
      </c>
      <c r="C24" s="159">
        <f>-('power redistribution'!C67+'power redistribution'!C68)</f>
        <v>-51167000</v>
      </c>
      <c r="D24" s="104">
        <f>-('power redistribution'!D67+'power redistribution'!D68)</f>
        <v>-51576068.041680634</v>
      </c>
      <c r="E24" s="104">
        <f>-('power redistribution'!E67+'power redistribution'!E68)</f>
        <v>-57370369.103103161</v>
      </c>
      <c r="F24" s="972">
        <f>-('power redistribution'!F67+'power redistribution'!F68)</f>
        <v>-61104101.968686372</v>
      </c>
      <c r="G24" s="104">
        <f>-('power redistribution'!G67+'power redistribution'!G68)</f>
        <v>-63452613.026389256</v>
      </c>
      <c r="H24" s="104">
        <f>-('power redistribution'!H67+'power redistribution'!H68)</f>
        <v>-62162521.614207022</v>
      </c>
      <c r="I24" s="104">
        <f>-('power redistribution'!I67+'power redistribution'!I68)</f>
        <v>-62189111.516233012</v>
      </c>
      <c r="J24" s="104">
        <f>-('power redistribution'!J67+'power redistribution'!J68)</f>
        <v>-62219683.406349458</v>
      </c>
      <c r="K24" s="104">
        <f>-('power redistribution'!K67+'power redistribution'!K68)</f>
        <v>-62254212.310317859</v>
      </c>
      <c r="L24" s="104">
        <f>-('power redistribution'!L67+'power redistribution'!L68)</f>
        <v>-60323665.635183521</v>
      </c>
      <c r="M24" s="104">
        <f>-('power redistribution'!M67+'power redistribution'!M68)</f>
        <v>-60366039.969719999</v>
      </c>
      <c r="N24" s="159">
        <f t="shared" si="1"/>
        <v>-603018386.59187043</v>
      </c>
      <c r="O24" s="11"/>
      <c r="P24" s="11"/>
      <c r="Q24" s="11"/>
      <c r="R24" s="11"/>
      <c r="S24" s="11"/>
      <c r="T24" s="11"/>
      <c r="U24" s="11"/>
      <c r="V24" s="11"/>
      <c r="W24" s="11"/>
      <c r="X24" s="11"/>
    </row>
    <row r="25" spans="1:24" x14ac:dyDescent="0.2">
      <c r="A25" s="186" t="s">
        <v>151</v>
      </c>
      <c r="C25" s="159">
        <f>-'power redistribution'!C70</f>
        <v>-500000</v>
      </c>
      <c r="D25" s="104">
        <f>-'power redistribution'!D70</f>
        <v>-512088.88551569509</v>
      </c>
      <c r="E25" s="104">
        <f>-'power redistribution'!E70</f>
        <v>-322955.0589313294</v>
      </c>
      <c r="F25" s="972">
        <f>-'power redistribution'!F70</f>
        <v>-338352.16007618757</v>
      </c>
      <c r="G25" s="104">
        <f>-'power redistribution'!G70</f>
        <v>-175910.49083967082</v>
      </c>
      <c r="H25" s="104">
        <f>-'power redistribution'!H70</f>
        <v>-100000</v>
      </c>
      <c r="I25" s="104">
        <f>-'power redistribution'!I70</f>
        <v>-100000</v>
      </c>
      <c r="J25" s="104">
        <f>-'power redistribution'!J70</f>
        <v>-100000</v>
      </c>
      <c r="K25" s="104">
        <f>-'power redistribution'!K70</f>
        <v>-100000</v>
      </c>
      <c r="L25" s="104">
        <f>-'power redistribution'!L70</f>
        <v>-100000</v>
      </c>
      <c r="M25" s="104">
        <f>-'power redistribution'!M70</f>
        <v>-100000</v>
      </c>
      <c r="N25" s="159"/>
      <c r="O25" s="11"/>
      <c r="P25" s="11"/>
      <c r="Q25" s="11"/>
      <c r="R25" s="11"/>
      <c r="S25" s="11"/>
      <c r="T25" s="11"/>
      <c r="U25" s="11"/>
      <c r="V25" s="11"/>
      <c r="W25" s="11"/>
      <c r="X25" s="11"/>
    </row>
    <row r="26" spans="1:24" x14ac:dyDescent="0.2">
      <c r="A26" s="186" t="s">
        <v>152</v>
      </c>
      <c r="C26" s="159">
        <f>-'power redistribution'!C69</f>
        <v>-650000</v>
      </c>
      <c r="D26" s="104">
        <f>-'power redistribution'!D69</f>
        <v>-559201.06298313907</v>
      </c>
      <c r="E26" s="104">
        <f>-'power redistribution'!E69</f>
        <v>-621539.41595907288</v>
      </c>
      <c r="F26" s="972">
        <f>-'power redistribution'!F69</f>
        <v>-695612.0471422415</v>
      </c>
      <c r="G26" s="104">
        <f>-'power redistribution'!G69</f>
        <v>-722014.17310851952</v>
      </c>
      <c r="H26" s="104">
        <f>-'power redistribution'!H69</f>
        <v>-722014.17310851952</v>
      </c>
      <c r="I26" s="104">
        <f>-'power redistribution'!I69</f>
        <v>-722014.17310851952</v>
      </c>
      <c r="J26" s="104">
        <f>-'power redistribution'!J69</f>
        <v>-722014.17310851952</v>
      </c>
      <c r="K26" s="104">
        <f>-'power redistribution'!K69</f>
        <v>-722014.17310851952</v>
      </c>
      <c r="L26" s="104">
        <f>-'power redistribution'!L69</f>
        <v>-722014.17310851952</v>
      </c>
      <c r="M26" s="104">
        <f>-'power redistribution'!M69</f>
        <v>-722014.17310851952</v>
      </c>
      <c r="N26" s="159">
        <f t="shared" si="1"/>
        <v>-6930451.7378440909</v>
      </c>
      <c r="O26" s="11"/>
      <c r="P26" s="11"/>
      <c r="Q26" s="11"/>
      <c r="R26" s="11"/>
      <c r="S26" s="11"/>
      <c r="T26" s="11"/>
      <c r="U26" s="11"/>
      <c r="V26" s="11"/>
      <c r="W26" s="11"/>
      <c r="X26" s="11"/>
    </row>
    <row r="27" spans="1:24" s="372" customFormat="1" x14ac:dyDescent="0.2">
      <c r="A27" s="372" t="s">
        <v>1265</v>
      </c>
      <c r="C27" s="373">
        <v>0</v>
      </c>
      <c r="D27" s="371">
        <f>'account mgt'!C23</f>
        <v>-611000</v>
      </c>
      <c r="E27" s="371">
        <f>'account mgt'!D23</f>
        <v>-602820</v>
      </c>
      <c r="F27" s="1013">
        <f>'account mgt'!E23</f>
        <v>-614876.4</v>
      </c>
      <c r="G27" s="371">
        <f>'account mgt'!F23</f>
        <v>-627173.92799999996</v>
      </c>
      <c r="H27" s="371">
        <f>'account mgt'!G23</f>
        <v>-639717.40656000003</v>
      </c>
      <c r="I27" s="371">
        <f>'account mgt'!H23</f>
        <v>-652511.75469119998</v>
      </c>
      <c r="J27" s="371">
        <f>'account mgt'!I23</f>
        <v>-665561.98978502396</v>
      </c>
      <c r="K27" s="371">
        <f>'account mgt'!J23</f>
        <v>-678873.2295807245</v>
      </c>
      <c r="L27" s="371">
        <f>'account mgt'!K23</f>
        <v>-692450.69417233905</v>
      </c>
      <c r="M27" s="371">
        <f>'account mgt'!L23</f>
        <v>-706299.70805578586</v>
      </c>
      <c r="N27" s="373">
        <f t="shared" si="1"/>
        <v>-6491285.1108450731</v>
      </c>
    </row>
    <row r="28" spans="1:24" x14ac:dyDescent="0.2">
      <c r="A28" s="280" t="s">
        <v>1266</v>
      </c>
      <c r="C28" s="168">
        <f>SUM(C15:C27)</f>
        <v>-106941132.35600001</v>
      </c>
      <c r="D28" s="254">
        <f t="shared" ref="D28:N28" si="2">SUM(D14:D27)</f>
        <v>-119433287.56288719</v>
      </c>
      <c r="E28" s="254">
        <f t="shared" si="2"/>
        <v>-119988350.16285843</v>
      </c>
      <c r="F28" s="1013">
        <f t="shared" si="2"/>
        <v>-124366721.16081463</v>
      </c>
      <c r="G28" s="254">
        <f t="shared" si="2"/>
        <v>-127441709.50022584</v>
      </c>
      <c r="H28" s="254">
        <f t="shared" si="2"/>
        <v>-126362684.33947265</v>
      </c>
      <c r="I28" s="254">
        <f t="shared" si="2"/>
        <v>-126678823.85712288</v>
      </c>
      <c r="J28" s="254">
        <f t="shared" si="2"/>
        <v>-127001190.48787524</v>
      </c>
      <c r="K28" s="254">
        <f t="shared" si="2"/>
        <v>-127331520.15405458</v>
      </c>
      <c r="L28" s="254">
        <f t="shared" si="2"/>
        <v>-125698447.50542788</v>
      </c>
      <c r="M28" s="254">
        <f t="shared" si="2"/>
        <v>-126042888.63186544</v>
      </c>
      <c r="N28" s="168">
        <f t="shared" si="2"/>
        <v>-1248396316.767242</v>
      </c>
      <c r="O28" s="11"/>
      <c r="P28" s="11"/>
      <c r="Q28" s="11"/>
      <c r="R28" s="11"/>
      <c r="S28" s="11"/>
      <c r="T28" s="11"/>
      <c r="U28" s="11"/>
      <c r="V28" s="11"/>
      <c r="W28" s="11"/>
      <c r="X28" s="11"/>
    </row>
    <row r="29" spans="1:24" ht="12.75" customHeight="1" x14ac:dyDescent="0.2">
      <c r="C29" s="159"/>
      <c r="D29" s="104"/>
      <c r="E29" s="104"/>
      <c r="F29" s="104"/>
      <c r="G29" s="104"/>
      <c r="H29" s="104"/>
      <c r="I29" s="104"/>
      <c r="J29" s="104"/>
      <c r="K29" s="104"/>
      <c r="L29" s="104"/>
      <c r="M29" s="104"/>
      <c r="N29" s="159"/>
      <c r="O29" s="11"/>
      <c r="P29" s="11"/>
      <c r="Q29" s="11"/>
      <c r="R29" s="11"/>
      <c r="S29" s="11"/>
      <c r="T29" s="11"/>
      <c r="U29" s="11"/>
      <c r="V29" s="11"/>
      <c r="W29" s="11"/>
      <c r="X29" s="11"/>
    </row>
    <row r="30" spans="1:24" x14ac:dyDescent="0.2">
      <c r="A30" s="276" t="s">
        <v>1267</v>
      </c>
      <c r="B30" s="213"/>
      <c r="C30" s="281" t="s">
        <v>1050</v>
      </c>
      <c r="D30" s="282">
        <f t="shared" ref="D30:M30" si="3">D11+D28</f>
        <v>1364720.2435883433</v>
      </c>
      <c r="E30" s="282">
        <f t="shared" si="3"/>
        <v>8412932.2004866004</v>
      </c>
      <c r="F30" s="979">
        <f>F11+F28</f>
        <v>12962100.68631883</v>
      </c>
      <c r="G30" s="282">
        <f t="shared" si="3"/>
        <v>13473633.454256475</v>
      </c>
      <c r="H30" s="282">
        <f t="shared" si="3"/>
        <v>15184615.807593167</v>
      </c>
      <c r="I30" s="282">
        <f t="shared" si="3"/>
        <v>15512291.392177895</v>
      </c>
      <c r="J30" s="282">
        <f t="shared" si="3"/>
        <v>15845645.211887822</v>
      </c>
      <c r="K30" s="282">
        <f t="shared" si="3"/>
        <v>16182991.602308959</v>
      </c>
      <c r="L30" s="282">
        <f t="shared" si="3"/>
        <v>18495749.037495181</v>
      </c>
      <c r="M30" s="282">
        <f t="shared" si="3"/>
        <v>18843057.428541988</v>
      </c>
      <c r="N30" s="283">
        <f>N11-N28</f>
        <v>2635019677.1945019</v>
      </c>
      <c r="O30" s="186"/>
      <c r="P30" s="11"/>
      <c r="Q30" s="11"/>
      <c r="R30" s="11"/>
      <c r="S30" s="11"/>
      <c r="T30" s="11"/>
      <c r="U30" s="11"/>
      <c r="V30" s="11"/>
      <c r="W30" s="11"/>
      <c r="X30" s="11"/>
    </row>
    <row r="31" spans="1:24" ht="13.5" customHeight="1" x14ac:dyDescent="0.2">
      <c r="A31" s="1"/>
      <c r="B31" s="1"/>
      <c r="C31" s="159"/>
      <c r="D31" s="284"/>
      <c r="E31" s="284"/>
      <c r="F31" s="284"/>
      <c r="G31" s="284"/>
      <c r="H31" s="284"/>
      <c r="I31" s="284"/>
      <c r="J31" s="284"/>
      <c r="K31" s="284"/>
      <c r="L31" s="284"/>
      <c r="M31" s="284"/>
      <c r="N31" s="285"/>
      <c r="O31" s="1"/>
      <c r="P31" s="1"/>
      <c r="Q31" s="1"/>
      <c r="R31" s="1"/>
      <c r="S31" s="1"/>
      <c r="T31" s="1"/>
      <c r="U31" s="1"/>
      <c r="V31" s="1"/>
      <c r="W31" s="11"/>
      <c r="X31" s="11"/>
    </row>
    <row r="32" spans="1:24" ht="13.5" customHeight="1" x14ac:dyDescent="0.2">
      <c r="A32" s="286" t="s">
        <v>1268</v>
      </c>
      <c r="B32" s="1"/>
      <c r="C32" s="159"/>
      <c r="D32" s="284"/>
      <c r="E32" s="284"/>
      <c r="F32" s="284"/>
      <c r="G32" s="284"/>
      <c r="H32" s="284"/>
      <c r="I32" s="284"/>
      <c r="J32" s="284"/>
      <c r="K32" s="284"/>
      <c r="L32" s="284"/>
      <c r="M32" s="284"/>
      <c r="N32" s="285"/>
      <c r="O32" s="1"/>
      <c r="P32" s="1"/>
      <c r="Q32" s="1"/>
      <c r="R32" s="1"/>
      <c r="S32" s="1"/>
      <c r="T32" s="1"/>
      <c r="U32" s="1"/>
      <c r="V32" s="1"/>
      <c r="W32" s="11"/>
      <c r="X32" s="11"/>
    </row>
    <row r="33" spans="1:24" ht="13.5" customHeight="1" x14ac:dyDescent="0.2">
      <c r="A33" s="186" t="s">
        <v>1269</v>
      </c>
      <c r="B33" s="186"/>
      <c r="C33" s="159">
        <f>'wholesale services'!C119</f>
        <v>0</v>
      </c>
      <c r="D33" s="104">
        <f>-'wholesale services'!D119</f>
        <v>-28439040</v>
      </c>
      <c r="E33" s="104">
        <f>-'wholesale services'!E119</f>
        <v>-4739840</v>
      </c>
      <c r="F33" s="972">
        <f>-'wholesale services'!F119</f>
        <v>0</v>
      </c>
      <c r="G33" s="104">
        <f>-'wholesale services'!G119</f>
        <v>0</v>
      </c>
      <c r="H33" s="104">
        <f>-'wholesale services'!H119</f>
        <v>0</v>
      </c>
      <c r="I33" s="104">
        <f>-'wholesale services'!I119</f>
        <v>0</v>
      </c>
      <c r="J33" s="104">
        <f>-'wholesale services'!J119</f>
        <v>0</v>
      </c>
      <c r="K33" s="104">
        <f>-'wholesale services'!K119</f>
        <v>0</v>
      </c>
      <c r="L33" s="104">
        <f>-'wholesale services'!L119</f>
        <v>0</v>
      </c>
      <c r="M33" s="104">
        <f>-'wholesale services'!M119</f>
        <v>0</v>
      </c>
      <c r="N33" s="159">
        <f>SUM(D33:M33)</f>
        <v>-33178880</v>
      </c>
      <c r="O33" s="1"/>
      <c r="P33" s="1"/>
      <c r="Q33" s="1"/>
      <c r="R33" s="1"/>
      <c r="S33" s="1"/>
      <c r="T33" s="1"/>
      <c r="U33" s="1"/>
      <c r="V33" s="1"/>
      <c r="W33" s="11"/>
      <c r="X33" s="11"/>
    </row>
    <row r="34" spans="1:24" ht="13.5" customHeight="1" x14ac:dyDescent="0.2">
      <c r="A34" s="186" t="s">
        <v>1270</v>
      </c>
      <c r="B34" s="186"/>
      <c r="C34" s="159">
        <f>'power redistribution'!C71</f>
        <v>0</v>
      </c>
      <c r="D34" s="198">
        <f>'power redistribution'!D71</f>
        <v>0</v>
      </c>
      <c r="E34" s="104">
        <f>'power redistribution'!E71</f>
        <v>0</v>
      </c>
      <c r="F34" s="972">
        <f>'power redistribution'!F71</f>
        <v>0</v>
      </c>
      <c r="G34" s="104">
        <f>'power redistribution'!G71</f>
        <v>0</v>
      </c>
      <c r="H34" s="104">
        <f>'power redistribution'!H71</f>
        <v>0</v>
      </c>
      <c r="I34" s="104">
        <f>'power redistribution'!I71</f>
        <v>0</v>
      </c>
      <c r="J34" s="104">
        <f>'power redistribution'!J71</f>
        <v>0</v>
      </c>
      <c r="K34" s="104">
        <f>'power redistribution'!K71</f>
        <v>0</v>
      </c>
      <c r="L34" s="104">
        <f>'power redistribution'!L71</f>
        <v>0</v>
      </c>
      <c r="M34" s="104">
        <f>'power redistribution'!M71</f>
        <v>0</v>
      </c>
      <c r="N34" s="159">
        <f>SUM(D34:M34)</f>
        <v>0</v>
      </c>
      <c r="O34" s="1"/>
      <c r="P34" s="1"/>
      <c r="Q34" s="1"/>
      <c r="R34" s="1"/>
      <c r="S34" s="1"/>
      <c r="T34" s="1"/>
      <c r="U34" s="1"/>
      <c r="V34" s="1"/>
      <c r="W34" s="11"/>
      <c r="X34" s="11"/>
    </row>
    <row r="35" spans="1:24" ht="13.5" customHeight="1" x14ac:dyDescent="0.2">
      <c r="A35" s="186" t="s">
        <v>1271</v>
      </c>
      <c r="B35" s="186"/>
      <c r="C35" s="168">
        <f>'wholesale services'!C120</f>
        <v>3798248</v>
      </c>
      <c r="D35" s="254">
        <f>-'wholesale services'!D120</f>
        <v>-3798248</v>
      </c>
      <c r="E35" s="254">
        <f>-'wholesale services'!E120</f>
        <v>-3798248</v>
      </c>
      <c r="F35" s="1013">
        <f>-'wholesale services'!F120</f>
        <v>-3798248</v>
      </c>
      <c r="G35" s="254">
        <f>-'wholesale services'!G120</f>
        <v>-3798248</v>
      </c>
      <c r="H35" s="254">
        <f>-'wholesale services'!H120</f>
        <v>-3798248</v>
      </c>
      <c r="I35" s="254">
        <f>-'wholesale services'!I120</f>
        <v>-3798248</v>
      </c>
      <c r="J35" s="254">
        <f>-'wholesale services'!J120</f>
        <v>-3798248</v>
      </c>
      <c r="K35" s="254">
        <f>-'wholesale services'!K120</f>
        <v>-3798248</v>
      </c>
      <c r="L35" s="254">
        <f>-'wholesale services'!L120</f>
        <v>-3798248</v>
      </c>
      <c r="M35" s="254">
        <f>-'wholesale services'!M120</f>
        <v>-3798248</v>
      </c>
      <c r="N35" s="168">
        <f>SUM(D35:M35)</f>
        <v>-37982480</v>
      </c>
      <c r="O35" s="1"/>
      <c r="P35" s="1"/>
      <c r="Q35" s="1"/>
      <c r="R35" s="1"/>
      <c r="S35" s="1"/>
      <c r="T35" s="1"/>
      <c r="U35" s="1"/>
      <c r="V35" s="1"/>
      <c r="W35" s="11"/>
      <c r="X35" s="11"/>
    </row>
    <row r="36" spans="1:24" ht="13.5" customHeight="1" x14ac:dyDescent="0.2">
      <c r="A36" s="276" t="s">
        <v>1272</v>
      </c>
      <c r="B36" s="186"/>
      <c r="C36" s="159">
        <f t="shared" ref="C36:N36" si="4">SUM(C33:C35)</f>
        <v>3798248</v>
      </c>
      <c r="D36" s="104">
        <f t="shared" si="4"/>
        <v>-32237288</v>
      </c>
      <c r="E36" s="104">
        <f t="shared" si="4"/>
        <v>-8538088</v>
      </c>
      <c r="F36" s="972">
        <f t="shared" si="4"/>
        <v>-3798248</v>
      </c>
      <c r="G36" s="104">
        <f t="shared" si="4"/>
        <v>-3798248</v>
      </c>
      <c r="H36" s="104">
        <f t="shared" si="4"/>
        <v>-3798248</v>
      </c>
      <c r="I36" s="104">
        <f t="shared" si="4"/>
        <v>-3798248</v>
      </c>
      <c r="J36" s="104">
        <f t="shared" si="4"/>
        <v>-3798248</v>
      </c>
      <c r="K36" s="104">
        <f t="shared" si="4"/>
        <v>-3798248</v>
      </c>
      <c r="L36" s="104">
        <f t="shared" si="4"/>
        <v>-3798248</v>
      </c>
      <c r="M36" s="104">
        <f t="shared" si="4"/>
        <v>-3798248</v>
      </c>
      <c r="N36" s="159">
        <f t="shared" si="4"/>
        <v>-71161360</v>
      </c>
      <c r="O36" s="1"/>
      <c r="P36" s="1"/>
      <c r="Q36" s="1"/>
      <c r="R36" s="1"/>
      <c r="S36" s="1"/>
      <c r="T36" s="1"/>
      <c r="U36" s="1"/>
      <c r="V36" s="1"/>
      <c r="W36" s="11"/>
      <c r="X36" s="11"/>
    </row>
    <row r="37" spans="1:24" ht="13.5" customHeight="1" x14ac:dyDescent="0.2">
      <c r="A37" s="186"/>
      <c r="B37" s="186"/>
      <c r="C37" s="159"/>
      <c r="D37" s="104"/>
      <c r="E37" s="104"/>
      <c r="F37" s="104"/>
      <c r="G37" s="104"/>
      <c r="H37" s="104"/>
      <c r="I37" s="104"/>
      <c r="J37" s="104"/>
      <c r="K37" s="104"/>
      <c r="L37" s="104"/>
      <c r="M37" s="104"/>
      <c r="N37" s="159"/>
      <c r="O37" s="1"/>
      <c r="P37" s="1"/>
      <c r="Q37" s="1"/>
      <c r="R37" s="1"/>
      <c r="S37" s="1"/>
      <c r="T37" s="1"/>
      <c r="U37" s="1"/>
      <c r="V37" s="1"/>
      <c r="W37" s="11"/>
      <c r="X37" s="11"/>
    </row>
    <row r="38" spans="1:24" ht="13.5" customHeight="1" x14ac:dyDescent="0.2">
      <c r="A38" s="287" t="s">
        <v>1273</v>
      </c>
      <c r="B38" s="186"/>
      <c r="C38" s="288" t="s">
        <v>1050</v>
      </c>
      <c r="D38" s="289">
        <f>D30+D36</f>
        <v>-30872567.756411657</v>
      </c>
      <c r="E38" s="289">
        <f t="shared" ref="E38:M38" si="5">E30+E36</f>
        <v>-125155.7995133996</v>
      </c>
      <c r="F38" s="978">
        <f>F30+F36</f>
        <v>9163852.6863188297</v>
      </c>
      <c r="G38" s="289">
        <f t="shared" si="5"/>
        <v>9675385.454256475</v>
      </c>
      <c r="H38" s="289">
        <f t="shared" si="5"/>
        <v>11386367.807593167</v>
      </c>
      <c r="I38" s="289">
        <f t="shared" si="5"/>
        <v>11714043.392177895</v>
      </c>
      <c r="J38" s="289">
        <f t="shared" si="5"/>
        <v>12047397.211887822</v>
      </c>
      <c r="K38" s="289">
        <f t="shared" si="5"/>
        <v>12384743.602308959</v>
      </c>
      <c r="L38" s="289">
        <f t="shared" si="5"/>
        <v>14697501.037495181</v>
      </c>
      <c r="M38" s="289">
        <f t="shared" si="5"/>
        <v>15044809.428541988</v>
      </c>
      <c r="N38" s="290">
        <f>N30-N36</f>
        <v>2706181037.1945019</v>
      </c>
      <c r="O38" s="1"/>
      <c r="P38" s="1"/>
      <c r="Q38" s="1"/>
      <c r="R38" s="1"/>
      <c r="S38" s="1"/>
      <c r="T38" s="1"/>
      <c r="U38" s="1"/>
      <c r="V38" s="1"/>
      <c r="W38" s="11"/>
      <c r="X38" s="11"/>
    </row>
    <row r="39" spans="1:24" ht="13.5" customHeight="1" x14ac:dyDescent="0.2">
      <c r="A39" s="186"/>
      <c r="B39" s="186"/>
      <c r="C39" s="159"/>
      <c r="D39" s="104"/>
      <c r="E39" s="104"/>
      <c r="F39" s="104"/>
      <c r="G39" s="104"/>
      <c r="H39" s="104"/>
      <c r="I39" s="104"/>
      <c r="J39" s="104"/>
      <c r="K39" s="104"/>
      <c r="L39" s="104"/>
      <c r="M39" s="104"/>
      <c r="N39" s="159"/>
      <c r="O39" s="1"/>
      <c r="P39" s="1"/>
      <c r="Q39" s="1"/>
      <c r="R39" s="1"/>
      <c r="S39" s="1"/>
      <c r="T39" s="1"/>
      <c r="U39" s="1"/>
      <c r="V39" s="1"/>
      <c r="W39" s="11"/>
      <c r="X39" s="11"/>
    </row>
    <row r="40" spans="1:24" ht="12.75" customHeight="1" x14ac:dyDescent="0.2">
      <c r="A40" s="286" t="s">
        <v>1129</v>
      </c>
      <c r="B40" s="186"/>
      <c r="C40" s="159"/>
      <c r="D40" s="104"/>
      <c r="E40" s="104"/>
      <c r="F40" s="104"/>
      <c r="G40" s="104"/>
      <c r="H40" s="104"/>
      <c r="I40" s="104"/>
      <c r="J40" s="104"/>
      <c r="K40" s="104"/>
      <c r="L40" s="104"/>
      <c r="M40" s="104"/>
      <c r="N40" s="159"/>
      <c r="O40" s="1"/>
      <c r="P40" s="1"/>
      <c r="Q40" s="1"/>
      <c r="R40" s="1"/>
      <c r="S40" s="1"/>
      <c r="T40" s="1"/>
      <c r="U40" s="1"/>
      <c r="V40" s="1"/>
      <c r="W40" s="11"/>
      <c r="X40" s="11"/>
    </row>
    <row r="41" spans="1:24" ht="12.75" customHeight="1" x14ac:dyDescent="0.2">
      <c r="A41" s="186" t="s">
        <v>1069</v>
      </c>
      <c r="B41" s="186"/>
      <c r="C41" s="159"/>
      <c r="D41" s="104">
        <f>'wholesale services'!D128</f>
        <v>-662655</v>
      </c>
      <c r="E41" s="104">
        <f>'wholesale services'!E128</f>
        <v>-662655</v>
      </c>
      <c r="F41" s="972">
        <f>'wholesale services'!F128</f>
        <v>-662655</v>
      </c>
      <c r="G41" s="104">
        <f>'wholesale services'!G128</f>
        <v>-662655</v>
      </c>
      <c r="H41" s="104">
        <f>'wholesale services'!H128</f>
        <v>-662655</v>
      </c>
      <c r="I41" s="104">
        <f>'wholesale services'!I128</f>
        <v>-662655</v>
      </c>
      <c r="J41" s="104">
        <f>'wholesale services'!J128</f>
        <v>-662655</v>
      </c>
      <c r="K41" s="104">
        <f>'wholesale services'!K128</f>
        <v>-662655</v>
      </c>
      <c r="L41" s="104">
        <f>'wholesale services'!L128</f>
        <v>-662655</v>
      </c>
      <c r="M41" s="104">
        <f>'wholesale services'!M128</f>
        <v>-662655</v>
      </c>
      <c r="N41" s="159">
        <f>SUM(D41:M41)</f>
        <v>-6626550</v>
      </c>
      <c r="O41" s="1"/>
      <c r="P41" s="1"/>
      <c r="Q41" s="1"/>
      <c r="R41" s="1"/>
      <c r="S41" s="1"/>
      <c r="T41" s="1"/>
      <c r="U41" s="1"/>
      <c r="V41" s="1"/>
      <c r="W41" s="11"/>
      <c r="X41" s="11"/>
    </row>
    <row r="42" spans="1:24" ht="14.25" customHeight="1" x14ac:dyDescent="0.2">
      <c r="A42" s="186" t="s">
        <v>1274</v>
      </c>
      <c r="B42" s="186"/>
      <c r="C42" s="168">
        <v>0</v>
      </c>
      <c r="D42" s="254">
        <f>'wholesale services'!D127</f>
        <v>0</v>
      </c>
      <c r="E42" s="254">
        <f>'wholesale services'!E127</f>
        <v>0</v>
      </c>
      <c r="F42" s="1049">
        <f>'wholesale services'!F127</f>
        <v>0</v>
      </c>
      <c r="G42" s="254">
        <f>'wholesale services'!G127</f>
        <v>0</v>
      </c>
      <c r="H42" s="254">
        <f>'wholesale services'!H127</f>
        <v>0</v>
      </c>
      <c r="I42" s="254">
        <f>'wholesale services'!I127</f>
        <v>0</v>
      </c>
      <c r="J42" s="254">
        <f>'wholesale services'!J127</f>
        <v>0</v>
      </c>
      <c r="K42" s="254">
        <f>'wholesale services'!K127</f>
        <v>0</v>
      </c>
      <c r="L42" s="254">
        <f>'wholesale services'!L127</f>
        <v>0</v>
      </c>
      <c r="M42" s="254">
        <f>'wholesale services'!M127</f>
        <v>0</v>
      </c>
      <c r="N42" s="168">
        <f>SUM(D42:M42)</f>
        <v>0</v>
      </c>
      <c r="O42" s="1"/>
      <c r="P42" s="1"/>
      <c r="Q42" s="1"/>
      <c r="R42" s="1"/>
      <c r="S42" s="1"/>
      <c r="T42" s="1"/>
      <c r="U42" s="1"/>
      <c r="V42" s="1"/>
      <c r="W42" s="11"/>
      <c r="X42" s="11"/>
    </row>
    <row r="43" spans="1:24" ht="14.25" customHeight="1" x14ac:dyDescent="0.2">
      <c r="A43" s="287" t="s">
        <v>1275</v>
      </c>
      <c r="B43" s="186"/>
      <c r="C43" s="104">
        <f t="shared" ref="C43:N43" si="6">SUM(C41:C42)</f>
        <v>0</v>
      </c>
      <c r="D43" s="104">
        <f t="shared" si="6"/>
        <v>-662655</v>
      </c>
      <c r="E43" s="104">
        <f t="shared" si="6"/>
        <v>-662655</v>
      </c>
      <c r="F43" s="972">
        <f t="shared" si="6"/>
        <v>-662655</v>
      </c>
      <c r="G43" s="104">
        <f t="shared" si="6"/>
        <v>-662655</v>
      </c>
      <c r="H43" s="104">
        <f t="shared" si="6"/>
        <v>-662655</v>
      </c>
      <c r="I43" s="104">
        <f t="shared" si="6"/>
        <v>-662655</v>
      </c>
      <c r="J43" s="104">
        <f t="shared" si="6"/>
        <v>-662655</v>
      </c>
      <c r="K43" s="104">
        <f t="shared" si="6"/>
        <v>-662655</v>
      </c>
      <c r="L43" s="104">
        <f t="shared" si="6"/>
        <v>-662655</v>
      </c>
      <c r="M43" s="104">
        <f t="shared" si="6"/>
        <v>-662655</v>
      </c>
      <c r="N43" s="159">
        <f t="shared" si="6"/>
        <v>-6626550</v>
      </c>
      <c r="O43" s="1"/>
      <c r="P43" s="1"/>
      <c r="Q43" s="1"/>
      <c r="R43" s="1"/>
      <c r="S43" s="1"/>
      <c r="T43" s="1"/>
      <c r="U43" s="1"/>
      <c r="V43" s="1"/>
      <c r="W43" s="11"/>
      <c r="X43" s="11"/>
    </row>
    <row r="44" spans="1:24" ht="14.25" customHeight="1" x14ac:dyDescent="0.2">
      <c r="A44" s="186"/>
      <c r="B44" s="186"/>
      <c r="D44" s="104"/>
      <c r="E44" s="104"/>
      <c r="F44" s="104"/>
      <c r="G44" s="104"/>
      <c r="H44" s="104"/>
      <c r="I44" s="104"/>
      <c r="J44" s="104"/>
      <c r="K44" s="104"/>
      <c r="L44" s="104"/>
      <c r="M44" s="104"/>
      <c r="N44" s="159"/>
      <c r="O44" s="1"/>
      <c r="P44" s="1"/>
      <c r="Q44" s="1"/>
      <c r="R44" s="1"/>
      <c r="S44" s="1"/>
      <c r="T44" s="1"/>
      <c r="U44" s="1"/>
      <c r="V44" s="1"/>
      <c r="W44" s="11"/>
      <c r="X44" s="11"/>
    </row>
    <row r="45" spans="1:24" ht="14.25" customHeight="1" x14ac:dyDescent="0.2">
      <c r="A45" s="255" t="s">
        <v>1276</v>
      </c>
      <c r="B45" s="256"/>
      <c r="C45" s="291" t="s">
        <v>1050</v>
      </c>
      <c r="D45" s="292">
        <f>D38+D43</f>
        <v>-31535222.756411657</v>
      </c>
      <c r="E45" s="292">
        <f t="shared" ref="E45:M45" si="7">E38+E43</f>
        <v>-787810.7995133996</v>
      </c>
      <c r="F45" s="971">
        <f>F38+F43</f>
        <v>8501197.6863188297</v>
      </c>
      <c r="G45" s="292">
        <f t="shared" si="7"/>
        <v>9012730.454256475</v>
      </c>
      <c r="H45" s="292">
        <f t="shared" si="7"/>
        <v>10723712.807593167</v>
      </c>
      <c r="I45" s="292">
        <f t="shared" si="7"/>
        <v>11051388.392177895</v>
      </c>
      <c r="J45" s="292">
        <f t="shared" si="7"/>
        <v>11384742.211887822</v>
      </c>
      <c r="K45" s="292">
        <f t="shared" si="7"/>
        <v>11722088.602308959</v>
      </c>
      <c r="L45" s="292">
        <f t="shared" si="7"/>
        <v>14034846.037495181</v>
      </c>
      <c r="M45" s="292">
        <f t="shared" si="7"/>
        <v>14382154.428541988</v>
      </c>
      <c r="N45" s="293">
        <f>N38-N43</f>
        <v>2712807587.1945019</v>
      </c>
      <c r="O45" s="1"/>
      <c r="P45" s="1"/>
      <c r="Q45" s="1"/>
      <c r="R45" s="1"/>
      <c r="S45" s="1"/>
      <c r="T45" s="1"/>
      <c r="U45" s="1"/>
      <c r="V45" s="1"/>
      <c r="W45" s="11"/>
      <c r="X45" s="11"/>
    </row>
    <row r="46" spans="1:24" ht="14.25" customHeight="1" thickBot="1" x14ac:dyDescent="0.25">
      <c r="A46" s="186" t="s">
        <v>1411</v>
      </c>
      <c r="B46" s="186"/>
      <c r="C46" s="104"/>
      <c r="D46" s="289" t="s">
        <v>1411</v>
      </c>
      <c r="E46" s="104"/>
      <c r="F46" s="104"/>
      <c r="G46" s="104"/>
      <c r="H46" s="104"/>
      <c r="I46" s="104"/>
      <c r="J46" s="104"/>
      <c r="K46" s="104"/>
      <c r="L46" s="104"/>
      <c r="M46" s="104"/>
      <c r="N46" s="266"/>
      <c r="O46" s="294"/>
      <c r="P46" s="294"/>
      <c r="Q46" s="1"/>
      <c r="R46" s="1"/>
      <c r="S46" s="1"/>
      <c r="T46" s="1"/>
      <c r="U46" s="1"/>
      <c r="V46" s="1"/>
      <c r="W46" s="11"/>
      <c r="X46" s="11"/>
    </row>
    <row r="47" spans="1:24" ht="14.25" customHeight="1" x14ac:dyDescent="0.2">
      <c r="A47" s="295"/>
      <c r="B47" s="264"/>
      <c r="C47" s="296"/>
      <c r="D47" s="104"/>
      <c r="E47" s="104"/>
      <c r="F47" s="104"/>
      <c r="G47" s="104"/>
      <c r="H47" s="104"/>
      <c r="I47" s="104"/>
      <c r="J47" s="104"/>
      <c r="K47" s="104"/>
      <c r="L47" s="104"/>
      <c r="M47" s="104"/>
      <c r="N47" s="266"/>
      <c r="O47" s="294"/>
      <c r="P47" s="294"/>
      <c r="Q47" s="1"/>
      <c r="R47" s="1"/>
      <c r="S47" s="1"/>
      <c r="T47" s="1"/>
      <c r="U47" s="1"/>
      <c r="V47" s="1"/>
      <c r="W47" s="11"/>
      <c r="X47" s="11"/>
    </row>
    <row r="48" spans="1:24" ht="14.25" customHeight="1" x14ac:dyDescent="0.2">
      <c r="A48" s="297" t="s">
        <v>1277</v>
      </c>
      <c r="B48" s="298">
        <f>'general info'!B45</f>
        <v>0.13500000000000001</v>
      </c>
      <c r="C48" s="299"/>
      <c r="D48" s="104"/>
      <c r="E48" s="104"/>
      <c r="F48" s="104"/>
      <c r="G48" s="104"/>
      <c r="H48" s="104"/>
      <c r="I48" s="104"/>
      <c r="J48" s="104"/>
      <c r="K48" s="104"/>
      <c r="L48" s="104"/>
      <c r="M48" s="104"/>
      <c r="N48" s="266"/>
      <c r="O48" s="294"/>
      <c r="P48" s="294"/>
      <c r="Q48" s="1"/>
      <c r="R48" s="1"/>
      <c r="S48" s="1"/>
      <c r="T48" s="1"/>
      <c r="U48" s="1"/>
      <c r="V48" s="1"/>
      <c r="W48" s="11"/>
      <c r="X48" s="11"/>
    </row>
    <row r="49" spans="1:24" ht="14.25" customHeight="1" x14ac:dyDescent="0.2">
      <c r="A49" s="297" t="s">
        <v>1278</v>
      </c>
      <c r="B49" s="300">
        <f>NPV($B$48,D45:M45)</f>
        <v>11204113.351794904</v>
      </c>
      <c r="C49" s="299"/>
      <c r="D49" s="104"/>
      <c r="E49" s="104"/>
      <c r="F49" s="104"/>
      <c r="G49" s="104"/>
      <c r="H49" s="104"/>
      <c r="I49" s="104"/>
      <c r="J49" s="104"/>
      <c r="K49" s="104"/>
      <c r="L49" s="104"/>
      <c r="M49" s="104"/>
      <c r="N49" s="266"/>
      <c r="O49" s="294"/>
      <c r="P49" s="294"/>
      <c r="Q49" s="1"/>
      <c r="R49" s="1"/>
      <c r="S49" s="1"/>
      <c r="T49" s="1"/>
      <c r="U49" s="1"/>
      <c r="V49" s="1"/>
      <c r="W49" s="11"/>
      <c r="X49" s="11"/>
    </row>
    <row r="50" spans="1:24" ht="14.25" customHeight="1" thickBot="1" x14ac:dyDescent="0.25">
      <c r="A50" s="301" t="s">
        <v>1281</v>
      </c>
      <c r="B50" s="514">
        <f>IRR(D45:M45)</f>
        <v>0.21250866605603352</v>
      </c>
      <c r="C50" s="302"/>
      <c r="D50" s="104"/>
      <c r="E50" s="104"/>
      <c r="F50" s="104"/>
      <c r="G50" s="104"/>
      <c r="H50" s="104"/>
      <c r="I50" s="104"/>
      <c r="J50" s="104"/>
      <c r="K50" s="104"/>
      <c r="L50" s="104"/>
      <c r="M50" s="104"/>
      <c r="N50" s="266"/>
      <c r="O50" s="294"/>
      <c r="P50" s="294"/>
      <c r="Q50" s="1"/>
      <c r="R50" s="1"/>
      <c r="S50" s="1"/>
      <c r="T50" s="1"/>
      <c r="U50" s="1"/>
      <c r="V50" s="1"/>
      <c r="W50" s="11"/>
      <c r="X50" s="11"/>
    </row>
    <row r="51" spans="1:24" ht="14.25" customHeight="1" x14ac:dyDescent="0.2">
      <c r="A51" s="266"/>
      <c r="B51" s="266"/>
      <c r="C51" s="104"/>
      <c r="D51" s="104"/>
      <c r="E51" s="104"/>
      <c r="F51" s="104"/>
      <c r="G51" s="104"/>
      <c r="H51" s="104"/>
      <c r="I51" s="104"/>
      <c r="J51" s="104"/>
      <c r="K51" s="104"/>
      <c r="L51" s="104"/>
      <c r="M51" s="104"/>
      <c r="N51" s="266"/>
      <c r="O51" s="294"/>
      <c r="P51" s="294"/>
      <c r="Q51" s="1"/>
      <c r="R51" s="1"/>
      <c r="S51" s="1"/>
      <c r="T51" s="1"/>
      <c r="U51" s="1"/>
      <c r="V51" s="1"/>
      <c r="W51" s="11"/>
      <c r="X51" s="11"/>
    </row>
    <row r="52" spans="1:24" s="685" customFormat="1" ht="14.25" customHeight="1" x14ac:dyDescent="0.2">
      <c r="A52" s="684" t="s">
        <v>987</v>
      </c>
      <c r="B52" s="470">
        <f>NPV('general info'!B45,D52:M52)</f>
        <v>14523930.063373016</v>
      </c>
      <c r="D52" s="470">
        <f>D45-D33+'wholesale services'!D105</f>
        <v>-3096182.7564116567</v>
      </c>
      <c r="E52" s="470">
        <f>E45-E33+'wholesale services'!E105</f>
        <v>-963162.46202623192</v>
      </c>
      <c r="F52" s="972">
        <f>F45-F33+'wholesale services'!F105</f>
        <v>2602967.6913034311</v>
      </c>
      <c r="G52" s="470">
        <f>G45-G33+'wholesale services'!G105</f>
        <v>3114500.4592410764</v>
      </c>
      <c r="H52" s="470">
        <f>H45-H33+'wholesale services'!H105</f>
        <v>4825482.8125777682</v>
      </c>
      <c r="I52" s="470">
        <f>I45-I33+'wholesale services'!I105</f>
        <v>5153158.3971624961</v>
      </c>
      <c r="J52" s="470">
        <f>J45-J33+'wholesale services'!J105</f>
        <v>5486512.216872423</v>
      </c>
      <c r="K52" s="470">
        <f>K45-K33+'wholesale services'!K105</f>
        <v>5823858.6072935602</v>
      </c>
      <c r="L52" s="470">
        <f>L45-L33+'wholesale services'!L105</f>
        <v>8136616.0424797824</v>
      </c>
      <c r="M52" s="470">
        <f>M45-M33+'wholesale services'!M105</f>
        <v>8483924.4335265905</v>
      </c>
      <c r="N52" s="684"/>
      <c r="O52" s="686"/>
      <c r="P52" s="686"/>
      <c r="Q52" s="687"/>
      <c r="R52" s="687"/>
      <c r="S52" s="687"/>
      <c r="T52" s="687"/>
      <c r="U52" s="687"/>
      <c r="V52" s="687"/>
    </row>
    <row r="53" spans="1:24" ht="14.25" customHeight="1" x14ac:dyDescent="0.2">
      <c r="A53" s="266"/>
      <c r="B53" s="266"/>
      <c r="C53" s="104"/>
      <c r="D53" s="104"/>
      <c r="E53" s="104"/>
      <c r="F53" s="104"/>
      <c r="G53" s="104"/>
      <c r="H53" s="104"/>
      <c r="I53" s="104"/>
      <c r="J53" s="104"/>
      <c r="K53" s="104"/>
      <c r="L53" s="104"/>
      <c r="M53" s="104"/>
      <c r="N53" s="266"/>
      <c r="O53" s="294"/>
      <c r="P53" s="294"/>
      <c r="Q53" s="1"/>
      <c r="R53" s="1"/>
      <c r="S53" s="1"/>
      <c r="T53" s="1"/>
      <c r="U53" s="1"/>
      <c r="V53" s="1"/>
      <c r="W53" s="11"/>
      <c r="X53" s="11"/>
    </row>
    <row r="54" spans="1:24" ht="14.25" customHeight="1" x14ac:dyDescent="0.2">
      <c r="A54" s="468"/>
      <c r="B54" s="468"/>
      <c r="C54" s="469"/>
      <c r="D54" s="470"/>
      <c r="E54" s="104"/>
      <c r="F54" s="104"/>
      <c r="G54" s="104"/>
      <c r="H54" s="104"/>
      <c r="I54" s="104"/>
      <c r="J54" s="104"/>
      <c r="K54" s="104"/>
      <c r="L54" s="104"/>
      <c r="M54" s="104"/>
      <c r="N54" s="266"/>
      <c r="O54" s="294"/>
      <c r="P54" s="294"/>
      <c r="Q54" s="1"/>
      <c r="R54" s="1"/>
      <c r="S54" s="1"/>
      <c r="T54" s="1"/>
      <c r="U54" s="1"/>
      <c r="V54" s="1"/>
      <c r="W54" s="11"/>
      <c r="X54" s="11"/>
    </row>
    <row r="55" spans="1:24" ht="14.25" customHeight="1" x14ac:dyDescent="0.2">
      <c r="A55" s="475" t="s">
        <v>350</v>
      </c>
      <c r="B55" s="456"/>
      <c r="C55" s="456"/>
      <c r="D55" s="470"/>
      <c r="E55" s="104"/>
      <c r="F55" s="104"/>
      <c r="G55" s="104"/>
      <c r="H55" s="104"/>
      <c r="I55" s="104"/>
      <c r="J55" s="104"/>
      <c r="K55" s="104"/>
      <c r="L55" s="104"/>
      <c r="M55" s="104"/>
      <c r="N55" s="266"/>
      <c r="O55" s="294"/>
      <c r="P55" s="294"/>
      <c r="Q55" s="1"/>
      <c r="R55" s="1"/>
      <c r="S55" s="1"/>
      <c r="T55" s="1"/>
      <c r="U55" s="1"/>
      <c r="V55" s="1"/>
      <c r="W55" s="11"/>
      <c r="X55" s="11"/>
    </row>
    <row r="56" spans="1:24" ht="14.25" customHeight="1" x14ac:dyDescent="0.2">
      <c r="A56" s="468"/>
      <c r="B56" s="471"/>
      <c r="C56" s="469"/>
      <c r="D56" s="470"/>
      <c r="E56" s="104"/>
      <c r="F56" s="104"/>
      <c r="G56" s="104"/>
      <c r="H56" s="104"/>
      <c r="I56" s="104"/>
      <c r="J56" s="104"/>
      <c r="K56" s="104"/>
      <c r="L56" s="104"/>
      <c r="M56" s="104"/>
      <c r="N56" s="266"/>
      <c r="O56" s="294"/>
      <c r="P56" s="294"/>
      <c r="Q56" s="1"/>
      <c r="R56" s="1"/>
      <c r="S56" s="1"/>
      <c r="T56" s="1"/>
      <c r="U56" s="1"/>
      <c r="V56" s="1"/>
      <c r="W56" s="11"/>
      <c r="X56" s="11"/>
    </row>
    <row r="57" spans="1:24" x14ac:dyDescent="0.2">
      <c r="A57" s="468" t="s">
        <v>764</v>
      </c>
      <c r="B57" s="471">
        <f>'wholesale services'!C143</f>
        <v>5096302.9619304715</v>
      </c>
      <c r="C57" s="474"/>
      <c r="D57" s="472"/>
      <c r="N57" s="11"/>
      <c r="O57" s="11"/>
      <c r="P57" s="11"/>
      <c r="Q57" s="11"/>
      <c r="R57" s="11"/>
      <c r="S57" s="11"/>
      <c r="T57" s="11"/>
      <c r="U57" s="11"/>
      <c r="V57" s="11"/>
      <c r="W57" s="11"/>
      <c r="X57" s="11"/>
    </row>
    <row r="58" spans="1:24" x14ac:dyDescent="0.2">
      <c r="A58" s="468" t="s">
        <v>1370</v>
      </c>
      <c r="B58" s="471">
        <f>'power redistribution'!C78</f>
        <v>10256443.044769729</v>
      </c>
      <c r="C58" s="473"/>
      <c r="D58" s="472"/>
      <c r="N58" s="11"/>
      <c r="O58" s="11"/>
      <c r="P58" s="11"/>
      <c r="Q58" s="11"/>
      <c r="R58" s="11"/>
      <c r="S58" s="11"/>
      <c r="T58" s="11"/>
      <c r="U58" s="11"/>
      <c r="V58" s="11"/>
      <c r="W58" s="11"/>
      <c r="X58" s="11"/>
    </row>
    <row r="59" spans="1:24" x14ac:dyDescent="0.2">
      <c r="A59" s="468" t="s">
        <v>1094</v>
      </c>
      <c r="B59" s="471">
        <f>IF(B2="y",'FM Summary'!B102,0)</f>
        <v>0</v>
      </c>
      <c r="C59" s="473"/>
      <c r="D59" s="472"/>
      <c r="N59" s="11"/>
      <c r="O59" s="11"/>
      <c r="P59" s="11"/>
      <c r="Q59" s="11"/>
      <c r="R59" s="11"/>
      <c r="S59" s="11"/>
      <c r="T59" s="11"/>
      <c r="U59" s="11"/>
      <c r="V59" s="11"/>
      <c r="W59" s="11"/>
      <c r="X59" s="11"/>
    </row>
    <row r="60" spans="1:24" x14ac:dyDescent="0.2">
      <c r="A60" s="468" t="s">
        <v>1109</v>
      </c>
      <c r="B60" s="923">
        <f>'account mgt'!C25</f>
        <v>-3390987.2362686545</v>
      </c>
      <c r="C60" s="473"/>
      <c r="D60" s="472"/>
      <c r="N60" s="11"/>
      <c r="O60" s="11"/>
      <c r="P60" s="11"/>
      <c r="Q60" s="11"/>
      <c r="R60" s="11"/>
      <c r="S60" s="11"/>
      <c r="T60" s="11"/>
      <c r="U60" s="11"/>
      <c r="V60" s="11"/>
      <c r="W60" s="11"/>
      <c r="X60" s="11"/>
    </row>
    <row r="61" spans="1:24" x14ac:dyDescent="0.2">
      <c r="A61" s="468" t="s">
        <v>871</v>
      </c>
      <c r="B61" s="923">
        <f>SUM(B57:B60)</f>
        <v>11961758.770431545</v>
      </c>
      <c r="C61" s="473"/>
      <c r="D61" s="472"/>
      <c r="N61" s="11"/>
      <c r="O61" s="11"/>
      <c r="P61" s="11"/>
      <c r="Q61" s="11"/>
      <c r="R61" s="11"/>
      <c r="S61" s="11"/>
      <c r="T61" s="11"/>
      <c r="U61" s="11"/>
      <c r="V61" s="11"/>
      <c r="W61" s="11"/>
      <c r="X61" s="11"/>
    </row>
    <row r="62" spans="1:24" x14ac:dyDescent="0.2">
      <c r="A62" s="468" t="s">
        <v>1132</v>
      </c>
      <c r="B62" s="923"/>
      <c r="C62" s="473"/>
      <c r="D62" s="472"/>
      <c r="N62" s="11"/>
      <c r="O62" s="11"/>
      <c r="P62" s="11"/>
      <c r="Q62" s="11"/>
      <c r="R62" s="11"/>
      <c r="S62" s="11"/>
      <c r="T62" s="11"/>
      <c r="U62" s="11"/>
      <c r="V62" s="11"/>
      <c r="W62" s="11"/>
      <c r="X62" s="11"/>
    </row>
    <row r="63" spans="1:24" x14ac:dyDescent="0.2">
      <c r="A63" s="468" t="s">
        <v>1241</v>
      </c>
      <c r="B63" s="923">
        <f>-'RMPM-Whole'!CN11</f>
        <v>-2150000</v>
      </c>
      <c r="C63" s="473"/>
      <c r="D63" s="472"/>
      <c r="N63" s="11"/>
      <c r="O63" s="11"/>
      <c r="P63" s="11"/>
      <c r="Q63" s="11"/>
      <c r="R63" s="11"/>
      <c r="S63" s="11"/>
      <c r="T63" s="11"/>
      <c r="U63" s="11"/>
      <c r="V63" s="11"/>
      <c r="W63" s="11"/>
      <c r="X63" s="11"/>
    </row>
    <row r="64" spans="1:24" x14ac:dyDescent="0.2">
      <c r="A64" s="468" t="s">
        <v>1242</v>
      </c>
      <c r="B64" s="923">
        <f>-'RMPM-Redis'!AD10</f>
        <v>-1275000</v>
      </c>
      <c r="C64" s="473"/>
      <c r="D64" s="472"/>
      <c r="N64" s="11"/>
      <c r="O64" s="11"/>
      <c r="P64" s="11"/>
      <c r="Q64" s="11"/>
      <c r="R64" s="11"/>
      <c r="S64" s="11"/>
      <c r="T64" s="11"/>
      <c r="U64" s="11"/>
      <c r="V64" s="11"/>
      <c r="W64" s="11"/>
      <c r="X64" s="11"/>
    </row>
    <row r="65" spans="1:124" x14ac:dyDescent="0.2">
      <c r="A65" s="468" t="s">
        <v>1243</v>
      </c>
      <c r="B65" s="923">
        <f>IF(B2="y",-'RMPM-FM'!S10,0)</f>
        <v>0</v>
      </c>
      <c r="C65" s="473"/>
      <c r="D65" s="472"/>
      <c r="N65" s="11"/>
      <c r="O65" s="11"/>
      <c r="P65" s="11"/>
      <c r="Q65" s="11"/>
      <c r="R65" s="11"/>
      <c r="S65" s="11"/>
      <c r="T65" s="11"/>
      <c r="U65" s="11"/>
      <c r="V65" s="11"/>
      <c r="W65" s="11"/>
      <c r="X65" s="11"/>
    </row>
    <row r="66" spans="1:124" x14ac:dyDescent="0.2">
      <c r="A66" s="468" t="s">
        <v>682</v>
      </c>
      <c r="B66" s="471">
        <f>B61+SUM(B63:B65)</f>
        <v>8536758.7704315446</v>
      </c>
      <c r="C66" s="473"/>
      <c r="D66" s="472"/>
      <c r="N66" s="11"/>
      <c r="O66" s="11"/>
      <c r="P66" s="11"/>
      <c r="Q66" s="11"/>
      <c r="R66" s="11"/>
      <c r="S66" s="11"/>
      <c r="T66" s="11"/>
      <c r="U66" s="11"/>
      <c r="V66" s="11"/>
      <c r="W66" s="11"/>
      <c r="X66" s="11"/>
    </row>
    <row r="67" spans="1:124" x14ac:dyDescent="0.2">
      <c r="A67" s="468"/>
      <c r="B67" s="471"/>
      <c r="C67" s="473"/>
      <c r="D67" s="472"/>
      <c r="N67" s="11"/>
      <c r="O67" s="11"/>
      <c r="P67" s="11"/>
      <c r="Q67" s="11"/>
      <c r="R67" s="11"/>
      <c r="S67" s="11"/>
      <c r="T67" s="11"/>
      <c r="U67" s="11"/>
      <c r="V67" s="11"/>
      <c r="W67" s="11"/>
      <c r="X67" s="11"/>
    </row>
    <row r="68" spans="1:124" x14ac:dyDescent="0.2">
      <c r="A68" s="468"/>
      <c r="B68" s="468"/>
      <c r="C68" s="473"/>
      <c r="D68" s="472"/>
      <c r="DT68" s="11">
        <v>0</v>
      </c>
    </row>
    <row r="69" spans="1:124" x14ac:dyDescent="0.2">
      <c r="DT69" s="11">
        <v>0</v>
      </c>
    </row>
    <row r="70" spans="1:124" x14ac:dyDescent="0.2">
      <c r="DT70" s="11">
        <v>0</v>
      </c>
    </row>
    <row r="71" spans="1:124" x14ac:dyDescent="0.2">
      <c r="DT71" s="11">
        <v>0</v>
      </c>
    </row>
    <row r="72" spans="1:124" x14ac:dyDescent="0.2">
      <c r="DT72" s="11">
        <v>0</v>
      </c>
    </row>
    <row r="73" spans="1:124" x14ac:dyDescent="0.2">
      <c r="DT73" s="11">
        <v>0</v>
      </c>
    </row>
    <row r="74" spans="1:124" x14ac:dyDescent="0.2">
      <c r="DT74" s="11">
        <v>0</v>
      </c>
    </row>
    <row r="75" spans="1:124" x14ac:dyDescent="0.2">
      <c r="DT75" s="11">
        <v>0</v>
      </c>
    </row>
    <row r="76" spans="1:124" x14ac:dyDescent="0.2">
      <c r="DT76" s="11">
        <v>0</v>
      </c>
    </row>
    <row r="77" spans="1:124" x14ac:dyDescent="0.2">
      <c r="DT77" s="11">
        <v>0</v>
      </c>
    </row>
    <row r="78" spans="1:124" x14ac:dyDescent="0.2">
      <c r="DT78" s="11">
        <v>0</v>
      </c>
    </row>
    <row r="79" spans="1:124" x14ac:dyDescent="0.2">
      <c r="DT79" s="11">
        <v>0</v>
      </c>
    </row>
    <row r="80" spans="1:124" x14ac:dyDescent="0.2">
      <c r="DT80" s="11">
        <v>0</v>
      </c>
    </row>
    <row r="81" spans="124:124" x14ac:dyDescent="0.2">
      <c r="DT81" s="11">
        <v>0</v>
      </c>
    </row>
    <row r="82" spans="124:124" x14ac:dyDescent="0.2">
      <c r="DT82" s="11">
        <v>0</v>
      </c>
    </row>
    <row r="83" spans="124:124" x14ac:dyDescent="0.2">
      <c r="DT83" s="11">
        <v>0</v>
      </c>
    </row>
    <row r="84" spans="124:124" x14ac:dyDescent="0.2">
      <c r="DT84" s="11">
        <v>0</v>
      </c>
    </row>
    <row r="85" spans="124:124" x14ac:dyDescent="0.2">
      <c r="DT85" s="11">
        <v>0</v>
      </c>
    </row>
    <row r="86" spans="124:124" x14ac:dyDescent="0.2">
      <c r="DT86" s="11">
        <v>0</v>
      </c>
    </row>
  </sheetData>
  <pageMargins left="0.18" right="0.17" top="0.17" bottom="0.17" header="0.19" footer="0.23"/>
  <pageSetup paperSize="5" scale="85" orientation="landscape" r:id="rId1"/>
  <headerFooter alignWithMargins="0">
    <oddFooter>&amp;L&amp;A&amp;C&amp;D &amp;T</oddFooter>
  </headerFooter>
  <rowBreaks count="1" manualBreakCount="1">
    <brk id="53" max="12"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pageSetUpPr fitToPage="1"/>
  </sheetPr>
  <dimension ref="A2:AZ84"/>
  <sheetViews>
    <sheetView topLeftCell="A2" workbookViewId="0">
      <selection activeCell="N19" sqref="N19"/>
    </sheetView>
  </sheetViews>
  <sheetFormatPr defaultColWidth="8" defaultRowHeight="12.75" x14ac:dyDescent="0.2"/>
  <cols>
    <col min="1" max="1" width="48.7109375" style="11" customWidth="1"/>
    <col min="2" max="2" width="14" style="11" customWidth="1"/>
    <col min="3" max="3" width="12.5703125" style="11" bestFit="1" customWidth="1"/>
    <col min="4" max="11" width="12" style="11" bestFit="1" customWidth="1"/>
    <col min="12" max="12" width="12.140625" style="11" bestFit="1" customWidth="1"/>
    <col min="13" max="13" width="11.85546875" style="11" customWidth="1"/>
    <col min="14" max="14" width="14.42578125" style="11" customWidth="1"/>
    <col min="15" max="16384" width="8" style="11"/>
  </cols>
  <sheetData>
    <row r="2" spans="1:14" ht="18.75" x14ac:dyDescent="0.3">
      <c r="A2" s="187" t="s">
        <v>1302</v>
      </c>
    </row>
    <row r="4" spans="1:14" ht="15.75" x14ac:dyDescent="0.25">
      <c r="A4" s="249" t="str">
        <f>IF('general info'!B46="y","Wholly-Owned Only","All Facilities")</f>
        <v>Wholly-Owned Only</v>
      </c>
    </row>
    <row r="5" spans="1:14" ht="13.5" thickBot="1" x14ac:dyDescent="0.25"/>
    <row r="6" spans="1:14" x14ac:dyDescent="0.2">
      <c r="A6" s="263"/>
      <c r="B6" s="74"/>
      <c r="C6" s="74"/>
      <c r="D6" s="74"/>
      <c r="E6" s="74"/>
      <c r="F6" s="74"/>
      <c r="G6" s="74"/>
      <c r="H6" s="74"/>
      <c r="I6" s="74"/>
      <c r="J6" s="74"/>
      <c r="K6" s="74"/>
      <c r="L6" s="265"/>
    </row>
    <row r="7" spans="1:14" x14ac:dyDescent="0.2">
      <c r="A7" s="101"/>
      <c r="B7" s="102"/>
      <c r="C7" s="166">
        <v>1</v>
      </c>
      <c r="D7" s="166">
        <v>2</v>
      </c>
      <c r="E7" s="166">
        <v>3</v>
      </c>
      <c r="F7" s="166">
        <v>4</v>
      </c>
      <c r="G7" s="166">
        <v>5</v>
      </c>
      <c r="H7" s="166">
        <v>6</v>
      </c>
      <c r="I7" s="166">
        <v>7</v>
      </c>
      <c r="J7" s="166">
        <v>8</v>
      </c>
      <c r="K7" s="166">
        <v>9</v>
      </c>
      <c r="L7" s="309">
        <v>10</v>
      </c>
      <c r="M7" s="221" t="s">
        <v>682</v>
      </c>
      <c r="N7" s="221" t="s">
        <v>1303</v>
      </c>
    </row>
    <row r="8" spans="1:14" x14ac:dyDescent="0.2">
      <c r="A8" s="310" t="s">
        <v>1304</v>
      </c>
      <c r="B8" s="102"/>
      <c r="C8" s="102"/>
      <c r="D8" s="102"/>
      <c r="E8" s="102"/>
      <c r="F8" s="102"/>
      <c r="G8" s="102"/>
      <c r="H8" s="102"/>
      <c r="I8" s="102"/>
      <c r="J8" s="102"/>
      <c r="K8" s="102"/>
      <c r="L8" s="106"/>
    </row>
    <row r="9" spans="1:14" x14ac:dyDescent="0.2">
      <c r="A9" s="297" t="s">
        <v>1305</v>
      </c>
      <c r="B9" s="102"/>
      <c r="C9" s="104">
        <f>'power redistribution'!D65</f>
        <v>0</v>
      </c>
      <c r="D9" s="104">
        <f>'power redistribution'!E65</f>
        <v>0</v>
      </c>
      <c r="E9" s="104">
        <f>'power redistribution'!F65</f>
        <v>0</v>
      </c>
      <c r="F9" s="104">
        <f>'power redistribution'!G65</f>
        <v>0</v>
      </c>
      <c r="G9" s="104">
        <f>'power redistribution'!H65</f>
        <v>0</v>
      </c>
      <c r="H9" s="104">
        <f>'power redistribution'!I65</f>
        <v>0</v>
      </c>
      <c r="I9" s="104">
        <f>'power redistribution'!J65</f>
        <v>0</v>
      </c>
      <c r="J9" s="104">
        <f>'power redistribution'!K65</f>
        <v>0</v>
      </c>
      <c r="K9" s="104">
        <f>'power redistribution'!L65</f>
        <v>0</v>
      </c>
      <c r="L9" s="299">
        <f>'power redistribution'!M65</f>
        <v>0</v>
      </c>
      <c r="M9" s="238">
        <f>SUM(C9:L9)</f>
        <v>0</v>
      </c>
      <c r="N9" s="243">
        <f>NPV($D$30,C9:L9)</f>
        <v>0</v>
      </c>
    </row>
    <row r="10" spans="1:14" x14ac:dyDescent="0.2">
      <c r="A10" s="101" t="s">
        <v>1306</v>
      </c>
      <c r="B10" s="102"/>
      <c r="C10" s="104">
        <f>'wholesale services'!D109</f>
        <v>3246342.8050974798</v>
      </c>
      <c r="D10" s="104">
        <f>'wholesale services'!E109</f>
        <v>3280437.3528492888</v>
      </c>
      <c r="E10" s="104">
        <f>'wholesale services'!F109</f>
        <v>3314276.3089988818</v>
      </c>
      <c r="F10" s="104">
        <f>'wholesale services'!G109</f>
        <v>3348504.413144195</v>
      </c>
      <c r="G10" s="104">
        <f>'wholesale services'!H109</f>
        <v>3383126.1404871792</v>
      </c>
      <c r="H10" s="104">
        <f>'wholesale services'!I109</f>
        <v>3418146.0176946083</v>
      </c>
      <c r="I10" s="104">
        <f>'wholesale services'!J109</f>
        <v>3453568.6234899219</v>
      </c>
      <c r="J10" s="104">
        <f>'wholesale services'!K109</f>
        <v>3489398.5892518824</v>
      </c>
      <c r="K10" s="104">
        <f>'wholesale services'!L109</f>
        <v>3525640.5996201048</v>
      </c>
      <c r="L10" s="299">
        <f>'wholesale services'!M109</f>
        <v>3562299.3931075619</v>
      </c>
      <c r="M10" s="238">
        <f>SUM(C10:L10)</f>
        <v>34021740.24374111</v>
      </c>
      <c r="N10" s="243">
        <f>NPV($D$30,C10:L10)</f>
        <v>24917054.117932159</v>
      </c>
    </row>
    <row r="11" spans="1:14" x14ac:dyDescent="0.2">
      <c r="A11" s="101" t="s">
        <v>1307</v>
      </c>
      <c r="B11" s="102"/>
      <c r="C11" s="104">
        <f>-'FM Summary'!B97</f>
        <v>4000000</v>
      </c>
      <c r="D11" s="104"/>
      <c r="E11" s="104"/>
      <c r="F11" s="104"/>
      <c r="G11" s="104"/>
      <c r="H11" s="104"/>
      <c r="I11" s="104"/>
      <c r="J11" s="104"/>
      <c r="K11" s="104"/>
      <c r="L11" s="299"/>
      <c r="M11" s="238">
        <f>SUM(C11:L11)</f>
        <v>4000000</v>
      </c>
      <c r="N11" s="243">
        <f>NPV($D$30,C11:L11)</f>
        <v>3773584.9056603773</v>
      </c>
    </row>
    <row r="12" spans="1:14" x14ac:dyDescent="0.2">
      <c r="A12" s="312" t="s">
        <v>1308</v>
      </c>
      <c r="B12" s="102"/>
      <c r="C12" s="104">
        <f>SUM(C9:C11)</f>
        <v>7246342.8050974794</v>
      </c>
      <c r="D12" s="104">
        <f t="shared" ref="D12:M12" si="0">SUM(D9:D11)</f>
        <v>3280437.3528492888</v>
      </c>
      <c r="E12" s="104">
        <f t="shared" si="0"/>
        <v>3314276.3089988818</v>
      </c>
      <c r="F12" s="104">
        <f t="shared" si="0"/>
        <v>3348504.413144195</v>
      </c>
      <c r="G12" s="104">
        <f t="shared" si="0"/>
        <v>3383126.1404871792</v>
      </c>
      <c r="H12" s="104">
        <f t="shared" si="0"/>
        <v>3418146.0176946083</v>
      </c>
      <c r="I12" s="104">
        <f t="shared" si="0"/>
        <v>3453568.6234899219</v>
      </c>
      <c r="J12" s="104">
        <f t="shared" si="0"/>
        <v>3489398.5892518824</v>
      </c>
      <c r="K12" s="104">
        <f t="shared" si="0"/>
        <v>3525640.5996201048</v>
      </c>
      <c r="L12" s="299">
        <f t="shared" si="0"/>
        <v>3562299.3931075619</v>
      </c>
      <c r="M12" s="104">
        <f t="shared" si="0"/>
        <v>38021740.24374111</v>
      </c>
      <c r="N12" s="243">
        <f>NPV($D$30,C12:L12)</f>
        <v>28690639.023592535</v>
      </c>
    </row>
    <row r="13" spans="1:14" x14ac:dyDescent="0.2">
      <c r="A13" s="312"/>
      <c r="B13" s="102"/>
      <c r="C13" s="104"/>
      <c r="D13" s="104"/>
      <c r="E13" s="104"/>
      <c r="F13" s="104"/>
      <c r="G13" s="104"/>
      <c r="H13" s="104"/>
      <c r="I13" s="104"/>
      <c r="J13" s="104"/>
      <c r="K13" s="104"/>
      <c r="L13" s="299"/>
      <c r="M13" s="104"/>
      <c r="N13" s="243"/>
    </row>
    <row r="14" spans="1:14" x14ac:dyDescent="0.2">
      <c r="A14" s="101" t="s">
        <v>1309</v>
      </c>
      <c r="B14" s="102"/>
      <c r="C14" s="104">
        <f>'power redistribution'!D66</f>
        <v>12251522.541030942</v>
      </c>
      <c r="D14" s="104">
        <f>'power redistribution'!E66</f>
        <v>13617292.006097978</v>
      </c>
      <c r="E14" s="104">
        <f>'power redistribution'!F66</f>
        <v>15240147.488118811</v>
      </c>
      <c r="F14" s="104">
        <f>'power redistribution'!G66</f>
        <v>15818591.026264848</v>
      </c>
      <c r="G14" s="104">
        <f>'power redistribution'!H66</f>
        <v>15818591.026264848</v>
      </c>
      <c r="H14" s="104">
        <f>'power redistribution'!I66</f>
        <v>15818591.026264848</v>
      </c>
      <c r="I14" s="104">
        <f>'power redistribution'!J66</f>
        <v>15818591.026264848</v>
      </c>
      <c r="J14" s="104">
        <f>'power redistribution'!K66</f>
        <v>15818591.026264848</v>
      </c>
      <c r="K14" s="104">
        <f>'power redistribution'!L66</f>
        <v>15818591.026264848</v>
      </c>
      <c r="L14" s="299">
        <f>'power redistribution'!M66</f>
        <v>15818591.026264848</v>
      </c>
      <c r="M14" s="238">
        <f>SUM(C14:L14)</f>
        <v>151839099.21910167</v>
      </c>
      <c r="N14" s="243">
        <f>NPV($D$30,C14:L14)</f>
        <v>110616227.39557452</v>
      </c>
    </row>
    <row r="15" spans="1:14" x14ac:dyDescent="0.2">
      <c r="A15" s="297" t="s">
        <v>1502</v>
      </c>
      <c r="B15" s="102"/>
      <c r="C15" s="104">
        <f>'FM Summary'!B81</f>
        <v>1000000</v>
      </c>
      <c r="D15" s="104">
        <f>'FM Summary'!C81</f>
        <v>1750000</v>
      </c>
      <c r="E15" s="104">
        <f>'FM Summary'!D81</f>
        <v>2500000</v>
      </c>
      <c r="F15" s="104">
        <f>'FM Summary'!E81</f>
        <v>3250000</v>
      </c>
      <c r="G15" s="104">
        <f>'FM Summary'!F81</f>
        <v>4000000</v>
      </c>
      <c r="H15" s="104">
        <f>'FM Summary'!G81</f>
        <v>4750000</v>
      </c>
      <c r="I15" s="104">
        <f>'FM Summary'!H81</f>
        <v>5500000</v>
      </c>
      <c r="J15" s="104">
        <f>'FM Summary'!I81</f>
        <v>6250000</v>
      </c>
      <c r="K15" s="104">
        <f>'FM Summary'!J81</f>
        <v>7000000</v>
      </c>
      <c r="L15" s="299">
        <f>'FM Summary'!K81</f>
        <v>7750000</v>
      </c>
      <c r="M15" s="238">
        <f>SUM(C15:L15)</f>
        <v>43750000</v>
      </c>
      <c r="N15" s="243">
        <f>NPV($D$30,C15:L15)</f>
        <v>29561828.079708628</v>
      </c>
    </row>
    <row r="16" spans="1:14" x14ac:dyDescent="0.2">
      <c r="A16" s="101" t="s">
        <v>1310</v>
      </c>
      <c r="B16" s="102"/>
      <c r="C16" s="254"/>
      <c r="D16" s="254"/>
      <c r="E16" s="254"/>
      <c r="F16" s="254"/>
      <c r="G16" s="254"/>
      <c r="H16" s="254"/>
      <c r="I16" s="254"/>
      <c r="J16" s="254"/>
      <c r="K16" s="254"/>
      <c r="L16" s="311"/>
      <c r="M16" s="238">
        <f>SUM(C16:L16)</f>
        <v>0</v>
      </c>
      <c r="N16" s="243"/>
    </row>
    <row r="17" spans="1:52" x14ac:dyDescent="0.2">
      <c r="A17" s="312" t="s">
        <v>1311</v>
      </c>
      <c r="B17" s="102"/>
      <c r="C17" s="104">
        <f t="shared" ref="C17:L17" si="1">SUM(C14:C16)</f>
        <v>13251522.541030942</v>
      </c>
      <c r="D17" s="104">
        <f t="shared" si="1"/>
        <v>15367292.006097978</v>
      </c>
      <c r="E17" s="104">
        <f t="shared" si="1"/>
        <v>17740147.488118812</v>
      </c>
      <c r="F17" s="104">
        <f t="shared" si="1"/>
        <v>19068591.026264846</v>
      </c>
      <c r="G17" s="104">
        <f t="shared" si="1"/>
        <v>19818591.026264846</v>
      </c>
      <c r="H17" s="104">
        <f t="shared" si="1"/>
        <v>20568591.026264846</v>
      </c>
      <c r="I17" s="104">
        <f t="shared" si="1"/>
        <v>21318591.026264846</v>
      </c>
      <c r="J17" s="104">
        <f t="shared" si="1"/>
        <v>22068591.026264846</v>
      </c>
      <c r="K17" s="104">
        <f t="shared" si="1"/>
        <v>22818591.026264846</v>
      </c>
      <c r="L17" s="299">
        <f t="shared" si="1"/>
        <v>23568591.026264846</v>
      </c>
      <c r="M17" s="104">
        <f>SUM(M14:M14)</f>
        <v>151839099.21910167</v>
      </c>
      <c r="N17" s="243">
        <f>NPV($D$30,C17:L17)</f>
        <v>140178055.47528318</v>
      </c>
    </row>
    <row r="18" spans="1:52" x14ac:dyDescent="0.2">
      <c r="A18" s="313"/>
      <c r="B18" s="104"/>
      <c r="C18" s="104"/>
      <c r="D18" s="104"/>
      <c r="E18" s="104"/>
      <c r="F18" s="104"/>
      <c r="G18" s="104"/>
      <c r="H18" s="104"/>
      <c r="I18" s="104"/>
      <c r="J18" s="104"/>
      <c r="K18" s="104"/>
      <c r="L18" s="299"/>
      <c r="M18" s="198"/>
      <c r="N18" s="243"/>
    </row>
    <row r="19" spans="1:52" x14ac:dyDescent="0.2">
      <c r="A19" s="313" t="s">
        <v>1312</v>
      </c>
      <c r="B19" s="104"/>
      <c r="C19" s="104">
        <f>'wholesale services'!F63-'wholesale services'!D103</f>
        <v>2360976.5855254456</v>
      </c>
      <c r="D19" s="104">
        <f>C19*(1+'wholesale services'!$D$104)</f>
        <v>2388127.8162589883</v>
      </c>
      <c r="E19" s="104">
        <f>D19*(1+'wholesale services'!$D$104)</f>
        <v>2415591.286145967</v>
      </c>
      <c r="F19" s="104">
        <f>E19*(1+'wholesale services'!$D$104)</f>
        <v>2443370.585936646</v>
      </c>
      <c r="G19" s="104">
        <f>F19*(1+'wholesale services'!$D$104)</f>
        <v>2471469.3476749174</v>
      </c>
      <c r="H19" s="104">
        <f>G19*(1+'wholesale services'!$D$104)</f>
        <v>2499891.2451731791</v>
      </c>
      <c r="I19" s="104">
        <f>H19*(1+'wholesale services'!$D$104)</f>
        <v>2528639.994492671</v>
      </c>
      <c r="J19" s="104">
        <f>I19*(1+'wholesale services'!$D$104)</f>
        <v>2557719.3544293367</v>
      </c>
      <c r="K19" s="104">
        <f>J19*(1+'wholesale services'!$D$104)</f>
        <v>2587133.1270052744</v>
      </c>
      <c r="L19" s="299">
        <f>K19*(1+'wholesale services'!$D$104)</f>
        <v>2616885.1579658352</v>
      </c>
      <c r="M19" s="238">
        <f>SUM(C19:L19)</f>
        <v>24869804.500608265</v>
      </c>
      <c r="N19" s="243">
        <f>NPV($D$30,C19:L19)</f>
        <v>18204477.298653401</v>
      </c>
    </row>
    <row r="20" spans="1:52" x14ac:dyDescent="0.2">
      <c r="A20" s="314" t="s">
        <v>1313</v>
      </c>
      <c r="B20" s="315"/>
      <c r="C20" s="316">
        <v>0</v>
      </c>
      <c r="D20" s="316">
        <v>0</v>
      </c>
      <c r="E20" s="316">
        <v>0</v>
      </c>
      <c r="F20" s="316">
        <v>0</v>
      </c>
      <c r="G20" s="316">
        <v>0</v>
      </c>
      <c r="H20" s="316">
        <v>0</v>
      </c>
      <c r="I20" s="316">
        <v>0</v>
      </c>
      <c r="J20" s="316">
        <v>0</v>
      </c>
      <c r="K20" s="316">
        <v>0</v>
      </c>
      <c r="L20" s="316">
        <v>0</v>
      </c>
      <c r="M20" s="198"/>
      <c r="N20" s="243">
        <f>NPV($D$30,C20:L20)</f>
        <v>0</v>
      </c>
    </row>
    <row r="21" spans="1:52" ht="15" customHeight="1" thickBot="1" x14ac:dyDescent="0.25">
      <c r="A21" s="314"/>
      <c r="B21" s="315"/>
      <c r="C21" s="316"/>
      <c r="D21" s="316"/>
      <c r="E21" s="316"/>
      <c r="F21" s="316"/>
      <c r="G21" s="316"/>
      <c r="H21" s="316"/>
      <c r="I21" s="316"/>
      <c r="J21" s="316"/>
      <c r="K21" s="316"/>
      <c r="L21" s="317"/>
      <c r="M21" s="198"/>
      <c r="N21" s="243"/>
    </row>
    <row r="22" spans="1:52" s="213" customFormat="1" ht="13.5" thickBot="1" x14ac:dyDescent="0.25">
      <c r="A22" s="318" t="s">
        <v>1314</v>
      </c>
      <c r="B22" s="319"/>
      <c r="C22" s="320">
        <f t="shared" ref="C22:M22" si="2">C12+C17+C19</f>
        <v>22858841.931653865</v>
      </c>
      <c r="D22" s="320">
        <f t="shared" si="2"/>
        <v>21035857.175206255</v>
      </c>
      <c r="E22" s="320">
        <f t="shared" si="2"/>
        <v>23470015.083263662</v>
      </c>
      <c r="F22" s="320">
        <f t="shared" si="2"/>
        <v>24860466.025345687</v>
      </c>
      <c r="G22" s="320">
        <f t="shared" si="2"/>
        <v>25673186.514426943</v>
      </c>
      <c r="H22" s="320">
        <f t="shared" si="2"/>
        <v>26486628.289132632</v>
      </c>
      <c r="I22" s="320">
        <f t="shared" si="2"/>
        <v>27300799.644247442</v>
      </c>
      <c r="J22" s="320">
        <f t="shared" si="2"/>
        <v>28115708.969946068</v>
      </c>
      <c r="K22" s="320">
        <f t="shared" si="2"/>
        <v>28931364.752890225</v>
      </c>
      <c r="L22" s="321">
        <f t="shared" si="2"/>
        <v>29747775.577338245</v>
      </c>
      <c r="M22" s="320">
        <f t="shared" si="2"/>
        <v>214730643.96345103</v>
      </c>
      <c r="N22" s="243">
        <f>NPV($D$30,C22:L22)</f>
        <v>187073171.79752907</v>
      </c>
    </row>
    <row r="23" spans="1:52" s="612" customFormat="1" x14ac:dyDescent="0.2">
      <c r="A23" s="607"/>
      <c r="B23" s="608"/>
      <c r="C23" s="609"/>
      <c r="D23" s="609"/>
      <c r="E23" s="609"/>
      <c r="F23" s="609"/>
      <c r="G23" s="609"/>
      <c r="H23" s="609"/>
      <c r="I23" s="609"/>
      <c r="J23" s="609"/>
      <c r="K23" s="609"/>
      <c r="L23" s="610"/>
      <c r="M23" s="609"/>
      <c r="N23" s="611"/>
    </row>
    <row r="24" spans="1:52" x14ac:dyDescent="0.2">
      <c r="A24" s="310" t="s">
        <v>1315</v>
      </c>
      <c r="B24" s="102"/>
      <c r="C24" s="323">
        <f t="shared" ref="C24:M24" si="3">C9+C14</f>
        <v>12251522.541030942</v>
      </c>
      <c r="D24" s="323">
        <f t="shared" si="3"/>
        <v>13617292.006097978</v>
      </c>
      <c r="E24" s="323">
        <f t="shared" si="3"/>
        <v>15240147.488118811</v>
      </c>
      <c r="F24" s="323">
        <f t="shared" si="3"/>
        <v>15818591.026264848</v>
      </c>
      <c r="G24" s="323">
        <f t="shared" si="3"/>
        <v>15818591.026264848</v>
      </c>
      <c r="H24" s="323">
        <f t="shared" si="3"/>
        <v>15818591.026264848</v>
      </c>
      <c r="I24" s="323">
        <f t="shared" si="3"/>
        <v>15818591.026264848</v>
      </c>
      <c r="J24" s="323">
        <f t="shared" si="3"/>
        <v>15818591.026264848</v>
      </c>
      <c r="K24" s="323">
        <f t="shared" si="3"/>
        <v>15818591.026264848</v>
      </c>
      <c r="L24" s="324">
        <f t="shared" si="3"/>
        <v>15818591.026264848</v>
      </c>
      <c r="M24" s="323">
        <f t="shared" si="3"/>
        <v>151839099.21910167</v>
      </c>
      <c r="N24" s="243"/>
    </row>
    <row r="25" spans="1:52" x14ac:dyDescent="0.2">
      <c r="A25" s="297" t="s">
        <v>1284</v>
      </c>
      <c r="B25" s="102"/>
      <c r="C25" s="104">
        <v>-10742000</v>
      </c>
      <c r="D25" s="104">
        <f>C25*(1+C26)</f>
        <v>-10955872.603689183</v>
      </c>
      <c r="E25" s="104">
        <f t="shared" ref="E25:L25" si="4">D25*(1+D26)</f>
        <v>-11174003.398647103</v>
      </c>
      <c r="F25" s="104">
        <f t="shared" si="4"/>
        <v>-11396477.165217614</v>
      </c>
      <c r="G25" s="104">
        <f t="shared" si="4"/>
        <v>-11623380.371716348</v>
      </c>
      <c r="H25" s="104">
        <f t="shared" si="4"/>
        <v>-11854801.208038142</v>
      </c>
      <c r="I25" s="104">
        <f t="shared" si="4"/>
        <v>-12090829.619933579</v>
      </c>
      <c r="J25" s="104">
        <f t="shared" si="4"/>
        <v>-12331557.343967976</v>
      </c>
      <c r="K25" s="104">
        <f t="shared" si="4"/>
        <v>-12577077.9431764</v>
      </c>
      <c r="L25" s="104">
        <f t="shared" si="4"/>
        <v>-12827486.84342858</v>
      </c>
      <c r="M25" s="238">
        <f>SUM(C25:L25)</f>
        <v>-117573486.49781492</v>
      </c>
      <c r="N25" s="243">
        <f>NPV($D$30,C25:L25)</f>
        <v>-85721687.640612096</v>
      </c>
    </row>
    <row r="26" spans="1:52" x14ac:dyDescent="0.2">
      <c r="A26" s="297" t="s">
        <v>1316</v>
      </c>
      <c r="B26" s="102"/>
      <c r="C26" s="223">
        <v>1.9909942626064291E-2</v>
      </c>
      <c r="D26" s="223">
        <f>$C$26</f>
        <v>1.9909942626064291E-2</v>
      </c>
      <c r="E26" s="223">
        <f t="shared" ref="E26:L26" si="5">$C$26</f>
        <v>1.9909942626064291E-2</v>
      </c>
      <c r="F26" s="223">
        <f t="shared" si="5"/>
        <v>1.9909942626064291E-2</v>
      </c>
      <c r="G26" s="223">
        <f t="shared" si="5"/>
        <v>1.9909942626064291E-2</v>
      </c>
      <c r="H26" s="223">
        <f t="shared" si="5"/>
        <v>1.9909942626064291E-2</v>
      </c>
      <c r="I26" s="223">
        <f t="shared" si="5"/>
        <v>1.9909942626064291E-2</v>
      </c>
      <c r="J26" s="223">
        <f t="shared" si="5"/>
        <v>1.9909942626064291E-2</v>
      </c>
      <c r="K26" s="223">
        <f t="shared" si="5"/>
        <v>1.9909942626064291E-2</v>
      </c>
      <c r="L26" s="223">
        <f t="shared" si="5"/>
        <v>1.9909942626064291E-2</v>
      </c>
      <c r="M26" s="198"/>
      <c r="N26" s="243">
        <f>NPV($D$30,C26:L26)</f>
        <v>0.14653891091650528</v>
      </c>
    </row>
    <row r="27" spans="1:52" ht="13.5" thickBot="1" x14ac:dyDescent="0.25">
      <c r="A27" s="101"/>
      <c r="B27" s="102"/>
      <c r="C27" s="102"/>
      <c r="D27" s="102"/>
      <c r="E27" s="102"/>
      <c r="F27" s="102"/>
      <c r="G27" s="102"/>
      <c r="H27" s="102"/>
      <c r="I27" s="102"/>
      <c r="J27" s="102"/>
      <c r="K27" s="102"/>
      <c r="L27" s="106"/>
      <c r="M27" s="198"/>
      <c r="N27" s="243"/>
    </row>
    <row r="28" spans="1:52" s="329" customFormat="1" ht="13.5" thickBot="1" x14ac:dyDescent="0.25">
      <c r="A28" s="325" t="s">
        <v>1317</v>
      </c>
      <c r="B28" s="326" t="s">
        <v>1411</v>
      </c>
      <c r="C28" s="320">
        <f t="shared" ref="C28:L28" si="6">C22+C25</f>
        <v>12116841.931653865</v>
      </c>
      <c r="D28" s="320">
        <f t="shared" si="6"/>
        <v>10079984.571517073</v>
      </c>
      <c r="E28" s="320">
        <f t="shared" si="6"/>
        <v>12296011.684616558</v>
      </c>
      <c r="F28" s="320">
        <f t="shared" si="6"/>
        <v>13463988.860128073</v>
      </c>
      <c r="G28" s="320">
        <f t="shared" si="6"/>
        <v>14049806.142710594</v>
      </c>
      <c r="H28" s="320">
        <f t="shared" si="6"/>
        <v>14631827.08109449</v>
      </c>
      <c r="I28" s="320">
        <f t="shared" si="6"/>
        <v>15209970.024313863</v>
      </c>
      <c r="J28" s="320">
        <f t="shared" si="6"/>
        <v>15784151.625978092</v>
      </c>
      <c r="K28" s="320">
        <f t="shared" si="6"/>
        <v>16354286.809713826</v>
      </c>
      <c r="L28" s="321">
        <f t="shared" si="6"/>
        <v>16920288.733909667</v>
      </c>
      <c r="M28" s="327">
        <f>SUM(C28:L28)</f>
        <v>140907157.46563613</v>
      </c>
      <c r="N28" s="243">
        <f>NPV($D$30,C28:L28)</f>
        <v>101351484.15691701</v>
      </c>
      <c r="O28" s="328"/>
      <c r="P28" s="328"/>
      <c r="Q28" s="328"/>
      <c r="R28" s="328"/>
      <c r="S28" s="328"/>
      <c r="T28" s="328"/>
      <c r="U28" s="328"/>
      <c r="V28" s="328"/>
      <c r="W28" s="328"/>
      <c r="X28" s="328"/>
      <c r="Y28" s="328"/>
      <c r="Z28" s="328"/>
      <c r="AA28" s="328"/>
      <c r="AB28" s="328"/>
      <c r="AC28" s="328"/>
      <c r="AD28" s="328"/>
      <c r="AE28" s="328"/>
      <c r="AF28" s="328"/>
      <c r="AG28" s="328"/>
      <c r="AH28" s="328"/>
      <c r="AI28" s="328"/>
      <c r="AJ28" s="328"/>
      <c r="AK28" s="328"/>
      <c r="AL28" s="328"/>
      <c r="AM28" s="328"/>
      <c r="AN28" s="328"/>
      <c r="AO28" s="328"/>
      <c r="AP28" s="328"/>
      <c r="AQ28" s="328"/>
      <c r="AR28" s="328"/>
      <c r="AS28" s="328"/>
      <c r="AT28" s="328"/>
      <c r="AU28" s="328"/>
      <c r="AV28" s="328"/>
      <c r="AW28" s="328"/>
      <c r="AX28" s="328"/>
      <c r="AY28" s="328"/>
      <c r="AZ28" s="328"/>
    </row>
    <row r="29" spans="1:52" ht="13.5" thickBot="1" x14ac:dyDescent="0.25">
      <c r="A29" s="330"/>
      <c r="B29" s="331"/>
      <c r="C29" s="289"/>
      <c r="D29" s="289"/>
      <c r="E29" s="289"/>
      <c r="F29" s="289"/>
      <c r="G29" s="289"/>
      <c r="H29" s="289"/>
      <c r="I29" s="289"/>
      <c r="J29" s="289"/>
      <c r="K29" s="289"/>
      <c r="L29" s="332"/>
      <c r="M29" s="104"/>
      <c r="N29" s="243"/>
    </row>
    <row r="30" spans="1:52" ht="16.5" thickBot="1" x14ac:dyDescent="0.3">
      <c r="A30" s="304" t="s">
        <v>1318</v>
      </c>
      <c r="B30" s="333">
        <f>NPV(D30,C28:L28)</f>
        <v>101351484.15691701</v>
      </c>
      <c r="C30" s="334" t="s">
        <v>1319</v>
      </c>
      <c r="D30" s="335">
        <v>0.06</v>
      </c>
      <c r="E30" s="336"/>
      <c r="F30" s="336"/>
      <c r="G30" s="336"/>
      <c r="H30" s="336"/>
      <c r="I30" s="336"/>
      <c r="J30" s="336"/>
      <c r="K30" s="336"/>
      <c r="L30" s="337"/>
      <c r="M30" s="104"/>
      <c r="N30" s="243"/>
    </row>
    <row r="31" spans="1:52" ht="17.25" customHeight="1" x14ac:dyDescent="0.2">
      <c r="A31" s="330" t="s">
        <v>1320</v>
      </c>
      <c r="B31" s="331"/>
      <c r="C31" s="289"/>
      <c r="D31" s="289"/>
      <c r="E31" s="289"/>
      <c r="F31" s="289"/>
      <c r="G31" s="289"/>
      <c r="H31" s="289"/>
      <c r="I31" s="289"/>
      <c r="J31" s="289"/>
      <c r="K31" s="289"/>
      <c r="L31" s="332"/>
      <c r="M31" s="104"/>
      <c r="N31" s="243"/>
    </row>
    <row r="32" spans="1:52" ht="17.25" customHeight="1" x14ac:dyDescent="0.2">
      <c r="A32" s="330"/>
      <c r="B32" s="331"/>
      <c r="C32" s="289"/>
      <c r="D32" s="289"/>
      <c r="E32" s="289"/>
      <c r="F32" s="289"/>
      <c r="G32" s="289"/>
      <c r="H32" s="289"/>
      <c r="I32" s="289"/>
      <c r="J32" s="289"/>
      <c r="K32" s="289"/>
      <c r="L32" s="332"/>
      <c r="M32" s="104"/>
      <c r="N32" s="243"/>
    </row>
    <row r="33" spans="1:14" ht="13.5" thickBot="1" x14ac:dyDescent="0.25">
      <c r="A33" s="330"/>
      <c r="B33" s="331"/>
      <c r="C33" s="289"/>
      <c r="D33" s="289"/>
      <c r="E33" s="289"/>
      <c r="F33" s="289"/>
      <c r="G33" s="289"/>
      <c r="H33" s="289"/>
      <c r="I33" s="289"/>
      <c r="J33" s="289"/>
      <c r="K33" s="289"/>
      <c r="L33" s="332"/>
      <c r="M33" s="104"/>
      <c r="N33" s="243"/>
    </row>
    <row r="34" spans="1:14" x14ac:dyDescent="0.2">
      <c r="A34" s="338" t="s">
        <v>1321</v>
      </c>
      <c r="B34" s="74"/>
      <c r="C34" s="96"/>
      <c r="D34" s="96"/>
      <c r="E34" s="96"/>
      <c r="F34" s="96"/>
      <c r="G34" s="96"/>
      <c r="H34" s="96"/>
      <c r="I34" s="96"/>
      <c r="J34" s="96"/>
      <c r="K34" s="96"/>
      <c r="L34" s="296"/>
      <c r="M34" s="104"/>
      <c r="N34" s="243"/>
    </row>
    <row r="35" spans="1:14" x14ac:dyDescent="0.2">
      <c r="A35" s="101" t="s">
        <v>1322</v>
      </c>
      <c r="B35" s="339">
        <v>10</v>
      </c>
      <c r="C35" s="104"/>
      <c r="D35" s="104"/>
      <c r="E35" s="104"/>
      <c r="F35" s="104"/>
      <c r="G35" s="104"/>
      <c r="H35" s="104"/>
      <c r="I35" s="104"/>
      <c r="J35" s="104"/>
      <c r="K35" s="104"/>
      <c r="L35" s="299"/>
      <c r="M35" s="104"/>
      <c r="N35" s="243"/>
    </row>
    <row r="36" spans="1:14" x14ac:dyDescent="0.2">
      <c r="A36" s="101" t="s">
        <v>1323</v>
      </c>
      <c r="B36" s="102"/>
      <c r="C36" s="104">
        <f>('wholesale services'!C72:F72)/B35</f>
        <v>3317888</v>
      </c>
      <c r="D36" s="104">
        <f t="shared" ref="D36:L36" si="7">C36</f>
        <v>3317888</v>
      </c>
      <c r="E36" s="104">
        <f t="shared" si="7"/>
        <v>3317888</v>
      </c>
      <c r="F36" s="104">
        <f t="shared" si="7"/>
        <v>3317888</v>
      </c>
      <c r="G36" s="104">
        <f t="shared" si="7"/>
        <v>3317888</v>
      </c>
      <c r="H36" s="104">
        <f t="shared" si="7"/>
        <v>3317888</v>
      </c>
      <c r="I36" s="104">
        <f t="shared" si="7"/>
        <v>3317888</v>
      </c>
      <c r="J36" s="104">
        <f t="shared" si="7"/>
        <v>3317888</v>
      </c>
      <c r="K36" s="104">
        <f t="shared" si="7"/>
        <v>3317888</v>
      </c>
      <c r="L36" s="299">
        <f t="shared" si="7"/>
        <v>3317888</v>
      </c>
      <c r="M36" s="104"/>
      <c r="N36" s="243"/>
    </row>
    <row r="37" spans="1:14" ht="13.5" thickBot="1" x14ac:dyDescent="0.25">
      <c r="A37" s="107" t="s">
        <v>1411</v>
      </c>
      <c r="B37" s="108"/>
      <c r="C37" s="110"/>
      <c r="D37" s="110"/>
      <c r="E37" s="110"/>
      <c r="F37" s="110"/>
      <c r="G37" s="110"/>
      <c r="H37" s="110"/>
      <c r="I37" s="110"/>
      <c r="J37" s="110"/>
      <c r="K37" s="110"/>
      <c r="L37" s="302"/>
      <c r="M37" s="104"/>
      <c r="N37" s="243"/>
    </row>
    <row r="38" spans="1:14" x14ac:dyDescent="0.2">
      <c r="A38" s="322"/>
      <c r="B38" s="102"/>
      <c r="C38" s="104"/>
      <c r="D38" s="104"/>
      <c r="E38" s="104"/>
      <c r="F38" s="104"/>
      <c r="G38" s="104"/>
      <c r="H38" s="104"/>
      <c r="I38" s="104"/>
      <c r="J38" s="104"/>
      <c r="K38" s="104"/>
      <c r="L38" s="299"/>
      <c r="M38" s="104"/>
      <c r="N38" s="243"/>
    </row>
    <row r="39" spans="1:14" ht="13.5" thickBot="1" x14ac:dyDescent="0.25">
      <c r="A39" s="101"/>
      <c r="B39" s="102"/>
      <c r="C39" s="104"/>
      <c r="D39" s="104"/>
      <c r="E39" s="104"/>
      <c r="F39" s="104"/>
      <c r="G39" s="104"/>
      <c r="H39" s="104"/>
      <c r="I39" s="104"/>
      <c r="J39" s="104"/>
      <c r="K39" s="104"/>
      <c r="L39" s="299"/>
      <c r="M39" s="104"/>
      <c r="N39" s="243"/>
    </row>
    <row r="40" spans="1:14" x14ac:dyDescent="0.2">
      <c r="A40" s="338" t="s">
        <v>1324</v>
      </c>
      <c r="B40" s="74"/>
      <c r="C40" s="96"/>
      <c r="D40" s="96"/>
      <c r="E40" s="96"/>
      <c r="F40" s="96"/>
      <c r="G40" s="96"/>
      <c r="H40" s="96"/>
      <c r="I40" s="96"/>
      <c r="J40" s="96"/>
      <c r="K40" s="96"/>
      <c r="L40" s="296"/>
      <c r="M40" s="104"/>
      <c r="N40" s="243"/>
    </row>
    <row r="41" spans="1:14" x14ac:dyDescent="0.2">
      <c r="A41" s="101"/>
      <c r="B41" s="102"/>
      <c r="C41" s="102">
        <v>1</v>
      </c>
      <c r="D41" s="102">
        <v>2</v>
      </c>
      <c r="E41" s="102">
        <v>3</v>
      </c>
      <c r="F41" s="102">
        <v>4</v>
      </c>
      <c r="G41" s="102">
        <v>5</v>
      </c>
      <c r="H41" s="102">
        <v>6</v>
      </c>
      <c r="I41" s="102">
        <v>7</v>
      </c>
      <c r="J41" s="102">
        <v>8</v>
      </c>
      <c r="K41" s="102">
        <v>9</v>
      </c>
      <c r="L41" s="106">
        <v>10</v>
      </c>
      <c r="M41" s="104"/>
      <c r="N41" s="243"/>
    </row>
    <row r="42" spans="1:14" ht="13.5" thickBot="1" x14ac:dyDescent="0.25">
      <c r="A42" s="101" t="s">
        <v>1325</v>
      </c>
      <c r="B42" s="102"/>
      <c r="C42" s="253">
        <v>170000000</v>
      </c>
      <c r="D42" s="104">
        <f t="shared" ref="D42:L42" si="8">C42</f>
        <v>170000000</v>
      </c>
      <c r="E42" s="104">
        <f t="shared" si="8"/>
        <v>170000000</v>
      </c>
      <c r="F42" s="104">
        <f t="shared" si="8"/>
        <v>170000000</v>
      </c>
      <c r="G42" s="104">
        <f t="shared" si="8"/>
        <v>170000000</v>
      </c>
      <c r="H42" s="104">
        <f t="shared" si="8"/>
        <v>170000000</v>
      </c>
      <c r="I42" s="104">
        <f t="shared" si="8"/>
        <v>170000000</v>
      </c>
      <c r="J42" s="104">
        <f t="shared" si="8"/>
        <v>170000000</v>
      </c>
      <c r="K42" s="104">
        <f t="shared" si="8"/>
        <v>170000000</v>
      </c>
      <c r="L42" s="299">
        <f t="shared" si="8"/>
        <v>170000000</v>
      </c>
      <c r="M42" s="104"/>
      <c r="N42" s="243">
        <f>NPV($D$30,C42:L42)</f>
        <v>1251214798.7404981</v>
      </c>
    </row>
    <row r="43" spans="1:14" ht="13.5" thickBot="1" x14ac:dyDescent="0.25">
      <c r="A43" s="101" t="s">
        <v>1324</v>
      </c>
      <c r="B43" s="102" t="s">
        <v>1411</v>
      </c>
      <c r="C43" s="104">
        <f t="shared" ref="C43:L43" si="9">C28+C36</f>
        <v>15434729.931653865</v>
      </c>
      <c r="D43" s="104">
        <f t="shared" si="9"/>
        <v>13397872.571517073</v>
      </c>
      <c r="E43" s="104">
        <f t="shared" si="9"/>
        <v>15613899.684616558</v>
      </c>
      <c r="F43" s="104">
        <f t="shared" si="9"/>
        <v>16781876.860128075</v>
      </c>
      <c r="G43" s="104">
        <f t="shared" si="9"/>
        <v>17367694.142710596</v>
      </c>
      <c r="H43" s="104">
        <f t="shared" si="9"/>
        <v>17949715.081094489</v>
      </c>
      <c r="I43" s="104">
        <f t="shared" si="9"/>
        <v>18527858.024313863</v>
      </c>
      <c r="J43" s="104">
        <f t="shared" si="9"/>
        <v>19102039.62597809</v>
      </c>
      <c r="K43" s="104">
        <f t="shared" si="9"/>
        <v>19672174.809713826</v>
      </c>
      <c r="L43" s="299">
        <f t="shared" si="9"/>
        <v>20238176.733909667</v>
      </c>
      <c r="M43" s="327">
        <f>SUM(C43:L43)</f>
        <v>174086037.46563613</v>
      </c>
      <c r="N43" s="243">
        <f>NPV($D$30,C43:L43)</f>
        <v>125771428.6637612</v>
      </c>
    </row>
    <row r="44" spans="1:14" x14ac:dyDescent="0.2">
      <c r="A44" s="101" t="s">
        <v>1326</v>
      </c>
      <c r="B44" s="102"/>
      <c r="C44" s="340">
        <f t="shared" ref="C44:L44" si="10">C43/C42</f>
        <v>9.0792529009728618E-2</v>
      </c>
      <c r="D44" s="340">
        <f t="shared" si="10"/>
        <v>7.8811015126571016E-2</v>
      </c>
      <c r="E44" s="340">
        <f t="shared" si="10"/>
        <v>9.1846468733038575E-2</v>
      </c>
      <c r="F44" s="340">
        <f t="shared" si="10"/>
        <v>9.8716922706635735E-2</v>
      </c>
      <c r="G44" s="340">
        <f t="shared" si="10"/>
        <v>0.10216290672182704</v>
      </c>
      <c r="H44" s="340">
        <f t="shared" si="10"/>
        <v>0.10558655930055581</v>
      </c>
      <c r="I44" s="340">
        <f t="shared" si="10"/>
        <v>0.10898740014302273</v>
      </c>
      <c r="J44" s="340">
        <f t="shared" si="10"/>
        <v>0.1123649389763417</v>
      </c>
      <c r="K44" s="340">
        <f t="shared" si="10"/>
        <v>0.11571867535125779</v>
      </c>
      <c r="L44" s="341">
        <f t="shared" si="10"/>
        <v>0.11904809843476274</v>
      </c>
      <c r="M44" s="104"/>
      <c r="N44" s="102"/>
    </row>
    <row r="45" spans="1:14" ht="13.5" thickBot="1" x14ac:dyDescent="0.25">
      <c r="A45" s="107"/>
      <c r="B45" s="108"/>
      <c r="C45" s="110"/>
      <c r="D45" s="110"/>
      <c r="E45" s="110"/>
      <c r="F45" s="110"/>
      <c r="G45" s="110"/>
      <c r="H45" s="110"/>
      <c r="I45" s="110"/>
      <c r="J45" s="110"/>
      <c r="K45" s="110"/>
      <c r="L45" s="302"/>
      <c r="M45" s="104"/>
      <c r="N45" s="102"/>
    </row>
    <row r="46" spans="1:14" x14ac:dyDescent="0.2">
      <c r="A46" s="102"/>
      <c r="B46" s="102"/>
      <c r="C46" s="102"/>
      <c r="D46" s="102"/>
      <c r="E46" s="102"/>
      <c r="F46" s="102"/>
      <c r="G46" s="102"/>
      <c r="H46" s="102"/>
      <c r="I46" s="102"/>
      <c r="J46" s="102"/>
      <c r="K46" s="102"/>
      <c r="L46" s="102"/>
      <c r="M46" s="102"/>
      <c r="N46" s="102"/>
    </row>
    <row r="47" spans="1:14" ht="15.75" x14ac:dyDescent="0.25">
      <c r="A47" s="249" t="s">
        <v>350</v>
      </c>
      <c r="M47" s="102"/>
      <c r="N47" s="102"/>
    </row>
    <row r="48" spans="1:14" x14ac:dyDescent="0.2">
      <c r="A48" s="266" t="s">
        <v>828</v>
      </c>
      <c r="B48" s="245">
        <f>N10+N19</f>
        <v>43121531.416585565</v>
      </c>
      <c r="C48" s="102"/>
      <c r="D48" s="102"/>
      <c r="E48" s="102"/>
      <c r="F48" s="102"/>
      <c r="G48" s="102"/>
      <c r="H48" s="102"/>
      <c r="I48" s="102"/>
      <c r="J48" s="102"/>
      <c r="K48" s="102"/>
      <c r="L48" s="102"/>
      <c r="M48" s="102"/>
      <c r="N48" s="102"/>
    </row>
    <row r="49" spans="1:14" x14ac:dyDescent="0.2">
      <c r="A49" s="266" t="s">
        <v>829</v>
      </c>
      <c r="B49" s="177">
        <f>N14+N25</f>
        <v>24894539.754962429</v>
      </c>
      <c r="C49" s="102"/>
      <c r="D49" s="102"/>
      <c r="E49" s="102"/>
      <c r="F49" s="102"/>
      <c r="G49" s="102"/>
      <c r="H49" s="102"/>
      <c r="I49" s="102"/>
      <c r="J49" s="102"/>
      <c r="K49" s="102"/>
      <c r="L49" s="102"/>
      <c r="M49" s="102"/>
      <c r="N49" s="102"/>
    </row>
    <row r="50" spans="1:14" x14ac:dyDescent="0.2">
      <c r="A50" s="266" t="s">
        <v>1503</v>
      </c>
      <c r="B50" s="245">
        <f>N11</f>
        <v>3773584.9056603773</v>
      </c>
      <c r="C50" s="102"/>
      <c r="D50" s="102"/>
      <c r="E50" s="102"/>
      <c r="F50" s="102"/>
      <c r="G50" s="102"/>
      <c r="H50" s="102"/>
      <c r="I50" s="102"/>
      <c r="J50" s="102"/>
      <c r="K50" s="102"/>
      <c r="L50" s="102"/>
      <c r="M50" s="102"/>
      <c r="N50" s="102"/>
    </row>
    <row r="51" spans="1:14" x14ac:dyDescent="0.2">
      <c r="A51" s="186" t="s">
        <v>1504</v>
      </c>
      <c r="B51" s="244">
        <f>N15</f>
        <v>29561828.079708628</v>
      </c>
    </row>
    <row r="52" spans="1:14" x14ac:dyDescent="0.2">
      <c r="A52" s="276" t="s">
        <v>827</v>
      </c>
      <c r="B52" s="243">
        <f>SUM(B48:B51)</f>
        <v>101351484.15691701</v>
      </c>
    </row>
    <row r="61" spans="1:14" hidden="1" x14ac:dyDescent="0.2"/>
    <row r="73" spans="2:2" x14ac:dyDescent="0.2">
      <c r="B73" s="208"/>
    </row>
    <row r="84" spans="2:2" x14ac:dyDescent="0.2">
      <c r="B84" s="208"/>
    </row>
  </sheetData>
  <pageMargins left="0.5" right="0.5" top="1" bottom="1" header="0.5" footer="0.5"/>
  <pageSetup paperSize="5" scale="74" orientation="landscape" r:id="rId1"/>
  <headerFooter alignWithMargins="0">
    <oddFooter>&amp;L&amp;A&amp;C&amp;D &amp;T</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pageSetUpPr fitToPage="1"/>
  </sheetPr>
  <dimension ref="A2:M84"/>
  <sheetViews>
    <sheetView zoomScale="75" workbookViewId="0">
      <selection activeCell="G35" sqref="G35"/>
    </sheetView>
  </sheetViews>
  <sheetFormatPr defaultColWidth="8" defaultRowHeight="12.75" x14ac:dyDescent="0.2"/>
  <cols>
    <col min="1" max="1" width="49.7109375" style="11" customWidth="1"/>
    <col min="2" max="2" width="12.42578125" style="11" customWidth="1"/>
    <col min="3" max="3" width="14.5703125" style="11" customWidth="1"/>
    <col min="4" max="4" width="12.85546875" style="11" customWidth="1"/>
    <col min="5" max="5" width="13.7109375" style="11" customWidth="1"/>
    <col min="6" max="6" width="14.7109375" style="11" customWidth="1"/>
    <col min="7" max="7" width="14.28515625" style="11" customWidth="1"/>
    <col min="8" max="8" width="14.7109375" style="11" customWidth="1"/>
    <col min="9" max="9" width="13.85546875" style="11" customWidth="1"/>
    <col min="10" max="10" width="14.42578125" style="11" customWidth="1"/>
    <col min="11" max="11" width="14.28515625" style="11" customWidth="1"/>
    <col min="12" max="12" width="13.85546875" style="11" customWidth="1"/>
    <col min="13" max="16384" width="8" style="11"/>
  </cols>
  <sheetData>
    <row r="2" spans="1:12" ht="18.75" x14ac:dyDescent="0.3">
      <c r="A2" s="187" t="s">
        <v>1505</v>
      </c>
    </row>
    <row r="3" spans="1:12" ht="14.25" customHeight="1" x14ac:dyDescent="0.3">
      <c r="A3" s="187"/>
    </row>
    <row r="4" spans="1:12" ht="13.5" customHeight="1" x14ac:dyDescent="0.2">
      <c r="A4" s="213" t="s">
        <v>1282</v>
      </c>
    </row>
    <row r="5" spans="1:12" ht="13.5" customHeight="1" x14ac:dyDescent="0.2">
      <c r="A5" s="186" t="s">
        <v>1285</v>
      </c>
      <c r="C5" s="203">
        <v>0.5</v>
      </c>
    </row>
    <row r="6" spans="1:12" ht="13.5" customHeight="1" x14ac:dyDescent="0.2">
      <c r="A6" s="186" t="s">
        <v>1286</v>
      </c>
      <c r="C6" s="203">
        <v>0.15</v>
      </c>
    </row>
    <row r="7" spans="1:12" ht="13.5" customHeight="1" x14ac:dyDescent="0.2">
      <c r="A7" s="186" t="s">
        <v>1287</v>
      </c>
      <c r="C7" s="203">
        <v>0.9</v>
      </c>
    </row>
    <row r="8" spans="1:12" ht="13.5" customHeight="1" x14ac:dyDescent="0.2">
      <c r="A8" s="186" t="s">
        <v>1288</v>
      </c>
      <c r="C8" s="203">
        <v>0.9</v>
      </c>
    </row>
    <row r="9" spans="1:12" ht="13.5" customHeight="1" x14ac:dyDescent="0.2">
      <c r="A9" s="186"/>
      <c r="C9" s="203"/>
    </row>
    <row r="10" spans="1:12" ht="13.5" customHeight="1" x14ac:dyDescent="0.2">
      <c r="A10" s="186"/>
      <c r="B10" s="303"/>
      <c r="C10" s="203"/>
    </row>
    <row r="12" spans="1:12" x14ac:dyDescent="0.2">
      <c r="A12" s="224" t="s">
        <v>1289</v>
      </c>
      <c r="B12" s="11" t="s">
        <v>742</v>
      </c>
      <c r="C12" s="11">
        <v>1</v>
      </c>
      <c r="D12" s="11">
        <v>2</v>
      </c>
      <c r="E12" s="11">
        <v>3</v>
      </c>
      <c r="F12" s="11">
        <v>4</v>
      </c>
      <c r="G12" s="11">
        <v>5</v>
      </c>
      <c r="H12" s="11">
        <v>6</v>
      </c>
      <c r="I12" s="11">
        <v>7</v>
      </c>
      <c r="J12" s="11">
        <v>8</v>
      </c>
      <c r="K12" s="11">
        <v>9</v>
      </c>
      <c r="L12" s="11">
        <v>10</v>
      </c>
    </row>
    <row r="13" spans="1:12" x14ac:dyDescent="0.2">
      <c r="A13" s="11" t="s">
        <v>1290</v>
      </c>
      <c r="B13" s="237">
        <v>0</v>
      </c>
      <c r="C13" s="61">
        <f>$C$5*$C$6*$C$7*('wholesale services'!D119)</f>
        <v>1919635.2000000002</v>
      </c>
      <c r="D13" s="61">
        <f>$C$5*$C$6*$C$7*('wholesale services'!E119)</f>
        <v>319939.20000000001</v>
      </c>
      <c r="E13" s="61">
        <f>$C$5*$C$6*$C$7*('wholesale services'!F119)</f>
        <v>0</v>
      </c>
      <c r="F13" s="61">
        <f>$C$5*$C$6*$C$7*('wholesale services'!G119)</f>
        <v>0</v>
      </c>
      <c r="G13" s="61">
        <f>$C$5*$C$6*$C$7*('wholesale services'!H119)</f>
        <v>0</v>
      </c>
      <c r="H13" s="61">
        <f>$C$5*$C$6*$C$7*('wholesale services'!I119)</f>
        <v>0</v>
      </c>
      <c r="I13" s="61">
        <f>$C$5*$C$6*$C$7*('wholesale services'!J119)</f>
        <v>0</v>
      </c>
      <c r="J13" s="61">
        <f>$C$5*$C$6*$C$7*('wholesale services'!K119)</f>
        <v>0</v>
      </c>
      <c r="K13" s="61">
        <f>$C$5*$C$6*$C$7*('wholesale services'!L119)</f>
        <v>0</v>
      </c>
      <c r="L13" s="61">
        <f>$C$5*$C$6*$C$7*('wholesale services'!M119)</f>
        <v>0</v>
      </c>
    </row>
    <row r="14" spans="1:12" x14ac:dyDescent="0.2">
      <c r="A14" s="11" t="s">
        <v>1291</v>
      </c>
      <c r="B14" s="237">
        <v>0</v>
      </c>
      <c r="C14" s="61">
        <f>$C$5*$C$6*$C$8*'power redistribution'!D71</f>
        <v>0</v>
      </c>
      <c r="D14" s="61">
        <f>$C$5*$C$6*$C$8*'power redistribution'!E71</f>
        <v>0</v>
      </c>
      <c r="E14" s="61">
        <f>$C$5*$C$6*$C$8*'power redistribution'!F71</f>
        <v>0</v>
      </c>
      <c r="F14" s="61">
        <f>$C$5*$C$6*$C$8*'power redistribution'!G71</f>
        <v>0</v>
      </c>
      <c r="G14" s="61">
        <f>$C$5*$C$6*$C$8*'power redistribution'!H71</f>
        <v>0</v>
      </c>
      <c r="H14" s="61">
        <f>$C$5*$C$6*$C$8*'power redistribution'!I71</f>
        <v>0</v>
      </c>
      <c r="I14" s="61">
        <f>$C$5*$C$6*$C$8*'power redistribution'!J71</f>
        <v>0</v>
      </c>
      <c r="J14" s="61">
        <f>$C$5*$C$6*$C$8*'power redistribution'!K71</f>
        <v>0</v>
      </c>
      <c r="K14" s="61">
        <f>$C$5*$C$6*$C$8*'power redistribution'!L71</f>
        <v>0</v>
      </c>
      <c r="L14" s="61">
        <f>$C$5*$C$6*$C$8*'power redistribution'!M71</f>
        <v>0</v>
      </c>
    </row>
    <row r="15" spans="1:12" x14ac:dyDescent="0.2">
      <c r="A15" s="186" t="s">
        <v>1506</v>
      </c>
      <c r="B15" s="237"/>
      <c r="C15" s="61">
        <f>'FM Summary'!B57+'FM Summary'!B58</f>
        <v>1800000</v>
      </c>
      <c r="D15" s="61">
        <f>'FM Summary'!C57+'FM Summary'!C58</f>
        <v>3150000</v>
      </c>
      <c r="E15" s="61">
        <f>'FM Summary'!D57+'FM Summary'!D58</f>
        <v>4500000</v>
      </c>
      <c r="F15" s="61">
        <f>'FM Summary'!E57+'FM Summary'!E58</f>
        <v>5850000</v>
      </c>
      <c r="G15" s="61">
        <f>'FM Summary'!F57+'FM Summary'!F58</f>
        <v>7200000</v>
      </c>
      <c r="H15" s="61">
        <f>'FM Summary'!G57+'FM Summary'!G58</f>
        <v>8550000</v>
      </c>
      <c r="I15" s="61">
        <f>'FM Summary'!H57+'FM Summary'!H58</f>
        <v>9900000</v>
      </c>
      <c r="J15" s="61">
        <f>'FM Summary'!I57+'FM Summary'!I58</f>
        <v>11250000</v>
      </c>
      <c r="K15" s="61">
        <f>'FM Summary'!J57+'FM Summary'!J58</f>
        <v>12600000</v>
      </c>
      <c r="L15" s="61">
        <f>'FM Summary'!K57+'FM Summary'!K58</f>
        <v>13950000</v>
      </c>
    </row>
    <row r="16" spans="1:12" x14ac:dyDescent="0.2">
      <c r="A16" s="11" t="s">
        <v>1292</v>
      </c>
      <c r="B16" s="237"/>
      <c r="C16" s="61">
        <f>'FM Summary'!B59</f>
        <v>-1000000</v>
      </c>
      <c r="D16" s="61">
        <f>'FM Summary'!C59</f>
        <v>-1750000</v>
      </c>
      <c r="E16" s="61">
        <f>'FM Summary'!D59</f>
        <v>-2500000</v>
      </c>
      <c r="F16" s="61">
        <f>'FM Summary'!E59</f>
        <v>-3250000</v>
      </c>
      <c r="G16" s="61">
        <f>'FM Summary'!F59</f>
        <v>-4000000</v>
      </c>
      <c r="H16" s="61">
        <f>'FM Summary'!G59</f>
        <v>-4750000</v>
      </c>
      <c r="I16" s="61">
        <f>'FM Summary'!H59</f>
        <v>-5500000</v>
      </c>
      <c r="J16" s="61">
        <f>'FM Summary'!I59</f>
        <v>-6250000</v>
      </c>
      <c r="K16" s="61">
        <f>'FM Summary'!J59</f>
        <v>-7000000</v>
      </c>
      <c r="L16" s="61">
        <f>'FM Summary'!K59</f>
        <v>-7750000</v>
      </c>
    </row>
    <row r="17" spans="1:13" x14ac:dyDescent="0.2">
      <c r="A17" s="276" t="s">
        <v>1293</v>
      </c>
      <c r="B17" s="237">
        <f t="shared" ref="B17:L17" si="0">SUM(B13:B16)</f>
        <v>0</v>
      </c>
      <c r="C17" s="61">
        <f t="shared" si="0"/>
        <v>2719635.2</v>
      </c>
      <c r="D17" s="61">
        <f t="shared" si="0"/>
        <v>1719939.2000000002</v>
      </c>
      <c r="E17" s="61">
        <f t="shared" si="0"/>
        <v>2000000</v>
      </c>
      <c r="F17" s="61">
        <f t="shared" si="0"/>
        <v>2600000</v>
      </c>
      <c r="G17" s="61">
        <f t="shared" si="0"/>
        <v>3200000</v>
      </c>
      <c r="H17" s="61">
        <f t="shared" si="0"/>
        <v>3800000</v>
      </c>
      <c r="I17" s="61">
        <f t="shared" si="0"/>
        <v>4400000</v>
      </c>
      <c r="J17" s="61">
        <f t="shared" si="0"/>
        <v>5000000</v>
      </c>
      <c r="K17" s="61">
        <f t="shared" si="0"/>
        <v>5600000</v>
      </c>
      <c r="L17" s="61">
        <f t="shared" si="0"/>
        <v>6200000</v>
      </c>
      <c r="M17" s="216"/>
    </row>
    <row r="18" spans="1:13" ht="13.5" thickBot="1" x14ac:dyDescent="0.25">
      <c r="B18" s="237"/>
    </row>
    <row r="19" spans="1:13" ht="16.5" thickBot="1" x14ac:dyDescent="0.3">
      <c r="A19" s="304" t="s">
        <v>1294</v>
      </c>
      <c r="B19" s="305">
        <f>NPV('general info'!B45,C17:L17)</f>
        <v>17310238.568096135</v>
      </c>
    </row>
    <row r="20" spans="1:13" x14ac:dyDescent="0.2">
      <c r="C20" s="303"/>
      <c r="D20" s="303"/>
      <c r="E20" s="303"/>
      <c r="F20" s="303"/>
      <c r="G20" s="303"/>
      <c r="H20" s="303"/>
      <c r="I20" s="303"/>
      <c r="J20" s="303"/>
      <c r="K20" s="303"/>
      <c r="L20" s="303"/>
    </row>
    <row r="73" spans="2:2" x14ac:dyDescent="0.2">
      <c r="B73" s="208"/>
    </row>
    <row r="84" spans="2:2" x14ac:dyDescent="0.2">
      <c r="B84" s="208"/>
    </row>
  </sheetData>
  <pageMargins left="0.5" right="0.5" top="1" bottom="1" header="0.5" footer="0.5"/>
  <pageSetup scale="64" orientation="landscape" r:id="rId1"/>
  <headerFooter alignWithMargins="0"/>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A1:DX531"/>
  <sheetViews>
    <sheetView workbookViewId="0">
      <pane xSplit="1" topLeftCell="H1" activePane="topRight" state="frozen"/>
      <selection activeCell="A6" sqref="A6"/>
      <selection pane="topRight" activeCell="I12" sqref="I12:I25"/>
    </sheetView>
  </sheetViews>
  <sheetFormatPr defaultRowHeight="12.75" x14ac:dyDescent="0.2"/>
  <cols>
    <col min="1" max="1" width="21.85546875" style="383" customWidth="1"/>
    <col min="2" max="2" width="13.85546875" style="519" customWidth="1"/>
    <col min="3" max="4" width="13.85546875" customWidth="1"/>
    <col min="5" max="5" width="13.28515625" customWidth="1"/>
    <col min="6" max="6" width="17.140625" customWidth="1"/>
    <col min="7" max="7" width="20" customWidth="1"/>
    <col min="8" max="8" width="13.85546875" customWidth="1"/>
    <col min="9" max="9" width="17.140625" customWidth="1"/>
    <col min="10" max="10" width="13.140625" customWidth="1"/>
    <col min="11" max="11" width="13.7109375" customWidth="1"/>
    <col min="12" max="12" width="12.5703125" customWidth="1"/>
    <col min="13" max="13" width="13" customWidth="1"/>
    <col min="14" max="14" width="12.5703125" customWidth="1"/>
    <col min="15" max="15" width="12.7109375" customWidth="1"/>
    <col min="16" max="16" width="13.28515625" style="562" customWidth="1"/>
    <col min="17" max="17" width="14.7109375" style="557" customWidth="1"/>
    <col min="18" max="18" width="10.85546875" style="554" customWidth="1"/>
    <col min="19" max="19" width="11" style="562" customWidth="1"/>
    <col min="20" max="20" width="10.7109375" style="557" bestFit="1" customWidth="1"/>
    <col min="21" max="21" width="10.7109375" style="554" bestFit="1" customWidth="1"/>
    <col min="22" max="22" width="10.7109375" style="562" bestFit="1" customWidth="1"/>
    <col min="23" max="23" width="10.7109375" style="438" bestFit="1" customWidth="1"/>
    <col min="24" max="24" width="10.7109375" style="554" bestFit="1" customWidth="1"/>
    <col min="25" max="25" width="10.7109375" style="562" bestFit="1" customWidth="1"/>
    <col min="26" max="26" width="10.7109375" style="557" bestFit="1" customWidth="1"/>
    <col min="27" max="27" width="10.7109375" style="562" bestFit="1" customWidth="1"/>
    <col min="28" max="28" width="10" style="557" customWidth="1"/>
    <col min="29" max="29" width="10.5703125" style="562" customWidth="1"/>
    <col min="30" max="30" width="10.5703125" style="557" customWidth="1"/>
    <col min="31" max="31" width="10.7109375" style="562" customWidth="1"/>
    <col min="32" max="32" width="11.140625" style="557" customWidth="1"/>
    <col min="33" max="33" width="12.28515625" style="567" customWidth="1"/>
    <col min="34" max="34" width="13.28515625" style="567" customWidth="1"/>
    <col min="35" max="36" width="13.28515625" style="578" customWidth="1"/>
    <col min="37" max="37" width="12.7109375" style="548" customWidth="1"/>
    <col min="38" max="38" width="15.140625" style="438" customWidth="1"/>
    <col min="39" max="39" width="13.42578125" style="553" bestFit="1" customWidth="1"/>
    <col min="40" max="40" width="14.28515625" style="438" bestFit="1" customWidth="1"/>
    <col min="41" max="41" width="11.5703125" style="438" customWidth="1"/>
    <col min="42" max="43" width="11.140625" style="438" bestFit="1" customWidth="1"/>
    <col min="44" max="44" width="9.7109375" style="438" bestFit="1" customWidth="1"/>
    <col min="45" max="45" width="13.85546875" style="438" bestFit="1" customWidth="1"/>
    <col min="46" max="46" width="9.7109375" style="438" bestFit="1" customWidth="1"/>
    <col min="47" max="47" width="11.140625" style="438" bestFit="1" customWidth="1"/>
    <col min="48" max="49" width="9.140625" style="438"/>
    <col min="50" max="50" width="12.140625" style="438" bestFit="1" customWidth="1"/>
    <col min="51" max="51" width="13.140625" style="438" bestFit="1" customWidth="1"/>
    <col min="52" max="52" width="9.140625" style="438"/>
    <col min="53" max="53" width="10.140625" style="438" customWidth="1"/>
    <col min="54" max="55" width="10.7109375" style="438" customWidth="1"/>
    <col min="56" max="56" width="10.85546875" style="438" customWidth="1"/>
    <col min="57" max="57" width="9" style="438" customWidth="1"/>
    <col min="58" max="58" width="8.5703125" style="438" customWidth="1"/>
    <col min="59" max="59" width="9.5703125" style="438" customWidth="1"/>
    <col min="60" max="60" width="10.7109375" style="438" customWidth="1"/>
    <col min="61" max="61" width="13.7109375" style="438" customWidth="1"/>
    <col min="62" max="63" width="10.140625" style="438" customWidth="1"/>
    <col min="64" max="64" width="10.140625" style="438" bestFit="1" customWidth="1"/>
    <col min="65" max="65" width="10.7109375" style="438" bestFit="1" customWidth="1"/>
    <col min="66" max="66" width="10.5703125" style="438" customWidth="1"/>
    <col min="67" max="67" width="10.140625" style="438" bestFit="1" customWidth="1"/>
    <col min="68" max="68" width="9.140625" style="438"/>
    <col min="69" max="69" width="10.140625" style="438" bestFit="1" customWidth="1"/>
    <col min="70" max="70" width="9.140625" style="438"/>
    <col min="71" max="71" width="10.7109375" style="438" bestFit="1" customWidth="1"/>
    <col min="72" max="72" width="13.7109375" style="438" customWidth="1"/>
    <col min="73" max="74" width="11.5703125" style="438" customWidth="1"/>
    <col min="75" max="75" width="11.28515625" style="438" customWidth="1"/>
    <col min="76" max="81" width="10.140625" style="438" customWidth="1"/>
    <col min="82" max="83" width="9.140625" style="438"/>
    <col min="84" max="84" width="9.7109375" style="438" bestFit="1" customWidth="1"/>
    <col min="85" max="89" width="9.140625" style="438"/>
    <col min="90" max="90" width="9.7109375" style="438" bestFit="1" customWidth="1"/>
    <col min="91" max="91" width="9.140625" style="438"/>
    <col min="92" max="92" width="12.5703125" style="438" customWidth="1"/>
    <col min="93" max="93" width="9.140625" style="438"/>
    <col min="94" max="99" width="13.85546875" style="438" customWidth="1"/>
    <col min="100" max="100" width="11.42578125" style="438" customWidth="1"/>
    <col min="101" max="101" width="10.140625" style="438" bestFit="1" customWidth="1"/>
    <col min="102" max="102" width="12.28515625" style="438" customWidth="1"/>
    <col min="103" max="103" width="11.85546875" style="438" customWidth="1"/>
    <col min="104" max="104" width="10.140625" style="438" customWidth="1"/>
    <col min="105" max="106" width="13.85546875" style="438" customWidth="1"/>
    <col min="107" max="107" width="11.42578125" style="438" customWidth="1"/>
    <col min="108" max="108" width="10.140625" style="438" customWidth="1"/>
    <col min="109" max="109" width="12.28515625" style="438" customWidth="1"/>
    <col min="110" max="110" width="11.85546875" style="438" customWidth="1"/>
    <col min="111" max="111" width="9.140625" style="438"/>
    <col min="112" max="112" width="12.5703125" style="940" customWidth="1"/>
    <col min="113" max="114" width="12.7109375" style="940" customWidth="1"/>
    <col min="115" max="115" width="13.140625" style="438" customWidth="1"/>
    <col min="116" max="116" width="12.5703125" customWidth="1"/>
    <col min="117" max="117" width="9.140625" style="438"/>
    <col min="118" max="119" width="11.5703125" style="940" customWidth="1"/>
    <col min="120" max="120" width="9.140625" style="438"/>
    <col min="121" max="122" width="10.140625" style="438" customWidth="1"/>
  </cols>
  <sheetData>
    <row r="1" spans="1:128" x14ac:dyDescent="0.2">
      <c r="A1" s="515" t="s">
        <v>1365</v>
      </c>
      <c r="B1" s="516"/>
      <c r="I1" t="s">
        <v>867</v>
      </c>
      <c r="K1" t="s">
        <v>862</v>
      </c>
      <c r="R1" s="657"/>
      <c r="S1" s="657"/>
      <c r="T1" s="657"/>
      <c r="U1" s="657"/>
      <c r="V1" s="657"/>
      <c r="W1" s="657"/>
      <c r="X1" s="657"/>
      <c r="Y1" s="657"/>
      <c r="Z1" s="657"/>
      <c r="AA1" s="657"/>
      <c r="AB1" s="657"/>
      <c r="AC1" s="657"/>
      <c r="AG1" s="562"/>
      <c r="AH1" s="557"/>
      <c r="AI1" s="567"/>
      <c r="AJ1" s="567"/>
      <c r="AK1" s="578"/>
      <c r="AL1" s="578"/>
      <c r="AM1" s="548"/>
      <c r="AO1" s="553"/>
      <c r="DS1" s="438"/>
      <c r="DT1" s="438"/>
    </row>
    <row r="2" spans="1:128" ht="13.5" thickBot="1" x14ac:dyDescent="0.25">
      <c r="A2" s="515" t="s">
        <v>374</v>
      </c>
      <c r="B2" s="516"/>
      <c r="H2" s="380" t="s">
        <v>393</v>
      </c>
      <c r="I2" s="386">
        <f>K2-0.01</f>
        <v>9.7200000000000009E-2</v>
      </c>
      <c r="J2" s="386">
        <f>I2/12</f>
        <v>8.1000000000000013E-3</v>
      </c>
      <c r="K2" s="384">
        <v>0.1072</v>
      </c>
      <c r="L2" s="975">
        <f>K2/12</f>
        <v>8.9333333333333331E-3</v>
      </c>
      <c r="M2" s="384"/>
      <c r="N2" s="619" t="s">
        <v>1244</v>
      </c>
      <c r="O2" s="976">
        <f>-SUM(I12:I25)</f>
        <v>33178880</v>
      </c>
      <c r="R2" s="657"/>
      <c r="S2" s="657"/>
      <c r="T2" s="657"/>
      <c r="U2" s="657"/>
      <c r="V2" s="657"/>
      <c r="W2" s="665"/>
      <c r="X2" s="665"/>
      <c r="Y2" s="665"/>
      <c r="Z2" s="665"/>
      <c r="AA2" s="665"/>
      <c r="AB2" s="665"/>
      <c r="AC2" s="665"/>
      <c r="AD2" s="665"/>
      <c r="AE2" s="665"/>
      <c r="AF2" s="665">
        <f>SUM($R$120:$R$131)+SUM($U$120:$U$131)+0.95*SUM($AY$120:$AY$131)*'wholesale services'!L104/'wholesale services'!$C$111+0.05*SUM($AY$120:$AY$131)*'wholesale services'!M108/'wholesale services'!$C$114</f>
        <v>39832398.319238603</v>
      </c>
      <c r="AG2" s="562"/>
      <c r="AH2" s="557"/>
      <c r="AI2" s="567"/>
      <c r="AJ2" s="567"/>
      <c r="AK2" s="578"/>
      <c r="AL2" s="578"/>
      <c r="AM2" s="548"/>
      <c r="AO2" s="553"/>
      <c r="DI2" s="941"/>
      <c r="DJ2" s="941"/>
      <c r="DL2" s="384"/>
      <c r="DS2" s="438"/>
      <c r="DT2" s="438"/>
    </row>
    <row r="3" spans="1:128" ht="14.25" thickTop="1" thickBot="1" x14ac:dyDescent="0.25">
      <c r="A3" s="515" t="s">
        <v>877</v>
      </c>
      <c r="B3" s="516"/>
      <c r="H3" s="380" t="s">
        <v>394</v>
      </c>
      <c r="I3" s="386">
        <f>K3-0.0075</f>
        <v>8.72E-2</v>
      </c>
      <c r="J3" s="386">
        <f>I3/12</f>
        <v>7.2666666666666669E-3</v>
      </c>
      <c r="K3" s="975">
        <v>9.4700000000000006E-2</v>
      </c>
      <c r="L3" s="975">
        <f>K3/12</f>
        <v>7.8916666666666666E-3</v>
      </c>
      <c r="M3" s="384"/>
      <c r="Q3" s="620"/>
      <c r="R3" s="621" t="s">
        <v>1465</v>
      </c>
      <c r="S3" s="647" t="s">
        <v>862</v>
      </c>
      <c r="T3" s="660"/>
      <c r="U3" s="660"/>
      <c r="V3" s="557" t="s">
        <v>1205</v>
      </c>
      <c r="W3" s="665">
        <v>34577149.999999993</v>
      </c>
      <c r="X3" s="665">
        <v>30757769.999999996</v>
      </c>
      <c r="Y3" s="665">
        <v>26938389.999999996</v>
      </c>
      <c r="Z3" s="665">
        <v>26938389.999999996</v>
      </c>
      <c r="AA3" s="665">
        <v>26938389.999999996</v>
      </c>
      <c r="AB3" s="665">
        <v>26938389.999999996</v>
      </c>
      <c r="AC3" s="665">
        <v>26938389.999999996</v>
      </c>
      <c r="AD3" s="665">
        <v>26938389.999999996</v>
      </c>
      <c r="AE3" s="665">
        <v>26938389.999999996</v>
      </c>
      <c r="AF3" s="665">
        <v>26938389.999999996</v>
      </c>
      <c r="AG3" s="562"/>
      <c r="AH3" s="557"/>
      <c r="AI3" s="567"/>
      <c r="AJ3" s="567"/>
      <c r="AK3" s="635" t="s">
        <v>1210</v>
      </c>
      <c r="AL3" s="578"/>
      <c r="AM3" s="636" t="s">
        <v>1209</v>
      </c>
      <c r="AO3" s="553"/>
      <c r="DL3" s="384"/>
      <c r="DS3" s="438"/>
      <c r="DT3" s="438"/>
    </row>
    <row r="4" spans="1:128" ht="14.25" thickTop="1" thickBot="1" x14ac:dyDescent="0.25">
      <c r="A4" s="515"/>
      <c r="B4" s="516"/>
      <c r="H4" s="380"/>
      <c r="J4" s="380"/>
      <c r="K4" s="386">
        <v>9.4700000000000006E-2</v>
      </c>
      <c r="Q4" s="622" t="s">
        <v>1234</v>
      </c>
      <c r="R4" s="1023">
        <f>O2/R5</f>
        <v>3.8651584972343613</v>
      </c>
      <c r="S4" s="691">
        <v>3.92</v>
      </c>
      <c r="T4" s="661"/>
      <c r="U4" s="661"/>
      <c r="V4" s="557"/>
      <c r="W4" s="665">
        <f>SUM($R$12:$R$23)+0.95*SUM($AY$12:$AY$23)*'wholesale services'!C111/'wholesale services'!C111</f>
        <v>39845850</v>
      </c>
      <c r="X4" s="665">
        <f>SUM($R$24:$R$35)+0.95*SUM($AY$24:$AY$35)*'wholesale services'!D111/'wholesale services'!C111</f>
        <v>33614230</v>
      </c>
      <c r="Y4" s="665">
        <f>SUM($R$36:$R$47)+0.95*SUM($AY$36:$AY$47)*'wholesale services'!D111/'wholesale services'!C111</f>
        <v>32367906.000000004</v>
      </c>
      <c r="Z4" s="665">
        <f>SUM($R$48:$R$59)+0.95*SUM($AY$48:$AY$59)*'wholesale services'!E111/'wholesale services'!C111</f>
        <v>32367906.000000004</v>
      </c>
      <c r="AA4" s="665"/>
      <c r="AB4" s="665"/>
      <c r="AC4" s="665"/>
      <c r="AD4" s="665"/>
      <c r="AE4" s="665"/>
      <c r="AF4" s="665"/>
      <c r="AG4" s="562"/>
      <c r="AH4" s="557"/>
      <c r="AI4" s="567"/>
      <c r="AJ4" s="567"/>
      <c r="AK4" s="635">
        <f>SUM(AO12:AO131)</f>
        <v>593834011.52711654</v>
      </c>
      <c r="AL4" s="578"/>
      <c r="AM4" s="636">
        <f>AK4+'RMPM-Redis'!T5+'RMPM-FM'!K5</f>
        <v>1395373360.4272583</v>
      </c>
      <c r="AO4" s="553"/>
      <c r="BA4" s="692"/>
      <c r="BK4" s="694" t="s">
        <v>997</v>
      </c>
      <c r="BL4" s="695" t="str">
        <f>'wholesale services'!C10</f>
        <v>mid</v>
      </c>
      <c r="DQ4" s="965"/>
      <c r="DR4" s="965"/>
      <c r="DS4" s="438"/>
      <c r="DT4" s="438"/>
    </row>
    <row r="5" spans="1:128" ht="13.5" thickTop="1" x14ac:dyDescent="0.2">
      <c r="A5" s="515" t="s">
        <v>375</v>
      </c>
      <c r="B5" s="516"/>
      <c r="H5" s="380" t="s">
        <v>395</v>
      </c>
      <c r="I5" s="446">
        <f>SUM(DK12:DK25)</f>
        <v>-35266995.349185854</v>
      </c>
      <c r="J5" s="380"/>
      <c r="K5" s="976">
        <f>SUM(K12:K25)</f>
        <v>-35490271.439049244</v>
      </c>
      <c r="L5" s="446">
        <f>SUM(L10:L24)</f>
        <v>0</v>
      </c>
      <c r="M5" s="641" t="s">
        <v>1233</v>
      </c>
      <c r="N5" s="642" t="s">
        <v>1465</v>
      </c>
      <c r="O5" s="643" t="s">
        <v>862</v>
      </c>
      <c r="Q5" s="623" t="s">
        <v>1245</v>
      </c>
      <c r="R5" s="680">
        <v>8584093</v>
      </c>
      <c r="S5" s="624">
        <f>$O$2/S4</f>
        <v>8464000</v>
      </c>
      <c r="T5" s="662"/>
      <c r="U5" s="662"/>
      <c r="V5" s="659">
        <f>NPV('general info'!B45,W5:AF5)</f>
        <v>2032074.3659213325</v>
      </c>
      <c r="W5" s="666">
        <f>W7-W6</f>
        <v>0</v>
      </c>
      <c r="X5" s="666">
        <f t="shared" ref="X5:AD5" si="0">X7-X6</f>
        <v>420887.48543199897</v>
      </c>
      <c r="Y5" s="666">
        <f t="shared" si="0"/>
        <v>499565.45927104354</v>
      </c>
      <c r="Z5" s="666">
        <f t="shared" si="0"/>
        <v>490988.36965933442</v>
      </c>
      <c r="AA5" s="666">
        <f t="shared" si="0"/>
        <v>480544.36464334652</v>
      </c>
      <c r="AB5" s="666">
        <f t="shared" si="0"/>
        <v>468246.40172029287</v>
      </c>
      <c r="AC5" s="666">
        <f t="shared" si="0"/>
        <v>454106.74935254455</v>
      </c>
      <c r="AD5" s="666">
        <f t="shared" si="0"/>
        <v>438136.95825055987</v>
      </c>
      <c r="AE5" s="666">
        <f>AE7-AE6</f>
        <v>420347.84777309</v>
      </c>
      <c r="AF5" s="666">
        <f>AF7-AF6</f>
        <v>400749.50572168082</v>
      </c>
      <c r="AG5" s="562"/>
      <c r="AH5" s="557"/>
      <c r="AI5" s="567"/>
      <c r="AJ5" s="567"/>
      <c r="AK5" s="578"/>
      <c r="AL5" s="578"/>
      <c r="AM5" s="548"/>
      <c r="AO5" s="553"/>
      <c r="BO5" s="693" t="s">
        <v>994</v>
      </c>
      <c r="BP5" s="693"/>
      <c r="BQ5" s="693">
        <f>BU10-BJ10</f>
        <v>13570008.721347023</v>
      </c>
      <c r="DH5" s="942"/>
      <c r="DI5" s="942"/>
      <c r="DJ5" s="942"/>
      <c r="DL5" s="446"/>
      <c r="DN5" s="942"/>
      <c r="DO5" s="942"/>
      <c r="DQ5" s="969"/>
      <c r="DR5" s="969"/>
      <c r="DS5" s="438"/>
      <c r="DT5" s="438"/>
    </row>
    <row r="6" spans="1:128" ht="13.5" thickBot="1" x14ac:dyDescent="0.25">
      <c r="A6" s="515" t="s">
        <v>376</v>
      </c>
      <c r="B6" s="516"/>
      <c r="I6" s="380"/>
      <c r="J6" s="380"/>
      <c r="M6" s="644"/>
      <c r="N6" s="645">
        <v>-2454974</v>
      </c>
      <c r="O6" s="646">
        <v>-2354974</v>
      </c>
      <c r="Q6" s="625" t="s">
        <v>1246</v>
      </c>
      <c r="R6" s="626">
        <f>PMT($K$4,9,-$O$2)</f>
        <v>5640387.7320202142</v>
      </c>
      <c r="S6" s="627">
        <f>PMT($K$4,9,-$O$2)</f>
        <v>5640387.7320202142</v>
      </c>
      <c r="T6" s="663"/>
      <c r="U6" s="663"/>
      <c r="V6" s="887" t="s">
        <v>613</v>
      </c>
      <c r="W6" s="665">
        <f>SUM($Q$12:$Q$23)+SUM($T$12:$T$23)+SUM($AX$12:$AX$23)</f>
        <v>40715201.510708436</v>
      </c>
      <c r="X6" s="665">
        <f>SUM($Q$24:$Q$35)+SUM($T$24:$T$35)+SUM($AX$24:$AX$35)</f>
        <v>33567314.169408724</v>
      </c>
      <c r="Y6" s="665">
        <f>SUM($Q$36:$Q$47)+SUM($T$36:$T$47)+SUM($AX$36:$AX$47)</f>
        <v>32155672.550288737</v>
      </c>
      <c r="Z6" s="665">
        <f>SUM($Q$48:$Q$59)+SUM($T$48:$T$59)+SUM($AX$48:$AX$59)</f>
        <v>32185368.303032786</v>
      </c>
      <c r="AA6" s="665">
        <f>SUM($Q$60:$Q$71)+SUM($T$60:$T$71)+SUM($AX$60:$AX$71)</f>
        <v>32221527.723611653</v>
      </c>
      <c r="AB6" s="665">
        <f>SUM($Q$72:$Q$83)+SUM($T$72:$T$83)+SUM($AX$72:$AX$83)</f>
        <v>32264105.950347237</v>
      </c>
      <c r="AC6" s="665">
        <f>SUM($Q$84:$Q$95)+SUM($T$84:$T$95)+SUM($AX$84:$AX$95)</f>
        <v>32313060.507150076</v>
      </c>
      <c r="AD6" s="665">
        <f>SUM($Q$96:$Q$107)+SUM($T$96:$T$107)+SUM($AX$96:$AX$107)</f>
        <v>32368351.402944311</v>
      </c>
      <c r="AE6" s="665">
        <f>SUM($Q$108:$Q$119)+SUM($T$108:$T$119)+SUM($AX$108:$AX$119)</f>
        <v>32429941.178752922</v>
      </c>
      <c r="AF6" s="665">
        <f>SUM($Q$120:$Q$131)+SUM($T$120:$T$131)+SUM($AX$120:$AX$131)</f>
        <v>32497794.908409387</v>
      </c>
      <c r="AG6" s="562"/>
      <c r="AH6" s="557"/>
      <c r="AI6" s="567"/>
      <c r="AJ6" s="567"/>
      <c r="AK6" s="578"/>
      <c r="AL6" s="578"/>
      <c r="AM6" s="548"/>
      <c r="AO6" s="553"/>
      <c r="AX6" s="677">
        <f>12*(1+1-'wholesale services'!C79)+1</f>
        <v>14.999999999999998</v>
      </c>
      <c r="BA6" s="438" t="s">
        <v>995</v>
      </c>
      <c r="BL6" s="438" t="s">
        <v>996</v>
      </c>
      <c r="CN6" s="693" t="s">
        <v>1132</v>
      </c>
      <c r="CO6" s="693"/>
      <c r="CP6" s="693" t="s">
        <v>1332</v>
      </c>
      <c r="CQ6" s="693"/>
      <c r="CR6" s="693"/>
      <c r="CS6" s="693"/>
      <c r="CT6" s="693"/>
      <c r="CU6" s="693"/>
      <c r="DA6" s="693"/>
      <c r="DB6" s="693"/>
      <c r="DH6" s="943"/>
      <c r="DI6" s="943"/>
      <c r="DJ6" s="943"/>
      <c r="DN6" s="943"/>
      <c r="DO6" s="943"/>
      <c r="DQ6" s="969"/>
      <c r="DR6" s="969"/>
      <c r="DS6" s="438"/>
      <c r="DT6" s="438"/>
    </row>
    <row r="7" spans="1:128" ht="14.25" thickTop="1" thickBot="1" x14ac:dyDescent="0.25">
      <c r="A7" s="515"/>
      <c r="B7" s="516"/>
      <c r="I7" s="380" t="s">
        <v>396</v>
      </c>
      <c r="J7" s="380"/>
      <c r="K7" s="446">
        <f>33178880/14</f>
        <v>2369920</v>
      </c>
      <c r="L7" s="446"/>
      <c r="Q7" s="628" t="s">
        <v>1247</v>
      </c>
      <c r="R7" s="654">
        <f>R6-R5</f>
        <v>-2943705.2679797858</v>
      </c>
      <c r="S7" s="655">
        <f>S6-S5</f>
        <v>-2823612.2679797858</v>
      </c>
      <c r="T7" s="664"/>
      <c r="U7" s="664"/>
      <c r="V7" s="557" t="s">
        <v>989</v>
      </c>
      <c r="W7" s="665">
        <f>'wholesale services'!$D$112+'wholesale services'!$D$115</f>
        <v>40715201.510708436</v>
      </c>
      <c r="X7" s="665">
        <f>'wholesale services'!$E$112+'wholesale services'!$E$115</f>
        <v>33988201.654840723</v>
      </c>
      <c r="Y7" s="665">
        <f>'wholesale services'!$F$112+'wholesale services'!$F$115</f>
        <v>32655238.00955978</v>
      </c>
      <c r="Z7" s="665">
        <f>'wholesale services'!$G$112+'wholesale services'!$G$115</f>
        <v>32676356.67269212</v>
      </c>
      <c r="AA7" s="665">
        <f>'wholesale services'!$H$112+'wholesale services'!$H$115</f>
        <v>32702072.088254999</v>
      </c>
      <c r="AB7" s="665">
        <f>'wholesale services'!$I$112+'wholesale services'!$I$115</f>
        <v>32732352.35206753</v>
      </c>
      <c r="AC7" s="665">
        <f>'wholesale services'!$J$112+'wholesale services'!$J$115</f>
        <v>32767167.256502621</v>
      </c>
      <c r="AD7" s="665">
        <f>'wholesale services'!$K$112+'wholesale services'!$K$115</f>
        <v>32806488.361194871</v>
      </c>
      <c r="AE7" s="665">
        <f>'wholesale services'!$L$112+'wholesale services'!$L$115</f>
        <v>32850289.026526012</v>
      </c>
      <c r="AF7" s="665">
        <f>'wholesale services'!$M$112+'wholesale services'!$M$115</f>
        <v>32898544.414131068</v>
      </c>
      <c r="AG7" s="562"/>
      <c r="AH7" s="557"/>
      <c r="AI7" s="567"/>
      <c r="AJ7" s="567"/>
      <c r="AK7" s="578"/>
      <c r="AL7" s="582"/>
      <c r="AM7" s="548"/>
      <c r="AO7" s="553"/>
      <c r="CE7" s="438" t="s">
        <v>1245</v>
      </c>
      <c r="CP7" s="438" t="s">
        <v>1333</v>
      </c>
      <c r="CQ7" s="438" t="s">
        <v>1335</v>
      </c>
      <c r="CR7" s="438" t="s">
        <v>1279</v>
      </c>
      <c r="CS7" s="438" t="s">
        <v>1337</v>
      </c>
      <c r="CT7" s="438" t="s">
        <v>1335</v>
      </c>
      <c r="CU7" s="438" t="s">
        <v>1279</v>
      </c>
      <c r="CV7" s="438" t="s">
        <v>1334</v>
      </c>
      <c r="CW7" s="438" t="s">
        <v>1337</v>
      </c>
      <c r="CX7" s="438" t="s">
        <v>1339</v>
      </c>
      <c r="DA7" s="438" t="s">
        <v>1335</v>
      </c>
      <c r="DB7" s="438" t="s">
        <v>1279</v>
      </c>
      <c r="DC7" s="438" t="s">
        <v>1334</v>
      </c>
      <c r="DD7" s="438" t="s">
        <v>1337</v>
      </c>
      <c r="DE7" s="438" t="s">
        <v>1339</v>
      </c>
      <c r="DS7" s="438"/>
      <c r="DT7" s="438"/>
    </row>
    <row r="8" spans="1:128" ht="13.5" thickTop="1" x14ac:dyDescent="0.2">
      <c r="A8" s="515" t="s">
        <v>149</v>
      </c>
      <c r="B8" s="602">
        <v>15</v>
      </c>
      <c r="N8" s="381">
        <f>XNPV(Breakout!$C$5,N11:N131,$B$11:$B$131)</f>
        <v>-38324060.732164353</v>
      </c>
      <c r="O8" s="381">
        <f>XNPV(Breakout!$C$5,O11:O131,$B$11:$B$131)</f>
        <v>-37787900.251900673</v>
      </c>
      <c r="Q8" s="559"/>
      <c r="T8" s="562"/>
      <c r="U8" s="562"/>
      <c r="V8" s="559" t="s">
        <v>863</v>
      </c>
      <c r="W8" s="665">
        <f>SUM($Q$12:$Q$23)+SUM($T$12:$T$23)+0.95*SUM($AX$12:$AX$23)*'wholesale services'!D111/'wholesale services'!$C$111+0.05*SUM($AX$12:$AX$23)*'wholesale services'!D114/'wholesale services'!$C$114</f>
        <v>40715201.510708436</v>
      </c>
      <c r="X8" s="665">
        <f>SUM($Q$24:$Q$35)+SUM($T$24:$T$35)+0.95*SUM($AX$24:$AX$35)*'wholesale services'!E111/'wholesale services'!$C$111+0.05*SUM($AX$24:$AX$35)*'wholesale services'!E114/'wholesale services'!$C$114</f>
        <v>33988201.65484073</v>
      </c>
      <c r="Y8" s="665">
        <f>SUM($Q$36:$Q$47)+SUM($T$36:$T$47)+0.95*SUM($AX$36:$AX$47)*'wholesale services'!F111/'wholesale services'!$C$111+0.05*SUM($AX$36:$AX$47)*'wholesale services'!F114/'wholesale services'!$C$114</f>
        <v>32655238.009559777</v>
      </c>
      <c r="Z8" s="665">
        <f>SUM($Q$48:$Q$59)+SUM($T$48:$T$59)+0.95*SUM($AX$48:$AX$59)*'wholesale services'!G111/'wholesale services'!$C$111+0.05*SUM($AX$48:$AX$59)*'wholesale services'!G114/'wholesale services'!$C$114</f>
        <v>32676356.67269212</v>
      </c>
      <c r="AA8" s="665">
        <f>SUM($Q$60:$Q$71)+SUM($T$60:$T$71)+0.95*SUM($AX$60:$AX$71)*'wholesale services'!H111/'wholesale services'!$C$111+0.05*SUM($AX$60:$AX$71)*'wholesale services'!H114/'wholesale services'!$C$114</f>
        <v>32702072.088255003</v>
      </c>
      <c r="AB8" s="665">
        <f>SUM($Q$72:$Q$83)+SUM($T$72:$T$83)+0.95*SUM($AX$72:$AX$83)*'wholesale services'!I111/'wholesale services'!$C$111+0.05*SUM($AX$72:$AX$83)*'wholesale services'!I114/'wholesale services'!$C$114</f>
        <v>32732352.352067526</v>
      </c>
      <c r="AC8" s="665">
        <f>SUM($Q$84:$Q$95)+SUM($T$84:$T$95)+0.95*SUM($AX$84:$AX$95)*'wholesale services'!J111/'wholesale services'!$C$111+0.05*SUM($AX$84:$AX$95)*'wholesale services'!J114/'wholesale services'!$C$114</f>
        <v>32767167.256502621</v>
      </c>
      <c r="AD8" s="665">
        <f>SUM($Q$96:$Q$107)+SUM($T$96:$T$107)+0.95*SUM($AX$96:$AX$107)*'wholesale services'!K111/'wholesale services'!$C$111+0.05*SUM($AX$96:$AX$107)*'wholesale services'!K114/'wholesale services'!$C$114</f>
        <v>32806488.361194871</v>
      </c>
      <c r="AE8" s="665">
        <f>SUM($Q$108:$Q$119)+SUM($T$108:$T$119)+0.95*SUM($AX$108:$AX$119)*'wholesale services'!L111/'wholesale services'!$C$111+0.05*SUM($AX$108:$AX$119)*'wholesale services'!L114/'wholesale services'!$C$114</f>
        <v>32850289.026526015</v>
      </c>
      <c r="AF8" s="665">
        <f>SUM($Q$120:$Q$131)+SUM($T$120:$T$131)+0.95*SUM($AX$120:$AX$131)*'wholesale services'!M111/'wholesale services'!$C$111+0.05*SUM($AX$120:$AX$131)*'wholesale services'!M114/'wholesale services'!$C$114</f>
        <v>32898544.414131068</v>
      </c>
      <c r="AG8" s="562"/>
      <c r="AH8" s="557"/>
      <c r="AI8" s="567"/>
      <c r="AJ8" s="567"/>
      <c r="AK8" s="578"/>
      <c r="AL8" s="578"/>
      <c r="AM8" s="548"/>
      <c r="AO8" s="553"/>
      <c r="AQ8" s="438" t="s">
        <v>877</v>
      </c>
      <c r="AU8" s="520" t="s">
        <v>769</v>
      </c>
      <c r="AV8" s="520"/>
      <c r="AW8" s="520"/>
      <c r="AX8" s="678">
        <f>XNPV(Breakout!$C$5,AX11:AX131,$B$11:$B$131)</f>
        <v>-38324060.732164353</v>
      </c>
      <c r="AY8" s="678">
        <f>XNPV(Breakout!$C$5,AY11:AY131,$B$11:$B$131)</f>
        <v>-37787900.251900673</v>
      </c>
      <c r="AZ8" s="520"/>
      <c r="BA8" s="520" t="s">
        <v>769</v>
      </c>
      <c r="BB8" s="520" t="s">
        <v>772</v>
      </c>
      <c r="BC8" s="520" t="s">
        <v>774</v>
      </c>
      <c r="BD8" s="520" t="s">
        <v>1098</v>
      </c>
      <c r="BE8" s="520" t="s">
        <v>775</v>
      </c>
      <c r="BF8" s="520" t="s">
        <v>776</v>
      </c>
      <c r="BG8" s="520" t="s">
        <v>1202</v>
      </c>
      <c r="BH8" s="520" t="s">
        <v>1203</v>
      </c>
      <c r="BI8" s="520" t="s">
        <v>782</v>
      </c>
      <c r="BJ8" s="572" t="s">
        <v>682</v>
      </c>
      <c r="BL8" s="520" t="s">
        <v>769</v>
      </c>
      <c r="BM8" s="520" t="s">
        <v>772</v>
      </c>
      <c r="BN8" s="520" t="s">
        <v>774</v>
      </c>
      <c r="BO8" s="520" t="s">
        <v>1098</v>
      </c>
      <c r="BP8" s="520" t="s">
        <v>775</v>
      </c>
      <c r="BQ8" s="520" t="s">
        <v>776</v>
      </c>
      <c r="BR8" s="520" t="s">
        <v>1202</v>
      </c>
      <c r="BS8" s="520" t="s">
        <v>1203</v>
      </c>
      <c r="BT8" s="520" t="s">
        <v>782</v>
      </c>
      <c r="BU8" s="572" t="s">
        <v>682</v>
      </c>
      <c r="BV8" s="572"/>
      <c r="BW8" s="438" t="s">
        <v>1205</v>
      </c>
      <c r="BX8" s="438" t="s">
        <v>1206</v>
      </c>
      <c r="BY8" s="438" t="s">
        <v>1207</v>
      </c>
      <c r="BZ8" s="438" t="s">
        <v>990</v>
      </c>
      <c r="CA8" s="438" t="s">
        <v>991</v>
      </c>
      <c r="CB8" s="438" t="s">
        <v>992</v>
      </c>
      <c r="CC8" s="438" t="s">
        <v>993</v>
      </c>
      <c r="CE8" s="438" t="s">
        <v>1205</v>
      </c>
      <c r="CF8" s="438" t="s">
        <v>1206</v>
      </c>
      <c r="CG8" s="438" t="s">
        <v>1207</v>
      </c>
      <c r="CI8" s="438" t="s">
        <v>867</v>
      </c>
      <c r="CJ8" s="438" t="s">
        <v>1204</v>
      </c>
      <c r="CL8" s="438" t="s">
        <v>1208</v>
      </c>
      <c r="CQ8" s="438" t="s">
        <v>1338</v>
      </c>
      <c r="CS8" s="438" t="s">
        <v>1338</v>
      </c>
      <c r="CT8" s="438" t="s">
        <v>1336</v>
      </c>
      <c r="CW8" s="438" t="s">
        <v>1338</v>
      </c>
      <c r="CX8" s="438" t="s">
        <v>1244</v>
      </c>
      <c r="DA8" s="438" t="s">
        <v>1336</v>
      </c>
      <c r="DD8" s="438" t="s">
        <v>1338</v>
      </c>
      <c r="DE8" s="438" t="s">
        <v>1244</v>
      </c>
      <c r="DH8" s="944"/>
      <c r="DI8" s="944"/>
      <c r="DJ8" s="944"/>
      <c r="DK8" s="922" t="s">
        <v>1342</v>
      </c>
      <c r="DL8" s="517" t="s">
        <v>398</v>
      </c>
      <c r="DN8" s="50" t="s">
        <v>1097</v>
      </c>
      <c r="DO8" s="50" t="s">
        <v>398</v>
      </c>
      <c r="DQ8" s="520" t="s">
        <v>769</v>
      </c>
      <c r="DR8" s="520" t="s">
        <v>772</v>
      </c>
      <c r="DS8" s="438"/>
      <c r="DT8" s="438"/>
      <c r="DU8" s="438"/>
      <c r="DV8" s="438"/>
      <c r="DW8" s="438"/>
      <c r="DX8" s="438"/>
    </row>
    <row r="9" spans="1:128" s="517" customFormat="1" x14ac:dyDescent="0.2">
      <c r="B9" s="518"/>
      <c r="C9" s="517" t="s">
        <v>377</v>
      </c>
      <c r="D9" s="517" t="s">
        <v>1279</v>
      </c>
      <c r="E9" s="517" t="s">
        <v>378</v>
      </c>
      <c r="F9" s="517" t="s">
        <v>379</v>
      </c>
      <c r="G9" s="517" t="s">
        <v>380</v>
      </c>
      <c r="H9" s="517" t="s">
        <v>381</v>
      </c>
      <c r="I9" s="517" t="s">
        <v>382</v>
      </c>
      <c r="J9" s="517" t="s">
        <v>377</v>
      </c>
      <c r="K9" s="517" t="s">
        <v>377</v>
      </c>
      <c r="L9" s="517" t="s">
        <v>398</v>
      </c>
      <c r="M9" s="517" t="s">
        <v>411</v>
      </c>
      <c r="N9" s="551" t="s">
        <v>1097</v>
      </c>
      <c r="O9" s="517" t="s">
        <v>1097</v>
      </c>
      <c r="P9" s="550" t="s">
        <v>769</v>
      </c>
      <c r="Q9" s="549" t="s">
        <v>769</v>
      </c>
      <c r="R9" s="533" t="s">
        <v>769</v>
      </c>
      <c r="S9" s="550" t="s">
        <v>772</v>
      </c>
      <c r="T9" s="549" t="s">
        <v>772</v>
      </c>
      <c r="U9" s="533" t="s">
        <v>772</v>
      </c>
      <c r="V9" s="550" t="s">
        <v>774</v>
      </c>
      <c r="W9" s="549" t="s">
        <v>774</v>
      </c>
      <c r="X9" s="533" t="s">
        <v>774</v>
      </c>
      <c r="Y9" s="550" t="s">
        <v>1098</v>
      </c>
      <c r="Z9" s="549" t="s">
        <v>1098</v>
      </c>
      <c r="AA9" s="549" t="s">
        <v>1098</v>
      </c>
      <c r="AB9" s="550" t="s">
        <v>775</v>
      </c>
      <c r="AC9" s="549" t="s">
        <v>775</v>
      </c>
      <c r="AD9" s="549" t="s">
        <v>775</v>
      </c>
      <c r="AE9" s="550" t="s">
        <v>776</v>
      </c>
      <c r="AF9" s="549" t="s">
        <v>776</v>
      </c>
      <c r="AG9" s="549" t="s">
        <v>776</v>
      </c>
      <c r="AH9" s="550" t="s">
        <v>401</v>
      </c>
      <c r="AI9" s="549" t="s">
        <v>401</v>
      </c>
      <c r="AJ9" s="549" t="s">
        <v>401</v>
      </c>
      <c r="AK9" s="568" t="s">
        <v>407</v>
      </c>
      <c r="AL9" s="568" t="s">
        <v>407</v>
      </c>
      <c r="AM9" s="568" t="s">
        <v>408</v>
      </c>
      <c r="AN9" s="568" t="s">
        <v>408</v>
      </c>
      <c r="AO9" s="579" t="s">
        <v>770</v>
      </c>
      <c r="AP9" s="579" t="s">
        <v>771</v>
      </c>
      <c r="AQ9" s="603" t="s">
        <v>409</v>
      </c>
      <c r="AR9" s="604"/>
      <c r="AS9" s="605" t="s">
        <v>410</v>
      </c>
      <c r="AT9" s="520"/>
      <c r="AU9" s="520" t="s">
        <v>1480</v>
      </c>
      <c r="AV9" s="520" t="s">
        <v>1480</v>
      </c>
      <c r="AW9" s="520"/>
      <c r="AX9" s="551" t="s">
        <v>1097</v>
      </c>
      <c r="AY9" s="517" t="s">
        <v>1097</v>
      </c>
      <c r="AZ9" s="520"/>
      <c r="BA9" s="630">
        <v>0.95</v>
      </c>
      <c r="BB9" s="630">
        <v>0.05</v>
      </c>
      <c r="BC9" s="630">
        <v>0</v>
      </c>
      <c r="BD9" s="520"/>
      <c r="BE9" s="520"/>
      <c r="BF9" s="520"/>
      <c r="BG9" s="520"/>
      <c r="BH9" s="520"/>
      <c r="BI9" s="520"/>
      <c r="BJ9" s="520"/>
      <c r="BK9" s="520"/>
      <c r="BL9" s="630">
        <v>0.95</v>
      </c>
      <c r="BM9" s="630">
        <v>0.05</v>
      </c>
      <c r="BN9" s="630">
        <v>0</v>
      </c>
      <c r="BO9" s="520"/>
      <c r="BP9" s="520"/>
      <c r="BQ9" s="520"/>
      <c r="BR9" s="520"/>
      <c r="BS9" s="520"/>
      <c r="BT9" s="520"/>
      <c r="BU9" s="572"/>
      <c r="BV9" s="572"/>
      <c r="BW9" s="520"/>
      <c r="BX9" s="520"/>
      <c r="BY9" s="520"/>
      <c r="BZ9" s="520"/>
      <c r="CA9" s="520"/>
      <c r="CB9" s="520"/>
      <c r="CC9" s="520"/>
      <c r="CD9" s="520"/>
      <c r="CE9" s="520"/>
      <c r="CF9" s="520"/>
      <c r="CG9" s="520"/>
      <c r="CH9" s="520"/>
      <c r="CI9" s="520"/>
      <c r="CJ9" s="520"/>
      <c r="CK9" s="520"/>
      <c r="CM9" s="520"/>
      <c r="CN9" s="520"/>
      <c r="CO9" s="520"/>
      <c r="CP9" s="520"/>
      <c r="CQ9" s="520"/>
      <c r="CR9" s="520"/>
      <c r="CS9" s="520"/>
      <c r="CT9" s="520"/>
      <c r="CU9" s="520"/>
      <c r="CV9" s="520"/>
      <c r="CW9" s="520"/>
      <c r="CX9" s="520"/>
      <c r="CY9" s="520"/>
      <c r="CZ9" s="520"/>
      <c r="DA9" s="520"/>
      <c r="DB9" s="520"/>
      <c r="DC9" s="520"/>
      <c r="DD9" s="520"/>
      <c r="DE9" s="520"/>
      <c r="DF9" s="520"/>
      <c r="DG9" s="520"/>
      <c r="DH9" s="945" t="s">
        <v>1097</v>
      </c>
      <c r="DI9" s="945" t="s">
        <v>1097</v>
      </c>
      <c r="DJ9" s="945"/>
      <c r="DK9" s="922" t="s">
        <v>1343</v>
      </c>
      <c r="DL9" s="517" t="s">
        <v>399</v>
      </c>
      <c r="DM9" s="520"/>
      <c r="DN9" s="968" t="s">
        <v>788</v>
      </c>
      <c r="DO9" s="968" t="s">
        <v>399</v>
      </c>
      <c r="DP9" s="520"/>
      <c r="DQ9" s="630"/>
      <c r="DR9" s="630"/>
      <c r="DS9" s="520"/>
      <c r="DT9" s="520"/>
      <c r="DU9" s="520"/>
      <c r="DV9" s="520"/>
      <c r="DW9" s="520"/>
      <c r="DX9" s="520"/>
    </row>
    <row r="10" spans="1:128" s="517" customFormat="1" x14ac:dyDescent="0.2">
      <c r="A10" s="517" t="s">
        <v>383</v>
      </c>
      <c r="B10" s="518" t="s">
        <v>384</v>
      </c>
      <c r="C10" s="517" t="s">
        <v>385</v>
      </c>
      <c r="D10" s="517" t="s">
        <v>770</v>
      </c>
      <c r="E10" s="517" t="s">
        <v>386</v>
      </c>
      <c r="F10" s="517" t="s">
        <v>387</v>
      </c>
      <c r="G10" s="517" t="s">
        <v>387</v>
      </c>
      <c r="H10" s="517" t="s">
        <v>388</v>
      </c>
      <c r="I10" s="517" t="s">
        <v>388</v>
      </c>
      <c r="J10" s="517" t="s">
        <v>397</v>
      </c>
      <c r="K10" s="517" t="s">
        <v>397</v>
      </c>
      <c r="L10" s="517" t="s">
        <v>399</v>
      </c>
      <c r="M10" s="517" t="s">
        <v>412</v>
      </c>
      <c r="N10" s="551" t="s">
        <v>391</v>
      </c>
      <c r="O10" s="517" t="s">
        <v>392</v>
      </c>
      <c r="P10" s="550" t="s">
        <v>770</v>
      </c>
      <c r="Q10" s="549" t="s">
        <v>389</v>
      </c>
      <c r="R10" s="533" t="s">
        <v>390</v>
      </c>
      <c r="S10" s="550" t="s">
        <v>770</v>
      </c>
      <c r="T10" s="549" t="s">
        <v>389</v>
      </c>
      <c r="U10" s="533" t="s">
        <v>390</v>
      </c>
      <c r="V10" s="550" t="s">
        <v>770</v>
      </c>
      <c r="W10" s="549" t="s">
        <v>389</v>
      </c>
      <c r="X10" s="533" t="s">
        <v>390</v>
      </c>
      <c r="Y10" s="550" t="s">
        <v>400</v>
      </c>
      <c r="Z10" s="549" t="s">
        <v>1117</v>
      </c>
      <c r="AA10" s="549" t="s">
        <v>390</v>
      </c>
      <c r="AB10" s="550" t="s">
        <v>400</v>
      </c>
      <c r="AC10" s="549" t="s">
        <v>1117</v>
      </c>
      <c r="AD10" s="549" t="s">
        <v>390</v>
      </c>
      <c r="AE10" s="550" t="s">
        <v>400</v>
      </c>
      <c r="AF10" s="549" t="s">
        <v>1117</v>
      </c>
      <c r="AG10" s="549" t="s">
        <v>390</v>
      </c>
      <c r="AH10" s="550" t="s">
        <v>400</v>
      </c>
      <c r="AI10" s="549" t="s">
        <v>1117</v>
      </c>
      <c r="AJ10" s="549" t="s">
        <v>390</v>
      </c>
      <c r="AK10" s="568" t="s">
        <v>1118</v>
      </c>
      <c r="AL10" s="568" t="s">
        <v>1119</v>
      </c>
      <c r="AM10" s="568" t="s">
        <v>1120</v>
      </c>
      <c r="AN10" s="568" t="s">
        <v>1121</v>
      </c>
      <c r="AO10" s="572">
        <f>XNPV(Breakout!$C$5,AO11:AO131,$B$11:$B$131)</f>
        <v>324394762.6536178</v>
      </c>
      <c r="AP10" s="572">
        <f>XNPV(Breakout!$C$5,AP11:AP131,$B$11:$B$131)</f>
        <v>329915029.96948683</v>
      </c>
      <c r="AQ10" s="572">
        <f>XNPV(Breakout!$C$5,$AQ$11:$AQ$131,$B$11:$B$131)</f>
        <v>7456606.48086002</v>
      </c>
      <c r="AR10" s="572"/>
      <c r="AS10" s="572">
        <f>XNPV(Breakout!$C$5,AS11:AS131,$B$11:$B$131)</f>
        <v>-1095700.6879047018</v>
      </c>
      <c r="AT10" s="520"/>
      <c r="AU10" s="520" t="s">
        <v>769</v>
      </c>
      <c r="AV10" s="520" t="s">
        <v>772</v>
      </c>
      <c r="AW10" s="520"/>
      <c r="AX10" s="551" t="s">
        <v>391</v>
      </c>
      <c r="AY10" s="517" t="s">
        <v>392</v>
      </c>
      <c r="AZ10" s="520"/>
      <c r="BA10" s="520">
        <f>XNPV(Breakout!$C$5,BA11:BA131,$B$11:$B$131)</f>
        <v>28801010.099417426</v>
      </c>
      <c r="BB10" s="520">
        <f>XNPV(Breakout!$C$5,BB11:BB131,$B$11:$B$131)</f>
        <v>-1113760.2261197809</v>
      </c>
      <c r="BC10" s="520">
        <f>XNPV(Breakout!$C$5,BC11:BC131,$B$11:$B$131)</f>
        <v>-135322.6646979225</v>
      </c>
      <c r="BD10" s="520">
        <f>XNPV(Breakout!$C$5,BD11:BD131,$B$11:$B$131)</f>
        <v>2516087.2104208786</v>
      </c>
      <c r="BE10" s="520">
        <f>XNPV(Breakout!$C$5,BE11:BE131,$B$11:$B$131)</f>
        <v>367825.41807263542</v>
      </c>
      <c r="BF10" s="520">
        <f>XNPV(Breakout!$C$5,BF11:BF131,$B$11:$B$131)</f>
        <v>31860.330968596063</v>
      </c>
      <c r="BG10" s="520">
        <f>XNPV(Breakout!$C$5,BG11:BG131,$B$11:$B$131)</f>
        <v>1382229.4267137414</v>
      </c>
      <c r="BH10" s="520">
        <f>XNPV(Breakout!$C$5,BH11:BH131,$B$11:$B$131)</f>
        <v>-18585116.610363528</v>
      </c>
      <c r="BI10" s="520">
        <f>XNPV(Breakout!$C$5,BI11:BI131,$B$11:$B$131)</f>
        <v>-3658206.5035520266</v>
      </c>
      <c r="BJ10" s="572">
        <f>SUM(BA10:BI10)</f>
        <v>9606606.480860021</v>
      </c>
      <c r="BK10" s="520"/>
      <c r="BL10" s="520">
        <f>XNPV(Breakout!$C$5,BL11:BL131,$B$11:$B$131)</f>
        <v>38501773.428704329</v>
      </c>
      <c r="BM10" s="520">
        <f>XNPV(Breakout!$C$5,BM11:BM131,$B$11:$B$131)</f>
        <v>-770071.54607018211</v>
      </c>
      <c r="BN10" s="520">
        <f>XNPV(Breakout!$C$5,BN11:BN131,$B$11:$B$131)</f>
        <v>37678.097534312365</v>
      </c>
      <c r="BO10" s="520">
        <f>XNPV(Breakout!$C$5,BO11:BO131,$B$11:$B$131)</f>
        <v>3774505.8565513403</v>
      </c>
      <c r="BP10" s="520">
        <f>XNPV(Breakout!$C$5,BP11:BP131,$B$11:$B$131)</f>
        <v>1525665.9440398223</v>
      </c>
      <c r="BQ10" s="520">
        <f>XNPV(Breakout!$C$5,BQ11:BQ131,$B$11:$B$131)</f>
        <v>910335.99827750376</v>
      </c>
      <c r="BR10" s="520">
        <f>XNPV(Breakout!$C$5,BR11:BR131,$B$11:$B$131)</f>
        <v>1440050.5370854766</v>
      </c>
      <c r="BS10" s="520">
        <f>XNPV(Breakout!$C$5,BS11:BS131,$B$11:$B$131)</f>
        <v>-18585116.610363528</v>
      </c>
      <c r="BT10" s="520">
        <f>XNPV(Breakout!$C$5,BT11:BT131,$B$11:$B$131)</f>
        <v>-3658206.5035520266</v>
      </c>
      <c r="BU10" s="572">
        <f>SUM(BL10:BT10)</f>
        <v>23176615.202207044</v>
      </c>
      <c r="BV10" s="572"/>
      <c r="BW10" s="520"/>
      <c r="BX10" s="520"/>
      <c r="BY10" s="520"/>
      <c r="BZ10" s="520"/>
      <c r="CA10" s="520"/>
      <c r="CB10" s="520"/>
      <c r="CC10" s="520"/>
      <c r="CD10" s="520"/>
      <c r="CE10" s="520"/>
      <c r="CF10" s="520"/>
      <c r="CG10" s="520"/>
      <c r="CH10" s="520"/>
      <c r="CI10" s="520"/>
      <c r="CJ10" s="520"/>
      <c r="CK10" s="520"/>
      <c r="CL10" s="520">
        <f>XNPV(Breakout!$C$5,CL11:CL131,B11:B131)</f>
        <v>-3519085.2556454926</v>
      </c>
      <c r="CM10" s="520"/>
      <c r="CN10" s="520">
        <f>XNPV(Breakout!$C$5,CN11:CN131,$B$11:$B$131)</f>
        <v>2150000</v>
      </c>
      <c r="CO10" s="520"/>
      <c r="CP10" s="520"/>
      <c r="CQ10" s="520"/>
      <c r="CR10" s="520"/>
      <c r="CS10" s="520"/>
      <c r="CT10" s="520"/>
      <c r="CU10" s="520"/>
      <c r="CV10" s="520"/>
      <c r="CW10" s="520"/>
      <c r="CX10" s="520"/>
      <c r="CY10" s="520"/>
      <c r="CZ10" s="520"/>
      <c r="DA10" s="520"/>
      <c r="DB10" s="520"/>
      <c r="DC10" s="520"/>
      <c r="DD10" s="520"/>
      <c r="DE10" s="520"/>
      <c r="DF10" s="520"/>
      <c r="DG10" s="520"/>
      <c r="DH10" s="945" t="s">
        <v>391</v>
      </c>
      <c r="DI10" s="945" t="s">
        <v>392</v>
      </c>
      <c r="DJ10" s="945"/>
      <c r="DK10" s="520"/>
      <c r="DL10" s="517" t="s">
        <v>863</v>
      </c>
      <c r="DM10" s="520"/>
      <c r="DN10" s="520">
        <f>XNPV(Breakout!$C$5,DN11:DN131,$B$11:$B$131)</f>
        <v>-38324060.732164353</v>
      </c>
      <c r="DO10" s="520">
        <f>XNPV(Breakout!$C$5,DO11:DO131,$B$11:$B$131)</f>
        <v>25438949.832906514</v>
      </c>
      <c r="DP10" s="520"/>
      <c r="DQ10" s="520">
        <f>XNPV(Breakout!$C$5,DQ11:DQ131,$B$11:$B$131)</f>
        <v>26260918.074409399</v>
      </c>
      <c r="DR10" s="520">
        <f>XNPV(Breakout!$C$5,DR11:DR131,$B$11:$B$131)</f>
        <v>-1414327.0910330736</v>
      </c>
      <c r="DS10" s="520"/>
      <c r="DT10" s="520"/>
      <c r="DU10" s="520"/>
      <c r="DV10" s="520"/>
      <c r="DW10" s="520"/>
      <c r="DX10" s="520"/>
    </row>
    <row r="11" spans="1:128" s="517" customFormat="1" x14ac:dyDescent="0.2">
      <c r="B11" s="518">
        <v>36434</v>
      </c>
      <c r="J11" s="689"/>
      <c r="K11" s="690"/>
      <c r="L11" s="689">
        <v>0</v>
      </c>
      <c r="N11" s="679">
        <f>IF(A11&lt;$B$8,0,-$R$5/12)</f>
        <v>0</v>
      </c>
      <c r="O11" s="679">
        <f>IF(A11&lt;$B$8,0,-$S$5/12)</f>
        <v>0</v>
      </c>
      <c r="P11" s="550"/>
      <c r="Q11" s="549"/>
      <c r="R11" s="533"/>
      <c r="S11" s="550"/>
      <c r="T11" s="549"/>
      <c r="U11" s="533"/>
      <c r="V11" s="550"/>
      <c r="W11" s="549"/>
      <c r="X11" s="533"/>
      <c r="Y11" s="550"/>
      <c r="Z11" s="550"/>
      <c r="AA11" s="549"/>
      <c r="AB11" s="550"/>
      <c r="AC11" s="549"/>
      <c r="AD11" s="549"/>
      <c r="AE11" s="550"/>
      <c r="AF11" s="549"/>
      <c r="AG11" s="549"/>
      <c r="AH11" s="550"/>
      <c r="AI11" s="549"/>
      <c r="AJ11" s="549"/>
      <c r="AK11" s="568"/>
      <c r="AL11" s="568"/>
      <c r="AM11" s="568"/>
      <c r="AN11" s="568"/>
      <c r="AO11" s="578">
        <f t="shared" ref="AO11:AO42" si="1">(P11+S11+V11)+Y11+AB11+AE11+AH11</f>
        <v>0</v>
      </c>
      <c r="AP11" s="578">
        <f t="shared" ref="AP11:AP42" si="2">Q11+T11+W11+AA11+AD11+AG11+AJ11+AL11+AN11</f>
        <v>0</v>
      </c>
      <c r="AQ11" s="548">
        <f t="shared" ref="AQ11:AQ42" si="3">P11+S11+V11+Y11+AB11+AE11+AH11-Q11-T11-W11-Z11-AC11-AF11-AI11-AK11-AM11-DH11-DL11-CN11</f>
        <v>-2150000</v>
      </c>
      <c r="AR11" s="520"/>
      <c r="AS11" s="553">
        <f t="shared" ref="AS11:AS42" si="4">P11+S11+V11+Y11+AB11+AE11+AH11-R11-U11-X11-AA11-AD11-AG11-AJ11-AL11-AN11-O11-L11-CN11</f>
        <v>-2150000</v>
      </c>
      <c r="AT11" s="520"/>
      <c r="AU11" s="520" t="s">
        <v>1481</v>
      </c>
      <c r="AV11" s="520" t="s">
        <v>1482</v>
      </c>
      <c r="AW11" s="520"/>
      <c r="AX11" s="552">
        <f t="shared" ref="AX11:AX42" si="5">IF(A11&lt;$AX$6,0,-$R$5/12)</f>
        <v>0</v>
      </c>
      <c r="AY11" s="381">
        <f t="shared" ref="AY11:AY42" si="6">IF(A11&lt;$AX$6,0,-$S$5/12)</f>
        <v>0</v>
      </c>
      <c r="AZ11" s="520"/>
      <c r="BA11" s="438">
        <f t="shared" ref="BA11:BA42" si="7">P11-IF($BL$4="mid",Q11,R11)-$BL$9*(IF($BL$4="mid",N11,O11)+IF($BL$4="mid",DL11,L11))</f>
        <v>0</v>
      </c>
      <c r="BB11" s="438">
        <f t="shared" ref="BB11:BB42" si="8">S11-IF($BL$4="mid",T11,U11)-$BM$9*(IF($BL$4="mid",N11,O11)+IF($BL$4="mid",DL11,L11))</f>
        <v>0</v>
      </c>
      <c r="BC11" s="438">
        <f t="shared" ref="BC11:BC42" si="9">V11-IF($BL$4="mid",W11,X11)-$BN$9*(IF($BL$4="mid",N11,O11)+IF($BL$4="mid",DL11,L11))</f>
        <v>0</v>
      </c>
      <c r="BD11" s="438">
        <f>Y11-IF($BL$4="mid",Z11,AA11)</f>
        <v>0</v>
      </c>
      <c r="BE11" s="438">
        <f>AB11-IF($BL$4="mid",AC11,AD11)</f>
        <v>0</v>
      </c>
      <c r="BF11" s="438">
        <f>AE11-IF($BL$4="mid",AF11,AG11)</f>
        <v>0</v>
      </c>
      <c r="BG11" s="438">
        <f>AH11-IF($BL$4="mid",AI11,AJ11)</f>
        <v>0</v>
      </c>
      <c r="BH11" s="438">
        <f>-IF($BL$4="mid",AK11,AL11)</f>
        <v>0</v>
      </c>
      <c r="BI11" s="438">
        <f>-IF($BL$4="mid",AM11,AN11)</f>
        <v>0</v>
      </c>
      <c r="BJ11" s="520"/>
      <c r="BK11" s="520"/>
      <c r="BL11" s="438">
        <f t="shared" ref="BL11:BL42" si="10">BW11-IF($BL$4="mid",Q11,R11)-$BL$9*(IF($BL$4="mid",N11,O11)+IF($BL$4="mid",DL11,L11))</f>
        <v>0</v>
      </c>
      <c r="BM11" s="438">
        <f t="shared" ref="BM11:BM42" si="11">BX11-IF($BL$4="mid",T11,U11)-$BM$9*(IF($BL$4="mid",N11,O11)+IF($BL$4="mid",DL11,L11))</f>
        <v>0</v>
      </c>
      <c r="BN11" s="438">
        <f t="shared" ref="BN11:BN42" si="12">BY11-IF($BL$4="mid",W11,X11)-$BN$9*(IF($BL$4="mid",N11,O11)+IF($BL$4="mid",DL11,L11))</f>
        <v>0</v>
      </c>
      <c r="BO11" s="438">
        <f t="shared" ref="BO11:BO42" si="13">BZ11-IF($BL$4="mid",Z11,AA11)</f>
        <v>0</v>
      </c>
      <c r="BP11" s="438">
        <f t="shared" ref="BP11:BP42" si="14">CA11-IF($BL$4="mid",AC11,AD11)</f>
        <v>0</v>
      </c>
      <c r="BQ11" s="438">
        <f t="shared" ref="BQ11:BQ42" si="15">CB11-IF($BL$4="mid",AF11,AG11)</f>
        <v>0</v>
      </c>
      <c r="BR11" s="438">
        <f t="shared" ref="BR11:BR42" si="16">CC11-IF($BL$4="mid",AI11,AJ11)</f>
        <v>0</v>
      </c>
      <c r="BS11" s="438">
        <f>-IF($BL$4="mid",AK11,AL11)</f>
        <v>0</v>
      </c>
      <c r="BT11" s="438">
        <f>-IF($BL$4="mid",AM11,AN11)</f>
        <v>0</v>
      </c>
      <c r="BU11" s="520"/>
      <c r="BV11" s="520"/>
      <c r="BW11" s="520">
        <v>0</v>
      </c>
      <c r="BX11" s="520">
        <v>0</v>
      </c>
      <c r="BY11" s="520">
        <v>0</v>
      </c>
      <c r="BZ11" s="520">
        <v>0</v>
      </c>
      <c r="CA11" s="520">
        <v>0</v>
      </c>
      <c r="CB11" s="520">
        <v>0</v>
      </c>
      <c r="CC11" s="520">
        <v>0</v>
      </c>
      <c r="CD11" s="520"/>
      <c r="CE11" s="634">
        <f>P11/0.96</f>
        <v>0</v>
      </c>
      <c r="CF11" s="634">
        <f>S11/0.96</f>
        <v>0</v>
      </c>
      <c r="CG11" s="634">
        <f>V11/0.96</f>
        <v>0</v>
      </c>
      <c r="CH11" s="520"/>
      <c r="CI11" s="634">
        <f>N11</f>
        <v>0</v>
      </c>
      <c r="CJ11" s="634">
        <f>O11</f>
        <v>0</v>
      </c>
      <c r="CK11" s="520"/>
      <c r="CL11" s="520">
        <v>0</v>
      </c>
      <c r="CM11" s="520"/>
      <c r="CN11" s="520">
        <f>'wholesale services'!C29</f>
        <v>2150000</v>
      </c>
      <c r="CO11" s="520"/>
      <c r="CP11" s="520"/>
      <c r="CQ11" s="520"/>
      <c r="CR11" s="520"/>
      <c r="CS11" s="520"/>
      <c r="CT11" s="520"/>
      <c r="CU11" s="520"/>
      <c r="CV11" s="520"/>
      <c r="CW11" s="520"/>
      <c r="CX11" s="520"/>
      <c r="CY11" s="520"/>
      <c r="CZ11" s="520"/>
      <c r="DA11" s="520"/>
      <c r="DB11" s="520"/>
      <c r="DC11" s="520"/>
      <c r="DD11" s="520"/>
      <c r="DE11" s="520"/>
      <c r="DF11" s="520"/>
      <c r="DG11" s="520"/>
      <c r="DH11" s="944">
        <v>0</v>
      </c>
      <c r="DI11" s="944">
        <v>0</v>
      </c>
      <c r="DJ11" s="944"/>
      <c r="DK11" s="520"/>
      <c r="DL11" s="689"/>
      <c r="DM11" s="520"/>
      <c r="DN11" s="944">
        <f>IF($BL$4="mid",DH11,DI11)</f>
        <v>0</v>
      </c>
      <c r="DO11" s="944">
        <f>IF($BL$4="mid",DL11,L11)</f>
        <v>0</v>
      </c>
      <c r="DP11" s="520"/>
      <c r="DQ11" s="438">
        <f>BW11-IF($BL$4="mid",Q11,R11)</f>
        <v>0</v>
      </c>
      <c r="DR11" s="438">
        <f>BX11-IF($BL$4="mid",T11,U11)</f>
        <v>0</v>
      </c>
      <c r="DS11" s="520"/>
      <c r="DT11" s="520"/>
      <c r="DU11" s="520"/>
      <c r="DV11" s="520"/>
      <c r="DW11" s="520"/>
      <c r="DX11" s="520"/>
    </row>
    <row r="12" spans="1:128" x14ac:dyDescent="0.2">
      <c r="A12" s="977">
        <v>1</v>
      </c>
      <c r="B12" s="631">
        <v>36526</v>
      </c>
      <c r="C12" s="381">
        <v>-2369920</v>
      </c>
      <c r="D12" s="381">
        <v>0</v>
      </c>
      <c r="E12" s="381">
        <v>0</v>
      </c>
      <c r="F12" s="381">
        <v>0</v>
      </c>
      <c r="G12" s="381">
        <v>0</v>
      </c>
      <c r="H12" s="381">
        <v>0</v>
      </c>
      <c r="I12" s="974">
        <v>-2369920</v>
      </c>
      <c r="J12" s="381">
        <f>I12</f>
        <v>-2369920</v>
      </c>
      <c r="K12" s="974">
        <f>I12*(1+$L$2)^($A$25-A12+1)</f>
        <v>-2684159.2211465952</v>
      </c>
      <c r="L12" s="381">
        <v>0</v>
      </c>
      <c r="M12" s="381">
        <f>-J12</f>
        <v>2369920</v>
      </c>
      <c r="N12" s="679">
        <f>IF(A12&lt;$B$8,0,-$R$5/12)</f>
        <v>0</v>
      </c>
      <c r="O12" s="679">
        <f>IF(A12&lt;$B$8,0,-$S$5/12)</f>
        <v>0</v>
      </c>
      <c r="P12" s="562">
        <f>Breakout!$C$16/12</f>
        <v>3375572.64</v>
      </c>
      <c r="Q12" s="557">
        <f>'wholesale services'!$D$110*'wholesale services'!$D$111/12</f>
        <v>3250582.4999999995</v>
      </c>
      <c r="R12" s="557">
        <v>3320487.5</v>
      </c>
      <c r="S12" s="562">
        <f>Breakout!$C$27/12</f>
        <v>119593.27999999998</v>
      </c>
      <c r="T12" s="557">
        <f>'wholesale services'!$D$113*'wholesale services'!$D$114/12</f>
        <v>142350.95922570387</v>
      </c>
      <c r="U12" s="557">
        <v>145256.08084255501</v>
      </c>
      <c r="V12" s="562">
        <f>Breakout!$C$38/12</f>
        <v>60199.040000000001</v>
      </c>
      <c r="W12" s="438">
        <f>Breakout!$C$39/12</f>
        <v>57970</v>
      </c>
      <c r="X12" s="438">
        <v>58593.333333333336</v>
      </c>
      <c r="Y12" s="562">
        <f>Breakout!$C$49/12</f>
        <v>437891.68</v>
      </c>
      <c r="Z12" s="557">
        <f>Breakout!$C$50/12</f>
        <v>387894.31527551002</v>
      </c>
      <c r="AA12" s="557">
        <v>407456.02121191338</v>
      </c>
      <c r="AB12" s="562">
        <f>Breakout!$C$60/12</f>
        <v>402893.53201088007</v>
      </c>
      <c r="AC12" s="557">
        <f>Breakout!$C$61/12</f>
        <v>384290.91104706266</v>
      </c>
      <c r="AD12" s="557">
        <v>396273.2557122272</v>
      </c>
      <c r="AE12" s="562">
        <f>Breakout!$C$71/12</f>
        <v>305682.99903999997</v>
      </c>
      <c r="AF12" s="557">
        <f>Breakout!$C$72/12</f>
        <v>316520.66666666669</v>
      </c>
      <c r="AG12" s="557">
        <v>316520.66666666669</v>
      </c>
      <c r="AH12" s="562">
        <f>Breakout!$C$82/12</f>
        <v>20120</v>
      </c>
      <c r="AI12" s="557">
        <f>Breakout!$C$83/12</f>
        <v>0</v>
      </c>
      <c r="AJ12" s="557">
        <v>0</v>
      </c>
      <c r="AK12" s="567">
        <f>Breakout!$C$91/12</f>
        <v>270528.56709145667</v>
      </c>
      <c r="AL12" s="567">
        <v>270528.56709145667</v>
      </c>
      <c r="AM12" s="567">
        <f>(Breakout!$C$107/12)*(-1)</f>
        <v>55221.25</v>
      </c>
      <c r="AN12" s="567">
        <v>55221.25</v>
      </c>
      <c r="AO12" s="578">
        <f t="shared" si="1"/>
        <v>4721953.1710508801</v>
      </c>
      <c r="AP12" s="578">
        <f t="shared" si="2"/>
        <v>4896903.2199079674</v>
      </c>
      <c r="AQ12" s="548">
        <f t="shared" si="3"/>
        <v>-143405.99825551949</v>
      </c>
      <c r="AS12" s="553">
        <f t="shared" si="4"/>
        <v>-248383.50380727206</v>
      </c>
      <c r="AU12" s="557">
        <f>'wholesale services'!$D$110/12</f>
        <v>48545138.888888888</v>
      </c>
      <c r="AV12" s="557">
        <f>'wholesale services'!$D$113/12</f>
        <v>24766.666666666668</v>
      </c>
      <c r="AX12" s="552">
        <f t="shared" si="5"/>
        <v>0</v>
      </c>
      <c r="AY12" s="381">
        <f t="shared" si="6"/>
        <v>0</v>
      </c>
      <c r="BA12" s="438">
        <f t="shared" si="7"/>
        <v>124990.1400000006</v>
      </c>
      <c r="BB12" s="438">
        <f t="shared" si="8"/>
        <v>-22757.679225703891</v>
      </c>
      <c r="BC12" s="438">
        <f t="shared" si="9"/>
        <v>2229.0400000000009</v>
      </c>
      <c r="BD12" s="438">
        <f>Y12-IF($BL$4="mid",Z12,AA12)</f>
        <v>49997.364724489977</v>
      </c>
      <c r="BE12" s="438">
        <f>AB12-IF($BL$4="mid",AC12,AD12)</f>
        <v>18602.620963817404</v>
      </c>
      <c r="BF12" s="438">
        <f>AE12-IF($BL$4="mid",AF12,AG12)</f>
        <v>-10837.66762666672</v>
      </c>
      <c r="BG12" s="438">
        <f>AH12-IF($BL$4="mid",AI12,AJ12)</f>
        <v>20120</v>
      </c>
      <c r="BH12" s="438">
        <f>-IF($BL$4="mid",AK12,AL12)</f>
        <v>-270528.56709145667</v>
      </c>
      <c r="BI12" s="438">
        <f>-IF($BL$4="mid",AM12,AN12)</f>
        <v>-55221.25</v>
      </c>
      <c r="BL12" s="438">
        <f t="shared" si="10"/>
        <v>265639.00000000047</v>
      </c>
      <c r="BM12" s="438">
        <f t="shared" si="11"/>
        <v>-17774.625892370546</v>
      </c>
      <c r="BN12" s="438">
        <f t="shared" si="12"/>
        <v>4737.3333333333358</v>
      </c>
      <c r="BO12" s="438">
        <f t="shared" si="13"/>
        <v>68242.85139115667</v>
      </c>
      <c r="BP12" s="438">
        <f t="shared" si="14"/>
        <v>35389.851464270789</v>
      </c>
      <c r="BQ12" s="438">
        <f t="shared" si="15"/>
        <v>1899.1239999999525</v>
      </c>
      <c r="BR12" s="438">
        <f t="shared" si="16"/>
        <v>20958.333333333332</v>
      </c>
      <c r="BS12" s="438">
        <f>-IF($BL$4="mid",AK12,AL12)</f>
        <v>-270528.56709145667</v>
      </c>
      <c r="BT12" s="438">
        <f>-IF($BL$4="mid",AM12,AN12)</f>
        <v>-55221.25</v>
      </c>
      <c r="BW12" s="562">
        <f>Breakout!$C$15/12</f>
        <v>3516221.5</v>
      </c>
      <c r="BX12" s="562">
        <f>Breakout!$C$26/12</f>
        <v>124576.33333333333</v>
      </c>
      <c r="BY12" s="562">
        <f>Breakout!$C$37/12</f>
        <v>62707.333333333336</v>
      </c>
      <c r="BZ12" s="562">
        <f>Breakout!$C$48/12</f>
        <v>456137.16666666669</v>
      </c>
      <c r="CA12" s="562">
        <f>Breakout!$C$59/12</f>
        <v>419680.76251133345</v>
      </c>
      <c r="CB12" s="562">
        <f>Breakout!$C$70/12</f>
        <v>318419.79066666664</v>
      </c>
      <c r="CC12" s="562">
        <f>Breakout!$C$81/12</f>
        <v>20958.333333333332</v>
      </c>
      <c r="CE12" s="634">
        <f>P12/0.96</f>
        <v>3516221.5000000005</v>
      </c>
      <c r="CF12" s="634">
        <f>S12/0.96</f>
        <v>124576.33333333333</v>
      </c>
      <c r="CG12" s="634">
        <f>V12/0.96</f>
        <v>62707.333333333336</v>
      </c>
      <c r="CI12" s="634">
        <f>N12</f>
        <v>0</v>
      </c>
      <c r="CJ12" s="634">
        <f>O12</f>
        <v>0</v>
      </c>
      <c r="CL12" s="438">
        <f>'account mgt'!$C$23/12</f>
        <v>-50916.666666666664</v>
      </c>
      <c r="CN12" s="438">
        <v>0</v>
      </c>
      <c r="CP12" s="438">
        <f>M12</f>
        <v>2369920</v>
      </c>
      <c r="CQ12" s="438">
        <f>CP12</f>
        <v>2369920</v>
      </c>
      <c r="CR12" s="438">
        <f>CQ12*$L$2</f>
        <v>21171.285333333333</v>
      </c>
      <c r="CS12" s="438">
        <f>CQ12+CR12</f>
        <v>2391091.2853333335</v>
      </c>
      <c r="CX12" s="438">
        <f t="shared" ref="CX12:CX25" si="17">CS12</f>
        <v>2391091.2853333335</v>
      </c>
      <c r="DE12" s="438">
        <f>CX12</f>
        <v>2391091.2853333335</v>
      </c>
      <c r="DH12" s="944">
        <v>0</v>
      </c>
      <c r="DI12" s="944">
        <v>0</v>
      </c>
      <c r="DJ12" s="944"/>
      <c r="DK12" s="381">
        <f>I12*(1+$J$2)^($A$25-A12+1)</f>
        <v>-2653287.3864977737</v>
      </c>
      <c r="DL12" s="381">
        <v>0</v>
      </c>
      <c r="DN12" s="944">
        <f t="shared" ref="DN12:DN75" si="18">IF($BL$4="mid",DH12,DI12)</f>
        <v>0</v>
      </c>
      <c r="DO12" s="944">
        <f t="shared" ref="DO12:DO75" si="19">IF($BL$4="mid",DL12,L12)</f>
        <v>0</v>
      </c>
      <c r="DQ12" s="438">
        <f t="shared" ref="DQ12:DQ75" si="20">BW12-IF($BL$4="mid",Q12,R12)</f>
        <v>265639.00000000047</v>
      </c>
      <c r="DR12" s="438">
        <f t="shared" ref="DR12:DR75" si="21">BX12-IF($BL$4="mid",T12,U12)</f>
        <v>-17774.625892370546</v>
      </c>
      <c r="DS12" s="438"/>
      <c r="DT12" s="438"/>
      <c r="DU12" s="438"/>
      <c r="DV12" s="438"/>
      <c r="DW12" s="438"/>
      <c r="DX12" s="438"/>
    </row>
    <row r="13" spans="1:128" x14ac:dyDescent="0.2">
      <c r="A13" s="383">
        <v>2</v>
      </c>
      <c r="B13" s="631">
        <v>36557</v>
      </c>
      <c r="C13" s="381">
        <v>-2369920</v>
      </c>
      <c r="D13" s="381">
        <v>0</v>
      </c>
      <c r="E13" s="381">
        <v>0</v>
      </c>
      <c r="F13" s="381">
        <v>0</v>
      </c>
      <c r="G13" s="381">
        <v>0</v>
      </c>
      <c r="H13" s="381">
        <v>0</v>
      </c>
      <c r="I13" s="974">
        <v>-2369920</v>
      </c>
      <c r="J13" s="381">
        <f>I13</f>
        <v>-2369920</v>
      </c>
      <c r="K13" s="381">
        <f>I13*(1+$L$2)^($A$25-A13+1)</f>
        <v>-2660393.0432931762</v>
      </c>
      <c r="L13" s="381">
        <v>0</v>
      </c>
      <c r="M13" s="381">
        <f>-J13</f>
        <v>2369920</v>
      </c>
      <c r="N13" s="679">
        <f t="shared" ref="N13:N76" si="22">IF(A13&lt;$B$8,0,-$R$5/12)</f>
        <v>0</v>
      </c>
      <c r="O13" s="679">
        <f t="shared" ref="O13:O76" si="23">IF(A13&lt;$B$8,0,-$S$5/12)</f>
        <v>0</v>
      </c>
      <c r="P13" s="562">
        <f>Breakout!$C$16/12</f>
        <v>3375572.64</v>
      </c>
      <c r="Q13" s="557">
        <f>'wholesale services'!$D$110*'wholesale services'!$D$111/12</f>
        <v>3250582.4999999995</v>
      </c>
      <c r="R13" s="557">
        <v>3320487.5</v>
      </c>
      <c r="S13" s="562">
        <f>Breakout!$C$27/12</f>
        <v>119593.27999999998</v>
      </c>
      <c r="T13" s="557">
        <f>'wholesale services'!$D$113*'wholesale services'!$D$114/12</f>
        <v>142350.95922570387</v>
      </c>
      <c r="U13" s="557">
        <v>145256.08084255501</v>
      </c>
      <c r="V13" s="562">
        <f>Breakout!$C$38/12</f>
        <v>60199.040000000001</v>
      </c>
      <c r="W13" s="438">
        <f>Breakout!$C$39/12</f>
        <v>57970</v>
      </c>
      <c r="X13" s="438">
        <v>58593.333333333336</v>
      </c>
      <c r="Y13" s="562">
        <f>Breakout!$C$49/12</f>
        <v>437891.68</v>
      </c>
      <c r="Z13" s="557">
        <f>Breakout!$C$50/12</f>
        <v>387894.31527551002</v>
      </c>
      <c r="AA13" s="557">
        <v>407456.02121191338</v>
      </c>
      <c r="AB13" s="562">
        <f>Breakout!$C$60/12</f>
        <v>402893.53201088007</v>
      </c>
      <c r="AC13" s="557">
        <f>Breakout!$C$61/12</f>
        <v>384290.91104706266</v>
      </c>
      <c r="AD13" s="557">
        <v>396273.2557122272</v>
      </c>
      <c r="AE13" s="562">
        <f>Breakout!$C$71/12</f>
        <v>305682.99903999997</v>
      </c>
      <c r="AF13" s="557">
        <f>Breakout!$C$72/12</f>
        <v>316520.66666666669</v>
      </c>
      <c r="AG13" s="557">
        <v>316520.66666666669</v>
      </c>
      <c r="AH13" s="562">
        <f>Breakout!$C$82/12</f>
        <v>20120</v>
      </c>
      <c r="AI13" s="557">
        <f>Breakout!$C$83/12</f>
        <v>0</v>
      </c>
      <c r="AJ13" s="557">
        <v>0</v>
      </c>
      <c r="AK13" s="567">
        <f>Breakout!$C$91/12</f>
        <v>270528.56709145667</v>
      </c>
      <c r="AL13" s="567">
        <v>270528.56709145667</v>
      </c>
      <c r="AM13" s="567">
        <f>(Breakout!$C$107/12)*-1</f>
        <v>55221.25</v>
      </c>
      <c r="AN13" s="567">
        <v>55221.25</v>
      </c>
      <c r="AO13" s="578">
        <f t="shared" si="1"/>
        <v>4721953.1710508801</v>
      </c>
      <c r="AP13" s="578">
        <f t="shared" si="2"/>
        <v>4896903.2199079674</v>
      </c>
      <c r="AQ13" s="548">
        <f t="shared" si="3"/>
        <v>-143405.99825551949</v>
      </c>
      <c r="AS13" s="553">
        <f t="shared" si="4"/>
        <v>-248383.50380727206</v>
      </c>
      <c r="AU13" s="557">
        <f>'wholesale services'!$D$110/12</f>
        <v>48545138.888888888</v>
      </c>
      <c r="AV13" s="557">
        <f>'wholesale services'!$D$113/12</f>
        <v>24766.666666666668</v>
      </c>
      <c r="AX13" s="552">
        <f t="shared" si="5"/>
        <v>0</v>
      </c>
      <c r="AY13" s="381">
        <f t="shared" si="6"/>
        <v>0</v>
      </c>
      <c r="BA13" s="438">
        <f t="shared" si="7"/>
        <v>124990.1400000006</v>
      </c>
      <c r="BB13" s="438">
        <f t="shared" si="8"/>
        <v>-22757.679225703891</v>
      </c>
      <c r="BC13" s="438">
        <f t="shared" si="9"/>
        <v>2229.0400000000009</v>
      </c>
      <c r="BD13" s="438">
        <f t="shared" ref="BD13:BD76" si="24">Y13-IF($BL$4="mid",Z13,AA13)</f>
        <v>49997.364724489977</v>
      </c>
      <c r="BE13" s="438">
        <f t="shared" ref="BE13:BE76" si="25">AB13-IF($BL$4="mid",AC13,AD13)</f>
        <v>18602.620963817404</v>
      </c>
      <c r="BF13" s="438">
        <f t="shared" ref="BF13:BF76" si="26">AE13-IF($BL$4="mid",AF13,AG13)</f>
        <v>-10837.66762666672</v>
      </c>
      <c r="BG13" s="438">
        <f t="shared" ref="BG13:BG76" si="27">AH13-IF($BL$4="mid",AI13,AJ13)</f>
        <v>20120</v>
      </c>
      <c r="BH13" s="438">
        <f t="shared" ref="BH13:BH76" si="28">-IF($BL$4="mid",AK13,AL13)</f>
        <v>-270528.56709145667</v>
      </c>
      <c r="BI13" s="438">
        <f t="shared" ref="BI13:BI76" si="29">-IF($BL$4="mid",AM13,AN13)</f>
        <v>-55221.25</v>
      </c>
      <c r="BL13" s="438">
        <f t="shared" si="10"/>
        <v>265639.00000000047</v>
      </c>
      <c r="BM13" s="438">
        <f t="shared" si="11"/>
        <v>-17774.625892370546</v>
      </c>
      <c r="BN13" s="438">
        <f t="shared" si="12"/>
        <v>4737.3333333333358</v>
      </c>
      <c r="BO13" s="438">
        <f t="shared" si="13"/>
        <v>68242.85139115667</v>
      </c>
      <c r="BP13" s="438">
        <f t="shared" si="14"/>
        <v>35389.851464270789</v>
      </c>
      <c r="BQ13" s="438">
        <f t="shared" si="15"/>
        <v>1899.1239999999525</v>
      </c>
      <c r="BR13" s="438">
        <f t="shared" si="16"/>
        <v>20958.333333333332</v>
      </c>
      <c r="BS13" s="438">
        <f>-IF($BL$4="mid",AK13,AL13)</f>
        <v>-270528.56709145667</v>
      </c>
      <c r="BT13" s="438">
        <f>-IF($BL$4="mid",AM13,AN13)</f>
        <v>-55221.25</v>
      </c>
      <c r="BW13" s="562">
        <f>Breakout!$C$15/12</f>
        <v>3516221.5</v>
      </c>
      <c r="BX13" s="562">
        <f>Breakout!$C$26/12</f>
        <v>124576.33333333333</v>
      </c>
      <c r="BY13" s="562">
        <f>Breakout!$C$37/12</f>
        <v>62707.333333333336</v>
      </c>
      <c r="BZ13" s="562">
        <f>Breakout!$C$48/12</f>
        <v>456137.16666666669</v>
      </c>
      <c r="CA13" s="562">
        <f>Breakout!$C$59/12</f>
        <v>419680.76251133345</v>
      </c>
      <c r="CB13" s="562">
        <f>Breakout!$C$70/12</f>
        <v>318419.79066666664</v>
      </c>
      <c r="CC13" s="562">
        <f>Breakout!$C$81/12</f>
        <v>20958.333333333332</v>
      </c>
      <c r="CE13" s="634">
        <f t="shared" ref="CE13:CE75" si="30">P13/0.96</f>
        <v>3516221.5000000005</v>
      </c>
      <c r="CF13" s="634">
        <f t="shared" ref="CF13:CF75" si="31">S13/0.96</f>
        <v>124576.33333333333</v>
      </c>
      <c r="CG13" s="634">
        <f t="shared" ref="CG13:CG75" si="32">V13/0.96</f>
        <v>62707.333333333336</v>
      </c>
      <c r="CI13" s="634">
        <f t="shared" ref="CI13:CI75" si="33">N13</f>
        <v>0</v>
      </c>
      <c r="CJ13" s="634">
        <f t="shared" ref="CJ13:CJ75" si="34">O13</f>
        <v>0</v>
      </c>
      <c r="CL13" s="438">
        <f>'account mgt'!$C$23/12</f>
        <v>-50916.666666666664</v>
      </c>
      <c r="CN13" s="438">
        <v>0</v>
      </c>
      <c r="CP13" s="438">
        <f t="shared" ref="CP13:CP25" si="35">M13</f>
        <v>2369920</v>
      </c>
      <c r="CQ13" s="438">
        <f>CP13+CS12</f>
        <v>4761011.2853333335</v>
      </c>
      <c r="CR13" s="438">
        <f>CQ13*$L$2</f>
        <v>42531.700815644443</v>
      </c>
      <c r="CS13" s="438">
        <f>CQ13+CR13</f>
        <v>4803542.9861489777</v>
      </c>
      <c r="CX13" s="438">
        <f t="shared" si="17"/>
        <v>4803542.9861489777</v>
      </c>
      <c r="DE13" s="438">
        <f t="shared" ref="DE13:DE25" si="36">CX13</f>
        <v>4803542.9861489777</v>
      </c>
      <c r="DH13" s="944">
        <v>0</v>
      </c>
      <c r="DI13" s="944">
        <v>0</v>
      </c>
      <c r="DJ13" s="944"/>
      <c r="DK13" s="381">
        <f t="shared" ref="DK13:DK25" si="37">I13*(1+$J$2)^($A$25-A13+1)</f>
        <v>-2631968.4421166293</v>
      </c>
      <c r="DL13" s="381">
        <v>0</v>
      </c>
      <c r="DN13" s="944">
        <f t="shared" si="18"/>
        <v>0</v>
      </c>
      <c r="DO13" s="944">
        <f t="shared" si="19"/>
        <v>0</v>
      </c>
      <c r="DQ13" s="438">
        <f t="shared" si="20"/>
        <v>265639.00000000047</v>
      </c>
      <c r="DR13" s="438">
        <f t="shared" si="21"/>
        <v>-17774.625892370546</v>
      </c>
      <c r="DS13" s="438"/>
      <c r="DT13" s="438"/>
      <c r="DU13" s="438"/>
      <c r="DV13" s="438"/>
      <c r="DW13" s="438"/>
      <c r="DX13" s="438"/>
    </row>
    <row r="14" spans="1:128" x14ac:dyDescent="0.2">
      <c r="A14" s="383">
        <v>3</v>
      </c>
      <c r="B14" s="631">
        <v>36586</v>
      </c>
      <c r="C14" s="381">
        <v>-2369920</v>
      </c>
      <c r="D14" s="381">
        <v>0</v>
      </c>
      <c r="E14" s="381">
        <v>0</v>
      </c>
      <c r="F14" s="381">
        <v>0</v>
      </c>
      <c r="G14" s="381">
        <v>0</v>
      </c>
      <c r="H14" s="381">
        <v>0</v>
      </c>
      <c r="I14" s="974">
        <v>-2369920</v>
      </c>
      <c r="J14" s="381">
        <f t="shared" ref="J14:J25" si="38">I14</f>
        <v>-2369920</v>
      </c>
      <c r="K14" s="381">
        <f t="shared" ref="K14:K24" si="39">I14*(1+$L$2)^($A$25-A14+1)</f>
        <v>-2636837.2967753168</v>
      </c>
      <c r="L14" s="381">
        <v>0</v>
      </c>
      <c r="M14" s="381">
        <f>-J14</f>
        <v>2369920</v>
      </c>
      <c r="N14" s="679">
        <f t="shared" si="22"/>
        <v>0</v>
      </c>
      <c r="O14" s="679">
        <f t="shared" si="23"/>
        <v>0</v>
      </c>
      <c r="P14" s="562">
        <f>Breakout!$C$16/12</f>
        <v>3375572.64</v>
      </c>
      <c r="Q14" s="557">
        <f>'wholesale services'!$D$110*'wholesale services'!$D$111/12</f>
        <v>3250582.4999999995</v>
      </c>
      <c r="R14" s="557">
        <v>3320487.5</v>
      </c>
      <c r="S14" s="562">
        <f>Breakout!$C$27/12</f>
        <v>119593.27999999998</v>
      </c>
      <c r="T14" s="557">
        <f>'wholesale services'!$D$113*'wholesale services'!$D$114/12</f>
        <v>142350.95922570387</v>
      </c>
      <c r="U14" s="557">
        <v>145256.08084255501</v>
      </c>
      <c r="V14" s="562">
        <f>Breakout!$C$38/12</f>
        <v>60199.040000000001</v>
      </c>
      <c r="W14" s="438">
        <f>Breakout!$C$39/12</f>
        <v>57970</v>
      </c>
      <c r="X14" s="438">
        <v>58593.333333333336</v>
      </c>
      <c r="Y14" s="562">
        <f>Breakout!$C$49/12</f>
        <v>437891.68</v>
      </c>
      <c r="Z14" s="557">
        <f>Breakout!$C$50/12</f>
        <v>387894.31527551002</v>
      </c>
      <c r="AA14" s="557">
        <v>407456.02121191338</v>
      </c>
      <c r="AB14" s="562">
        <f>Breakout!$C$60/12</f>
        <v>402893.53201088007</v>
      </c>
      <c r="AC14" s="557">
        <f>Breakout!$C$61/12</f>
        <v>384290.91104706266</v>
      </c>
      <c r="AD14" s="557">
        <v>396273.2557122272</v>
      </c>
      <c r="AE14" s="562">
        <f>Breakout!$C$71/12</f>
        <v>305682.99903999997</v>
      </c>
      <c r="AF14" s="557">
        <f>Breakout!$C$72/12</f>
        <v>316520.66666666669</v>
      </c>
      <c r="AG14" s="557">
        <v>316520.66666666669</v>
      </c>
      <c r="AH14" s="562">
        <f>Breakout!$C$82/12</f>
        <v>20120</v>
      </c>
      <c r="AI14" s="557">
        <f>Breakout!$C$83/12</f>
        <v>0</v>
      </c>
      <c r="AJ14" s="557">
        <v>0</v>
      </c>
      <c r="AK14" s="567">
        <f>Breakout!$C$91/12</f>
        <v>270528.56709145667</v>
      </c>
      <c r="AL14" s="567">
        <v>270528.56709145667</v>
      </c>
      <c r="AM14" s="567">
        <f>(Breakout!$C$107/12)*-1</f>
        <v>55221.25</v>
      </c>
      <c r="AN14" s="567">
        <v>55221.25</v>
      </c>
      <c r="AO14" s="578">
        <f t="shared" si="1"/>
        <v>4721953.1710508801</v>
      </c>
      <c r="AP14" s="578">
        <f t="shared" si="2"/>
        <v>4896903.2199079674</v>
      </c>
      <c r="AQ14" s="548">
        <f t="shared" si="3"/>
        <v>-143405.99825551949</v>
      </c>
      <c r="AS14" s="553">
        <f t="shared" si="4"/>
        <v>-248383.50380727206</v>
      </c>
      <c r="AU14" s="557">
        <f>'wholesale services'!$D$110/12</f>
        <v>48545138.888888888</v>
      </c>
      <c r="AV14" s="557">
        <f>'wholesale services'!$D$113/12</f>
        <v>24766.666666666668</v>
      </c>
      <c r="AX14" s="552">
        <f t="shared" si="5"/>
        <v>0</v>
      </c>
      <c r="AY14" s="381">
        <f t="shared" si="6"/>
        <v>0</v>
      </c>
      <c r="BA14" s="438">
        <f t="shared" si="7"/>
        <v>124990.1400000006</v>
      </c>
      <c r="BB14" s="438">
        <f t="shared" si="8"/>
        <v>-22757.679225703891</v>
      </c>
      <c r="BC14" s="438">
        <f t="shared" si="9"/>
        <v>2229.0400000000009</v>
      </c>
      <c r="BD14" s="438">
        <f t="shared" si="24"/>
        <v>49997.364724489977</v>
      </c>
      <c r="BE14" s="438">
        <f t="shared" si="25"/>
        <v>18602.620963817404</v>
      </c>
      <c r="BF14" s="438">
        <f t="shared" si="26"/>
        <v>-10837.66762666672</v>
      </c>
      <c r="BG14" s="438">
        <f t="shared" si="27"/>
        <v>20120</v>
      </c>
      <c r="BH14" s="438">
        <f t="shared" si="28"/>
        <v>-270528.56709145667</v>
      </c>
      <c r="BI14" s="438">
        <f t="shared" si="29"/>
        <v>-55221.25</v>
      </c>
      <c r="BL14" s="438">
        <f t="shared" si="10"/>
        <v>265639.00000000047</v>
      </c>
      <c r="BM14" s="438">
        <f t="shared" si="11"/>
        <v>-17774.625892370546</v>
      </c>
      <c r="BN14" s="438">
        <f t="shared" si="12"/>
        <v>4737.3333333333358</v>
      </c>
      <c r="BO14" s="438">
        <f t="shared" si="13"/>
        <v>68242.85139115667</v>
      </c>
      <c r="BP14" s="438">
        <f t="shared" si="14"/>
        <v>35389.851464270789</v>
      </c>
      <c r="BQ14" s="438">
        <f t="shared" si="15"/>
        <v>1899.1239999999525</v>
      </c>
      <c r="BR14" s="438">
        <f t="shared" si="16"/>
        <v>20958.333333333332</v>
      </c>
      <c r="BS14" s="438">
        <f>-IF($BL$4="mid",AK14,AL14)</f>
        <v>-270528.56709145667</v>
      </c>
      <c r="BT14" s="438">
        <f>-IF($BL$4="mid",AM14,AN14)</f>
        <v>-55221.25</v>
      </c>
      <c r="BW14" s="562">
        <f>Breakout!$C$15/12</f>
        <v>3516221.5</v>
      </c>
      <c r="BX14" s="562">
        <f>Breakout!$C$26/12</f>
        <v>124576.33333333333</v>
      </c>
      <c r="BY14" s="562">
        <f>Breakout!$C$37/12</f>
        <v>62707.333333333336</v>
      </c>
      <c r="BZ14" s="562">
        <f>Breakout!$C$48/12</f>
        <v>456137.16666666669</v>
      </c>
      <c r="CA14" s="562">
        <f>Breakout!$C$59/12</f>
        <v>419680.76251133345</v>
      </c>
      <c r="CB14" s="562">
        <f>Breakout!$C$70/12</f>
        <v>318419.79066666664</v>
      </c>
      <c r="CC14" s="562">
        <f>Breakout!$C$81/12</f>
        <v>20958.333333333332</v>
      </c>
      <c r="CE14" s="634">
        <f t="shared" si="30"/>
        <v>3516221.5000000005</v>
      </c>
      <c r="CF14" s="634">
        <f t="shared" si="31"/>
        <v>124576.33333333333</v>
      </c>
      <c r="CG14" s="634">
        <f t="shared" si="32"/>
        <v>62707.333333333336</v>
      </c>
      <c r="CI14" s="634">
        <f t="shared" si="33"/>
        <v>0</v>
      </c>
      <c r="CJ14" s="634">
        <f t="shared" si="34"/>
        <v>0</v>
      </c>
      <c r="CL14" s="438">
        <f>'account mgt'!$C$23/12</f>
        <v>-50916.666666666664</v>
      </c>
      <c r="CN14" s="438">
        <v>0</v>
      </c>
      <c r="CP14" s="438">
        <f t="shared" si="35"/>
        <v>2369920</v>
      </c>
      <c r="CQ14" s="438">
        <f t="shared" ref="CQ14:CQ25" si="40">CP14+CS13</f>
        <v>7173462.9861489777</v>
      </c>
      <c r="CR14" s="438">
        <f t="shared" ref="CR14:CR25" si="41">CQ14*$L$2</f>
        <v>64082.936009597535</v>
      </c>
      <c r="CS14" s="438">
        <f t="shared" ref="CS14:CS25" si="42">CQ14+CR14</f>
        <v>7237545.9221585756</v>
      </c>
      <c r="CX14" s="438">
        <f t="shared" si="17"/>
        <v>7237545.9221585756</v>
      </c>
      <c r="DE14" s="438">
        <f t="shared" si="36"/>
        <v>7237545.9221585756</v>
      </c>
      <c r="DH14" s="944">
        <v>0</v>
      </c>
      <c r="DI14" s="944">
        <v>0</v>
      </c>
      <c r="DJ14" s="944"/>
      <c r="DK14" s="381">
        <f t="shared" si="37"/>
        <v>-2610820.793687758</v>
      </c>
      <c r="DL14" s="381">
        <v>0</v>
      </c>
      <c r="DN14" s="944">
        <f t="shared" si="18"/>
        <v>0</v>
      </c>
      <c r="DO14" s="944">
        <f t="shared" si="19"/>
        <v>0</v>
      </c>
      <c r="DQ14" s="438">
        <f t="shared" si="20"/>
        <v>265639.00000000047</v>
      </c>
      <c r="DR14" s="438">
        <f t="shared" si="21"/>
        <v>-17774.625892370546</v>
      </c>
      <c r="DS14" s="438"/>
      <c r="DT14" s="438"/>
      <c r="DU14" s="438"/>
      <c r="DV14" s="438"/>
      <c r="DW14" s="438"/>
      <c r="DX14" s="438"/>
    </row>
    <row r="15" spans="1:128" x14ac:dyDescent="0.2">
      <c r="A15" s="383">
        <v>4</v>
      </c>
      <c r="B15" s="631">
        <v>36617</v>
      </c>
      <c r="C15" s="381">
        <v>-2369920</v>
      </c>
      <c r="D15" s="381">
        <v>0</v>
      </c>
      <c r="E15" s="381">
        <v>0</v>
      </c>
      <c r="F15" s="381">
        <v>0</v>
      </c>
      <c r="G15" s="381">
        <v>0</v>
      </c>
      <c r="H15" s="381">
        <v>0</v>
      </c>
      <c r="I15" s="974">
        <v>-2369920</v>
      </c>
      <c r="J15" s="381">
        <f t="shared" si="38"/>
        <v>-2369920</v>
      </c>
      <c r="K15" s="381">
        <f t="shared" si="39"/>
        <v>-2613490.1183844162</v>
      </c>
      <c r="L15" s="381">
        <v>0</v>
      </c>
      <c r="M15" s="381">
        <f t="shared" ref="M15:M24" si="43">-J15</f>
        <v>2369920</v>
      </c>
      <c r="N15" s="679">
        <f t="shared" si="22"/>
        <v>0</v>
      </c>
      <c r="O15" s="679">
        <f t="shared" si="23"/>
        <v>0</v>
      </c>
      <c r="P15" s="562">
        <f>Breakout!$C$16/12</f>
        <v>3375572.64</v>
      </c>
      <c r="Q15" s="557">
        <f>'wholesale services'!$D$110*'wholesale services'!$D$111/12</f>
        <v>3250582.4999999995</v>
      </c>
      <c r="R15" s="557">
        <v>3320487.5</v>
      </c>
      <c r="S15" s="562">
        <f>Breakout!$C$27/12</f>
        <v>119593.27999999998</v>
      </c>
      <c r="T15" s="557">
        <f>'wholesale services'!$D$113*'wholesale services'!$D$114/12</f>
        <v>142350.95922570387</v>
      </c>
      <c r="U15" s="557">
        <v>145256.08084255501</v>
      </c>
      <c r="V15" s="562">
        <f>Breakout!$C$38/12</f>
        <v>60199.040000000001</v>
      </c>
      <c r="W15" s="438">
        <f>Breakout!$C$39/12</f>
        <v>57970</v>
      </c>
      <c r="X15" s="438">
        <v>58593.333333333336</v>
      </c>
      <c r="Y15" s="562">
        <f>Breakout!$C$49/12</f>
        <v>437891.68</v>
      </c>
      <c r="Z15" s="557">
        <f>Breakout!$C$50/12</f>
        <v>387894.31527551002</v>
      </c>
      <c r="AA15" s="557">
        <v>407456.02121191338</v>
      </c>
      <c r="AB15" s="562">
        <f>Breakout!$C$60/12</f>
        <v>402893.53201088007</v>
      </c>
      <c r="AC15" s="557">
        <f>Breakout!$C$61/12</f>
        <v>384290.91104706266</v>
      </c>
      <c r="AD15" s="557">
        <v>396273.2557122272</v>
      </c>
      <c r="AE15" s="562">
        <f>Breakout!$C$71/12</f>
        <v>305682.99903999997</v>
      </c>
      <c r="AF15" s="557">
        <f>Breakout!$C$72/12</f>
        <v>316520.66666666669</v>
      </c>
      <c r="AG15" s="557">
        <v>316520.66666666669</v>
      </c>
      <c r="AH15" s="562">
        <f>Breakout!$C$82/12</f>
        <v>20120</v>
      </c>
      <c r="AI15" s="557">
        <f>Breakout!$C$83/12</f>
        <v>0</v>
      </c>
      <c r="AJ15" s="557">
        <v>0</v>
      </c>
      <c r="AK15" s="567">
        <f>Breakout!$C$91/12</f>
        <v>270528.56709145667</v>
      </c>
      <c r="AL15" s="567">
        <v>270528.56709145667</v>
      </c>
      <c r="AM15" s="567">
        <f>(Breakout!$C$107/12)*-1</f>
        <v>55221.25</v>
      </c>
      <c r="AN15" s="567">
        <v>55221.25</v>
      </c>
      <c r="AO15" s="578">
        <f t="shared" si="1"/>
        <v>4721953.1710508801</v>
      </c>
      <c r="AP15" s="578">
        <f t="shared" si="2"/>
        <v>4896903.2199079674</v>
      </c>
      <c r="AQ15" s="548">
        <f t="shared" si="3"/>
        <v>-143405.99825551949</v>
      </c>
      <c r="AS15" s="553">
        <f t="shared" si="4"/>
        <v>-248383.50380727206</v>
      </c>
      <c r="AU15" s="557">
        <f>'wholesale services'!$D$110/12</f>
        <v>48545138.888888888</v>
      </c>
      <c r="AV15" s="557">
        <f>'wholesale services'!$D$113/12</f>
        <v>24766.666666666668</v>
      </c>
      <c r="AX15" s="552">
        <f t="shared" si="5"/>
        <v>0</v>
      </c>
      <c r="AY15" s="381">
        <f t="shared" si="6"/>
        <v>0</v>
      </c>
      <c r="BA15" s="438">
        <f t="shared" si="7"/>
        <v>124990.1400000006</v>
      </c>
      <c r="BB15" s="438">
        <f t="shared" si="8"/>
        <v>-22757.679225703891</v>
      </c>
      <c r="BC15" s="438">
        <f t="shared" si="9"/>
        <v>2229.0400000000009</v>
      </c>
      <c r="BD15" s="438">
        <f t="shared" si="24"/>
        <v>49997.364724489977</v>
      </c>
      <c r="BE15" s="438">
        <f t="shared" si="25"/>
        <v>18602.620963817404</v>
      </c>
      <c r="BF15" s="438">
        <f t="shared" si="26"/>
        <v>-10837.66762666672</v>
      </c>
      <c r="BG15" s="438">
        <f t="shared" si="27"/>
        <v>20120</v>
      </c>
      <c r="BH15" s="438">
        <f t="shared" si="28"/>
        <v>-270528.56709145667</v>
      </c>
      <c r="BI15" s="438">
        <f t="shared" si="29"/>
        <v>-55221.25</v>
      </c>
      <c r="BL15" s="438">
        <f t="shared" si="10"/>
        <v>265639.00000000047</v>
      </c>
      <c r="BM15" s="438">
        <f t="shared" si="11"/>
        <v>-17774.625892370546</v>
      </c>
      <c r="BN15" s="438">
        <f t="shared" si="12"/>
        <v>4737.3333333333358</v>
      </c>
      <c r="BO15" s="438">
        <f t="shared" si="13"/>
        <v>68242.85139115667</v>
      </c>
      <c r="BP15" s="438">
        <f t="shared" si="14"/>
        <v>35389.851464270789</v>
      </c>
      <c r="BQ15" s="438">
        <f t="shared" si="15"/>
        <v>1899.1239999999525</v>
      </c>
      <c r="BR15" s="438">
        <f t="shared" si="16"/>
        <v>20958.333333333332</v>
      </c>
      <c r="BS15" s="438">
        <f>-IF($BL$4="mid",AK15,AL15)</f>
        <v>-270528.56709145667</v>
      </c>
      <c r="BT15" s="438">
        <f>-IF($BL$4="mid",AM15,AN15)</f>
        <v>-55221.25</v>
      </c>
      <c r="BW15" s="562">
        <f>Breakout!$C$15/12</f>
        <v>3516221.5</v>
      </c>
      <c r="BX15" s="562">
        <f>Breakout!$C$26/12</f>
        <v>124576.33333333333</v>
      </c>
      <c r="BY15" s="562">
        <f>Breakout!$C$37/12</f>
        <v>62707.333333333336</v>
      </c>
      <c r="BZ15" s="562">
        <f>Breakout!$C$48/12</f>
        <v>456137.16666666669</v>
      </c>
      <c r="CA15" s="562">
        <f>Breakout!$C$59/12</f>
        <v>419680.76251133345</v>
      </c>
      <c r="CB15" s="562">
        <f>Breakout!$C$70/12</f>
        <v>318419.79066666664</v>
      </c>
      <c r="CC15" s="562">
        <f>Breakout!$C$81/12</f>
        <v>20958.333333333332</v>
      </c>
      <c r="CE15" s="634">
        <f t="shared" si="30"/>
        <v>3516221.5000000005</v>
      </c>
      <c r="CF15" s="634">
        <f t="shared" si="31"/>
        <v>124576.33333333333</v>
      </c>
      <c r="CG15" s="634">
        <f t="shared" si="32"/>
        <v>62707.333333333336</v>
      </c>
      <c r="CI15" s="634">
        <f t="shared" si="33"/>
        <v>0</v>
      </c>
      <c r="CJ15" s="634">
        <f t="shared" si="34"/>
        <v>0</v>
      </c>
      <c r="CL15" s="438">
        <f>'account mgt'!$C$23/12</f>
        <v>-50916.666666666664</v>
      </c>
      <c r="CN15" s="438">
        <v>0</v>
      </c>
      <c r="CP15" s="438">
        <f t="shared" si="35"/>
        <v>2369920</v>
      </c>
      <c r="CQ15" s="438">
        <f t="shared" si="40"/>
        <v>9607465.9221585765</v>
      </c>
      <c r="CR15" s="438">
        <f t="shared" si="41"/>
        <v>85826.695571283286</v>
      </c>
      <c r="CS15" s="438">
        <f t="shared" si="42"/>
        <v>9693292.6177298594</v>
      </c>
      <c r="CX15" s="438">
        <f t="shared" si="17"/>
        <v>9693292.6177298594</v>
      </c>
      <c r="DE15" s="438">
        <f t="shared" si="36"/>
        <v>9693292.6177298594</v>
      </c>
      <c r="DH15" s="944">
        <v>0</v>
      </c>
      <c r="DI15" s="944">
        <v>0</v>
      </c>
      <c r="DJ15" s="944"/>
      <c r="DK15" s="381">
        <f t="shared" si="37"/>
        <v>-2589843.0648623728</v>
      </c>
      <c r="DL15" s="381">
        <v>0</v>
      </c>
      <c r="DN15" s="944">
        <f t="shared" si="18"/>
        <v>0</v>
      </c>
      <c r="DO15" s="944">
        <f t="shared" si="19"/>
        <v>0</v>
      </c>
      <c r="DQ15" s="438">
        <f t="shared" si="20"/>
        <v>265639.00000000047</v>
      </c>
      <c r="DR15" s="438">
        <f t="shared" si="21"/>
        <v>-17774.625892370546</v>
      </c>
      <c r="DS15" s="438"/>
      <c r="DT15" s="438"/>
      <c r="DU15" s="438"/>
      <c r="DV15" s="438"/>
      <c r="DW15" s="438"/>
      <c r="DX15" s="438"/>
    </row>
    <row r="16" spans="1:128" x14ac:dyDescent="0.2">
      <c r="A16" s="383">
        <v>5</v>
      </c>
      <c r="B16" s="631">
        <v>36647</v>
      </c>
      <c r="C16" s="381">
        <v>-2369920</v>
      </c>
      <c r="D16" s="381">
        <v>0</v>
      </c>
      <c r="E16" s="381">
        <v>0</v>
      </c>
      <c r="F16" s="381">
        <v>0</v>
      </c>
      <c r="G16" s="381">
        <v>0</v>
      </c>
      <c r="H16" s="381">
        <v>0</v>
      </c>
      <c r="I16" s="974">
        <v>-2369920</v>
      </c>
      <c r="J16" s="381">
        <f t="shared" si="38"/>
        <v>-2369920</v>
      </c>
      <c r="K16" s="381">
        <f>I16*(1+$L$2)^($A$25-A16+1)</f>
        <v>-2590349.6614091611</v>
      </c>
      <c r="L16" s="381">
        <v>0</v>
      </c>
      <c r="M16" s="381">
        <f t="shared" si="43"/>
        <v>2369920</v>
      </c>
      <c r="N16" s="679">
        <f t="shared" si="22"/>
        <v>0</v>
      </c>
      <c r="O16" s="679">
        <f t="shared" si="23"/>
        <v>0</v>
      </c>
      <c r="P16" s="562">
        <f>Breakout!$C$16/12</f>
        <v>3375572.64</v>
      </c>
      <c r="Q16" s="557">
        <f>'wholesale services'!$D$110*'wholesale services'!$D$111/12</f>
        <v>3250582.4999999995</v>
      </c>
      <c r="R16" s="557">
        <v>3320487.5</v>
      </c>
      <c r="S16" s="562">
        <f>Breakout!$C$27/12</f>
        <v>119593.27999999998</v>
      </c>
      <c r="T16" s="557">
        <f>'wholesale services'!$D$113*'wholesale services'!$D$114/12</f>
        <v>142350.95922570387</v>
      </c>
      <c r="U16" s="557">
        <v>145256.08084255501</v>
      </c>
      <c r="V16" s="562">
        <f>Breakout!$C$38/12</f>
        <v>60199.040000000001</v>
      </c>
      <c r="W16" s="438">
        <f>Breakout!$C$39/12</f>
        <v>57970</v>
      </c>
      <c r="X16" s="438">
        <v>58593.333333333336</v>
      </c>
      <c r="Y16" s="562">
        <f>Breakout!$C$49/12</f>
        <v>437891.68</v>
      </c>
      <c r="Z16" s="557">
        <f>Breakout!$C$50/12</f>
        <v>387894.31527551002</v>
      </c>
      <c r="AA16" s="557">
        <v>407456.02121191338</v>
      </c>
      <c r="AB16" s="562">
        <f>Breakout!$C$60/12</f>
        <v>402893.53201088007</v>
      </c>
      <c r="AC16" s="557">
        <f>Breakout!$C$61/12</f>
        <v>384290.91104706266</v>
      </c>
      <c r="AD16" s="557">
        <v>396273.2557122272</v>
      </c>
      <c r="AE16" s="562">
        <f>Breakout!$C$71/12</f>
        <v>305682.99903999997</v>
      </c>
      <c r="AF16" s="557">
        <f>Breakout!$C$72/12</f>
        <v>316520.66666666669</v>
      </c>
      <c r="AG16" s="557">
        <v>316520.66666666669</v>
      </c>
      <c r="AH16" s="562">
        <f>Breakout!$C$82/12</f>
        <v>20120</v>
      </c>
      <c r="AI16" s="557">
        <f>Breakout!$C$83/12</f>
        <v>0</v>
      </c>
      <c r="AJ16" s="557">
        <v>0</v>
      </c>
      <c r="AK16" s="567">
        <f>Breakout!$C$91/12</f>
        <v>270528.56709145667</v>
      </c>
      <c r="AL16" s="567">
        <v>270528.56709145667</v>
      </c>
      <c r="AM16" s="567">
        <f>(Breakout!$C$107/12)*-1</f>
        <v>55221.25</v>
      </c>
      <c r="AN16" s="567">
        <v>55221.25</v>
      </c>
      <c r="AO16" s="578">
        <f t="shared" si="1"/>
        <v>4721953.1710508801</v>
      </c>
      <c r="AP16" s="578">
        <f t="shared" si="2"/>
        <v>4896903.2199079674</v>
      </c>
      <c r="AQ16" s="548">
        <f t="shared" si="3"/>
        <v>-143405.99825551949</v>
      </c>
      <c r="AS16" s="553">
        <f t="shared" si="4"/>
        <v>-248383.50380727206</v>
      </c>
      <c r="AU16" s="557">
        <f>'wholesale services'!$D$110/12</f>
        <v>48545138.888888888</v>
      </c>
      <c r="AV16" s="557">
        <f>'wholesale services'!$D$113/12</f>
        <v>24766.666666666668</v>
      </c>
      <c r="AX16" s="552">
        <f t="shared" si="5"/>
        <v>0</v>
      </c>
      <c r="AY16" s="381">
        <f t="shared" si="6"/>
        <v>0</v>
      </c>
      <c r="BA16" s="438">
        <f t="shared" si="7"/>
        <v>124990.1400000006</v>
      </c>
      <c r="BB16" s="438">
        <f t="shared" si="8"/>
        <v>-22757.679225703891</v>
      </c>
      <c r="BC16" s="438">
        <f t="shared" si="9"/>
        <v>2229.0400000000009</v>
      </c>
      <c r="BD16" s="438">
        <f t="shared" si="24"/>
        <v>49997.364724489977</v>
      </c>
      <c r="BE16" s="438">
        <f t="shared" si="25"/>
        <v>18602.620963817404</v>
      </c>
      <c r="BF16" s="438">
        <f t="shared" si="26"/>
        <v>-10837.66762666672</v>
      </c>
      <c r="BG16" s="438">
        <f t="shared" si="27"/>
        <v>20120</v>
      </c>
      <c r="BH16" s="438">
        <f t="shared" si="28"/>
        <v>-270528.56709145667</v>
      </c>
      <c r="BI16" s="438">
        <f t="shared" si="29"/>
        <v>-55221.25</v>
      </c>
      <c r="BL16" s="438">
        <f t="shared" si="10"/>
        <v>265639.00000000047</v>
      </c>
      <c r="BM16" s="438">
        <f t="shared" si="11"/>
        <v>-17774.625892370546</v>
      </c>
      <c r="BN16" s="438">
        <f t="shared" si="12"/>
        <v>4737.3333333333358</v>
      </c>
      <c r="BO16" s="438">
        <f t="shared" si="13"/>
        <v>68242.85139115667</v>
      </c>
      <c r="BP16" s="438">
        <f t="shared" si="14"/>
        <v>35389.851464270789</v>
      </c>
      <c r="BQ16" s="438">
        <f t="shared" si="15"/>
        <v>1899.1239999999525</v>
      </c>
      <c r="BR16" s="438">
        <f t="shared" si="16"/>
        <v>20958.333333333332</v>
      </c>
      <c r="BS16" s="438">
        <f t="shared" ref="BS16:BS79" si="44">-IF($BL$4="mid",AK16,AL16)</f>
        <v>-270528.56709145667</v>
      </c>
      <c r="BT16" s="438">
        <f t="shared" ref="BT16:BT79" si="45">-IF($BL$4="mid",AM16,AN16)</f>
        <v>-55221.25</v>
      </c>
      <c r="BW16" s="562">
        <f>Breakout!$C$15/12</f>
        <v>3516221.5</v>
      </c>
      <c r="BX16" s="562">
        <f>Breakout!$C$26/12</f>
        <v>124576.33333333333</v>
      </c>
      <c r="BY16" s="562">
        <f>Breakout!$C$37/12</f>
        <v>62707.333333333336</v>
      </c>
      <c r="BZ16" s="562">
        <f>Breakout!$C$48/12</f>
        <v>456137.16666666669</v>
      </c>
      <c r="CA16" s="562">
        <f>Breakout!$C$59/12</f>
        <v>419680.76251133345</v>
      </c>
      <c r="CB16" s="562">
        <f>Breakout!$C$70/12</f>
        <v>318419.79066666664</v>
      </c>
      <c r="CC16" s="562">
        <f>Breakout!$C$81/12</f>
        <v>20958.333333333332</v>
      </c>
      <c r="CE16" s="634">
        <f t="shared" si="30"/>
        <v>3516221.5000000005</v>
      </c>
      <c r="CF16" s="634">
        <f t="shared" si="31"/>
        <v>124576.33333333333</v>
      </c>
      <c r="CG16" s="634">
        <f t="shared" si="32"/>
        <v>62707.333333333336</v>
      </c>
      <c r="CI16" s="634">
        <f t="shared" si="33"/>
        <v>0</v>
      </c>
      <c r="CJ16" s="634">
        <f t="shared" si="34"/>
        <v>0</v>
      </c>
      <c r="CL16" s="438">
        <f>'account mgt'!$C$23/12</f>
        <v>-50916.666666666664</v>
      </c>
      <c r="CN16" s="438">
        <v>0</v>
      </c>
      <c r="CP16" s="438">
        <f t="shared" si="35"/>
        <v>2369920</v>
      </c>
      <c r="CQ16" s="438">
        <f t="shared" si="40"/>
        <v>12063212.617729859</v>
      </c>
      <c r="CR16" s="438">
        <f t="shared" si="41"/>
        <v>107764.69938505341</v>
      </c>
      <c r="CS16" s="438">
        <f t="shared" si="42"/>
        <v>12170977.317114912</v>
      </c>
      <c r="CX16" s="438">
        <f t="shared" si="17"/>
        <v>12170977.317114912</v>
      </c>
      <c r="DE16" s="438">
        <f t="shared" si="36"/>
        <v>12170977.317114912</v>
      </c>
      <c r="DH16" s="944">
        <v>0</v>
      </c>
      <c r="DI16" s="944">
        <v>0</v>
      </c>
      <c r="DJ16" s="944"/>
      <c r="DK16" s="381">
        <f t="shared" si="37"/>
        <v>-2569033.8903505336</v>
      </c>
      <c r="DL16" s="381">
        <v>0</v>
      </c>
      <c r="DN16" s="944">
        <f t="shared" si="18"/>
        <v>0</v>
      </c>
      <c r="DO16" s="944">
        <f t="shared" si="19"/>
        <v>0</v>
      </c>
      <c r="DQ16" s="438">
        <f t="shared" si="20"/>
        <v>265639.00000000047</v>
      </c>
      <c r="DR16" s="438">
        <f t="shared" si="21"/>
        <v>-17774.625892370546</v>
      </c>
      <c r="DS16" s="438"/>
      <c r="DT16" s="438"/>
      <c r="DU16" s="438"/>
      <c r="DV16" s="438"/>
      <c r="DW16" s="438"/>
      <c r="DX16" s="438"/>
    </row>
    <row r="17" spans="1:128" x14ac:dyDescent="0.2">
      <c r="A17" s="383">
        <v>6</v>
      </c>
      <c r="B17" s="631">
        <v>36678</v>
      </c>
      <c r="C17" s="381">
        <v>-2369920</v>
      </c>
      <c r="D17" s="381">
        <v>0</v>
      </c>
      <c r="E17" s="381">
        <v>0</v>
      </c>
      <c r="F17" s="381">
        <v>0</v>
      </c>
      <c r="G17" s="381">
        <v>0</v>
      </c>
      <c r="H17" s="381">
        <v>0</v>
      </c>
      <c r="I17" s="974">
        <v>-2369920</v>
      </c>
      <c r="J17" s="381">
        <f t="shared" si="38"/>
        <v>-2369920</v>
      </c>
      <c r="K17" s="381">
        <f t="shared" si="39"/>
        <v>-2567414.0954894559</v>
      </c>
      <c r="L17" s="381">
        <v>0</v>
      </c>
      <c r="M17" s="381">
        <f t="shared" si="43"/>
        <v>2369920</v>
      </c>
      <c r="N17" s="679">
        <f t="shared" si="22"/>
        <v>0</v>
      </c>
      <c r="O17" s="679">
        <f t="shared" si="23"/>
        <v>0</v>
      </c>
      <c r="P17" s="562">
        <f>Breakout!$C$16/12</f>
        <v>3375572.64</v>
      </c>
      <c r="Q17" s="557">
        <f>'wholesale services'!$D$110*'wholesale services'!$D$111/12</f>
        <v>3250582.4999999995</v>
      </c>
      <c r="R17" s="557">
        <v>3320487.5</v>
      </c>
      <c r="S17" s="562">
        <f>Breakout!$C$27/12</f>
        <v>119593.27999999998</v>
      </c>
      <c r="T17" s="557">
        <f>'wholesale services'!$D$113*'wholesale services'!$D$114/12</f>
        <v>142350.95922570387</v>
      </c>
      <c r="U17" s="557">
        <v>145256.08084255501</v>
      </c>
      <c r="V17" s="562">
        <f>Breakout!$C$38/12</f>
        <v>60199.040000000001</v>
      </c>
      <c r="W17" s="438">
        <f>Breakout!$C$39/12</f>
        <v>57970</v>
      </c>
      <c r="X17" s="438">
        <v>58593.333333333336</v>
      </c>
      <c r="Y17" s="562">
        <f>Breakout!$C$49/12</f>
        <v>437891.68</v>
      </c>
      <c r="Z17" s="557">
        <f>Breakout!$C$50/12</f>
        <v>387894.31527551002</v>
      </c>
      <c r="AA17" s="557">
        <v>407456.02121191338</v>
      </c>
      <c r="AB17" s="562">
        <f>Breakout!$C$60/12</f>
        <v>402893.53201088007</v>
      </c>
      <c r="AC17" s="557">
        <f>Breakout!$C$61/12</f>
        <v>384290.91104706266</v>
      </c>
      <c r="AD17" s="557">
        <v>396273.2557122272</v>
      </c>
      <c r="AE17" s="562">
        <f>Breakout!$C$71/12</f>
        <v>305682.99903999997</v>
      </c>
      <c r="AF17" s="557">
        <f>Breakout!$C$72/12</f>
        <v>316520.66666666669</v>
      </c>
      <c r="AG17" s="557">
        <v>316520.66666666669</v>
      </c>
      <c r="AH17" s="562">
        <f>Breakout!$C$82/12</f>
        <v>20120</v>
      </c>
      <c r="AI17" s="557">
        <f>Breakout!$C$83/12</f>
        <v>0</v>
      </c>
      <c r="AJ17" s="557">
        <v>0</v>
      </c>
      <c r="AK17" s="567">
        <f>Breakout!$C$91/12</f>
        <v>270528.56709145667</v>
      </c>
      <c r="AL17" s="567">
        <v>270528.56709145667</v>
      </c>
      <c r="AM17" s="567">
        <f>(Breakout!$C$107/12)*-1</f>
        <v>55221.25</v>
      </c>
      <c r="AN17" s="567">
        <v>55221.25</v>
      </c>
      <c r="AO17" s="578">
        <f t="shared" si="1"/>
        <v>4721953.1710508801</v>
      </c>
      <c r="AP17" s="578">
        <f t="shared" si="2"/>
        <v>4896903.2199079674</v>
      </c>
      <c r="AQ17" s="548">
        <f t="shared" si="3"/>
        <v>-143405.99825551949</v>
      </c>
      <c r="AS17" s="553">
        <f t="shared" si="4"/>
        <v>-248383.50380727206</v>
      </c>
      <c r="AU17" s="557">
        <f>'wholesale services'!$D$110/12</f>
        <v>48545138.888888888</v>
      </c>
      <c r="AV17" s="557">
        <f>'wholesale services'!$D$113/12</f>
        <v>24766.666666666668</v>
      </c>
      <c r="AX17" s="552">
        <f t="shared" si="5"/>
        <v>0</v>
      </c>
      <c r="AY17" s="381">
        <f t="shared" si="6"/>
        <v>0</v>
      </c>
      <c r="BA17" s="438">
        <f t="shared" si="7"/>
        <v>124990.1400000006</v>
      </c>
      <c r="BB17" s="438">
        <f t="shared" si="8"/>
        <v>-22757.679225703891</v>
      </c>
      <c r="BC17" s="438">
        <f t="shared" si="9"/>
        <v>2229.0400000000009</v>
      </c>
      <c r="BD17" s="438">
        <f t="shared" si="24"/>
        <v>49997.364724489977</v>
      </c>
      <c r="BE17" s="438">
        <f t="shared" si="25"/>
        <v>18602.620963817404</v>
      </c>
      <c r="BF17" s="438">
        <f t="shared" si="26"/>
        <v>-10837.66762666672</v>
      </c>
      <c r="BG17" s="438">
        <f t="shared" si="27"/>
        <v>20120</v>
      </c>
      <c r="BH17" s="438">
        <f t="shared" si="28"/>
        <v>-270528.56709145667</v>
      </c>
      <c r="BI17" s="438">
        <f t="shared" si="29"/>
        <v>-55221.25</v>
      </c>
      <c r="BL17" s="438">
        <f t="shared" si="10"/>
        <v>265639.00000000047</v>
      </c>
      <c r="BM17" s="438">
        <f t="shared" si="11"/>
        <v>-17774.625892370546</v>
      </c>
      <c r="BN17" s="438">
        <f t="shared" si="12"/>
        <v>4737.3333333333358</v>
      </c>
      <c r="BO17" s="438">
        <f t="shared" si="13"/>
        <v>68242.85139115667</v>
      </c>
      <c r="BP17" s="438">
        <f t="shared" si="14"/>
        <v>35389.851464270789</v>
      </c>
      <c r="BQ17" s="438">
        <f t="shared" si="15"/>
        <v>1899.1239999999525</v>
      </c>
      <c r="BR17" s="438">
        <f t="shared" si="16"/>
        <v>20958.333333333332</v>
      </c>
      <c r="BS17" s="438">
        <f t="shared" si="44"/>
        <v>-270528.56709145667</v>
      </c>
      <c r="BT17" s="438">
        <f t="shared" si="45"/>
        <v>-55221.25</v>
      </c>
      <c r="BW17" s="562">
        <f>Breakout!$C$15/12</f>
        <v>3516221.5</v>
      </c>
      <c r="BX17" s="562">
        <f>Breakout!$C$26/12</f>
        <v>124576.33333333333</v>
      </c>
      <c r="BY17" s="562">
        <f>Breakout!$C$37/12</f>
        <v>62707.333333333336</v>
      </c>
      <c r="BZ17" s="562">
        <f>Breakout!$C$48/12</f>
        <v>456137.16666666669</v>
      </c>
      <c r="CA17" s="562">
        <f>Breakout!$C$59/12</f>
        <v>419680.76251133345</v>
      </c>
      <c r="CB17" s="562">
        <f>Breakout!$C$70/12</f>
        <v>318419.79066666664</v>
      </c>
      <c r="CC17" s="562">
        <f>Breakout!$C$81/12</f>
        <v>20958.333333333332</v>
      </c>
      <c r="CE17" s="634">
        <f t="shared" si="30"/>
        <v>3516221.5000000005</v>
      </c>
      <c r="CF17" s="634">
        <f t="shared" si="31"/>
        <v>124576.33333333333</v>
      </c>
      <c r="CG17" s="634">
        <f t="shared" si="32"/>
        <v>62707.333333333336</v>
      </c>
      <c r="CI17" s="634">
        <f t="shared" si="33"/>
        <v>0</v>
      </c>
      <c r="CJ17" s="634">
        <f t="shared" si="34"/>
        <v>0</v>
      </c>
      <c r="CL17" s="438">
        <f>'account mgt'!$C$23/12</f>
        <v>-50916.666666666664</v>
      </c>
      <c r="CN17" s="438">
        <v>0</v>
      </c>
      <c r="CP17" s="438">
        <f t="shared" si="35"/>
        <v>2369920</v>
      </c>
      <c r="CQ17" s="438">
        <f t="shared" si="40"/>
        <v>14540897.317114912</v>
      </c>
      <c r="CR17" s="438">
        <f t="shared" si="41"/>
        <v>129898.68269955988</v>
      </c>
      <c r="CS17" s="438">
        <f t="shared" si="42"/>
        <v>14670795.999814471</v>
      </c>
      <c r="CX17" s="438">
        <f t="shared" si="17"/>
        <v>14670795.999814471</v>
      </c>
      <c r="DE17" s="438">
        <f t="shared" si="36"/>
        <v>14670795.999814471</v>
      </c>
      <c r="DH17" s="944">
        <v>0</v>
      </c>
      <c r="DI17" s="944">
        <v>0</v>
      </c>
      <c r="DJ17" s="944"/>
      <c r="DK17" s="381">
        <f t="shared" si="37"/>
        <v>-2548391.9158322918</v>
      </c>
      <c r="DL17" s="381">
        <v>0</v>
      </c>
      <c r="DN17" s="944">
        <f t="shared" si="18"/>
        <v>0</v>
      </c>
      <c r="DO17" s="944">
        <f t="shared" si="19"/>
        <v>0</v>
      </c>
      <c r="DQ17" s="438">
        <f t="shared" si="20"/>
        <v>265639.00000000047</v>
      </c>
      <c r="DR17" s="438">
        <f t="shared" si="21"/>
        <v>-17774.625892370546</v>
      </c>
      <c r="DS17" s="438"/>
      <c r="DT17" s="438"/>
      <c r="DU17" s="438"/>
      <c r="DV17" s="438"/>
      <c r="DW17" s="438"/>
      <c r="DX17" s="438"/>
    </row>
    <row r="18" spans="1:128" x14ac:dyDescent="0.2">
      <c r="A18" s="383">
        <v>7</v>
      </c>
      <c r="B18" s="631">
        <v>36708</v>
      </c>
      <c r="C18" s="381">
        <v>-2369920</v>
      </c>
      <c r="D18" s="381">
        <v>0</v>
      </c>
      <c r="E18" s="381">
        <v>0</v>
      </c>
      <c r="F18" s="381">
        <v>0</v>
      </c>
      <c r="G18" s="381">
        <v>0</v>
      </c>
      <c r="H18" s="381">
        <v>0</v>
      </c>
      <c r="I18" s="974">
        <v>-2369920</v>
      </c>
      <c r="J18" s="381">
        <f t="shared" si="38"/>
        <v>-2369920</v>
      </c>
      <c r="K18" s="381">
        <f t="shared" si="39"/>
        <v>-2544681.6064716424</v>
      </c>
      <c r="L18" s="381">
        <v>0</v>
      </c>
      <c r="M18" s="381">
        <f t="shared" si="43"/>
        <v>2369920</v>
      </c>
      <c r="N18" s="679">
        <f t="shared" si="22"/>
        <v>0</v>
      </c>
      <c r="O18" s="679">
        <f t="shared" si="23"/>
        <v>0</v>
      </c>
      <c r="P18" s="562">
        <f>Breakout!$C$16/12</f>
        <v>3375572.64</v>
      </c>
      <c r="Q18" s="557">
        <f>'wholesale services'!$D$110*'wholesale services'!$D$111/12</f>
        <v>3250582.4999999995</v>
      </c>
      <c r="R18" s="557">
        <v>3320487.5</v>
      </c>
      <c r="S18" s="562">
        <f>Breakout!$C$27/12</f>
        <v>119593.27999999998</v>
      </c>
      <c r="T18" s="557">
        <f>'wholesale services'!$D$113*'wholesale services'!$D$114/12</f>
        <v>142350.95922570387</v>
      </c>
      <c r="U18" s="557">
        <v>145256.08084255501</v>
      </c>
      <c r="V18" s="562">
        <f>Breakout!$C$38/12</f>
        <v>60199.040000000001</v>
      </c>
      <c r="W18" s="438">
        <f>Breakout!$C$39/12</f>
        <v>57970</v>
      </c>
      <c r="X18" s="438">
        <v>58593.333333333336</v>
      </c>
      <c r="Y18" s="562">
        <f>Breakout!$C$49/12</f>
        <v>437891.68</v>
      </c>
      <c r="Z18" s="557">
        <f>Breakout!$C$50/12</f>
        <v>387894.31527551002</v>
      </c>
      <c r="AA18" s="557">
        <v>407456.02121191338</v>
      </c>
      <c r="AB18" s="562">
        <f>Breakout!$C$60/12</f>
        <v>402893.53201088007</v>
      </c>
      <c r="AC18" s="557">
        <f>Breakout!$C$61/12</f>
        <v>384290.91104706266</v>
      </c>
      <c r="AD18" s="557">
        <v>396273.2557122272</v>
      </c>
      <c r="AE18" s="562">
        <f>Breakout!$C$71/12</f>
        <v>305682.99903999997</v>
      </c>
      <c r="AF18" s="557">
        <f>Breakout!$C$72/12</f>
        <v>316520.66666666669</v>
      </c>
      <c r="AG18" s="557">
        <v>316520.66666666669</v>
      </c>
      <c r="AH18" s="562">
        <f>Breakout!$C$82/12</f>
        <v>20120</v>
      </c>
      <c r="AI18" s="557">
        <f>Breakout!$C$83/12</f>
        <v>0</v>
      </c>
      <c r="AJ18" s="557">
        <v>0</v>
      </c>
      <c r="AK18" s="567">
        <f>Breakout!$C$91/12</f>
        <v>270528.56709145667</v>
      </c>
      <c r="AL18" s="567">
        <v>270528.56709145667</v>
      </c>
      <c r="AM18" s="567">
        <f>(Breakout!$C$107/12)*-1</f>
        <v>55221.25</v>
      </c>
      <c r="AN18" s="567">
        <v>55221.25</v>
      </c>
      <c r="AO18" s="578">
        <f t="shared" si="1"/>
        <v>4721953.1710508801</v>
      </c>
      <c r="AP18" s="578">
        <f t="shared" si="2"/>
        <v>4896903.2199079674</v>
      </c>
      <c r="AQ18" s="548">
        <f t="shared" si="3"/>
        <v>-143405.99825551949</v>
      </c>
      <c r="AS18" s="553">
        <f t="shared" si="4"/>
        <v>-248383.50380727206</v>
      </c>
      <c r="AU18" s="557">
        <f>'wholesale services'!$D$110/12</f>
        <v>48545138.888888888</v>
      </c>
      <c r="AV18" s="557">
        <f>'wholesale services'!$D$113/12</f>
        <v>24766.666666666668</v>
      </c>
      <c r="AX18" s="552">
        <f t="shared" si="5"/>
        <v>0</v>
      </c>
      <c r="AY18" s="381">
        <f t="shared" si="6"/>
        <v>0</v>
      </c>
      <c r="BA18" s="438">
        <f t="shared" si="7"/>
        <v>124990.1400000006</v>
      </c>
      <c r="BB18" s="438">
        <f t="shared" si="8"/>
        <v>-22757.679225703891</v>
      </c>
      <c r="BC18" s="438">
        <f t="shared" si="9"/>
        <v>2229.0400000000009</v>
      </c>
      <c r="BD18" s="438">
        <f t="shared" si="24"/>
        <v>49997.364724489977</v>
      </c>
      <c r="BE18" s="438">
        <f t="shared" si="25"/>
        <v>18602.620963817404</v>
      </c>
      <c r="BF18" s="438">
        <f t="shared" si="26"/>
        <v>-10837.66762666672</v>
      </c>
      <c r="BG18" s="438">
        <f t="shared" si="27"/>
        <v>20120</v>
      </c>
      <c r="BH18" s="438">
        <f t="shared" si="28"/>
        <v>-270528.56709145667</v>
      </c>
      <c r="BI18" s="438">
        <f t="shared" si="29"/>
        <v>-55221.25</v>
      </c>
      <c r="BL18" s="438">
        <f t="shared" si="10"/>
        <v>265639.00000000047</v>
      </c>
      <c r="BM18" s="438">
        <f t="shared" si="11"/>
        <v>-17774.625892370546</v>
      </c>
      <c r="BN18" s="438">
        <f t="shared" si="12"/>
        <v>4737.3333333333358</v>
      </c>
      <c r="BO18" s="438">
        <f t="shared" si="13"/>
        <v>68242.85139115667</v>
      </c>
      <c r="BP18" s="438">
        <f t="shared" si="14"/>
        <v>35389.851464270789</v>
      </c>
      <c r="BQ18" s="438">
        <f t="shared" si="15"/>
        <v>1899.1239999999525</v>
      </c>
      <c r="BR18" s="438">
        <f t="shared" si="16"/>
        <v>20958.333333333332</v>
      </c>
      <c r="BS18" s="438">
        <f t="shared" si="44"/>
        <v>-270528.56709145667</v>
      </c>
      <c r="BT18" s="438">
        <f t="shared" si="45"/>
        <v>-55221.25</v>
      </c>
      <c r="BW18" s="562">
        <f>Breakout!$C$15/12</f>
        <v>3516221.5</v>
      </c>
      <c r="BX18" s="562">
        <f>Breakout!$C$26/12</f>
        <v>124576.33333333333</v>
      </c>
      <c r="BY18" s="562">
        <f>Breakout!$C$37/12</f>
        <v>62707.333333333336</v>
      </c>
      <c r="BZ18" s="562">
        <f>Breakout!$C$48/12</f>
        <v>456137.16666666669</v>
      </c>
      <c r="CA18" s="562">
        <f>Breakout!$C$59/12</f>
        <v>419680.76251133345</v>
      </c>
      <c r="CB18" s="562">
        <f>Breakout!$C$70/12</f>
        <v>318419.79066666664</v>
      </c>
      <c r="CC18" s="562">
        <f>Breakout!$C$81/12</f>
        <v>20958.333333333332</v>
      </c>
      <c r="CE18" s="634">
        <f t="shared" si="30"/>
        <v>3516221.5000000005</v>
      </c>
      <c r="CF18" s="634">
        <f t="shared" si="31"/>
        <v>124576.33333333333</v>
      </c>
      <c r="CG18" s="634">
        <f t="shared" si="32"/>
        <v>62707.333333333336</v>
      </c>
      <c r="CI18" s="634">
        <f t="shared" si="33"/>
        <v>0</v>
      </c>
      <c r="CJ18" s="634">
        <f t="shared" si="34"/>
        <v>0</v>
      </c>
      <c r="CL18" s="438">
        <f>'account mgt'!$C$23/12</f>
        <v>-50916.666666666664</v>
      </c>
      <c r="CN18" s="438">
        <v>0</v>
      </c>
      <c r="CP18" s="438">
        <f t="shared" si="35"/>
        <v>2369920</v>
      </c>
      <c r="CQ18" s="438">
        <f t="shared" si="40"/>
        <v>17040715.999814473</v>
      </c>
      <c r="CR18" s="438">
        <f t="shared" si="41"/>
        <v>152230.3962650093</v>
      </c>
      <c r="CS18" s="438">
        <f t="shared" si="42"/>
        <v>17192946.396079481</v>
      </c>
      <c r="CX18" s="438">
        <f t="shared" si="17"/>
        <v>17192946.396079481</v>
      </c>
      <c r="DE18" s="438">
        <f t="shared" si="36"/>
        <v>17192946.396079481</v>
      </c>
      <c r="DH18" s="944">
        <v>0</v>
      </c>
      <c r="DI18" s="944">
        <v>0</v>
      </c>
      <c r="DJ18" s="944"/>
      <c r="DK18" s="381">
        <f t="shared" si="37"/>
        <v>-2527915.7978695487</v>
      </c>
      <c r="DL18" s="381">
        <v>0</v>
      </c>
      <c r="DN18" s="944">
        <f t="shared" si="18"/>
        <v>0</v>
      </c>
      <c r="DO18" s="944">
        <f t="shared" si="19"/>
        <v>0</v>
      </c>
      <c r="DQ18" s="438">
        <f t="shared" si="20"/>
        <v>265639.00000000047</v>
      </c>
      <c r="DR18" s="438">
        <f t="shared" si="21"/>
        <v>-17774.625892370546</v>
      </c>
      <c r="DS18" s="438"/>
      <c r="DT18" s="438"/>
      <c r="DU18" s="438"/>
      <c r="DV18" s="438"/>
      <c r="DW18" s="438"/>
      <c r="DX18" s="438"/>
    </row>
    <row r="19" spans="1:128" x14ac:dyDescent="0.2">
      <c r="A19" s="383">
        <v>8</v>
      </c>
      <c r="B19" s="631">
        <v>36739</v>
      </c>
      <c r="C19" s="381">
        <v>-2369920</v>
      </c>
      <c r="D19" s="381">
        <v>0</v>
      </c>
      <c r="E19" s="381">
        <v>0</v>
      </c>
      <c r="F19" s="381">
        <v>0</v>
      </c>
      <c r="G19" s="381">
        <v>0</v>
      </c>
      <c r="H19" s="381">
        <v>0</v>
      </c>
      <c r="I19" s="974">
        <v>-2369920</v>
      </c>
      <c r="J19" s="381">
        <f t="shared" si="38"/>
        <v>-2369920</v>
      </c>
      <c r="K19" s="381">
        <f t="shared" si="39"/>
        <v>-2522150.3962650085</v>
      </c>
      <c r="L19" s="381">
        <v>0</v>
      </c>
      <c r="M19" s="381">
        <f t="shared" si="43"/>
        <v>2369920</v>
      </c>
      <c r="N19" s="679">
        <f t="shared" si="22"/>
        <v>0</v>
      </c>
      <c r="O19" s="679">
        <f t="shared" si="23"/>
        <v>0</v>
      </c>
      <c r="P19" s="562">
        <f>Breakout!$C$16/12</f>
        <v>3375572.64</v>
      </c>
      <c r="Q19" s="557">
        <f>'wholesale services'!$D$110*'wholesale services'!$D$111/12</f>
        <v>3250582.4999999995</v>
      </c>
      <c r="R19" s="557">
        <v>3320487.5</v>
      </c>
      <c r="S19" s="562">
        <f>Breakout!$C$27/12</f>
        <v>119593.27999999998</v>
      </c>
      <c r="T19" s="557">
        <f>'wholesale services'!$D$113*'wholesale services'!$D$114/12</f>
        <v>142350.95922570387</v>
      </c>
      <c r="U19" s="557">
        <v>145256.08084255501</v>
      </c>
      <c r="V19" s="562">
        <f>Breakout!$C$38/12</f>
        <v>60199.040000000001</v>
      </c>
      <c r="W19" s="438">
        <f>Breakout!$C$39/12</f>
        <v>57970</v>
      </c>
      <c r="X19" s="438">
        <v>58593.333333333336</v>
      </c>
      <c r="Y19" s="562">
        <f>Breakout!$C$49/12</f>
        <v>437891.68</v>
      </c>
      <c r="Z19" s="557">
        <f>Breakout!$C$50/12</f>
        <v>387894.31527551002</v>
      </c>
      <c r="AA19" s="557">
        <v>407456.02121191338</v>
      </c>
      <c r="AB19" s="562">
        <f>Breakout!$C$60/12</f>
        <v>402893.53201088007</v>
      </c>
      <c r="AC19" s="557">
        <f>Breakout!$C$61/12</f>
        <v>384290.91104706266</v>
      </c>
      <c r="AD19" s="557">
        <v>396273.2557122272</v>
      </c>
      <c r="AE19" s="562">
        <f>Breakout!$C$71/12</f>
        <v>305682.99903999997</v>
      </c>
      <c r="AF19" s="557">
        <f>Breakout!$C$72/12</f>
        <v>316520.66666666669</v>
      </c>
      <c r="AG19" s="557">
        <v>316520.66666666669</v>
      </c>
      <c r="AH19" s="562">
        <f>Breakout!$C$82/12</f>
        <v>20120</v>
      </c>
      <c r="AI19" s="557">
        <f>Breakout!$C$83/12</f>
        <v>0</v>
      </c>
      <c r="AJ19" s="557">
        <v>0</v>
      </c>
      <c r="AK19" s="567">
        <f>Breakout!$C$91/12</f>
        <v>270528.56709145667</v>
      </c>
      <c r="AL19" s="567">
        <v>270528.56709145667</v>
      </c>
      <c r="AM19" s="567">
        <f>(Breakout!$C$107/12)*-1</f>
        <v>55221.25</v>
      </c>
      <c r="AN19" s="567">
        <v>55221.25</v>
      </c>
      <c r="AO19" s="578">
        <f t="shared" si="1"/>
        <v>4721953.1710508801</v>
      </c>
      <c r="AP19" s="578">
        <f t="shared" si="2"/>
        <v>4896903.2199079674</v>
      </c>
      <c r="AQ19" s="548">
        <f t="shared" si="3"/>
        <v>-143405.99825551949</v>
      </c>
      <c r="AS19" s="553">
        <f t="shared" si="4"/>
        <v>-248383.50380727206</v>
      </c>
      <c r="AU19" s="557">
        <f>'wholesale services'!$D$110/12</f>
        <v>48545138.888888888</v>
      </c>
      <c r="AV19" s="557">
        <f>'wholesale services'!$D$113/12</f>
        <v>24766.666666666668</v>
      </c>
      <c r="AX19" s="552">
        <f t="shared" si="5"/>
        <v>0</v>
      </c>
      <c r="AY19" s="381">
        <f t="shared" si="6"/>
        <v>0</v>
      </c>
      <c r="BA19" s="438">
        <f t="shared" si="7"/>
        <v>124990.1400000006</v>
      </c>
      <c r="BB19" s="438">
        <f t="shared" si="8"/>
        <v>-22757.679225703891</v>
      </c>
      <c r="BC19" s="438">
        <f t="shared" si="9"/>
        <v>2229.0400000000009</v>
      </c>
      <c r="BD19" s="438">
        <f t="shared" si="24"/>
        <v>49997.364724489977</v>
      </c>
      <c r="BE19" s="438">
        <f t="shared" si="25"/>
        <v>18602.620963817404</v>
      </c>
      <c r="BF19" s="438">
        <f t="shared" si="26"/>
        <v>-10837.66762666672</v>
      </c>
      <c r="BG19" s="438">
        <f t="shared" si="27"/>
        <v>20120</v>
      </c>
      <c r="BH19" s="438">
        <f t="shared" si="28"/>
        <v>-270528.56709145667</v>
      </c>
      <c r="BI19" s="438">
        <f t="shared" si="29"/>
        <v>-55221.25</v>
      </c>
      <c r="BL19" s="438">
        <f t="shared" si="10"/>
        <v>265639.00000000047</v>
      </c>
      <c r="BM19" s="438">
        <f t="shared" si="11"/>
        <v>-17774.625892370546</v>
      </c>
      <c r="BN19" s="438">
        <f t="shared" si="12"/>
        <v>4737.3333333333358</v>
      </c>
      <c r="BO19" s="438">
        <f t="shared" si="13"/>
        <v>68242.85139115667</v>
      </c>
      <c r="BP19" s="438">
        <f t="shared" si="14"/>
        <v>35389.851464270789</v>
      </c>
      <c r="BQ19" s="438">
        <f t="shared" si="15"/>
        <v>1899.1239999999525</v>
      </c>
      <c r="BR19" s="438">
        <f t="shared" si="16"/>
        <v>20958.333333333332</v>
      </c>
      <c r="BS19" s="438">
        <f t="shared" si="44"/>
        <v>-270528.56709145667</v>
      </c>
      <c r="BT19" s="438">
        <f t="shared" si="45"/>
        <v>-55221.25</v>
      </c>
      <c r="BW19" s="562">
        <f>Breakout!$C$15/12</f>
        <v>3516221.5</v>
      </c>
      <c r="BX19" s="562">
        <f>Breakout!$C$26/12</f>
        <v>124576.33333333333</v>
      </c>
      <c r="BY19" s="562">
        <f>Breakout!$C$37/12</f>
        <v>62707.333333333336</v>
      </c>
      <c r="BZ19" s="562">
        <f>Breakout!$C$48/12</f>
        <v>456137.16666666669</v>
      </c>
      <c r="CA19" s="562">
        <f>Breakout!$C$59/12</f>
        <v>419680.76251133345</v>
      </c>
      <c r="CB19" s="562">
        <f>Breakout!$C$70/12</f>
        <v>318419.79066666664</v>
      </c>
      <c r="CC19" s="562">
        <f>Breakout!$C$81/12</f>
        <v>20958.333333333332</v>
      </c>
      <c r="CE19" s="634">
        <f t="shared" si="30"/>
        <v>3516221.5000000005</v>
      </c>
      <c r="CF19" s="634">
        <f t="shared" si="31"/>
        <v>124576.33333333333</v>
      </c>
      <c r="CG19" s="634">
        <f t="shared" si="32"/>
        <v>62707.333333333336</v>
      </c>
      <c r="CI19" s="634">
        <f t="shared" si="33"/>
        <v>0</v>
      </c>
      <c r="CJ19" s="634">
        <f t="shared" si="34"/>
        <v>0</v>
      </c>
      <c r="CL19" s="438">
        <f>'account mgt'!$C$23/12</f>
        <v>-50916.666666666664</v>
      </c>
      <c r="CN19" s="438">
        <v>0</v>
      </c>
      <c r="CP19" s="438">
        <f t="shared" si="35"/>
        <v>2369920</v>
      </c>
      <c r="CQ19" s="438">
        <f t="shared" si="40"/>
        <v>19562866.396079481</v>
      </c>
      <c r="CR19" s="438">
        <f t="shared" si="41"/>
        <v>174761.60647164335</v>
      </c>
      <c r="CS19" s="438">
        <f t="shared" si="42"/>
        <v>19737628.002551123</v>
      </c>
      <c r="CX19" s="438">
        <f t="shared" si="17"/>
        <v>19737628.002551123</v>
      </c>
      <c r="DE19" s="438">
        <f t="shared" si="36"/>
        <v>19737628.002551123</v>
      </c>
      <c r="DH19" s="944">
        <v>0</v>
      </c>
      <c r="DI19" s="944">
        <v>0</v>
      </c>
      <c r="DJ19" s="944"/>
      <c r="DK19" s="381">
        <f t="shared" si="37"/>
        <v>-2507604.2038186179</v>
      </c>
      <c r="DL19" s="381">
        <v>0</v>
      </c>
      <c r="DN19" s="944">
        <f t="shared" si="18"/>
        <v>0</v>
      </c>
      <c r="DO19" s="944">
        <f t="shared" si="19"/>
        <v>0</v>
      </c>
      <c r="DQ19" s="438">
        <f t="shared" si="20"/>
        <v>265639.00000000047</v>
      </c>
      <c r="DR19" s="438">
        <f t="shared" si="21"/>
        <v>-17774.625892370546</v>
      </c>
      <c r="DS19" s="438"/>
      <c r="DT19" s="438"/>
      <c r="DU19" s="438"/>
      <c r="DV19" s="438"/>
      <c r="DW19" s="438"/>
      <c r="DX19" s="438"/>
    </row>
    <row r="20" spans="1:128" x14ac:dyDescent="0.2">
      <c r="A20" s="383">
        <v>9</v>
      </c>
      <c r="B20" s="631">
        <v>36770</v>
      </c>
      <c r="C20" s="381">
        <v>-2369920</v>
      </c>
      <c r="D20" s="381">
        <v>0</v>
      </c>
      <c r="E20" s="381">
        <v>0</v>
      </c>
      <c r="F20" s="381">
        <v>0</v>
      </c>
      <c r="G20" s="381">
        <v>0</v>
      </c>
      <c r="H20" s="381">
        <v>0</v>
      </c>
      <c r="I20" s="974">
        <v>-2369920</v>
      </c>
      <c r="J20" s="381">
        <f t="shared" si="38"/>
        <v>-2369920</v>
      </c>
      <c r="K20" s="381">
        <f>I20*(1+$L$2)^($A$25-A20+1)</f>
        <v>-2499818.6826995593</v>
      </c>
      <c r="L20" s="381">
        <v>0</v>
      </c>
      <c r="M20" s="381">
        <f>-J20</f>
        <v>2369920</v>
      </c>
      <c r="N20" s="679">
        <f t="shared" si="22"/>
        <v>0</v>
      </c>
      <c r="O20" s="679">
        <f t="shared" si="23"/>
        <v>0</v>
      </c>
      <c r="P20" s="562">
        <f>Breakout!$C$16/12</f>
        <v>3375572.64</v>
      </c>
      <c r="Q20" s="557">
        <f>'wholesale services'!$D$110*'wholesale services'!$D$111/12</f>
        <v>3250582.4999999995</v>
      </c>
      <c r="R20" s="557">
        <v>3320487.5</v>
      </c>
      <c r="S20" s="562">
        <f>Breakout!$C$27/12</f>
        <v>119593.27999999998</v>
      </c>
      <c r="T20" s="557">
        <f>'wholesale services'!$D$113*'wholesale services'!$D$114/12</f>
        <v>142350.95922570387</v>
      </c>
      <c r="U20" s="557">
        <v>145256.08084255501</v>
      </c>
      <c r="V20" s="562">
        <f>Breakout!$C$38/12</f>
        <v>60199.040000000001</v>
      </c>
      <c r="W20" s="438">
        <f>Breakout!$C$39/12</f>
        <v>57970</v>
      </c>
      <c r="X20" s="438">
        <v>58593.333333333336</v>
      </c>
      <c r="Y20" s="562">
        <f>Breakout!$C$49/12</f>
        <v>437891.68</v>
      </c>
      <c r="Z20" s="557">
        <f>Breakout!$C$50/12</f>
        <v>387894.31527551002</v>
      </c>
      <c r="AA20" s="557">
        <v>407456.02121191338</v>
      </c>
      <c r="AB20" s="562">
        <f>Breakout!$C$60/12</f>
        <v>402893.53201088007</v>
      </c>
      <c r="AC20" s="557">
        <f>Breakout!$C$61/12</f>
        <v>384290.91104706266</v>
      </c>
      <c r="AD20" s="557">
        <v>396273.2557122272</v>
      </c>
      <c r="AE20" s="562">
        <f>Breakout!$C$71/12</f>
        <v>305682.99903999997</v>
      </c>
      <c r="AF20" s="557">
        <f>Breakout!$C$72/12</f>
        <v>316520.66666666669</v>
      </c>
      <c r="AG20" s="557">
        <v>316520.66666666669</v>
      </c>
      <c r="AH20" s="562">
        <f>Breakout!$C$82/12</f>
        <v>20120</v>
      </c>
      <c r="AI20" s="557">
        <f>Breakout!$C$83/12</f>
        <v>0</v>
      </c>
      <c r="AJ20" s="557">
        <v>0</v>
      </c>
      <c r="AK20" s="567">
        <f>Breakout!$C$91/12</f>
        <v>270528.56709145667</v>
      </c>
      <c r="AL20" s="567">
        <v>270528.56709145667</v>
      </c>
      <c r="AM20" s="567">
        <f>(Breakout!$C$107/12)*-1</f>
        <v>55221.25</v>
      </c>
      <c r="AN20" s="567">
        <v>55221.25</v>
      </c>
      <c r="AO20" s="578">
        <f t="shared" si="1"/>
        <v>4721953.1710508801</v>
      </c>
      <c r="AP20" s="578">
        <f t="shared" si="2"/>
        <v>4896903.2199079674</v>
      </c>
      <c r="AQ20" s="548">
        <f t="shared" si="3"/>
        <v>-143405.99825551949</v>
      </c>
      <c r="AS20" s="553">
        <f t="shared" si="4"/>
        <v>-248383.50380727206</v>
      </c>
      <c r="AU20" s="557">
        <f>'wholesale services'!$D$110/12</f>
        <v>48545138.888888888</v>
      </c>
      <c r="AV20" s="557">
        <f>'wholesale services'!$D$113/12</f>
        <v>24766.666666666668</v>
      </c>
      <c r="AX20" s="552">
        <f t="shared" si="5"/>
        <v>0</v>
      </c>
      <c r="AY20" s="381">
        <f t="shared" si="6"/>
        <v>0</v>
      </c>
      <c r="BA20" s="438">
        <f t="shared" si="7"/>
        <v>124990.1400000006</v>
      </c>
      <c r="BB20" s="438">
        <f t="shared" si="8"/>
        <v>-22757.679225703891</v>
      </c>
      <c r="BC20" s="438">
        <f t="shared" si="9"/>
        <v>2229.0400000000009</v>
      </c>
      <c r="BD20" s="438">
        <f t="shared" si="24"/>
        <v>49997.364724489977</v>
      </c>
      <c r="BE20" s="438">
        <f t="shared" si="25"/>
        <v>18602.620963817404</v>
      </c>
      <c r="BF20" s="438">
        <f t="shared" si="26"/>
        <v>-10837.66762666672</v>
      </c>
      <c r="BG20" s="438">
        <f t="shared" si="27"/>
        <v>20120</v>
      </c>
      <c r="BH20" s="438">
        <f t="shared" si="28"/>
        <v>-270528.56709145667</v>
      </c>
      <c r="BI20" s="438">
        <f t="shared" si="29"/>
        <v>-55221.25</v>
      </c>
      <c r="BL20" s="438">
        <f t="shared" si="10"/>
        <v>265639.00000000047</v>
      </c>
      <c r="BM20" s="438">
        <f t="shared" si="11"/>
        <v>-17774.625892370546</v>
      </c>
      <c r="BN20" s="438">
        <f t="shared" si="12"/>
        <v>4737.3333333333358</v>
      </c>
      <c r="BO20" s="438">
        <f t="shared" si="13"/>
        <v>68242.85139115667</v>
      </c>
      <c r="BP20" s="438">
        <f t="shared" si="14"/>
        <v>35389.851464270789</v>
      </c>
      <c r="BQ20" s="438">
        <f t="shared" si="15"/>
        <v>1899.1239999999525</v>
      </c>
      <c r="BR20" s="438">
        <f t="shared" si="16"/>
        <v>20958.333333333332</v>
      </c>
      <c r="BS20" s="438">
        <f t="shared" si="44"/>
        <v>-270528.56709145667</v>
      </c>
      <c r="BT20" s="438">
        <f t="shared" si="45"/>
        <v>-55221.25</v>
      </c>
      <c r="BW20" s="562">
        <f>Breakout!$C$15/12</f>
        <v>3516221.5</v>
      </c>
      <c r="BX20" s="562">
        <f>Breakout!$C$26/12</f>
        <v>124576.33333333333</v>
      </c>
      <c r="BY20" s="562">
        <f>Breakout!$C$37/12</f>
        <v>62707.333333333336</v>
      </c>
      <c r="BZ20" s="562">
        <f>Breakout!$C$48/12</f>
        <v>456137.16666666669</v>
      </c>
      <c r="CA20" s="562">
        <f>Breakout!$C$59/12</f>
        <v>419680.76251133345</v>
      </c>
      <c r="CB20" s="562">
        <f>Breakout!$C$70/12</f>
        <v>318419.79066666664</v>
      </c>
      <c r="CC20" s="562">
        <f>Breakout!$C$81/12</f>
        <v>20958.333333333332</v>
      </c>
      <c r="CE20" s="634">
        <f t="shared" si="30"/>
        <v>3516221.5000000005</v>
      </c>
      <c r="CF20" s="634">
        <f t="shared" si="31"/>
        <v>124576.33333333333</v>
      </c>
      <c r="CG20" s="634">
        <f t="shared" si="32"/>
        <v>62707.333333333336</v>
      </c>
      <c r="CI20" s="634">
        <f t="shared" si="33"/>
        <v>0</v>
      </c>
      <c r="CJ20" s="634">
        <f t="shared" si="34"/>
        <v>0</v>
      </c>
      <c r="CL20" s="438">
        <f>'account mgt'!$C$23/12</f>
        <v>-50916.666666666664</v>
      </c>
      <c r="CN20" s="438">
        <v>0</v>
      </c>
      <c r="CP20" s="438">
        <f t="shared" si="35"/>
        <v>2369920</v>
      </c>
      <c r="CQ20" s="438">
        <f t="shared" si="40"/>
        <v>22107548.002551123</v>
      </c>
      <c r="CR20" s="438">
        <f t="shared" si="41"/>
        <v>197494.0954894567</v>
      </c>
      <c r="CS20" s="438">
        <f t="shared" si="42"/>
        <v>22305042.098040581</v>
      </c>
      <c r="CX20" s="438">
        <f t="shared" si="17"/>
        <v>22305042.098040581</v>
      </c>
      <c r="DE20" s="438">
        <f t="shared" si="36"/>
        <v>22305042.098040581</v>
      </c>
      <c r="DH20" s="944">
        <v>0</v>
      </c>
      <c r="DI20" s="944">
        <v>0</v>
      </c>
      <c r="DJ20" s="944"/>
      <c r="DK20" s="381">
        <f t="shared" si="37"/>
        <v>-2487455.8117434955</v>
      </c>
      <c r="DL20" s="381">
        <v>0</v>
      </c>
      <c r="DN20" s="944">
        <f t="shared" si="18"/>
        <v>0</v>
      </c>
      <c r="DO20" s="944">
        <f t="shared" si="19"/>
        <v>0</v>
      </c>
      <c r="DQ20" s="438">
        <f t="shared" si="20"/>
        <v>265639.00000000047</v>
      </c>
      <c r="DR20" s="438">
        <f t="shared" si="21"/>
        <v>-17774.625892370546</v>
      </c>
      <c r="DS20" s="438"/>
      <c r="DT20" s="438"/>
      <c r="DU20" s="438"/>
      <c r="DV20" s="438"/>
      <c r="DW20" s="438"/>
      <c r="DX20" s="438"/>
    </row>
    <row r="21" spans="1:128" x14ac:dyDescent="0.2">
      <c r="A21" s="383">
        <v>10</v>
      </c>
      <c r="B21" s="631">
        <v>36800</v>
      </c>
      <c r="C21" s="381">
        <v>-2369920</v>
      </c>
      <c r="D21" s="381">
        <v>0</v>
      </c>
      <c r="E21" s="381">
        <v>0</v>
      </c>
      <c r="F21" s="381">
        <v>0</v>
      </c>
      <c r="G21" s="381">
        <v>0</v>
      </c>
      <c r="H21" s="381">
        <v>0</v>
      </c>
      <c r="I21" s="974">
        <v>-2369920</v>
      </c>
      <c r="J21" s="381">
        <f t="shared" si="38"/>
        <v>-2369920</v>
      </c>
      <c r="K21" s="381">
        <f t="shared" si="39"/>
        <v>-2477684.6993850525</v>
      </c>
      <c r="L21" s="381">
        <v>0</v>
      </c>
      <c r="M21" s="381">
        <f t="shared" si="43"/>
        <v>2369920</v>
      </c>
      <c r="N21" s="679">
        <f t="shared" si="22"/>
        <v>0</v>
      </c>
      <c r="O21" s="679">
        <f t="shared" si="23"/>
        <v>0</v>
      </c>
      <c r="P21" s="562">
        <f>Breakout!$C$16/12</f>
        <v>3375572.64</v>
      </c>
      <c r="Q21" s="557">
        <f>'wholesale services'!$D$110*'wholesale services'!$D$111/12</f>
        <v>3250582.4999999995</v>
      </c>
      <c r="R21" s="557">
        <v>3320487.5</v>
      </c>
      <c r="S21" s="562">
        <f>Breakout!$C$27/12</f>
        <v>119593.27999999998</v>
      </c>
      <c r="T21" s="557">
        <f>'wholesale services'!$D$113*'wholesale services'!$D$114/12</f>
        <v>142350.95922570387</v>
      </c>
      <c r="U21" s="557">
        <v>145256.08084255501</v>
      </c>
      <c r="V21" s="562">
        <f>Breakout!$C$38/12</f>
        <v>60199.040000000001</v>
      </c>
      <c r="W21" s="438">
        <f>Breakout!$C$39/12</f>
        <v>57970</v>
      </c>
      <c r="X21" s="438">
        <v>58593.333333333336</v>
      </c>
      <c r="Y21" s="562">
        <f>Breakout!$C$49/12</f>
        <v>437891.68</v>
      </c>
      <c r="Z21" s="557">
        <f>Breakout!$C$50/12</f>
        <v>387894.31527551002</v>
      </c>
      <c r="AA21" s="557">
        <v>407456.02121191338</v>
      </c>
      <c r="AB21" s="562">
        <f>Breakout!$C$60/12</f>
        <v>402893.53201088007</v>
      </c>
      <c r="AC21" s="557">
        <f>Breakout!$C$61/12</f>
        <v>384290.91104706266</v>
      </c>
      <c r="AD21" s="557">
        <v>396273.2557122272</v>
      </c>
      <c r="AE21" s="562">
        <f>Breakout!$C$71/12</f>
        <v>305682.99903999997</v>
      </c>
      <c r="AF21" s="557">
        <f>Breakout!$C$72/12</f>
        <v>316520.66666666669</v>
      </c>
      <c r="AG21" s="557">
        <v>316520.66666666669</v>
      </c>
      <c r="AH21" s="562">
        <f>Breakout!$C$82/12</f>
        <v>20120</v>
      </c>
      <c r="AI21" s="557">
        <f>Breakout!$C$83/12</f>
        <v>0</v>
      </c>
      <c r="AJ21" s="557">
        <v>0</v>
      </c>
      <c r="AK21" s="567">
        <f>Breakout!$C$91/12</f>
        <v>270528.56709145667</v>
      </c>
      <c r="AL21" s="567">
        <v>270528.56709145667</v>
      </c>
      <c r="AM21" s="567">
        <f>(Breakout!$C$107/12)*-1</f>
        <v>55221.25</v>
      </c>
      <c r="AN21" s="567">
        <v>55221.25</v>
      </c>
      <c r="AO21" s="578">
        <f t="shared" si="1"/>
        <v>4721953.1710508801</v>
      </c>
      <c r="AP21" s="578">
        <f t="shared" si="2"/>
        <v>4896903.2199079674</v>
      </c>
      <c r="AQ21" s="548">
        <f t="shared" si="3"/>
        <v>-143405.99825551949</v>
      </c>
      <c r="AS21" s="553">
        <f t="shared" si="4"/>
        <v>-248383.50380727206</v>
      </c>
      <c r="AU21" s="557">
        <f>'wholesale services'!$D$110/12</f>
        <v>48545138.888888888</v>
      </c>
      <c r="AV21" s="557">
        <f>'wholesale services'!$D$113/12</f>
        <v>24766.666666666668</v>
      </c>
      <c r="AX21" s="552">
        <f t="shared" si="5"/>
        <v>0</v>
      </c>
      <c r="AY21" s="381">
        <f t="shared" si="6"/>
        <v>0</v>
      </c>
      <c r="BA21" s="438">
        <f t="shared" si="7"/>
        <v>124990.1400000006</v>
      </c>
      <c r="BB21" s="438">
        <f t="shared" si="8"/>
        <v>-22757.679225703891</v>
      </c>
      <c r="BC21" s="438">
        <f t="shared" si="9"/>
        <v>2229.0400000000009</v>
      </c>
      <c r="BD21" s="438">
        <f t="shared" si="24"/>
        <v>49997.364724489977</v>
      </c>
      <c r="BE21" s="438">
        <f t="shared" si="25"/>
        <v>18602.620963817404</v>
      </c>
      <c r="BF21" s="438">
        <f t="shared" si="26"/>
        <v>-10837.66762666672</v>
      </c>
      <c r="BG21" s="438">
        <f t="shared" si="27"/>
        <v>20120</v>
      </c>
      <c r="BH21" s="438">
        <f t="shared" si="28"/>
        <v>-270528.56709145667</v>
      </c>
      <c r="BI21" s="438">
        <f t="shared" si="29"/>
        <v>-55221.25</v>
      </c>
      <c r="BL21" s="438">
        <f t="shared" si="10"/>
        <v>265639.00000000047</v>
      </c>
      <c r="BM21" s="438">
        <f t="shared" si="11"/>
        <v>-17774.625892370546</v>
      </c>
      <c r="BN21" s="438">
        <f t="shared" si="12"/>
        <v>4737.3333333333358</v>
      </c>
      <c r="BO21" s="438">
        <f t="shared" si="13"/>
        <v>68242.85139115667</v>
      </c>
      <c r="BP21" s="438">
        <f t="shared" si="14"/>
        <v>35389.851464270789</v>
      </c>
      <c r="BQ21" s="438">
        <f t="shared" si="15"/>
        <v>1899.1239999999525</v>
      </c>
      <c r="BR21" s="438">
        <f t="shared" si="16"/>
        <v>20958.333333333332</v>
      </c>
      <c r="BS21" s="438">
        <f t="shared" si="44"/>
        <v>-270528.56709145667</v>
      </c>
      <c r="BT21" s="438">
        <f t="shared" si="45"/>
        <v>-55221.25</v>
      </c>
      <c r="BW21" s="562">
        <f>Breakout!$C$15/12</f>
        <v>3516221.5</v>
      </c>
      <c r="BX21" s="562">
        <f>Breakout!$C$26/12</f>
        <v>124576.33333333333</v>
      </c>
      <c r="BY21" s="562">
        <f>Breakout!$C$37/12</f>
        <v>62707.333333333336</v>
      </c>
      <c r="BZ21" s="562">
        <f>Breakout!$C$48/12</f>
        <v>456137.16666666669</v>
      </c>
      <c r="CA21" s="562">
        <f>Breakout!$C$59/12</f>
        <v>419680.76251133345</v>
      </c>
      <c r="CB21" s="562">
        <f>Breakout!$C$70/12</f>
        <v>318419.79066666664</v>
      </c>
      <c r="CC21" s="562">
        <f>Breakout!$C$81/12</f>
        <v>20958.333333333332</v>
      </c>
      <c r="CE21" s="634">
        <f t="shared" si="30"/>
        <v>3516221.5000000005</v>
      </c>
      <c r="CF21" s="634">
        <f t="shared" si="31"/>
        <v>124576.33333333333</v>
      </c>
      <c r="CG21" s="634">
        <f t="shared" si="32"/>
        <v>62707.333333333336</v>
      </c>
      <c r="CI21" s="634">
        <f t="shared" si="33"/>
        <v>0</v>
      </c>
      <c r="CJ21" s="634">
        <f t="shared" si="34"/>
        <v>0</v>
      </c>
      <c r="CL21" s="438">
        <f>'account mgt'!$C$23/12</f>
        <v>-50916.666666666664</v>
      </c>
      <c r="CN21" s="438">
        <v>0</v>
      </c>
      <c r="CP21" s="438">
        <f t="shared" si="35"/>
        <v>2369920</v>
      </c>
      <c r="CQ21" s="438">
        <f t="shared" si="40"/>
        <v>24674962.098040581</v>
      </c>
      <c r="CR21" s="438">
        <f t="shared" si="41"/>
        <v>220429.66140916251</v>
      </c>
      <c r="CS21" s="438">
        <f t="shared" si="42"/>
        <v>24895391.759449743</v>
      </c>
      <c r="CX21" s="438">
        <f t="shared" si="17"/>
        <v>24895391.759449743</v>
      </c>
      <c r="DE21" s="438">
        <f t="shared" si="36"/>
        <v>24895391.759449743</v>
      </c>
      <c r="DH21" s="944">
        <v>0</v>
      </c>
      <c r="DI21" s="944">
        <v>0</v>
      </c>
      <c r="DJ21" s="944"/>
      <c r="DK21" s="381">
        <f t="shared" si="37"/>
        <v>-2467469.3103298238</v>
      </c>
      <c r="DL21" s="381">
        <v>0</v>
      </c>
      <c r="DN21" s="944">
        <f t="shared" si="18"/>
        <v>0</v>
      </c>
      <c r="DO21" s="944">
        <f t="shared" si="19"/>
        <v>0</v>
      </c>
      <c r="DQ21" s="438">
        <f t="shared" si="20"/>
        <v>265639.00000000047</v>
      </c>
      <c r="DR21" s="438">
        <f t="shared" si="21"/>
        <v>-17774.625892370546</v>
      </c>
      <c r="DS21" s="438"/>
      <c r="DT21" s="438"/>
      <c r="DU21" s="438"/>
      <c r="DV21" s="438"/>
      <c r="DW21" s="438"/>
      <c r="DX21" s="438"/>
    </row>
    <row r="22" spans="1:128" x14ac:dyDescent="0.2">
      <c r="A22" s="383">
        <v>11</v>
      </c>
      <c r="B22" s="631">
        <v>36831</v>
      </c>
      <c r="C22" s="381">
        <v>-2369920</v>
      </c>
      <c r="D22" s="381">
        <v>0</v>
      </c>
      <c r="E22" s="381">
        <v>0</v>
      </c>
      <c r="F22" s="381">
        <v>0</v>
      </c>
      <c r="G22" s="381">
        <v>0</v>
      </c>
      <c r="H22" s="381">
        <v>0</v>
      </c>
      <c r="I22" s="974">
        <v>-2369920</v>
      </c>
      <c r="J22" s="381">
        <f t="shared" si="38"/>
        <v>-2369920</v>
      </c>
      <c r="K22" s="381">
        <f t="shared" si="39"/>
        <v>-2455746.6955712829</v>
      </c>
      <c r="L22" s="381">
        <v>0</v>
      </c>
      <c r="M22" s="381">
        <f t="shared" si="43"/>
        <v>2369920</v>
      </c>
      <c r="N22" s="679">
        <f t="shared" si="22"/>
        <v>0</v>
      </c>
      <c r="O22" s="679">
        <f t="shared" si="23"/>
        <v>0</v>
      </c>
      <c r="P22" s="562">
        <f>Breakout!$C$16/12</f>
        <v>3375572.64</v>
      </c>
      <c r="Q22" s="557">
        <f>'wholesale services'!$D$110*'wholesale services'!$D$111/12</f>
        <v>3250582.4999999995</v>
      </c>
      <c r="R22" s="557">
        <v>3320487.5</v>
      </c>
      <c r="S22" s="562">
        <f>Breakout!$C$27/12</f>
        <v>119593.27999999998</v>
      </c>
      <c r="T22" s="557">
        <f>'wholesale services'!$D$113*'wholesale services'!$D$114/12</f>
        <v>142350.95922570387</v>
      </c>
      <c r="U22" s="557">
        <v>145256.08084255501</v>
      </c>
      <c r="V22" s="562">
        <f>Breakout!$C$38/12</f>
        <v>60199.040000000001</v>
      </c>
      <c r="W22" s="438">
        <f>Breakout!$C$39/12</f>
        <v>57970</v>
      </c>
      <c r="X22" s="438">
        <v>58593.333333333336</v>
      </c>
      <c r="Y22" s="562">
        <f>Breakout!$C$49/12</f>
        <v>437891.68</v>
      </c>
      <c r="Z22" s="557">
        <f>Breakout!$C$50/12</f>
        <v>387894.31527551002</v>
      </c>
      <c r="AA22" s="557">
        <v>407456.02121191338</v>
      </c>
      <c r="AB22" s="562">
        <f>Breakout!$C$60/12</f>
        <v>402893.53201088007</v>
      </c>
      <c r="AC22" s="557">
        <f>Breakout!$C$61/12</f>
        <v>384290.91104706266</v>
      </c>
      <c r="AD22" s="557">
        <v>396273.2557122272</v>
      </c>
      <c r="AE22" s="562">
        <f>Breakout!$C$71/12</f>
        <v>305682.99903999997</v>
      </c>
      <c r="AF22" s="557">
        <f>Breakout!$C$72/12</f>
        <v>316520.66666666669</v>
      </c>
      <c r="AG22" s="557">
        <v>316520.66666666669</v>
      </c>
      <c r="AH22" s="562">
        <f>Breakout!$C$82/12</f>
        <v>20120</v>
      </c>
      <c r="AI22" s="557">
        <f>Breakout!$C$83/12</f>
        <v>0</v>
      </c>
      <c r="AJ22" s="557">
        <v>0</v>
      </c>
      <c r="AK22" s="567">
        <f>Breakout!$C$91/12</f>
        <v>270528.56709145667</v>
      </c>
      <c r="AL22" s="567">
        <v>270528.56709145667</v>
      </c>
      <c r="AM22" s="567">
        <f>(Breakout!$C$107/12)*-1</f>
        <v>55221.25</v>
      </c>
      <c r="AN22" s="567">
        <v>55221.25</v>
      </c>
      <c r="AO22" s="578">
        <f t="shared" si="1"/>
        <v>4721953.1710508801</v>
      </c>
      <c r="AP22" s="578">
        <f t="shared" si="2"/>
        <v>4896903.2199079674</v>
      </c>
      <c r="AQ22" s="548">
        <f t="shared" si="3"/>
        <v>-143405.99825551949</v>
      </c>
      <c r="AS22" s="553">
        <f t="shared" si="4"/>
        <v>-248383.50380727206</v>
      </c>
      <c r="AU22" s="557">
        <f>'wholesale services'!$D$110/12</f>
        <v>48545138.888888888</v>
      </c>
      <c r="AV22" s="557">
        <f>'wholesale services'!$D$113/12</f>
        <v>24766.666666666668</v>
      </c>
      <c r="AX22" s="552">
        <f t="shared" si="5"/>
        <v>0</v>
      </c>
      <c r="AY22" s="381">
        <f t="shared" si="6"/>
        <v>0</v>
      </c>
      <c r="BA22" s="438">
        <f t="shared" si="7"/>
        <v>124990.1400000006</v>
      </c>
      <c r="BB22" s="438">
        <f t="shared" si="8"/>
        <v>-22757.679225703891</v>
      </c>
      <c r="BC22" s="438">
        <f t="shared" si="9"/>
        <v>2229.0400000000009</v>
      </c>
      <c r="BD22" s="438">
        <f t="shared" si="24"/>
        <v>49997.364724489977</v>
      </c>
      <c r="BE22" s="438">
        <f t="shared" si="25"/>
        <v>18602.620963817404</v>
      </c>
      <c r="BF22" s="438">
        <f t="shared" si="26"/>
        <v>-10837.66762666672</v>
      </c>
      <c r="BG22" s="438">
        <f t="shared" si="27"/>
        <v>20120</v>
      </c>
      <c r="BH22" s="438">
        <f t="shared" si="28"/>
        <v>-270528.56709145667</v>
      </c>
      <c r="BI22" s="438">
        <f t="shared" si="29"/>
        <v>-55221.25</v>
      </c>
      <c r="BL22" s="438">
        <f t="shared" si="10"/>
        <v>265639.00000000047</v>
      </c>
      <c r="BM22" s="438">
        <f t="shared" si="11"/>
        <v>-17774.625892370546</v>
      </c>
      <c r="BN22" s="438">
        <f t="shared" si="12"/>
        <v>4737.3333333333358</v>
      </c>
      <c r="BO22" s="438">
        <f t="shared" si="13"/>
        <v>68242.85139115667</v>
      </c>
      <c r="BP22" s="438">
        <f t="shared" si="14"/>
        <v>35389.851464270789</v>
      </c>
      <c r="BQ22" s="438">
        <f t="shared" si="15"/>
        <v>1899.1239999999525</v>
      </c>
      <c r="BR22" s="438">
        <f t="shared" si="16"/>
        <v>20958.333333333332</v>
      </c>
      <c r="BS22" s="438">
        <f t="shared" si="44"/>
        <v>-270528.56709145667</v>
      </c>
      <c r="BT22" s="438">
        <f t="shared" si="45"/>
        <v>-55221.25</v>
      </c>
      <c r="BW22" s="562">
        <f>Breakout!$C$15/12</f>
        <v>3516221.5</v>
      </c>
      <c r="BX22" s="562">
        <f>Breakout!$C$26/12</f>
        <v>124576.33333333333</v>
      </c>
      <c r="BY22" s="562">
        <f>Breakout!$C$37/12</f>
        <v>62707.333333333336</v>
      </c>
      <c r="BZ22" s="562">
        <f>Breakout!$C$48/12</f>
        <v>456137.16666666669</v>
      </c>
      <c r="CA22" s="562">
        <f>Breakout!$C$59/12</f>
        <v>419680.76251133345</v>
      </c>
      <c r="CB22" s="562">
        <f>Breakout!$C$70/12</f>
        <v>318419.79066666664</v>
      </c>
      <c r="CC22" s="562">
        <f>Breakout!$C$81/12</f>
        <v>20958.333333333332</v>
      </c>
      <c r="CE22" s="634">
        <f t="shared" si="30"/>
        <v>3516221.5000000005</v>
      </c>
      <c r="CF22" s="634">
        <f t="shared" si="31"/>
        <v>124576.33333333333</v>
      </c>
      <c r="CG22" s="634">
        <f t="shared" si="32"/>
        <v>62707.333333333336</v>
      </c>
      <c r="CI22" s="634">
        <f t="shared" si="33"/>
        <v>0</v>
      </c>
      <c r="CJ22" s="634">
        <f t="shared" si="34"/>
        <v>0</v>
      </c>
      <c r="CL22" s="438">
        <f>'account mgt'!$C$23/12</f>
        <v>-50916.666666666664</v>
      </c>
      <c r="CN22" s="438">
        <v>0</v>
      </c>
      <c r="CP22" s="438">
        <f t="shared" si="35"/>
        <v>2369920</v>
      </c>
      <c r="CQ22" s="438">
        <f t="shared" si="40"/>
        <v>27265311.759449743</v>
      </c>
      <c r="CR22" s="438">
        <f t="shared" si="41"/>
        <v>243570.1183844177</v>
      </c>
      <c r="CS22" s="438">
        <f t="shared" si="42"/>
        <v>27508881.87783416</v>
      </c>
      <c r="CX22" s="438">
        <f t="shared" si="17"/>
        <v>27508881.87783416</v>
      </c>
      <c r="DE22" s="438">
        <f t="shared" si="36"/>
        <v>27508881.87783416</v>
      </c>
      <c r="DH22" s="944">
        <v>0</v>
      </c>
      <c r="DI22" s="944">
        <v>0</v>
      </c>
      <c r="DJ22" s="944"/>
      <c r="DK22" s="381">
        <f t="shared" si="37"/>
        <v>-2447643.3987995475</v>
      </c>
      <c r="DL22" s="381">
        <v>0</v>
      </c>
      <c r="DN22" s="944">
        <f t="shared" si="18"/>
        <v>0</v>
      </c>
      <c r="DO22" s="944">
        <f t="shared" si="19"/>
        <v>0</v>
      </c>
      <c r="DQ22" s="438">
        <f t="shared" si="20"/>
        <v>265639.00000000047</v>
      </c>
      <c r="DR22" s="438">
        <f t="shared" si="21"/>
        <v>-17774.625892370546</v>
      </c>
      <c r="DS22" s="438"/>
      <c r="DT22" s="438"/>
      <c r="DU22" s="438"/>
      <c r="DV22" s="438"/>
      <c r="DW22" s="438"/>
      <c r="DX22" s="438"/>
    </row>
    <row r="23" spans="1:128" s="676" customFormat="1" x14ac:dyDescent="0.2">
      <c r="A23" s="667">
        <v>12</v>
      </c>
      <c r="B23" s="668">
        <v>36861</v>
      </c>
      <c r="C23" s="669">
        <v>-2369920</v>
      </c>
      <c r="D23" s="669">
        <v>0</v>
      </c>
      <c r="E23" s="669">
        <v>0</v>
      </c>
      <c r="F23" s="669">
        <v>0</v>
      </c>
      <c r="G23" s="669">
        <v>0</v>
      </c>
      <c r="H23" s="669">
        <v>0</v>
      </c>
      <c r="I23" s="1024">
        <v>-2369920</v>
      </c>
      <c r="J23" s="669">
        <f t="shared" si="38"/>
        <v>-2369920</v>
      </c>
      <c r="K23" s="669">
        <f t="shared" si="39"/>
        <v>-2434002.936009597</v>
      </c>
      <c r="L23" s="669">
        <v>0</v>
      </c>
      <c r="M23" s="669">
        <f t="shared" si="43"/>
        <v>2369920</v>
      </c>
      <c r="N23" s="679">
        <f t="shared" si="22"/>
        <v>0</v>
      </c>
      <c r="O23" s="679">
        <f t="shared" si="23"/>
        <v>0</v>
      </c>
      <c r="P23" s="670">
        <f>Breakout!$C$16/12</f>
        <v>3375572.64</v>
      </c>
      <c r="Q23" s="671">
        <f>'wholesale services'!$D$110*'wholesale services'!$D$111/12</f>
        <v>3250582.4999999995</v>
      </c>
      <c r="R23" s="671">
        <v>3320487.5</v>
      </c>
      <c r="S23" s="670">
        <f>Breakout!$C$27/12</f>
        <v>119593.27999999998</v>
      </c>
      <c r="T23" s="671">
        <f>'wholesale services'!$D$113*'wholesale services'!$D$114/12</f>
        <v>142350.95922570387</v>
      </c>
      <c r="U23" s="671">
        <v>145256.08084255501</v>
      </c>
      <c r="V23" s="670">
        <f>Breakout!$C$38/12</f>
        <v>60199.040000000001</v>
      </c>
      <c r="W23" s="672">
        <f>Breakout!$C$39/12</f>
        <v>57970</v>
      </c>
      <c r="X23" s="672">
        <v>58593.333333333336</v>
      </c>
      <c r="Y23" s="670">
        <f>Breakout!$C$49/12</f>
        <v>437891.68</v>
      </c>
      <c r="Z23" s="671">
        <f>Breakout!$C$50/12</f>
        <v>387894.31527551002</v>
      </c>
      <c r="AA23" s="671">
        <v>407456.02121191338</v>
      </c>
      <c r="AB23" s="670">
        <f>Breakout!$C$60/12</f>
        <v>402893.53201088007</v>
      </c>
      <c r="AC23" s="671">
        <f>Breakout!$C$61/12</f>
        <v>384290.91104706266</v>
      </c>
      <c r="AD23" s="671">
        <v>396273.2557122272</v>
      </c>
      <c r="AE23" s="670">
        <f>Breakout!$C$71/12</f>
        <v>305682.99903999997</v>
      </c>
      <c r="AF23" s="671">
        <f>Breakout!$C$72/12</f>
        <v>316520.66666666669</v>
      </c>
      <c r="AG23" s="671">
        <v>316520.66666666669</v>
      </c>
      <c r="AH23" s="670">
        <f>Breakout!$C$82/12</f>
        <v>20120</v>
      </c>
      <c r="AI23" s="671">
        <f>Breakout!$C$83/12</f>
        <v>0</v>
      </c>
      <c r="AJ23" s="671">
        <v>0</v>
      </c>
      <c r="AK23" s="673">
        <f>Breakout!$C$91/12</f>
        <v>270528.56709145667</v>
      </c>
      <c r="AL23" s="673">
        <v>270528.56709145667</v>
      </c>
      <c r="AM23" s="673">
        <f>(Breakout!$C$107/12)*-1</f>
        <v>55221.25</v>
      </c>
      <c r="AN23" s="673">
        <v>55221.25</v>
      </c>
      <c r="AO23" s="674">
        <f t="shared" si="1"/>
        <v>4721953.1710508801</v>
      </c>
      <c r="AP23" s="674">
        <f t="shared" si="2"/>
        <v>4896903.2199079674</v>
      </c>
      <c r="AQ23" s="548">
        <f t="shared" si="3"/>
        <v>-143405.99825551949</v>
      </c>
      <c r="AR23" s="672">
        <f>SUM(AQ12:AQ23)</f>
        <v>-1720871.9790662334</v>
      </c>
      <c r="AS23" s="553">
        <f t="shared" si="4"/>
        <v>-248383.50380727206</v>
      </c>
      <c r="AT23" s="672">
        <f>SUM(AS12:AS23)</f>
        <v>-2980602.0456872638</v>
      </c>
      <c r="AU23" s="671">
        <f>'wholesale services'!$D$110/12</f>
        <v>48545138.888888888</v>
      </c>
      <c r="AV23" s="671">
        <f>'wholesale services'!$D$113/12</f>
        <v>24766.666666666668</v>
      </c>
      <c r="AW23" s="672"/>
      <c r="AX23" s="552">
        <f t="shared" si="5"/>
        <v>0</v>
      </c>
      <c r="AY23" s="381">
        <f t="shared" si="6"/>
        <v>0</v>
      </c>
      <c r="AZ23" s="672"/>
      <c r="BA23" s="438">
        <f t="shared" si="7"/>
        <v>124990.1400000006</v>
      </c>
      <c r="BB23" s="438">
        <f t="shared" si="8"/>
        <v>-22757.679225703891</v>
      </c>
      <c r="BC23" s="438">
        <f t="shared" si="9"/>
        <v>2229.0400000000009</v>
      </c>
      <c r="BD23" s="438">
        <f t="shared" si="24"/>
        <v>49997.364724489977</v>
      </c>
      <c r="BE23" s="438">
        <f t="shared" si="25"/>
        <v>18602.620963817404</v>
      </c>
      <c r="BF23" s="438">
        <f t="shared" si="26"/>
        <v>-10837.66762666672</v>
      </c>
      <c r="BG23" s="438">
        <f t="shared" si="27"/>
        <v>20120</v>
      </c>
      <c r="BH23" s="438">
        <f t="shared" si="28"/>
        <v>-270528.56709145667</v>
      </c>
      <c r="BI23" s="438">
        <f t="shared" si="29"/>
        <v>-55221.25</v>
      </c>
      <c r="BJ23" s="672"/>
      <c r="BK23" s="496"/>
      <c r="BL23" s="438">
        <f t="shared" si="10"/>
        <v>265639.00000000047</v>
      </c>
      <c r="BM23" s="438">
        <f t="shared" si="11"/>
        <v>-17774.625892370546</v>
      </c>
      <c r="BN23" s="438">
        <f t="shared" si="12"/>
        <v>4737.3333333333358</v>
      </c>
      <c r="BO23" s="438">
        <f t="shared" si="13"/>
        <v>68242.85139115667</v>
      </c>
      <c r="BP23" s="438">
        <f t="shared" si="14"/>
        <v>35389.851464270789</v>
      </c>
      <c r="BQ23" s="438">
        <f t="shared" si="15"/>
        <v>1899.1239999999525</v>
      </c>
      <c r="BR23" s="438">
        <f t="shared" si="16"/>
        <v>20958.333333333332</v>
      </c>
      <c r="BS23" s="438">
        <f t="shared" si="44"/>
        <v>-270528.56709145667</v>
      </c>
      <c r="BT23" s="438">
        <f t="shared" si="45"/>
        <v>-55221.25</v>
      </c>
      <c r="BU23" s="672"/>
      <c r="BV23" s="672"/>
      <c r="BW23" s="670">
        <f>Breakout!$C$15/12</f>
        <v>3516221.5</v>
      </c>
      <c r="BX23" s="670">
        <f>Breakout!$C$26/12</f>
        <v>124576.33333333333</v>
      </c>
      <c r="BY23" s="670">
        <f>Breakout!$C$37/12</f>
        <v>62707.333333333336</v>
      </c>
      <c r="BZ23" s="670">
        <f>Breakout!$C$48/12</f>
        <v>456137.16666666669</v>
      </c>
      <c r="CA23" s="670">
        <f>Breakout!$C$59/12</f>
        <v>419680.76251133345</v>
      </c>
      <c r="CB23" s="670">
        <f>Breakout!$C$70/12</f>
        <v>318419.79066666664</v>
      </c>
      <c r="CC23" s="670">
        <f>Breakout!$C$81/12</f>
        <v>20958.333333333332</v>
      </c>
      <c r="CD23" s="672"/>
      <c r="CE23" s="675">
        <f t="shared" si="30"/>
        <v>3516221.5000000005</v>
      </c>
      <c r="CF23" s="675">
        <f t="shared" si="31"/>
        <v>124576.33333333333</v>
      </c>
      <c r="CG23" s="675">
        <f t="shared" si="32"/>
        <v>62707.333333333336</v>
      </c>
      <c r="CH23" s="672"/>
      <c r="CI23" s="675">
        <f t="shared" si="33"/>
        <v>0</v>
      </c>
      <c r="CJ23" s="675">
        <f t="shared" si="34"/>
        <v>0</v>
      </c>
      <c r="CK23" s="672"/>
      <c r="CL23" s="672">
        <f>'account mgt'!$C$23/12</f>
        <v>-50916.666666666664</v>
      </c>
      <c r="CM23" s="672"/>
      <c r="CN23" s="438">
        <v>0</v>
      </c>
      <c r="CO23" s="672"/>
      <c r="CP23" s="438">
        <f t="shared" si="35"/>
        <v>2369920</v>
      </c>
      <c r="CQ23" s="438">
        <f t="shared" si="40"/>
        <v>29878801.87783416</v>
      </c>
      <c r="CR23" s="438">
        <f t="shared" si="41"/>
        <v>266917.29677531851</v>
      </c>
      <c r="CS23" s="438">
        <f t="shared" si="42"/>
        <v>30145719.174609479</v>
      </c>
      <c r="CT23" s="438"/>
      <c r="CU23" s="438"/>
      <c r="CV23" s="438"/>
      <c r="CW23" s="672"/>
      <c r="CX23" s="438">
        <f t="shared" si="17"/>
        <v>30145719.174609479</v>
      </c>
      <c r="CY23" s="438">
        <f>CX23</f>
        <v>30145719.174609479</v>
      </c>
      <c r="CZ23" s="672"/>
      <c r="DA23" s="438"/>
      <c r="DB23" s="438"/>
      <c r="DC23" s="438"/>
      <c r="DD23" s="672"/>
      <c r="DE23" s="438">
        <f t="shared" si="36"/>
        <v>30145719.174609479</v>
      </c>
      <c r="DF23" s="438">
        <f>DE23</f>
        <v>30145719.174609479</v>
      </c>
      <c r="DG23" s="672"/>
      <c r="DH23" s="944">
        <v>0</v>
      </c>
      <c r="DI23" s="944">
        <v>0</v>
      </c>
      <c r="DJ23" s="944"/>
      <c r="DK23" s="381">
        <f t="shared" si="37"/>
        <v>-2427976.7868262548</v>
      </c>
      <c r="DL23" s="669">
        <v>0</v>
      </c>
      <c r="DM23" s="672"/>
      <c r="DN23" s="944">
        <f t="shared" si="18"/>
        <v>0</v>
      </c>
      <c r="DO23" s="944">
        <f t="shared" si="19"/>
        <v>0</v>
      </c>
      <c r="DP23" s="672"/>
      <c r="DQ23" s="438">
        <f t="shared" si="20"/>
        <v>265639.00000000047</v>
      </c>
      <c r="DR23" s="438">
        <f t="shared" si="21"/>
        <v>-17774.625892370546</v>
      </c>
      <c r="DS23" s="672"/>
      <c r="DT23" s="672"/>
      <c r="DU23" s="672"/>
      <c r="DV23" s="672"/>
      <c r="DW23" s="672"/>
      <c r="DX23" s="672"/>
    </row>
    <row r="24" spans="1:128" x14ac:dyDescent="0.2">
      <c r="A24" s="383">
        <v>13</v>
      </c>
      <c r="B24" s="631">
        <v>36892</v>
      </c>
      <c r="C24" s="1047">
        <v>-2369920</v>
      </c>
      <c r="D24" s="381">
        <v>0</v>
      </c>
      <c r="E24" s="381">
        <v>0</v>
      </c>
      <c r="F24" s="381">
        <v>0</v>
      </c>
      <c r="G24" s="381">
        <v>0</v>
      </c>
      <c r="H24" s="381">
        <v>0</v>
      </c>
      <c r="I24" s="974">
        <v>-2369920</v>
      </c>
      <c r="J24" s="381">
        <f t="shared" si="38"/>
        <v>-2369920</v>
      </c>
      <c r="K24" s="381">
        <f t="shared" si="39"/>
        <v>-2412451.7008156441</v>
      </c>
      <c r="L24" s="381">
        <v>0</v>
      </c>
      <c r="M24" s="381">
        <f t="shared" si="43"/>
        <v>2369920</v>
      </c>
      <c r="N24" s="679">
        <f t="shared" si="22"/>
        <v>0</v>
      </c>
      <c r="O24" s="679">
        <f t="shared" si="23"/>
        <v>0</v>
      </c>
      <c r="P24" s="562">
        <f>Breakout!$D$16/12</f>
        <v>3411024.4174227254</v>
      </c>
      <c r="Q24" s="557">
        <f>'wholesale services'!$D$110*'wholesale services'!$E$111/12</f>
        <v>3250582.4999999995</v>
      </c>
      <c r="R24" s="557">
        <v>3320487.5</v>
      </c>
      <c r="S24" s="562">
        <f>Breakout!$D$27/12</f>
        <v>120849.30225043917</v>
      </c>
      <c r="T24" s="557">
        <f>'wholesale services'!$D$113*'wholesale services'!$E$114/12</f>
        <v>142811.25022850538</v>
      </c>
      <c r="U24" s="557">
        <v>145725.7655392912</v>
      </c>
      <c r="V24" s="562">
        <f>Breakout!$D$38/12</f>
        <v>60831.277310449863</v>
      </c>
      <c r="W24" s="438">
        <f>Breakout!$D$39/12</f>
        <v>59709.100000000006</v>
      </c>
      <c r="X24" s="438">
        <v>60351.133333333331</v>
      </c>
      <c r="Y24" s="562">
        <f>Breakout!$D$49/12</f>
        <v>442490.61476759054</v>
      </c>
      <c r="Z24" s="557">
        <f>Breakout!$D$50/12</f>
        <v>396350.41134851618</v>
      </c>
      <c r="AA24" s="557">
        <v>416338.56247433304</v>
      </c>
      <c r="AB24" s="562">
        <f>Breakout!$D$60/12</f>
        <v>407124.9005356307</v>
      </c>
      <c r="AC24" s="557">
        <f>Breakout!$D$61/12</f>
        <v>392668.45290788868</v>
      </c>
      <c r="AD24" s="557">
        <v>404912.0126867537</v>
      </c>
      <c r="AE24" s="562">
        <f>Breakout!$D$71/12</f>
        <v>308893.41895970789</v>
      </c>
      <c r="AF24" s="557">
        <f>Breakout!$D$72/12</f>
        <v>316520.66666666669</v>
      </c>
      <c r="AG24" s="557">
        <v>316520.66666666669</v>
      </c>
      <c r="AH24" s="562">
        <f>Breakout!$D$82/12</f>
        <v>20331.30926151399</v>
      </c>
      <c r="AI24" s="557">
        <f>Breakout!$D$83/12</f>
        <v>0</v>
      </c>
      <c r="AJ24" s="557">
        <v>0</v>
      </c>
      <c r="AK24" s="567">
        <f>Breakout!$D$91/12</f>
        <v>273369.77940410742</v>
      </c>
      <c r="AL24" s="567">
        <v>273369.77940410742</v>
      </c>
      <c r="AM24" s="567">
        <f>(Breakout!$D$107/12)*-1</f>
        <v>55221.25</v>
      </c>
      <c r="AN24" s="567">
        <v>55221.25</v>
      </c>
      <c r="AO24" s="578">
        <f t="shared" si="1"/>
        <v>4771545.2405080581</v>
      </c>
      <c r="AP24" s="578">
        <f t="shared" si="2"/>
        <v>4919465.121460367</v>
      </c>
      <c r="AQ24" s="548">
        <f t="shared" si="3"/>
        <v>-115688.17004762578</v>
      </c>
      <c r="AS24" s="553">
        <f t="shared" si="4"/>
        <v>-221381.4295964273</v>
      </c>
      <c r="AU24" s="557">
        <f>'wholesale services'!$E$110/12</f>
        <v>40679698.73649691</v>
      </c>
      <c r="AV24" s="557">
        <f>'wholesale services'!$E$113/12</f>
        <v>18805.490972222222</v>
      </c>
      <c r="AX24" s="552">
        <f t="shared" si="5"/>
        <v>0</v>
      </c>
      <c r="AY24" s="381">
        <f t="shared" si="6"/>
        <v>0</v>
      </c>
      <c r="BA24" s="438">
        <f t="shared" si="7"/>
        <v>160441.91742272582</v>
      </c>
      <c r="BB24" s="438">
        <f t="shared" si="8"/>
        <v>-21961.947978066208</v>
      </c>
      <c r="BC24" s="438">
        <f t="shared" si="9"/>
        <v>1122.177310449857</v>
      </c>
      <c r="BD24" s="438">
        <f t="shared" si="24"/>
        <v>46140.203419074358</v>
      </c>
      <c r="BE24" s="438">
        <f t="shared" si="25"/>
        <v>14456.447627742018</v>
      </c>
      <c r="BF24" s="438">
        <f t="shared" si="26"/>
        <v>-7627.2477069587912</v>
      </c>
      <c r="BG24" s="438">
        <f t="shared" si="27"/>
        <v>20331.30926151399</v>
      </c>
      <c r="BH24" s="438">
        <f t="shared" si="28"/>
        <v>-273369.77940410742</v>
      </c>
      <c r="BI24" s="438">
        <f t="shared" si="29"/>
        <v>-55221.25</v>
      </c>
      <c r="BL24" s="438">
        <f t="shared" si="10"/>
        <v>302708.23931272561</v>
      </c>
      <c r="BM24" s="438">
        <f t="shared" si="11"/>
        <v>-16921.589531399557</v>
      </c>
      <c r="BN24" s="438">
        <f t="shared" si="12"/>
        <v>3659.3160171165291</v>
      </c>
      <c r="BO24" s="438">
        <f t="shared" si="13"/>
        <v>64595.513182407652</v>
      </c>
      <c r="BP24" s="438">
        <f t="shared" si="14"/>
        <v>31436.731278950581</v>
      </c>
      <c r="BQ24" s="438">
        <f t="shared" si="15"/>
        <v>5256.0170234146062</v>
      </c>
      <c r="BR24" s="438">
        <f t="shared" si="16"/>
        <v>21179.283428180657</v>
      </c>
      <c r="BS24" s="438">
        <f t="shared" si="44"/>
        <v>-273369.77940410742</v>
      </c>
      <c r="BT24" s="438">
        <f t="shared" si="45"/>
        <v>-55221.25</v>
      </c>
      <c r="BW24" s="562">
        <f>Breakout!$D$15/12</f>
        <v>3553290.7393127251</v>
      </c>
      <c r="BX24" s="562">
        <f>Breakout!$D$26/12</f>
        <v>125889.66069710582</v>
      </c>
      <c r="BY24" s="562">
        <f>Breakout!$D$37/12</f>
        <v>63368.416017116535</v>
      </c>
      <c r="BZ24" s="562">
        <f>Breakout!$D$48/12</f>
        <v>460945.92453092383</v>
      </c>
      <c r="CA24" s="562">
        <f>Breakout!$D$59/12</f>
        <v>424105.18418683927</v>
      </c>
      <c r="CB24" s="562">
        <f>Breakout!$D$70/12</f>
        <v>321776.68369008129</v>
      </c>
      <c r="CC24" s="562">
        <f>Breakout!$D$81/12</f>
        <v>21179.283428180657</v>
      </c>
      <c r="CE24" s="634">
        <f t="shared" si="30"/>
        <v>3553150.4348153388</v>
      </c>
      <c r="CF24" s="634">
        <f t="shared" si="31"/>
        <v>125884.68984420747</v>
      </c>
      <c r="CG24" s="634">
        <f t="shared" si="32"/>
        <v>63365.913865051945</v>
      </c>
      <c r="CI24" s="634">
        <f t="shared" si="33"/>
        <v>0</v>
      </c>
      <c r="CJ24" s="634">
        <f t="shared" si="34"/>
        <v>0</v>
      </c>
      <c r="CL24" s="438">
        <f>'account mgt'!$D$23/12</f>
        <v>-50235</v>
      </c>
      <c r="CN24" s="438">
        <v>0</v>
      </c>
      <c r="CP24" s="438">
        <f t="shared" si="35"/>
        <v>2369920</v>
      </c>
      <c r="CQ24" s="438">
        <f t="shared" si="40"/>
        <v>32515639.174609479</v>
      </c>
      <c r="CR24" s="438">
        <f t="shared" si="41"/>
        <v>290473.04329317802</v>
      </c>
      <c r="CS24" s="438">
        <f t="shared" si="42"/>
        <v>32806112.217902657</v>
      </c>
      <c r="CX24" s="438">
        <f t="shared" si="17"/>
        <v>32806112.217902657</v>
      </c>
      <c r="DE24" s="438">
        <f t="shared" si="36"/>
        <v>32806112.217902657</v>
      </c>
      <c r="DH24" s="944">
        <v>0</v>
      </c>
      <c r="DI24" s="944">
        <v>0</v>
      </c>
      <c r="DJ24" s="944"/>
      <c r="DK24" s="381">
        <f t="shared" si="37"/>
        <v>-2408468.1944512003</v>
      </c>
      <c r="DL24" s="381">
        <v>0</v>
      </c>
      <c r="DN24" s="944">
        <f t="shared" si="18"/>
        <v>0</v>
      </c>
      <c r="DO24" s="944">
        <f t="shared" si="19"/>
        <v>0</v>
      </c>
      <c r="DQ24" s="438">
        <f t="shared" si="20"/>
        <v>302708.23931272561</v>
      </c>
      <c r="DR24" s="438">
        <f t="shared" si="21"/>
        <v>-16921.589531399557</v>
      </c>
      <c r="DS24" s="438"/>
      <c r="DT24" s="438"/>
      <c r="DU24" s="438"/>
      <c r="DV24" s="438"/>
      <c r="DW24" s="438"/>
      <c r="DX24" s="438"/>
    </row>
    <row r="25" spans="1:128" x14ac:dyDescent="0.2">
      <c r="A25" s="977">
        <v>14</v>
      </c>
      <c r="B25" s="631">
        <v>36923</v>
      </c>
      <c r="C25" s="1047">
        <v>-2369920</v>
      </c>
      <c r="D25" s="381">
        <v>0</v>
      </c>
      <c r="E25" s="381">
        <v>0</v>
      </c>
      <c r="F25" s="381">
        <v>0</v>
      </c>
      <c r="G25" s="381">
        <v>0</v>
      </c>
      <c r="H25" s="381">
        <v>0</v>
      </c>
      <c r="I25" s="974">
        <v>-2369920</v>
      </c>
      <c r="J25" s="381">
        <f t="shared" si="38"/>
        <v>-2369920</v>
      </c>
      <c r="K25" s="381">
        <f>I25*(1+$L$2)^($A$25-A25+1)</f>
        <v>-2391091.2853333331</v>
      </c>
      <c r="L25" s="381">
        <v>0</v>
      </c>
      <c r="M25" s="381">
        <f>-J25</f>
        <v>2369920</v>
      </c>
      <c r="N25" s="679">
        <f t="shared" si="22"/>
        <v>0</v>
      </c>
      <c r="O25" s="679">
        <f t="shared" si="23"/>
        <v>0</v>
      </c>
      <c r="P25" s="562">
        <f>Breakout!$D$16/12</f>
        <v>3411024.4174227254</v>
      </c>
      <c r="Q25" s="557">
        <f>'wholesale services'!$D$110*'wholesale services'!$E$111/12</f>
        <v>3250582.4999999995</v>
      </c>
      <c r="R25" s="557">
        <v>3320487.5</v>
      </c>
      <c r="S25" s="562">
        <f>Breakout!$D$27/12</f>
        <v>120849.30225043917</v>
      </c>
      <c r="T25" s="557">
        <f>'wholesale services'!$D$113*'wholesale services'!$E$114/12</f>
        <v>142811.25022850538</v>
      </c>
      <c r="U25" s="557">
        <v>145725.7655392912</v>
      </c>
      <c r="V25" s="562">
        <f>Breakout!$D$38/12</f>
        <v>60831.277310449863</v>
      </c>
      <c r="W25" s="438">
        <f>Breakout!$D$39/12</f>
        <v>59709.100000000006</v>
      </c>
      <c r="X25" s="438">
        <v>60351.133333333331</v>
      </c>
      <c r="Y25" s="562">
        <f>Breakout!$D$49/12</f>
        <v>442490.61476759054</v>
      </c>
      <c r="Z25" s="557">
        <f>Breakout!$D$50/12</f>
        <v>396350.41134851618</v>
      </c>
      <c r="AA25" s="557">
        <v>416338.56247433304</v>
      </c>
      <c r="AB25" s="562">
        <f>Breakout!$D$60/12</f>
        <v>407124.9005356307</v>
      </c>
      <c r="AC25" s="557">
        <f>Breakout!$D$61/12</f>
        <v>392668.45290788868</v>
      </c>
      <c r="AD25" s="557">
        <v>404912.0126867537</v>
      </c>
      <c r="AE25" s="562">
        <f>Breakout!$D$71/12</f>
        <v>308893.41895970789</v>
      </c>
      <c r="AF25" s="557">
        <f>Breakout!$D$72/12</f>
        <v>316520.66666666669</v>
      </c>
      <c r="AG25" s="557">
        <v>316520.66666666669</v>
      </c>
      <c r="AH25" s="562">
        <f>Breakout!$D$82/12</f>
        <v>20331.30926151399</v>
      </c>
      <c r="AI25" s="557">
        <f>Breakout!$D$83/12</f>
        <v>0</v>
      </c>
      <c r="AJ25" s="557">
        <v>0</v>
      </c>
      <c r="AK25" s="567">
        <f>Breakout!$D$91/12</f>
        <v>273369.77940410742</v>
      </c>
      <c r="AL25" s="567">
        <v>273369.77940410742</v>
      </c>
      <c r="AM25" s="567">
        <f>(Breakout!$D$107/12)*-1</f>
        <v>55221.25</v>
      </c>
      <c r="AN25" s="567">
        <v>55221.25</v>
      </c>
      <c r="AO25" s="578">
        <f t="shared" si="1"/>
        <v>4771545.2405080581</v>
      </c>
      <c r="AP25" s="578">
        <f t="shared" si="2"/>
        <v>4919465.121460367</v>
      </c>
      <c r="AQ25" s="548">
        <f t="shared" si="3"/>
        <v>-115688.17004762578</v>
      </c>
      <c r="AS25" s="553">
        <f t="shared" si="4"/>
        <v>-221381.4295964273</v>
      </c>
      <c r="AU25" s="557">
        <f>'wholesale services'!$E$110/12</f>
        <v>40679698.73649691</v>
      </c>
      <c r="AV25" s="557">
        <f>'wholesale services'!$E$113/12</f>
        <v>18805.490972222222</v>
      </c>
      <c r="AX25" s="552">
        <f t="shared" si="5"/>
        <v>0</v>
      </c>
      <c r="AY25" s="381">
        <f t="shared" si="6"/>
        <v>0</v>
      </c>
      <c r="BA25" s="438">
        <f t="shared" si="7"/>
        <v>160441.91742272582</v>
      </c>
      <c r="BB25" s="438">
        <f t="shared" si="8"/>
        <v>-21961.947978066208</v>
      </c>
      <c r="BC25" s="438">
        <f t="shared" si="9"/>
        <v>1122.177310449857</v>
      </c>
      <c r="BD25" s="438">
        <f t="shared" si="24"/>
        <v>46140.203419074358</v>
      </c>
      <c r="BE25" s="438">
        <f t="shared" si="25"/>
        <v>14456.447627742018</v>
      </c>
      <c r="BF25" s="438">
        <f t="shared" si="26"/>
        <v>-7627.2477069587912</v>
      </c>
      <c r="BG25" s="438">
        <f t="shared" si="27"/>
        <v>20331.30926151399</v>
      </c>
      <c r="BH25" s="438">
        <f t="shared" si="28"/>
        <v>-273369.77940410742</v>
      </c>
      <c r="BI25" s="438">
        <f t="shared" si="29"/>
        <v>-55221.25</v>
      </c>
      <c r="BL25" s="438">
        <f t="shared" si="10"/>
        <v>302708.23931272561</v>
      </c>
      <c r="BM25" s="438">
        <f t="shared" si="11"/>
        <v>-16921.589531399557</v>
      </c>
      <c r="BN25" s="438">
        <f t="shared" si="12"/>
        <v>3659.3160171165291</v>
      </c>
      <c r="BO25" s="438">
        <f t="shared" si="13"/>
        <v>64595.513182407652</v>
      </c>
      <c r="BP25" s="438">
        <f t="shared" si="14"/>
        <v>31436.731278950581</v>
      </c>
      <c r="BQ25" s="438">
        <f t="shared" si="15"/>
        <v>5256.0170234146062</v>
      </c>
      <c r="BR25" s="438">
        <f t="shared" si="16"/>
        <v>21179.283428180657</v>
      </c>
      <c r="BS25" s="438">
        <f t="shared" si="44"/>
        <v>-273369.77940410742</v>
      </c>
      <c r="BT25" s="438">
        <f t="shared" si="45"/>
        <v>-55221.25</v>
      </c>
      <c r="BW25" s="562">
        <f>Breakout!$D$15/12</f>
        <v>3553290.7393127251</v>
      </c>
      <c r="BX25" s="562">
        <f>Breakout!$D$26/12</f>
        <v>125889.66069710582</v>
      </c>
      <c r="BY25" s="562">
        <f>Breakout!$D$37/12</f>
        <v>63368.416017116535</v>
      </c>
      <c r="BZ25" s="562">
        <f>Breakout!$D$48/12</f>
        <v>460945.92453092383</v>
      </c>
      <c r="CA25" s="562">
        <f>Breakout!$D$59/12</f>
        <v>424105.18418683927</v>
      </c>
      <c r="CB25" s="562">
        <f>Breakout!$D$70/12</f>
        <v>321776.68369008129</v>
      </c>
      <c r="CC25" s="562">
        <f>Breakout!$D$81/12</f>
        <v>21179.283428180657</v>
      </c>
      <c r="CE25" s="634">
        <f t="shared" si="30"/>
        <v>3553150.4348153388</v>
      </c>
      <c r="CF25" s="634">
        <f t="shared" si="31"/>
        <v>125884.68984420747</v>
      </c>
      <c r="CG25" s="634">
        <f t="shared" si="32"/>
        <v>63365.913865051945</v>
      </c>
      <c r="CI25" s="634">
        <f t="shared" si="33"/>
        <v>0</v>
      </c>
      <c r="CJ25" s="634">
        <f t="shared" si="34"/>
        <v>0</v>
      </c>
      <c r="CL25" s="438">
        <f>'account mgt'!$D$23/12</f>
        <v>-50235</v>
      </c>
      <c r="CN25" s="438">
        <v>0</v>
      </c>
      <c r="CP25" s="438">
        <f t="shared" si="35"/>
        <v>2369920</v>
      </c>
      <c r="CQ25" s="438">
        <f t="shared" si="40"/>
        <v>35176032.21790266</v>
      </c>
      <c r="CR25" s="438">
        <f t="shared" si="41"/>
        <v>314239.22114659706</v>
      </c>
      <c r="CS25" s="438">
        <f t="shared" si="42"/>
        <v>35490271.439049259</v>
      </c>
      <c r="CX25" s="438">
        <f t="shared" si="17"/>
        <v>35490271.439049259</v>
      </c>
      <c r="DE25" s="438">
        <f t="shared" si="36"/>
        <v>35490271.439049259</v>
      </c>
      <c r="DH25" s="944">
        <v>0</v>
      </c>
      <c r="DI25" s="944">
        <v>0</v>
      </c>
      <c r="DJ25" s="944"/>
      <c r="DK25" s="381">
        <f t="shared" si="37"/>
        <v>-2389116.352</v>
      </c>
      <c r="DL25" s="381">
        <v>0</v>
      </c>
      <c r="DN25" s="944">
        <f t="shared" si="18"/>
        <v>0</v>
      </c>
      <c r="DO25" s="944">
        <f t="shared" si="19"/>
        <v>0</v>
      </c>
      <c r="DQ25" s="438">
        <f t="shared" si="20"/>
        <v>302708.23931272561</v>
      </c>
      <c r="DR25" s="438">
        <f t="shared" si="21"/>
        <v>-16921.589531399557</v>
      </c>
      <c r="DS25" s="438"/>
      <c r="DT25" s="438"/>
      <c r="DU25" s="438"/>
      <c r="DV25" s="438"/>
      <c r="DW25" s="438"/>
      <c r="DX25" s="438"/>
    </row>
    <row r="26" spans="1:128" x14ac:dyDescent="0.2">
      <c r="A26" s="383">
        <v>15</v>
      </c>
      <c r="B26" s="631">
        <v>36951</v>
      </c>
      <c r="C26" s="381">
        <v>0</v>
      </c>
      <c r="D26" s="381">
        <v>0</v>
      </c>
      <c r="E26" s="381">
        <v>0</v>
      </c>
      <c r="F26" s="381">
        <v>0</v>
      </c>
      <c r="G26" s="381">
        <v>491519.16625128349</v>
      </c>
      <c r="H26" s="381">
        <v>0</v>
      </c>
      <c r="I26" s="381">
        <v>491519.16625128349</v>
      </c>
      <c r="J26" s="381"/>
      <c r="L26" s="381">
        <f>PMT($L$3,106,$K$5,,1)</f>
        <v>491519.16625128326</v>
      </c>
      <c r="M26" s="381"/>
      <c r="N26" s="679">
        <f t="shared" si="22"/>
        <v>-715341.08333333337</v>
      </c>
      <c r="O26" s="679">
        <f t="shared" si="23"/>
        <v>-705333.33333333337</v>
      </c>
      <c r="P26" s="562">
        <f>Breakout!$D$16/12</f>
        <v>3411024.4174227254</v>
      </c>
      <c r="Q26" s="557">
        <f>'wholesale services'!$D$110*'wholesale services'!$E$111/12</f>
        <v>3250582.4999999995</v>
      </c>
      <c r="R26" s="557">
        <v>3320487.5</v>
      </c>
      <c r="S26" s="562">
        <f>Breakout!$D$27/12</f>
        <v>120849.30225043917</v>
      </c>
      <c r="T26" s="557">
        <f>'wholesale services'!$D$113*'wholesale services'!$E$114/12</f>
        <v>142811.25022850538</v>
      </c>
      <c r="U26" s="557">
        <v>145725.7655392912</v>
      </c>
      <c r="V26" s="562">
        <f>Breakout!$D$38/12</f>
        <v>60831.277310449863</v>
      </c>
      <c r="W26" s="438">
        <f>Breakout!$D$39/12</f>
        <v>59709.100000000006</v>
      </c>
      <c r="X26" s="438">
        <v>60351.133333333331</v>
      </c>
      <c r="Y26" s="562">
        <f>Breakout!$D$49/12</f>
        <v>442490.61476759054</v>
      </c>
      <c r="Z26" s="557">
        <f>Breakout!$D$50/12</f>
        <v>396350.41134851618</v>
      </c>
      <c r="AA26" s="557">
        <v>416338.56247433304</v>
      </c>
      <c r="AB26" s="562">
        <f>Breakout!$D$60/12</f>
        <v>407124.9005356307</v>
      </c>
      <c r="AC26" s="557">
        <f>Breakout!$D$61/12</f>
        <v>392668.45290788868</v>
      </c>
      <c r="AD26" s="557">
        <v>404912.0126867537</v>
      </c>
      <c r="AE26" s="562">
        <f>Breakout!$D$71/12</f>
        <v>308893.41895970789</v>
      </c>
      <c r="AF26" s="557">
        <f>Breakout!$D$72/12</f>
        <v>316520.66666666669</v>
      </c>
      <c r="AG26" s="557">
        <v>316520.66666666669</v>
      </c>
      <c r="AH26" s="562">
        <f>Breakout!$D$82/12</f>
        <v>20331.30926151399</v>
      </c>
      <c r="AI26" s="557">
        <f>Breakout!$D$83/12</f>
        <v>0</v>
      </c>
      <c r="AJ26" s="557">
        <v>0</v>
      </c>
      <c r="AK26" s="567">
        <f>Breakout!$D$91/12</f>
        <v>273369.77940410742</v>
      </c>
      <c r="AL26" s="567">
        <v>273369.77940410742</v>
      </c>
      <c r="AM26" s="567">
        <f>(Breakout!$D$107/12)*-1</f>
        <v>55221.25</v>
      </c>
      <c r="AN26" s="567">
        <v>55221.25</v>
      </c>
      <c r="AO26" s="578">
        <f t="shared" si="1"/>
        <v>4771545.2405080581</v>
      </c>
      <c r="AP26" s="578">
        <f t="shared" si="2"/>
        <v>4919465.121460367</v>
      </c>
      <c r="AQ26" s="548">
        <f t="shared" si="3"/>
        <v>124819.98627646238</v>
      </c>
      <c r="AS26" s="553">
        <f t="shared" si="4"/>
        <v>-7567.2625143771875</v>
      </c>
      <c r="AU26" s="557">
        <f>'wholesale services'!$E$110/12</f>
        <v>40679698.73649691</v>
      </c>
      <c r="AV26" s="557">
        <f>'wholesale services'!$E$113/12</f>
        <v>18805.490972222222</v>
      </c>
      <c r="AX26" s="552">
        <f t="shared" si="5"/>
        <v>-715341.08333333337</v>
      </c>
      <c r="AY26" s="381">
        <f t="shared" si="6"/>
        <v>-705333.33333333337</v>
      </c>
      <c r="BA26" s="438">
        <f t="shared" si="7"/>
        <v>388924.66593060957</v>
      </c>
      <c r="BB26" s="438">
        <f t="shared" si="8"/>
        <v>-9936.540161861798</v>
      </c>
      <c r="BC26" s="438">
        <f t="shared" si="9"/>
        <v>1122.177310449857</v>
      </c>
      <c r="BD26" s="438">
        <f t="shared" si="24"/>
        <v>46140.203419074358</v>
      </c>
      <c r="BE26" s="438">
        <f t="shared" si="25"/>
        <v>14456.447627742018</v>
      </c>
      <c r="BF26" s="438">
        <f t="shared" si="26"/>
        <v>-7627.2477069587912</v>
      </c>
      <c r="BG26" s="438">
        <f t="shared" si="27"/>
        <v>20331.30926151399</v>
      </c>
      <c r="BH26" s="438">
        <f t="shared" si="28"/>
        <v>-273369.77940410742</v>
      </c>
      <c r="BI26" s="438">
        <f t="shared" si="29"/>
        <v>-55221.25</v>
      </c>
      <c r="BL26" s="438">
        <f t="shared" si="10"/>
        <v>531190.98782060936</v>
      </c>
      <c r="BM26" s="438">
        <f t="shared" si="11"/>
        <v>-4896.1817151951473</v>
      </c>
      <c r="BN26" s="438">
        <f t="shared" si="12"/>
        <v>3659.3160171165291</v>
      </c>
      <c r="BO26" s="438">
        <f t="shared" si="13"/>
        <v>64595.513182407652</v>
      </c>
      <c r="BP26" s="438">
        <f t="shared" si="14"/>
        <v>31436.731278950581</v>
      </c>
      <c r="BQ26" s="438">
        <f t="shared" si="15"/>
        <v>5256.0170234146062</v>
      </c>
      <c r="BR26" s="438">
        <f t="shared" si="16"/>
        <v>21179.283428180657</v>
      </c>
      <c r="BS26" s="438">
        <f t="shared" si="44"/>
        <v>-273369.77940410742</v>
      </c>
      <c r="BT26" s="438">
        <f t="shared" si="45"/>
        <v>-55221.25</v>
      </c>
      <c r="BW26" s="562">
        <f>Breakout!$D$15/12</f>
        <v>3553290.7393127251</v>
      </c>
      <c r="BX26" s="562">
        <f>Breakout!$D$26/12</f>
        <v>125889.66069710582</v>
      </c>
      <c r="BY26" s="562">
        <f>Breakout!$D$37/12</f>
        <v>63368.416017116535</v>
      </c>
      <c r="BZ26" s="562">
        <f>Breakout!$D$48/12</f>
        <v>460945.92453092383</v>
      </c>
      <c r="CA26" s="562">
        <f>Breakout!$D$59/12</f>
        <v>424105.18418683927</v>
      </c>
      <c r="CB26" s="562">
        <f>Breakout!$D$70/12</f>
        <v>321776.68369008129</v>
      </c>
      <c r="CC26" s="562">
        <f>Breakout!$D$81/12</f>
        <v>21179.283428180657</v>
      </c>
      <c r="CE26" s="634">
        <f t="shared" si="30"/>
        <v>3553150.4348153388</v>
      </c>
      <c r="CF26" s="634">
        <f t="shared" si="31"/>
        <v>125884.68984420747</v>
      </c>
      <c r="CG26" s="634">
        <f t="shared" si="32"/>
        <v>63365.913865051945</v>
      </c>
      <c r="CI26" s="634">
        <f t="shared" si="33"/>
        <v>-715341.08333333337</v>
      </c>
      <c r="CJ26" s="634">
        <f t="shared" si="34"/>
        <v>-705333.33333333337</v>
      </c>
      <c r="CL26" s="438">
        <f>'account mgt'!$D$23/12</f>
        <v>-50235</v>
      </c>
      <c r="CN26" s="438">
        <v>0</v>
      </c>
      <c r="CT26" s="438">
        <f>CS25</f>
        <v>35490271.439049259</v>
      </c>
      <c r="CU26" s="438">
        <f t="shared" ref="CU26:CU89" si="46">IF(CT26&lt;0.1,0,CT26*$L$3)</f>
        <v>280077.39210649708</v>
      </c>
      <c r="CV26" s="438">
        <f>IF(CT26&lt;0.1,0,PPMT($L$3,A26-14,unwinds!$B$8*12,$K$5))</f>
        <v>487481.48539610277</v>
      </c>
      <c r="CW26" s="438">
        <f t="shared" ref="CW26:CW82" si="47">IF(CT26-CV26&lt;0,0,CT26-CV26)</f>
        <v>35002789.953653157</v>
      </c>
      <c r="CX26" s="438">
        <f t="shared" ref="CX26:CX82" si="48">IF(CX25-CV26&lt;0,0,CX25-CV26)</f>
        <v>35002789.953653157</v>
      </c>
      <c r="DA26" s="438">
        <f>CS25</f>
        <v>35490271.439049259</v>
      </c>
      <c r="DB26" s="438">
        <f>DA26*$L$3</f>
        <v>280077.39210649708</v>
      </c>
      <c r="DC26" s="438">
        <f>PPMT($L$3,A26-14,106,$K$5)</f>
        <v>215320.67956511932</v>
      </c>
      <c r="DD26" s="438">
        <f>DA26-DC26</f>
        <v>35274950.759484142</v>
      </c>
      <c r="DE26" s="438">
        <f t="shared" ref="DE26:DE57" si="49">DE25-DC26</f>
        <v>35274950.759484142</v>
      </c>
      <c r="DH26" s="944">
        <v>-715341.08333333337</v>
      </c>
      <c r="DI26" s="944">
        <v>-705333.33333333337</v>
      </c>
      <c r="DJ26" s="944"/>
      <c r="DL26" s="381">
        <f>PMT($J$3,106,$I$5,,1)</f>
        <v>474832.92700924521</v>
      </c>
      <c r="DN26" s="944">
        <f t="shared" si="18"/>
        <v>-715341.08333333337</v>
      </c>
      <c r="DO26" s="944">
        <f t="shared" si="19"/>
        <v>474832.92700924521</v>
      </c>
      <c r="DQ26" s="438">
        <f t="shared" si="20"/>
        <v>302708.23931272561</v>
      </c>
      <c r="DR26" s="438">
        <f t="shared" si="21"/>
        <v>-16921.589531399557</v>
      </c>
      <c r="DS26" s="438"/>
      <c r="DT26" s="438"/>
      <c r="DU26" s="438"/>
      <c r="DV26" s="438"/>
      <c r="DW26" s="438"/>
      <c r="DX26" s="438"/>
    </row>
    <row r="27" spans="1:128" x14ac:dyDescent="0.2">
      <c r="A27" s="383">
        <v>16</v>
      </c>
      <c r="B27" s="631">
        <v>36982</v>
      </c>
      <c r="C27" s="381">
        <v>0</v>
      </c>
      <c r="D27" s="381">
        <v>0</v>
      </c>
      <c r="E27" s="381">
        <v>0</v>
      </c>
      <c r="F27" s="381">
        <v>276198.48668616399</v>
      </c>
      <c r="G27" s="381">
        <v>215320.6795651195</v>
      </c>
      <c r="H27" s="381">
        <v>0</v>
      </c>
      <c r="I27" s="381">
        <v>491519.16625128349</v>
      </c>
      <c r="J27" s="381"/>
      <c r="K27" s="381"/>
      <c r="L27" s="381">
        <f t="shared" ref="L27:L90" si="50">PMT($L$3,106,$K$5,,1)</f>
        <v>491519.16625128326</v>
      </c>
      <c r="M27" s="381"/>
      <c r="N27" s="679">
        <f t="shared" si="22"/>
        <v>-715341.08333333337</v>
      </c>
      <c r="O27" s="679">
        <f t="shared" si="23"/>
        <v>-705333.33333333337</v>
      </c>
      <c r="P27" s="562">
        <f>Breakout!$D$16/12</f>
        <v>3411024.4174227254</v>
      </c>
      <c r="Q27" s="557">
        <f>'wholesale services'!$D$110*'wholesale services'!$E$111/12</f>
        <v>3250582.4999999995</v>
      </c>
      <c r="R27" s="557">
        <v>3320487.5</v>
      </c>
      <c r="S27" s="562">
        <f>Breakout!$D$27/12</f>
        <v>120849.30225043917</v>
      </c>
      <c r="T27" s="557">
        <f>'wholesale services'!$D$113*'wholesale services'!$E$114/12</f>
        <v>142811.25022850538</v>
      </c>
      <c r="U27" s="557">
        <v>145725.7655392912</v>
      </c>
      <c r="V27" s="562">
        <f>Breakout!$D$38/12</f>
        <v>60831.277310449863</v>
      </c>
      <c r="W27" s="438">
        <f>Breakout!$D$39/12</f>
        <v>59709.100000000006</v>
      </c>
      <c r="X27" s="438">
        <v>60351.133333333331</v>
      </c>
      <c r="Y27" s="562">
        <f>Breakout!$D$49/12</f>
        <v>442490.61476759054</v>
      </c>
      <c r="Z27" s="557">
        <f>Breakout!$D$50/12</f>
        <v>396350.41134851618</v>
      </c>
      <c r="AA27" s="557">
        <v>416338.56247433304</v>
      </c>
      <c r="AB27" s="562">
        <f>Breakout!$D$60/12</f>
        <v>407124.9005356307</v>
      </c>
      <c r="AC27" s="557">
        <f>Breakout!$D$61/12</f>
        <v>392668.45290788868</v>
      </c>
      <c r="AD27" s="557">
        <v>404912.0126867537</v>
      </c>
      <c r="AE27" s="562">
        <f>Breakout!$D$71/12</f>
        <v>308893.41895970789</v>
      </c>
      <c r="AF27" s="557">
        <f>Breakout!$D$72/12</f>
        <v>316520.66666666669</v>
      </c>
      <c r="AG27" s="557">
        <v>316520.66666666669</v>
      </c>
      <c r="AH27" s="562">
        <f>Breakout!$D$82/12</f>
        <v>20331.30926151399</v>
      </c>
      <c r="AI27" s="557">
        <f>Breakout!$D$83/12</f>
        <v>0</v>
      </c>
      <c r="AJ27" s="557">
        <v>0</v>
      </c>
      <c r="AK27" s="567">
        <f>Breakout!$D$91/12</f>
        <v>273369.77940410742</v>
      </c>
      <c r="AL27" s="567">
        <v>273369.77940410742</v>
      </c>
      <c r="AM27" s="567">
        <f>(Breakout!$D$107/12)*-1</f>
        <v>55221.25</v>
      </c>
      <c r="AN27" s="567">
        <v>55221.25</v>
      </c>
      <c r="AO27" s="578">
        <f t="shared" si="1"/>
        <v>4771545.2405080581</v>
      </c>
      <c r="AP27" s="578">
        <f t="shared" si="2"/>
        <v>4919465.121460367</v>
      </c>
      <c r="AQ27" s="548">
        <f t="shared" si="3"/>
        <v>124819.98627646238</v>
      </c>
      <c r="AS27" s="553">
        <f t="shared" si="4"/>
        <v>-7567.2625143771875</v>
      </c>
      <c r="AU27" s="557">
        <f>'wholesale services'!$E$110/12</f>
        <v>40679698.73649691</v>
      </c>
      <c r="AV27" s="557">
        <f>'wholesale services'!$E$113/12</f>
        <v>18805.490972222222</v>
      </c>
      <c r="AX27" s="552">
        <f t="shared" si="5"/>
        <v>-715341.08333333337</v>
      </c>
      <c r="AY27" s="381">
        <f t="shared" si="6"/>
        <v>-705333.33333333337</v>
      </c>
      <c r="BA27" s="438">
        <f t="shared" si="7"/>
        <v>388924.66593060957</v>
      </c>
      <c r="BB27" s="438">
        <f t="shared" si="8"/>
        <v>-9936.540161861798</v>
      </c>
      <c r="BC27" s="438">
        <f t="shared" si="9"/>
        <v>1122.177310449857</v>
      </c>
      <c r="BD27" s="438">
        <f t="shared" si="24"/>
        <v>46140.203419074358</v>
      </c>
      <c r="BE27" s="438">
        <f t="shared" si="25"/>
        <v>14456.447627742018</v>
      </c>
      <c r="BF27" s="438">
        <f t="shared" si="26"/>
        <v>-7627.2477069587912</v>
      </c>
      <c r="BG27" s="438">
        <f t="shared" si="27"/>
        <v>20331.30926151399</v>
      </c>
      <c r="BH27" s="438">
        <f t="shared" si="28"/>
        <v>-273369.77940410742</v>
      </c>
      <c r="BI27" s="438">
        <f t="shared" si="29"/>
        <v>-55221.25</v>
      </c>
      <c r="BL27" s="438">
        <f t="shared" si="10"/>
        <v>531190.98782060936</v>
      </c>
      <c r="BM27" s="438">
        <f t="shared" si="11"/>
        <v>-4896.1817151951473</v>
      </c>
      <c r="BN27" s="438">
        <f t="shared" si="12"/>
        <v>3659.3160171165291</v>
      </c>
      <c r="BO27" s="438">
        <f t="shared" si="13"/>
        <v>64595.513182407652</v>
      </c>
      <c r="BP27" s="438">
        <f t="shared" si="14"/>
        <v>31436.731278950581</v>
      </c>
      <c r="BQ27" s="438">
        <f t="shared" si="15"/>
        <v>5256.0170234146062</v>
      </c>
      <c r="BR27" s="438">
        <f t="shared" si="16"/>
        <v>21179.283428180657</v>
      </c>
      <c r="BS27" s="438">
        <f t="shared" si="44"/>
        <v>-273369.77940410742</v>
      </c>
      <c r="BT27" s="438">
        <f t="shared" si="45"/>
        <v>-55221.25</v>
      </c>
      <c r="BW27" s="562">
        <f>Breakout!$D$15/12</f>
        <v>3553290.7393127251</v>
      </c>
      <c r="BX27" s="562">
        <f>Breakout!$D$26/12</f>
        <v>125889.66069710582</v>
      </c>
      <c r="BY27" s="562">
        <f>Breakout!$D$37/12</f>
        <v>63368.416017116535</v>
      </c>
      <c r="BZ27" s="562">
        <f>Breakout!$D$48/12</f>
        <v>460945.92453092383</v>
      </c>
      <c r="CA27" s="562">
        <f>Breakout!$D$59/12</f>
        <v>424105.18418683927</v>
      </c>
      <c r="CB27" s="562">
        <f>Breakout!$D$70/12</f>
        <v>321776.68369008129</v>
      </c>
      <c r="CC27" s="562">
        <f>Breakout!$D$81/12</f>
        <v>21179.283428180657</v>
      </c>
      <c r="CE27" s="634">
        <f t="shared" si="30"/>
        <v>3553150.4348153388</v>
      </c>
      <c r="CF27" s="634">
        <f t="shared" si="31"/>
        <v>125884.68984420747</v>
      </c>
      <c r="CG27" s="634">
        <f t="shared" si="32"/>
        <v>63365.913865051945</v>
      </c>
      <c r="CI27" s="634">
        <f t="shared" si="33"/>
        <v>-715341.08333333337</v>
      </c>
      <c r="CJ27" s="634">
        <f t="shared" si="34"/>
        <v>-705333.33333333337</v>
      </c>
      <c r="CL27" s="438">
        <f>'account mgt'!$D$23/12</f>
        <v>-50235</v>
      </c>
      <c r="CN27" s="438">
        <v>0</v>
      </c>
      <c r="CT27" s="438">
        <f t="shared" ref="CT27:CT85" si="51">CW26</f>
        <v>35002789.953653157</v>
      </c>
      <c r="CU27" s="438">
        <f t="shared" si="46"/>
        <v>276230.35071757948</v>
      </c>
      <c r="CV27" s="438">
        <f>IF(CT27&lt;0.1,0,PPMT($L$3,A27-14,unwinds!$B$8*12,$K$5))</f>
        <v>491328.52678502037</v>
      </c>
      <c r="CW27" s="438">
        <f t="shared" si="47"/>
        <v>34511461.426868133</v>
      </c>
      <c r="CX27" s="438">
        <f t="shared" si="48"/>
        <v>34511461.426868133</v>
      </c>
      <c r="DA27" s="438">
        <f>DD26</f>
        <v>35274950.759484142</v>
      </c>
      <c r="DB27" s="438">
        <f>DA27*$L$3</f>
        <v>278378.15307692904</v>
      </c>
      <c r="DC27" s="438">
        <f>PPMT($L$3,A27-14,106,$K$5)</f>
        <v>217019.91859468736</v>
      </c>
      <c r="DD27" s="438">
        <f>DA27-DC27</f>
        <v>35057930.840889454</v>
      </c>
      <c r="DE27" s="438">
        <f t="shared" si="49"/>
        <v>35057930.840889454</v>
      </c>
      <c r="DH27" s="944">
        <v>-715341.08333333337</v>
      </c>
      <c r="DI27" s="944">
        <v>-705333.33333333337</v>
      </c>
      <c r="DJ27" s="944"/>
      <c r="DL27" s="381">
        <f t="shared" ref="DL27:DL90" si="52">PMT($J$3,106,$I$5,,1)</f>
        <v>474832.92700924521</v>
      </c>
      <c r="DN27" s="944">
        <f t="shared" si="18"/>
        <v>-715341.08333333337</v>
      </c>
      <c r="DO27" s="944">
        <f t="shared" si="19"/>
        <v>474832.92700924521</v>
      </c>
      <c r="DQ27" s="438">
        <f t="shared" si="20"/>
        <v>302708.23931272561</v>
      </c>
      <c r="DR27" s="438">
        <f t="shared" si="21"/>
        <v>-16921.589531399557</v>
      </c>
      <c r="DS27" s="438"/>
      <c r="DT27" s="438"/>
      <c r="DU27" s="438"/>
      <c r="DV27" s="438"/>
      <c r="DW27" s="438"/>
      <c r="DX27" s="438"/>
    </row>
    <row r="28" spans="1:128" x14ac:dyDescent="0.2">
      <c r="A28" s="383">
        <v>17</v>
      </c>
      <c r="B28" s="631">
        <v>37012</v>
      </c>
      <c r="C28" s="381">
        <v>0</v>
      </c>
      <c r="D28" s="381">
        <v>0</v>
      </c>
      <c r="E28" s="381">
        <v>0</v>
      </c>
      <c r="F28" s="381">
        <v>274499.24765659595</v>
      </c>
      <c r="G28" s="381">
        <v>217019.91859468754</v>
      </c>
      <c r="H28" s="381">
        <v>0</v>
      </c>
      <c r="I28" s="381">
        <v>491519.16625128349</v>
      </c>
      <c r="J28" s="381"/>
      <c r="K28" s="381"/>
      <c r="L28" s="381">
        <f t="shared" si="50"/>
        <v>491519.16625128326</v>
      </c>
      <c r="M28" s="381"/>
      <c r="N28" s="679">
        <f t="shared" si="22"/>
        <v>-715341.08333333337</v>
      </c>
      <c r="O28" s="679">
        <f t="shared" si="23"/>
        <v>-705333.33333333337</v>
      </c>
      <c r="P28" s="562">
        <f>Breakout!$D$16/12</f>
        <v>3411024.4174227254</v>
      </c>
      <c r="Q28" s="557">
        <f>'wholesale services'!$D$110*'wholesale services'!$E$111/12</f>
        <v>3250582.4999999995</v>
      </c>
      <c r="R28" s="557">
        <v>3320487.5</v>
      </c>
      <c r="S28" s="562">
        <f>Breakout!$D$27/12</f>
        <v>120849.30225043917</v>
      </c>
      <c r="T28" s="557">
        <f>'wholesale services'!$D$113*'wholesale services'!$E$114/12</f>
        <v>142811.25022850538</v>
      </c>
      <c r="U28" s="557">
        <v>145725.7655392912</v>
      </c>
      <c r="V28" s="562">
        <f>Breakout!$D$38/12</f>
        <v>60831.277310449863</v>
      </c>
      <c r="W28" s="438">
        <f>Breakout!$D$39/12</f>
        <v>59709.100000000006</v>
      </c>
      <c r="X28" s="438">
        <v>60351.133333333331</v>
      </c>
      <c r="Y28" s="562">
        <f>Breakout!$D$49/12</f>
        <v>442490.61476759054</v>
      </c>
      <c r="Z28" s="557">
        <f>Breakout!$D$50/12</f>
        <v>396350.41134851618</v>
      </c>
      <c r="AA28" s="557">
        <v>416338.56247433304</v>
      </c>
      <c r="AB28" s="562">
        <f>Breakout!$D$60/12</f>
        <v>407124.9005356307</v>
      </c>
      <c r="AC28" s="557">
        <f>Breakout!$D$61/12</f>
        <v>392668.45290788868</v>
      </c>
      <c r="AD28" s="557">
        <v>404912.0126867537</v>
      </c>
      <c r="AE28" s="562">
        <f>Breakout!$D$71/12</f>
        <v>308893.41895970789</v>
      </c>
      <c r="AF28" s="557">
        <f>Breakout!$D$72/12</f>
        <v>316520.66666666669</v>
      </c>
      <c r="AG28" s="557">
        <v>316520.66666666669</v>
      </c>
      <c r="AH28" s="562">
        <f>Breakout!$D$82/12</f>
        <v>20331.30926151399</v>
      </c>
      <c r="AI28" s="557">
        <f>Breakout!$D$83/12</f>
        <v>0</v>
      </c>
      <c r="AJ28" s="557">
        <v>0</v>
      </c>
      <c r="AK28" s="567">
        <f>Breakout!$D$91/12</f>
        <v>273369.77940410742</v>
      </c>
      <c r="AL28" s="567">
        <v>273369.77940410742</v>
      </c>
      <c r="AM28" s="567">
        <f>(Breakout!$D$107/12)*-1</f>
        <v>55221.25</v>
      </c>
      <c r="AN28" s="567">
        <v>55221.25</v>
      </c>
      <c r="AO28" s="578">
        <f t="shared" si="1"/>
        <v>4771545.2405080581</v>
      </c>
      <c r="AP28" s="578">
        <f t="shared" si="2"/>
        <v>4919465.121460367</v>
      </c>
      <c r="AQ28" s="548">
        <f t="shared" si="3"/>
        <v>124819.98627646238</v>
      </c>
      <c r="AS28" s="553">
        <f t="shared" si="4"/>
        <v>-7567.2625143771875</v>
      </c>
      <c r="AU28" s="557">
        <f>'wholesale services'!$E$110/12</f>
        <v>40679698.73649691</v>
      </c>
      <c r="AV28" s="557">
        <f>'wholesale services'!$E$113/12</f>
        <v>18805.490972222222</v>
      </c>
      <c r="AX28" s="552">
        <f t="shared" si="5"/>
        <v>-715341.08333333337</v>
      </c>
      <c r="AY28" s="381">
        <f t="shared" si="6"/>
        <v>-705333.33333333337</v>
      </c>
      <c r="BA28" s="438">
        <f t="shared" si="7"/>
        <v>388924.66593060957</v>
      </c>
      <c r="BB28" s="438">
        <f t="shared" si="8"/>
        <v>-9936.540161861798</v>
      </c>
      <c r="BC28" s="438">
        <f t="shared" si="9"/>
        <v>1122.177310449857</v>
      </c>
      <c r="BD28" s="438">
        <f t="shared" si="24"/>
        <v>46140.203419074358</v>
      </c>
      <c r="BE28" s="438">
        <f t="shared" si="25"/>
        <v>14456.447627742018</v>
      </c>
      <c r="BF28" s="438">
        <f t="shared" si="26"/>
        <v>-7627.2477069587912</v>
      </c>
      <c r="BG28" s="438">
        <f t="shared" si="27"/>
        <v>20331.30926151399</v>
      </c>
      <c r="BH28" s="438">
        <f t="shared" si="28"/>
        <v>-273369.77940410742</v>
      </c>
      <c r="BI28" s="438">
        <f t="shared" si="29"/>
        <v>-55221.25</v>
      </c>
      <c r="BL28" s="438">
        <f t="shared" si="10"/>
        <v>531190.98782060936</v>
      </c>
      <c r="BM28" s="438">
        <f t="shared" si="11"/>
        <v>-4896.1817151951473</v>
      </c>
      <c r="BN28" s="438">
        <f t="shared" si="12"/>
        <v>3659.3160171165291</v>
      </c>
      <c r="BO28" s="438">
        <f t="shared" si="13"/>
        <v>64595.513182407652</v>
      </c>
      <c r="BP28" s="438">
        <f t="shared" si="14"/>
        <v>31436.731278950581</v>
      </c>
      <c r="BQ28" s="438">
        <f t="shared" si="15"/>
        <v>5256.0170234146062</v>
      </c>
      <c r="BR28" s="438">
        <f t="shared" si="16"/>
        <v>21179.283428180657</v>
      </c>
      <c r="BS28" s="438">
        <f t="shared" si="44"/>
        <v>-273369.77940410742</v>
      </c>
      <c r="BT28" s="438">
        <f t="shared" si="45"/>
        <v>-55221.25</v>
      </c>
      <c r="BW28" s="562">
        <f>Breakout!$D$15/12</f>
        <v>3553290.7393127251</v>
      </c>
      <c r="BX28" s="562">
        <f>Breakout!$D$26/12</f>
        <v>125889.66069710582</v>
      </c>
      <c r="BY28" s="562">
        <f>Breakout!$D$37/12</f>
        <v>63368.416017116535</v>
      </c>
      <c r="BZ28" s="562">
        <f>Breakout!$D$48/12</f>
        <v>460945.92453092383</v>
      </c>
      <c r="CA28" s="562">
        <f>Breakout!$D$59/12</f>
        <v>424105.18418683927</v>
      </c>
      <c r="CB28" s="562">
        <f>Breakout!$D$70/12</f>
        <v>321776.68369008129</v>
      </c>
      <c r="CC28" s="562">
        <f>Breakout!$D$81/12</f>
        <v>21179.283428180657</v>
      </c>
      <c r="CE28" s="634">
        <f t="shared" si="30"/>
        <v>3553150.4348153388</v>
      </c>
      <c r="CF28" s="634">
        <f t="shared" si="31"/>
        <v>125884.68984420747</v>
      </c>
      <c r="CG28" s="634">
        <f t="shared" si="32"/>
        <v>63365.913865051945</v>
      </c>
      <c r="CI28" s="634">
        <f t="shared" si="33"/>
        <v>-715341.08333333337</v>
      </c>
      <c r="CJ28" s="634">
        <f t="shared" si="34"/>
        <v>-705333.33333333337</v>
      </c>
      <c r="CL28" s="438">
        <f>'account mgt'!$D$23/12</f>
        <v>-50235</v>
      </c>
      <c r="CN28" s="438">
        <v>0</v>
      </c>
      <c r="CT28" s="438">
        <f t="shared" si="51"/>
        <v>34511461.426868133</v>
      </c>
      <c r="CU28" s="438">
        <f t="shared" si="46"/>
        <v>272352.94976036769</v>
      </c>
      <c r="CV28" s="438">
        <f>IF(CT28&lt;0.1,0,PPMT($L$3,A28-14,unwinds!$B$8*12,$K$5))</f>
        <v>495205.92774223204</v>
      </c>
      <c r="CW28" s="438">
        <f t="shared" si="47"/>
        <v>34016255.499125898</v>
      </c>
      <c r="CX28" s="438">
        <f t="shared" si="48"/>
        <v>34016255.499125898</v>
      </c>
      <c r="DA28" s="438">
        <f t="shared" ref="DA28:DA91" si="53">DD27</f>
        <v>35057930.840889454</v>
      </c>
      <c r="DB28" s="438">
        <f t="shared" ref="DB28:DB91" si="54">DA28*$L$3</f>
        <v>276665.50421935262</v>
      </c>
      <c r="DC28" s="438">
        <f t="shared" ref="DC28:DC91" si="55">PPMT($L$3,A28-14,106,$K$5)</f>
        <v>218732.56745226379</v>
      </c>
      <c r="DD28" s="438">
        <f t="shared" ref="DD28:DD91" si="56">DA28-DC28</f>
        <v>34839198.273437187</v>
      </c>
      <c r="DE28" s="438">
        <f t="shared" si="49"/>
        <v>34839198.273437187</v>
      </c>
      <c r="DH28" s="944">
        <v>-715341.08333333337</v>
      </c>
      <c r="DI28" s="944">
        <v>-705333.33333333337</v>
      </c>
      <c r="DJ28" s="944"/>
      <c r="DL28" s="381">
        <f t="shared" si="52"/>
        <v>474832.92700924521</v>
      </c>
      <c r="DN28" s="944">
        <f t="shared" si="18"/>
        <v>-715341.08333333337</v>
      </c>
      <c r="DO28" s="944">
        <f t="shared" si="19"/>
        <v>474832.92700924521</v>
      </c>
      <c r="DQ28" s="438">
        <f t="shared" si="20"/>
        <v>302708.23931272561</v>
      </c>
      <c r="DR28" s="438">
        <f t="shared" si="21"/>
        <v>-16921.589531399557</v>
      </c>
      <c r="DS28" s="438"/>
      <c r="DT28" s="438"/>
      <c r="DU28" s="438"/>
      <c r="DV28" s="438"/>
      <c r="DW28" s="438"/>
      <c r="DX28" s="438"/>
    </row>
    <row r="29" spans="1:128" x14ac:dyDescent="0.2">
      <c r="A29" s="383">
        <v>18</v>
      </c>
      <c r="B29" s="631">
        <v>37043</v>
      </c>
      <c r="C29" s="381">
        <v>0</v>
      </c>
      <c r="D29" s="381">
        <v>0</v>
      </c>
      <c r="E29" s="381">
        <v>0</v>
      </c>
      <c r="F29" s="381">
        <v>272786.59879901953</v>
      </c>
      <c r="G29" s="381">
        <v>218732.56745226396</v>
      </c>
      <c r="H29" s="381">
        <v>0</v>
      </c>
      <c r="I29" s="381">
        <v>491519.16625128349</v>
      </c>
      <c r="J29" s="381"/>
      <c r="K29" s="381"/>
      <c r="L29" s="381">
        <f t="shared" si="50"/>
        <v>491519.16625128326</v>
      </c>
      <c r="M29" s="381"/>
      <c r="N29" s="679">
        <f t="shared" si="22"/>
        <v>-715341.08333333337</v>
      </c>
      <c r="O29" s="679">
        <f t="shared" si="23"/>
        <v>-705333.33333333337</v>
      </c>
      <c r="P29" s="562">
        <f>Breakout!$D$16/12</f>
        <v>3411024.4174227254</v>
      </c>
      <c r="Q29" s="557">
        <f>'wholesale services'!$D$110*'wholesale services'!$E$111/12</f>
        <v>3250582.4999999995</v>
      </c>
      <c r="R29" s="557">
        <v>3320487.5</v>
      </c>
      <c r="S29" s="562">
        <f>Breakout!$D$27/12</f>
        <v>120849.30225043917</v>
      </c>
      <c r="T29" s="557">
        <f>'wholesale services'!$D$113*'wholesale services'!$E$114/12</f>
        <v>142811.25022850538</v>
      </c>
      <c r="U29" s="557">
        <v>145725.7655392912</v>
      </c>
      <c r="V29" s="562">
        <f>Breakout!$D$38/12</f>
        <v>60831.277310449863</v>
      </c>
      <c r="W29" s="438">
        <f>Breakout!$D$39/12</f>
        <v>59709.100000000006</v>
      </c>
      <c r="X29" s="438">
        <v>60351.133333333331</v>
      </c>
      <c r="Y29" s="562">
        <f>Breakout!$D$49/12</f>
        <v>442490.61476759054</v>
      </c>
      <c r="Z29" s="557">
        <f>Breakout!$D$50/12</f>
        <v>396350.41134851618</v>
      </c>
      <c r="AA29" s="557">
        <v>416338.56247433304</v>
      </c>
      <c r="AB29" s="562">
        <f>Breakout!$D$60/12</f>
        <v>407124.9005356307</v>
      </c>
      <c r="AC29" s="557">
        <f>Breakout!$D$61/12</f>
        <v>392668.45290788868</v>
      </c>
      <c r="AD29" s="557">
        <v>404912.0126867537</v>
      </c>
      <c r="AE29" s="562">
        <f>Breakout!$D$71/12</f>
        <v>308893.41895970789</v>
      </c>
      <c r="AF29" s="557">
        <f>Breakout!$D$72/12</f>
        <v>316520.66666666669</v>
      </c>
      <c r="AG29" s="557">
        <v>316520.66666666669</v>
      </c>
      <c r="AH29" s="562">
        <f>Breakout!$D$82/12</f>
        <v>20331.30926151399</v>
      </c>
      <c r="AI29" s="557">
        <f>Breakout!$D$83/12</f>
        <v>0</v>
      </c>
      <c r="AJ29" s="557">
        <v>0</v>
      </c>
      <c r="AK29" s="567">
        <f>Breakout!$D$91/12</f>
        <v>273369.77940410742</v>
      </c>
      <c r="AL29" s="567">
        <v>273369.77940410742</v>
      </c>
      <c r="AM29" s="567">
        <f>(Breakout!$D$107/12)*-1</f>
        <v>55221.25</v>
      </c>
      <c r="AN29" s="567">
        <v>55221.25</v>
      </c>
      <c r="AO29" s="578">
        <f t="shared" si="1"/>
        <v>4771545.2405080581</v>
      </c>
      <c r="AP29" s="578">
        <f t="shared" si="2"/>
        <v>4919465.121460367</v>
      </c>
      <c r="AQ29" s="548">
        <f t="shared" si="3"/>
        <v>124819.98627646238</v>
      </c>
      <c r="AS29" s="553">
        <f t="shared" si="4"/>
        <v>-7567.2625143771875</v>
      </c>
      <c r="AU29" s="557">
        <f>'wholesale services'!$E$110/12</f>
        <v>40679698.73649691</v>
      </c>
      <c r="AV29" s="557">
        <f>'wholesale services'!$E$113/12</f>
        <v>18805.490972222222</v>
      </c>
      <c r="AX29" s="552">
        <f t="shared" si="5"/>
        <v>-715341.08333333337</v>
      </c>
      <c r="AY29" s="381">
        <f t="shared" si="6"/>
        <v>-705333.33333333337</v>
      </c>
      <c r="BA29" s="438">
        <f t="shared" si="7"/>
        <v>388924.66593060957</v>
      </c>
      <c r="BB29" s="438">
        <f t="shared" si="8"/>
        <v>-9936.540161861798</v>
      </c>
      <c r="BC29" s="438">
        <f t="shared" si="9"/>
        <v>1122.177310449857</v>
      </c>
      <c r="BD29" s="438">
        <f t="shared" si="24"/>
        <v>46140.203419074358</v>
      </c>
      <c r="BE29" s="438">
        <f t="shared" si="25"/>
        <v>14456.447627742018</v>
      </c>
      <c r="BF29" s="438">
        <f t="shared" si="26"/>
        <v>-7627.2477069587912</v>
      </c>
      <c r="BG29" s="438">
        <f t="shared" si="27"/>
        <v>20331.30926151399</v>
      </c>
      <c r="BH29" s="438">
        <f t="shared" si="28"/>
        <v>-273369.77940410742</v>
      </c>
      <c r="BI29" s="438">
        <f t="shared" si="29"/>
        <v>-55221.25</v>
      </c>
      <c r="BL29" s="438">
        <f t="shared" si="10"/>
        <v>531190.98782060936</v>
      </c>
      <c r="BM29" s="438">
        <f t="shared" si="11"/>
        <v>-4896.1817151951473</v>
      </c>
      <c r="BN29" s="438">
        <f t="shared" si="12"/>
        <v>3659.3160171165291</v>
      </c>
      <c r="BO29" s="438">
        <f t="shared" si="13"/>
        <v>64595.513182407652</v>
      </c>
      <c r="BP29" s="438">
        <f t="shared" si="14"/>
        <v>31436.731278950581</v>
      </c>
      <c r="BQ29" s="438">
        <f t="shared" si="15"/>
        <v>5256.0170234146062</v>
      </c>
      <c r="BR29" s="438">
        <f t="shared" si="16"/>
        <v>21179.283428180657</v>
      </c>
      <c r="BS29" s="438">
        <f t="shared" si="44"/>
        <v>-273369.77940410742</v>
      </c>
      <c r="BT29" s="438">
        <f t="shared" si="45"/>
        <v>-55221.25</v>
      </c>
      <c r="BW29" s="562">
        <f>Breakout!$D$15/12</f>
        <v>3553290.7393127251</v>
      </c>
      <c r="BX29" s="562">
        <f>Breakout!$D$26/12</f>
        <v>125889.66069710582</v>
      </c>
      <c r="BY29" s="562">
        <f>Breakout!$D$37/12</f>
        <v>63368.416017116535</v>
      </c>
      <c r="BZ29" s="562">
        <f>Breakout!$D$48/12</f>
        <v>460945.92453092383</v>
      </c>
      <c r="CA29" s="562">
        <f>Breakout!$D$59/12</f>
        <v>424105.18418683927</v>
      </c>
      <c r="CB29" s="562">
        <f>Breakout!$D$70/12</f>
        <v>321776.68369008129</v>
      </c>
      <c r="CC29" s="562">
        <f>Breakout!$D$81/12</f>
        <v>21179.283428180657</v>
      </c>
      <c r="CE29" s="634">
        <f t="shared" si="30"/>
        <v>3553150.4348153388</v>
      </c>
      <c r="CF29" s="634">
        <f t="shared" si="31"/>
        <v>125884.68984420747</v>
      </c>
      <c r="CG29" s="634">
        <f t="shared" si="32"/>
        <v>63365.913865051945</v>
      </c>
      <c r="CI29" s="634">
        <f t="shared" si="33"/>
        <v>-715341.08333333337</v>
      </c>
      <c r="CJ29" s="634">
        <f t="shared" si="34"/>
        <v>-705333.33333333337</v>
      </c>
      <c r="CL29" s="438">
        <f>'account mgt'!$D$23/12</f>
        <v>-50235</v>
      </c>
      <c r="CN29" s="438">
        <v>0</v>
      </c>
      <c r="CT29" s="438">
        <f t="shared" si="51"/>
        <v>34016255.499125898</v>
      </c>
      <c r="CU29" s="438">
        <f t="shared" si="46"/>
        <v>268444.94964726857</v>
      </c>
      <c r="CV29" s="438">
        <f>IF(CT29&lt;0.1,0,PPMT($L$3,A29-14,unwinds!$B$8*12,$K$5))</f>
        <v>499113.92785533116</v>
      </c>
      <c r="CW29" s="438">
        <f t="shared" si="47"/>
        <v>33517141.571270566</v>
      </c>
      <c r="CX29" s="438">
        <f t="shared" si="48"/>
        <v>33517141.571270566</v>
      </c>
      <c r="DA29" s="438">
        <f t="shared" si="53"/>
        <v>34839198.273437187</v>
      </c>
      <c r="DB29" s="438">
        <f t="shared" si="54"/>
        <v>274939.33970787516</v>
      </c>
      <c r="DC29" s="438">
        <f t="shared" si="55"/>
        <v>220458.73196374119</v>
      </c>
      <c r="DD29" s="438">
        <f t="shared" si="56"/>
        <v>34618739.541473448</v>
      </c>
      <c r="DE29" s="438">
        <f t="shared" si="49"/>
        <v>34618739.541473448</v>
      </c>
      <c r="DH29" s="944">
        <v>-715341.08333333337</v>
      </c>
      <c r="DI29" s="944">
        <v>-705333.33333333337</v>
      </c>
      <c r="DJ29" s="944"/>
      <c r="DL29" s="381">
        <f t="shared" si="52"/>
        <v>474832.92700924521</v>
      </c>
      <c r="DN29" s="944">
        <f t="shared" si="18"/>
        <v>-715341.08333333337</v>
      </c>
      <c r="DO29" s="944">
        <f t="shared" si="19"/>
        <v>474832.92700924521</v>
      </c>
      <c r="DQ29" s="438">
        <f t="shared" si="20"/>
        <v>302708.23931272561</v>
      </c>
      <c r="DR29" s="438">
        <f t="shared" si="21"/>
        <v>-16921.589531399557</v>
      </c>
      <c r="DS29" s="438"/>
      <c r="DT29" s="438"/>
      <c r="DU29" s="438"/>
      <c r="DV29" s="438"/>
      <c r="DW29" s="438"/>
      <c r="DX29" s="438"/>
    </row>
    <row r="30" spans="1:128" x14ac:dyDescent="0.2">
      <c r="A30" s="383">
        <v>19</v>
      </c>
      <c r="B30" s="631">
        <v>37073</v>
      </c>
      <c r="C30" s="381">
        <v>0</v>
      </c>
      <c r="D30" s="381">
        <v>0</v>
      </c>
      <c r="E30" s="381">
        <v>0</v>
      </c>
      <c r="F30" s="381">
        <v>271060.43428754213</v>
      </c>
      <c r="G30" s="381">
        <v>220458.73196374136</v>
      </c>
      <c r="H30" s="381">
        <v>0</v>
      </c>
      <c r="I30" s="381">
        <v>491519.16625128349</v>
      </c>
      <c r="J30" s="381"/>
      <c r="K30" s="381"/>
      <c r="L30" s="381">
        <f t="shared" si="50"/>
        <v>491519.16625128326</v>
      </c>
      <c r="M30" s="381"/>
      <c r="N30" s="679">
        <f t="shared" si="22"/>
        <v>-715341.08333333337</v>
      </c>
      <c r="O30" s="679">
        <f t="shared" si="23"/>
        <v>-705333.33333333337</v>
      </c>
      <c r="P30" s="562">
        <f>Breakout!$D$16/12</f>
        <v>3411024.4174227254</v>
      </c>
      <c r="Q30" s="557">
        <f>'wholesale services'!$D$110*'wholesale services'!$E$111/12</f>
        <v>3250582.4999999995</v>
      </c>
      <c r="R30" s="557">
        <v>3320487.5</v>
      </c>
      <c r="S30" s="562">
        <f>Breakout!$D$27/12</f>
        <v>120849.30225043917</v>
      </c>
      <c r="T30" s="557">
        <f>'wholesale services'!$D$113*'wholesale services'!$E$114/12</f>
        <v>142811.25022850538</v>
      </c>
      <c r="U30" s="557">
        <v>145725.7655392912</v>
      </c>
      <c r="V30" s="562">
        <f>Breakout!$D$38/12</f>
        <v>60831.277310449863</v>
      </c>
      <c r="W30" s="438">
        <f>Breakout!$D$39/12</f>
        <v>59709.100000000006</v>
      </c>
      <c r="X30" s="438">
        <v>60351.133333333331</v>
      </c>
      <c r="Y30" s="562">
        <f>Breakout!$D$49/12</f>
        <v>442490.61476759054</v>
      </c>
      <c r="Z30" s="557">
        <f>Breakout!$D$50/12</f>
        <v>396350.41134851618</v>
      </c>
      <c r="AA30" s="557">
        <v>416338.56247433304</v>
      </c>
      <c r="AB30" s="562">
        <f>Breakout!$D$60/12</f>
        <v>407124.9005356307</v>
      </c>
      <c r="AC30" s="557">
        <f>Breakout!$D$61/12</f>
        <v>392668.45290788868</v>
      </c>
      <c r="AD30" s="557">
        <v>404912.0126867537</v>
      </c>
      <c r="AE30" s="562">
        <f>Breakout!$D$71/12</f>
        <v>308893.41895970789</v>
      </c>
      <c r="AF30" s="557">
        <f>Breakout!$D$72/12</f>
        <v>316520.66666666669</v>
      </c>
      <c r="AG30" s="557">
        <v>316520.66666666669</v>
      </c>
      <c r="AH30" s="562">
        <f>Breakout!$D$82/12</f>
        <v>20331.30926151399</v>
      </c>
      <c r="AI30" s="557">
        <f>Breakout!$D$83/12</f>
        <v>0</v>
      </c>
      <c r="AJ30" s="557">
        <v>0</v>
      </c>
      <c r="AK30" s="567">
        <f>Breakout!$D$91/12</f>
        <v>273369.77940410742</v>
      </c>
      <c r="AL30" s="567">
        <v>273369.77940410742</v>
      </c>
      <c r="AM30" s="567">
        <f>(Breakout!$D$107/12)*-1</f>
        <v>55221.25</v>
      </c>
      <c r="AN30" s="567">
        <v>55221.25</v>
      </c>
      <c r="AO30" s="578">
        <f t="shared" si="1"/>
        <v>4771545.2405080581</v>
      </c>
      <c r="AP30" s="578">
        <f t="shared" si="2"/>
        <v>4919465.121460367</v>
      </c>
      <c r="AQ30" s="548">
        <f t="shared" si="3"/>
        <v>124819.98627646238</v>
      </c>
      <c r="AS30" s="553">
        <f t="shared" si="4"/>
        <v>-7567.2625143771875</v>
      </c>
      <c r="AU30" s="557">
        <f>'wholesale services'!$E$110/12</f>
        <v>40679698.73649691</v>
      </c>
      <c r="AV30" s="557">
        <f>'wholesale services'!$E$113/12</f>
        <v>18805.490972222222</v>
      </c>
      <c r="AX30" s="552">
        <f t="shared" si="5"/>
        <v>-715341.08333333337</v>
      </c>
      <c r="AY30" s="381">
        <f t="shared" si="6"/>
        <v>-705333.33333333337</v>
      </c>
      <c r="BA30" s="438">
        <f t="shared" si="7"/>
        <v>388924.66593060957</v>
      </c>
      <c r="BB30" s="438">
        <f t="shared" si="8"/>
        <v>-9936.540161861798</v>
      </c>
      <c r="BC30" s="438">
        <f t="shared" si="9"/>
        <v>1122.177310449857</v>
      </c>
      <c r="BD30" s="438">
        <f t="shared" si="24"/>
        <v>46140.203419074358</v>
      </c>
      <c r="BE30" s="438">
        <f t="shared" si="25"/>
        <v>14456.447627742018</v>
      </c>
      <c r="BF30" s="438">
        <f t="shared" si="26"/>
        <v>-7627.2477069587912</v>
      </c>
      <c r="BG30" s="438">
        <f t="shared" si="27"/>
        <v>20331.30926151399</v>
      </c>
      <c r="BH30" s="438">
        <f t="shared" si="28"/>
        <v>-273369.77940410742</v>
      </c>
      <c r="BI30" s="438">
        <f t="shared" si="29"/>
        <v>-55221.25</v>
      </c>
      <c r="BL30" s="438">
        <f t="shared" si="10"/>
        <v>531190.98782060936</v>
      </c>
      <c r="BM30" s="438">
        <f t="shared" si="11"/>
        <v>-4896.1817151951473</v>
      </c>
      <c r="BN30" s="438">
        <f t="shared" si="12"/>
        <v>3659.3160171165291</v>
      </c>
      <c r="BO30" s="438">
        <f t="shared" si="13"/>
        <v>64595.513182407652</v>
      </c>
      <c r="BP30" s="438">
        <f t="shared" si="14"/>
        <v>31436.731278950581</v>
      </c>
      <c r="BQ30" s="438">
        <f t="shared" si="15"/>
        <v>5256.0170234146062</v>
      </c>
      <c r="BR30" s="438">
        <f t="shared" si="16"/>
        <v>21179.283428180657</v>
      </c>
      <c r="BS30" s="438">
        <f t="shared" si="44"/>
        <v>-273369.77940410742</v>
      </c>
      <c r="BT30" s="438">
        <f t="shared" si="45"/>
        <v>-55221.25</v>
      </c>
      <c r="BW30" s="562">
        <f>Breakout!$D$15/12</f>
        <v>3553290.7393127251</v>
      </c>
      <c r="BX30" s="562">
        <f>Breakout!$D$26/12</f>
        <v>125889.66069710582</v>
      </c>
      <c r="BY30" s="562">
        <f>Breakout!$D$37/12</f>
        <v>63368.416017116535</v>
      </c>
      <c r="BZ30" s="562">
        <f>Breakout!$D$48/12</f>
        <v>460945.92453092383</v>
      </c>
      <c r="CA30" s="562">
        <f>Breakout!$D$59/12</f>
        <v>424105.18418683927</v>
      </c>
      <c r="CB30" s="562">
        <f>Breakout!$D$70/12</f>
        <v>321776.68369008129</v>
      </c>
      <c r="CC30" s="562">
        <f>Breakout!$D$81/12</f>
        <v>21179.283428180657</v>
      </c>
      <c r="CE30" s="634">
        <f t="shared" si="30"/>
        <v>3553150.4348153388</v>
      </c>
      <c r="CF30" s="634">
        <f t="shared" si="31"/>
        <v>125884.68984420747</v>
      </c>
      <c r="CG30" s="634">
        <f t="shared" si="32"/>
        <v>63365.913865051945</v>
      </c>
      <c r="CI30" s="634">
        <f t="shared" si="33"/>
        <v>-715341.08333333337</v>
      </c>
      <c r="CJ30" s="634">
        <f t="shared" si="34"/>
        <v>-705333.33333333337</v>
      </c>
      <c r="CL30" s="438">
        <f>'account mgt'!$D$23/12</f>
        <v>-50235</v>
      </c>
      <c r="CN30" s="438">
        <v>0</v>
      </c>
      <c r="CT30" s="438">
        <f t="shared" si="51"/>
        <v>33517141.571270566</v>
      </c>
      <c r="CU30" s="438">
        <f t="shared" si="46"/>
        <v>264506.10889994353</v>
      </c>
      <c r="CV30" s="438">
        <f>IF(CT30&lt;0.1,0,PPMT($L$3,A30-14,unwinds!$B$8*12,$K$5))</f>
        <v>503052.7686026562</v>
      </c>
      <c r="CW30" s="438">
        <f t="shared" si="47"/>
        <v>33014088.802667908</v>
      </c>
      <c r="CX30" s="438">
        <f t="shared" si="48"/>
        <v>33014088.802667908</v>
      </c>
      <c r="DA30" s="438">
        <f t="shared" si="53"/>
        <v>34618739.541473448</v>
      </c>
      <c r="DB30" s="438">
        <f t="shared" si="54"/>
        <v>273199.55288146128</v>
      </c>
      <c r="DC30" s="438">
        <f t="shared" si="55"/>
        <v>222198.51879015513</v>
      </c>
      <c r="DD30" s="438">
        <f t="shared" si="56"/>
        <v>34396541.022683293</v>
      </c>
      <c r="DE30" s="438">
        <f t="shared" si="49"/>
        <v>34396541.022683293</v>
      </c>
      <c r="DH30" s="944">
        <v>-715341.08333333337</v>
      </c>
      <c r="DI30" s="944">
        <v>-705333.33333333337</v>
      </c>
      <c r="DJ30" s="944"/>
      <c r="DL30" s="381">
        <f t="shared" si="52"/>
        <v>474832.92700924521</v>
      </c>
      <c r="DN30" s="944">
        <f t="shared" si="18"/>
        <v>-715341.08333333337</v>
      </c>
      <c r="DO30" s="944">
        <f t="shared" si="19"/>
        <v>474832.92700924521</v>
      </c>
      <c r="DQ30" s="438">
        <f t="shared" si="20"/>
        <v>302708.23931272561</v>
      </c>
      <c r="DR30" s="438">
        <f t="shared" si="21"/>
        <v>-16921.589531399557</v>
      </c>
      <c r="DS30" s="438"/>
      <c r="DT30" s="438"/>
      <c r="DU30" s="438"/>
      <c r="DV30" s="438"/>
      <c r="DW30" s="438"/>
      <c r="DX30" s="438"/>
    </row>
    <row r="31" spans="1:128" x14ac:dyDescent="0.2">
      <c r="A31" s="383">
        <v>20</v>
      </c>
      <c r="B31" s="631">
        <v>37104</v>
      </c>
      <c r="C31" s="381">
        <v>0</v>
      </c>
      <c r="D31" s="381">
        <v>0</v>
      </c>
      <c r="E31" s="381">
        <v>0</v>
      </c>
      <c r="F31" s="381">
        <v>269320.64746112825</v>
      </c>
      <c r="G31" s="381">
        <v>222198.51879015524</v>
      </c>
      <c r="H31" s="381">
        <v>0</v>
      </c>
      <c r="I31" s="381">
        <v>491519.16625128349</v>
      </c>
      <c r="J31" s="381"/>
      <c r="K31" s="381"/>
      <c r="L31" s="381">
        <f t="shared" si="50"/>
        <v>491519.16625128326</v>
      </c>
      <c r="M31" s="381"/>
      <c r="N31" s="679">
        <f t="shared" si="22"/>
        <v>-715341.08333333337</v>
      </c>
      <c r="O31" s="679">
        <f t="shared" si="23"/>
        <v>-705333.33333333337</v>
      </c>
      <c r="P31" s="562">
        <f>Breakout!$D$16/12</f>
        <v>3411024.4174227254</v>
      </c>
      <c r="Q31" s="557">
        <f>'wholesale services'!$D$110*'wholesale services'!$E$111/12</f>
        <v>3250582.4999999995</v>
      </c>
      <c r="R31" s="557">
        <v>3320487.5</v>
      </c>
      <c r="S31" s="562">
        <f>Breakout!$D$27/12</f>
        <v>120849.30225043917</v>
      </c>
      <c r="T31" s="557">
        <f>'wholesale services'!$D$113*'wholesale services'!$E$114/12</f>
        <v>142811.25022850538</v>
      </c>
      <c r="U31" s="557">
        <v>145725.7655392912</v>
      </c>
      <c r="V31" s="562">
        <f>Breakout!$D$38/12</f>
        <v>60831.277310449863</v>
      </c>
      <c r="W31" s="438">
        <f>Breakout!$D$39/12</f>
        <v>59709.100000000006</v>
      </c>
      <c r="X31" s="438">
        <v>60351.133333333331</v>
      </c>
      <c r="Y31" s="562">
        <f>Breakout!$D$49/12</f>
        <v>442490.61476759054</v>
      </c>
      <c r="Z31" s="557">
        <f>Breakout!$D$50/12</f>
        <v>396350.41134851618</v>
      </c>
      <c r="AA31" s="557">
        <v>416338.56247433304</v>
      </c>
      <c r="AB31" s="562">
        <f>Breakout!$D$60/12</f>
        <v>407124.9005356307</v>
      </c>
      <c r="AC31" s="557">
        <f>Breakout!$D$61/12</f>
        <v>392668.45290788868</v>
      </c>
      <c r="AD31" s="557">
        <v>404912.0126867537</v>
      </c>
      <c r="AE31" s="562">
        <f>Breakout!$D$71/12</f>
        <v>308893.41895970789</v>
      </c>
      <c r="AF31" s="557">
        <f>Breakout!$D$72/12</f>
        <v>316520.66666666669</v>
      </c>
      <c r="AG31" s="557">
        <v>316520.66666666669</v>
      </c>
      <c r="AH31" s="562">
        <f>Breakout!$D$82/12</f>
        <v>20331.30926151399</v>
      </c>
      <c r="AI31" s="557">
        <f>Breakout!$D$83/12</f>
        <v>0</v>
      </c>
      <c r="AJ31" s="557">
        <v>0</v>
      </c>
      <c r="AK31" s="567">
        <f>Breakout!$D$91/12</f>
        <v>273369.77940410742</v>
      </c>
      <c r="AL31" s="567">
        <v>273369.77940410742</v>
      </c>
      <c r="AM31" s="567">
        <f>(Breakout!$D$107/12)*-1</f>
        <v>55221.25</v>
      </c>
      <c r="AN31" s="567">
        <v>55221.25</v>
      </c>
      <c r="AO31" s="578">
        <f t="shared" si="1"/>
        <v>4771545.2405080581</v>
      </c>
      <c r="AP31" s="578">
        <f t="shared" si="2"/>
        <v>4919465.121460367</v>
      </c>
      <c r="AQ31" s="548">
        <f t="shared" si="3"/>
        <v>124819.98627646238</v>
      </c>
      <c r="AS31" s="553">
        <f t="shared" si="4"/>
        <v>-7567.2625143771875</v>
      </c>
      <c r="AU31" s="557">
        <f>'wholesale services'!$E$110/12</f>
        <v>40679698.73649691</v>
      </c>
      <c r="AV31" s="557">
        <f>'wholesale services'!$E$113/12</f>
        <v>18805.490972222222</v>
      </c>
      <c r="AX31" s="552">
        <f t="shared" si="5"/>
        <v>-715341.08333333337</v>
      </c>
      <c r="AY31" s="381">
        <f t="shared" si="6"/>
        <v>-705333.33333333337</v>
      </c>
      <c r="BA31" s="438">
        <f t="shared" si="7"/>
        <v>388924.66593060957</v>
      </c>
      <c r="BB31" s="438">
        <f t="shared" si="8"/>
        <v>-9936.540161861798</v>
      </c>
      <c r="BC31" s="438">
        <f t="shared" si="9"/>
        <v>1122.177310449857</v>
      </c>
      <c r="BD31" s="438">
        <f t="shared" si="24"/>
        <v>46140.203419074358</v>
      </c>
      <c r="BE31" s="438">
        <f t="shared" si="25"/>
        <v>14456.447627742018</v>
      </c>
      <c r="BF31" s="438">
        <f t="shared" si="26"/>
        <v>-7627.2477069587912</v>
      </c>
      <c r="BG31" s="438">
        <f t="shared" si="27"/>
        <v>20331.30926151399</v>
      </c>
      <c r="BH31" s="438">
        <f t="shared" si="28"/>
        <v>-273369.77940410742</v>
      </c>
      <c r="BI31" s="438">
        <f t="shared" si="29"/>
        <v>-55221.25</v>
      </c>
      <c r="BL31" s="438">
        <f t="shared" si="10"/>
        <v>531190.98782060936</v>
      </c>
      <c r="BM31" s="438">
        <f t="shared" si="11"/>
        <v>-4896.1817151951473</v>
      </c>
      <c r="BN31" s="438">
        <f t="shared" si="12"/>
        <v>3659.3160171165291</v>
      </c>
      <c r="BO31" s="438">
        <f t="shared" si="13"/>
        <v>64595.513182407652</v>
      </c>
      <c r="BP31" s="438">
        <f t="shared" si="14"/>
        <v>31436.731278950581</v>
      </c>
      <c r="BQ31" s="438">
        <f t="shared" si="15"/>
        <v>5256.0170234146062</v>
      </c>
      <c r="BR31" s="438">
        <f t="shared" si="16"/>
        <v>21179.283428180657</v>
      </c>
      <c r="BS31" s="438">
        <f t="shared" si="44"/>
        <v>-273369.77940410742</v>
      </c>
      <c r="BT31" s="438">
        <f t="shared" si="45"/>
        <v>-55221.25</v>
      </c>
      <c r="BW31" s="562">
        <f>Breakout!$D$15/12</f>
        <v>3553290.7393127251</v>
      </c>
      <c r="BX31" s="562">
        <f>Breakout!$D$26/12</f>
        <v>125889.66069710582</v>
      </c>
      <c r="BY31" s="562">
        <f>Breakout!$D$37/12</f>
        <v>63368.416017116535</v>
      </c>
      <c r="BZ31" s="562">
        <f>Breakout!$D$48/12</f>
        <v>460945.92453092383</v>
      </c>
      <c r="CA31" s="562">
        <f>Breakout!$D$59/12</f>
        <v>424105.18418683927</v>
      </c>
      <c r="CB31" s="562">
        <f>Breakout!$D$70/12</f>
        <v>321776.68369008129</v>
      </c>
      <c r="CC31" s="562">
        <f>Breakout!$D$81/12</f>
        <v>21179.283428180657</v>
      </c>
      <c r="CE31" s="634">
        <f t="shared" si="30"/>
        <v>3553150.4348153388</v>
      </c>
      <c r="CF31" s="634">
        <f t="shared" si="31"/>
        <v>125884.68984420747</v>
      </c>
      <c r="CG31" s="634">
        <f t="shared" si="32"/>
        <v>63365.913865051945</v>
      </c>
      <c r="CI31" s="634">
        <f t="shared" si="33"/>
        <v>-715341.08333333337</v>
      </c>
      <c r="CJ31" s="634">
        <f t="shared" si="34"/>
        <v>-705333.33333333337</v>
      </c>
      <c r="CL31" s="438">
        <f>'account mgt'!$D$23/12</f>
        <v>-50235</v>
      </c>
      <c r="CN31" s="438">
        <v>0</v>
      </c>
      <c r="CT31" s="438">
        <f t="shared" si="51"/>
        <v>33014088.802667908</v>
      </c>
      <c r="CU31" s="438">
        <f t="shared" si="46"/>
        <v>260536.18413438759</v>
      </c>
      <c r="CV31" s="438">
        <f>IF(CT31&lt;0.1,0,PPMT($L$3,A31-14,unwinds!$B$8*12,$K$5))</f>
        <v>507022.69336821209</v>
      </c>
      <c r="CW31" s="438">
        <f t="shared" si="47"/>
        <v>32507066.109299697</v>
      </c>
      <c r="CX31" s="438">
        <f t="shared" si="48"/>
        <v>32507066.109299697</v>
      </c>
      <c r="DA31" s="438">
        <f t="shared" si="53"/>
        <v>34396541.022683293</v>
      </c>
      <c r="DB31" s="438">
        <f t="shared" si="54"/>
        <v>271446.03623734234</v>
      </c>
      <c r="DC31" s="438">
        <f t="shared" si="55"/>
        <v>223952.035434274</v>
      </c>
      <c r="DD31" s="438">
        <f t="shared" si="56"/>
        <v>34172588.987249017</v>
      </c>
      <c r="DE31" s="438">
        <f t="shared" si="49"/>
        <v>34172588.987249017</v>
      </c>
      <c r="DH31" s="944">
        <v>-715341.08333333337</v>
      </c>
      <c r="DI31" s="944">
        <v>-705333.33333333337</v>
      </c>
      <c r="DJ31" s="944"/>
      <c r="DL31" s="381">
        <f t="shared" si="52"/>
        <v>474832.92700924521</v>
      </c>
      <c r="DN31" s="944">
        <f t="shared" si="18"/>
        <v>-715341.08333333337</v>
      </c>
      <c r="DO31" s="944">
        <f t="shared" si="19"/>
        <v>474832.92700924521</v>
      </c>
      <c r="DQ31" s="438">
        <f t="shared" si="20"/>
        <v>302708.23931272561</v>
      </c>
      <c r="DR31" s="438">
        <f t="shared" si="21"/>
        <v>-16921.589531399557</v>
      </c>
      <c r="DS31" s="438"/>
      <c r="DT31" s="438"/>
      <c r="DU31" s="438"/>
      <c r="DV31" s="438"/>
      <c r="DW31" s="438"/>
      <c r="DX31" s="438"/>
    </row>
    <row r="32" spans="1:128" x14ac:dyDescent="0.2">
      <c r="A32" s="383">
        <v>21</v>
      </c>
      <c r="B32" s="631">
        <v>37135</v>
      </c>
      <c r="C32" s="381">
        <v>0</v>
      </c>
      <c r="D32" s="381">
        <v>0</v>
      </c>
      <c r="E32" s="381">
        <v>0</v>
      </c>
      <c r="F32" s="381">
        <v>267567.13081700925</v>
      </c>
      <c r="G32" s="381">
        <v>223952.03543427424</v>
      </c>
      <c r="H32" s="381">
        <v>0</v>
      </c>
      <c r="I32" s="381">
        <v>491519.16625128349</v>
      </c>
      <c r="J32" s="381"/>
      <c r="K32" s="381"/>
      <c r="L32" s="381">
        <f t="shared" si="50"/>
        <v>491519.16625128326</v>
      </c>
      <c r="M32" s="381"/>
      <c r="N32" s="679">
        <f t="shared" si="22"/>
        <v>-715341.08333333337</v>
      </c>
      <c r="O32" s="679">
        <f t="shared" si="23"/>
        <v>-705333.33333333337</v>
      </c>
      <c r="P32" s="562">
        <f>Breakout!$D$16/12</f>
        <v>3411024.4174227254</v>
      </c>
      <c r="Q32" s="557">
        <f>'wholesale services'!$D$110*'wholesale services'!$E$111/12</f>
        <v>3250582.4999999995</v>
      </c>
      <c r="R32" s="557">
        <v>3320487.5</v>
      </c>
      <c r="S32" s="562">
        <f>Breakout!$D$27/12</f>
        <v>120849.30225043917</v>
      </c>
      <c r="T32" s="557">
        <f>'wholesale services'!$D$113*'wholesale services'!$E$114/12</f>
        <v>142811.25022850538</v>
      </c>
      <c r="U32" s="557">
        <v>145725.7655392912</v>
      </c>
      <c r="V32" s="562">
        <f>Breakout!$D$38/12</f>
        <v>60831.277310449863</v>
      </c>
      <c r="W32" s="438">
        <f>Breakout!$D$39/12</f>
        <v>59709.100000000006</v>
      </c>
      <c r="X32" s="438">
        <v>60351.133333333331</v>
      </c>
      <c r="Y32" s="562">
        <f>Breakout!$D$49/12</f>
        <v>442490.61476759054</v>
      </c>
      <c r="Z32" s="557">
        <f>Breakout!$D$50/12</f>
        <v>396350.41134851618</v>
      </c>
      <c r="AA32" s="557">
        <v>416338.56247433304</v>
      </c>
      <c r="AB32" s="562">
        <f>Breakout!$D$60/12</f>
        <v>407124.9005356307</v>
      </c>
      <c r="AC32" s="557">
        <f>Breakout!$D$61/12</f>
        <v>392668.45290788868</v>
      </c>
      <c r="AD32" s="557">
        <v>404912.0126867537</v>
      </c>
      <c r="AE32" s="562">
        <f>Breakout!$D$71/12</f>
        <v>308893.41895970789</v>
      </c>
      <c r="AF32" s="557">
        <f>Breakout!$D$72/12</f>
        <v>316520.66666666669</v>
      </c>
      <c r="AG32" s="557">
        <v>316520.66666666669</v>
      </c>
      <c r="AH32" s="562">
        <f>Breakout!$D$82/12</f>
        <v>20331.30926151399</v>
      </c>
      <c r="AI32" s="557">
        <f>Breakout!$D$83/12</f>
        <v>0</v>
      </c>
      <c r="AJ32" s="557">
        <v>0</v>
      </c>
      <c r="AK32" s="567">
        <f>Breakout!$D$91/12</f>
        <v>273369.77940410742</v>
      </c>
      <c r="AL32" s="567">
        <v>273369.77940410742</v>
      </c>
      <c r="AM32" s="567">
        <f>(Breakout!$D$107/12)*-1</f>
        <v>55221.25</v>
      </c>
      <c r="AN32" s="567">
        <v>55221.25</v>
      </c>
      <c r="AO32" s="578">
        <f t="shared" si="1"/>
        <v>4771545.2405080581</v>
      </c>
      <c r="AP32" s="578">
        <f t="shared" si="2"/>
        <v>4919465.121460367</v>
      </c>
      <c r="AQ32" s="548">
        <f t="shared" si="3"/>
        <v>124819.98627646238</v>
      </c>
      <c r="AS32" s="553">
        <f t="shared" si="4"/>
        <v>-7567.2625143771875</v>
      </c>
      <c r="AU32" s="557">
        <f>'wholesale services'!$E$110/12</f>
        <v>40679698.73649691</v>
      </c>
      <c r="AV32" s="557">
        <f>'wholesale services'!$E$113/12</f>
        <v>18805.490972222222</v>
      </c>
      <c r="AX32" s="552">
        <f t="shared" si="5"/>
        <v>-715341.08333333337</v>
      </c>
      <c r="AY32" s="381">
        <f t="shared" si="6"/>
        <v>-705333.33333333337</v>
      </c>
      <c r="BA32" s="438">
        <f t="shared" si="7"/>
        <v>388924.66593060957</v>
      </c>
      <c r="BB32" s="438">
        <f t="shared" si="8"/>
        <v>-9936.540161861798</v>
      </c>
      <c r="BC32" s="438">
        <f t="shared" si="9"/>
        <v>1122.177310449857</v>
      </c>
      <c r="BD32" s="438">
        <f t="shared" si="24"/>
        <v>46140.203419074358</v>
      </c>
      <c r="BE32" s="438">
        <f t="shared" si="25"/>
        <v>14456.447627742018</v>
      </c>
      <c r="BF32" s="438">
        <f t="shared" si="26"/>
        <v>-7627.2477069587912</v>
      </c>
      <c r="BG32" s="438">
        <f t="shared" si="27"/>
        <v>20331.30926151399</v>
      </c>
      <c r="BH32" s="438">
        <f t="shared" si="28"/>
        <v>-273369.77940410742</v>
      </c>
      <c r="BI32" s="438">
        <f t="shared" si="29"/>
        <v>-55221.25</v>
      </c>
      <c r="BL32" s="438">
        <f t="shared" si="10"/>
        <v>531190.98782060936</v>
      </c>
      <c r="BM32" s="438">
        <f t="shared" si="11"/>
        <v>-4896.1817151951473</v>
      </c>
      <c r="BN32" s="438">
        <f t="shared" si="12"/>
        <v>3659.3160171165291</v>
      </c>
      <c r="BO32" s="438">
        <f t="shared" si="13"/>
        <v>64595.513182407652</v>
      </c>
      <c r="BP32" s="438">
        <f t="shared" si="14"/>
        <v>31436.731278950581</v>
      </c>
      <c r="BQ32" s="438">
        <f t="shared" si="15"/>
        <v>5256.0170234146062</v>
      </c>
      <c r="BR32" s="438">
        <f t="shared" si="16"/>
        <v>21179.283428180657</v>
      </c>
      <c r="BS32" s="438">
        <f t="shared" si="44"/>
        <v>-273369.77940410742</v>
      </c>
      <c r="BT32" s="438">
        <f t="shared" si="45"/>
        <v>-55221.25</v>
      </c>
      <c r="BW32" s="562">
        <f>Breakout!$D$15/12</f>
        <v>3553290.7393127251</v>
      </c>
      <c r="BX32" s="562">
        <f>Breakout!$D$26/12</f>
        <v>125889.66069710582</v>
      </c>
      <c r="BY32" s="562">
        <f>Breakout!$D$37/12</f>
        <v>63368.416017116535</v>
      </c>
      <c r="BZ32" s="562">
        <f>Breakout!$D$48/12</f>
        <v>460945.92453092383</v>
      </c>
      <c r="CA32" s="562">
        <f>Breakout!$D$59/12</f>
        <v>424105.18418683927</v>
      </c>
      <c r="CB32" s="562">
        <f>Breakout!$D$70/12</f>
        <v>321776.68369008129</v>
      </c>
      <c r="CC32" s="562">
        <f>Breakout!$D$81/12</f>
        <v>21179.283428180657</v>
      </c>
      <c r="CE32" s="634">
        <f t="shared" si="30"/>
        <v>3553150.4348153388</v>
      </c>
      <c r="CF32" s="634">
        <f t="shared" si="31"/>
        <v>125884.68984420747</v>
      </c>
      <c r="CG32" s="634">
        <f t="shared" si="32"/>
        <v>63365.913865051945</v>
      </c>
      <c r="CI32" s="634">
        <f t="shared" si="33"/>
        <v>-715341.08333333337</v>
      </c>
      <c r="CJ32" s="634">
        <f t="shared" si="34"/>
        <v>-705333.33333333337</v>
      </c>
      <c r="CL32" s="438">
        <f>'account mgt'!$D$23/12</f>
        <v>-50235</v>
      </c>
      <c r="CN32" s="438">
        <v>0</v>
      </c>
      <c r="CT32" s="438">
        <f t="shared" si="51"/>
        <v>32507066.109299697</v>
      </c>
      <c r="CU32" s="438">
        <f t="shared" si="46"/>
        <v>256534.9300458901</v>
      </c>
      <c r="CV32" s="438">
        <f>IF(CT32&lt;0.1,0,PPMT($L$3,A32-14,unwinds!$B$8*12,$K$5))</f>
        <v>511023.94745670957</v>
      </c>
      <c r="CW32" s="438">
        <f t="shared" si="47"/>
        <v>31996042.161842987</v>
      </c>
      <c r="CX32" s="438">
        <f t="shared" si="48"/>
        <v>31996042.161842987</v>
      </c>
      <c r="DA32" s="438">
        <f t="shared" si="53"/>
        <v>34172588.987249017</v>
      </c>
      <c r="DB32" s="438">
        <f t="shared" si="54"/>
        <v>269678.68142437347</v>
      </c>
      <c r="DC32" s="438">
        <f t="shared" si="55"/>
        <v>225719.39024724287</v>
      </c>
      <c r="DD32" s="438">
        <f t="shared" si="56"/>
        <v>33946869.597001776</v>
      </c>
      <c r="DE32" s="438">
        <f t="shared" si="49"/>
        <v>33946869.597001776</v>
      </c>
      <c r="DH32" s="944">
        <v>-715341.08333333337</v>
      </c>
      <c r="DI32" s="944">
        <v>-705333.33333333337</v>
      </c>
      <c r="DJ32" s="944"/>
      <c r="DL32" s="381">
        <f t="shared" si="52"/>
        <v>474832.92700924521</v>
      </c>
      <c r="DN32" s="944">
        <f t="shared" si="18"/>
        <v>-715341.08333333337</v>
      </c>
      <c r="DO32" s="944">
        <f t="shared" si="19"/>
        <v>474832.92700924521</v>
      </c>
      <c r="DQ32" s="438">
        <f t="shared" si="20"/>
        <v>302708.23931272561</v>
      </c>
      <c r="DR32" s="438">
        <f t="shared" si="21"/>
        <v>-16921.589531399557</v>
      </c>
      <c r="DS32" s="438"/>
      <c r="DT32" s="438"/>
      <c r="DU32" s="438"/>
      <c r="DV32" s="438"/>
      <c r="DW32" s="438"/>
      <c r="DX32" s="438"/>
    </row>
    <row r="33" spans="1:128" x14ac:dyDescent="0.2">
      <c r="A33" s="383">
        <v>22</v>
      </c>
      <c r="B33" s="631">
        <v>37165</v>
      </c>
      <c r="C33" s="381">
        <v>0</v>
      </c>
      <c r="D33" s="381">
        <v>0</v>
      </c>
      <c r="E33" s="381">
        <v>0</v>
      </c>
      <c r="F33" s="381">
        <v>265799.7760040405</v>
      </c>
      <c r="G33" s="381">
        <v>225719.39024724299</v>
      </c>
      <c r="H33" s="381">
        <v>0</v>
      </c>
      <c r="I33" s="381">
        <v>491519.16625128349</v>
      </c>
      <c r="J33" s="381"/>
      <c r="K33" s="381"/>
      <c r="L33" s="381">
        <f t="shared" si="50"/>
        <v>491519.16625128326</v>
      </c>
      <c r="M33" s="381"/>
      <c r="N33" s="679">
        <f t="shared" si="22"/>
        <v>-715341.08333333337</v>
      </c>
      <c r="O33" s="679">
        <f t="shared" si="23"/>
        <v>-705333.33333333337</v>
      </c>
      <c r="P33" s="562">
        <f>Breakout!$D$16/12</f>
        <v>3411024.4174227254</v>
      </c>
      <c r="Q33" s="557">
        <f>'wholesale services'!$D$110*'wholesale services'!$E$111/12</f>
        <v>3250582.4999999995</v>
      </c>
      <c r="R33" s="557">
        <v>3320487.5</v>
      </c>
      <c r="S33" s="562">
        <f>Breakout!$D$27/12</f>
        <v>120849.30225043917</v>
      </c>
      <c r="T33" s="557">
        <f>'wholesale services'!$D$113*'wholesale services'!$E$114/12</f>
        <v>142811.25022850538</v>
      </c>
      <c r="U33" s="557">
        <v>145725.7655392912</v>
      </c>
      <c r="V33" s="562">
        <f>Breakout!$D$38/12</f>
        <v>60831.277310449863</v>
      </c>
      <c r="W33" s="438">
        <f>Breakout!$D$39/12</f>
        <v>59709.100000000006</v>
      </c>
      <c r="X33" s="438">
        <v>60351.133333333331</v>
      </c>
      <c r="Y33" s="562">
        <f>Breakout!$D$49/12</f>
        <v>442490.61476759054</v>
      </c>
      <c r="Z33" s="557">
        <f>Breakout!$D$50/12</f>
        <v>396350.41134851618</v>
      </c>
      <c r="AA33" s="557">
        <v>416338.56247433304</v>
      </c>
      <c r="AB33" s="562">
        <f>Breakout!$D$60/12</f>
        <v>407124.9005356307</v>
      </c>
      <c r="AC33" s="557">
        <f>Breakout!$D$61/12</f>
        <v>392668.45290788868</v>
      </c>
      <c r="AD33" s="557">
        <v>404912.0126867537</v>
      </c>
      <c r="AE33" s="562">
        <f>Breakout!$D$71/12</f>
        <v>308893.41895970789</v>
      </c>
      <c r="AF33" s="557">
        <f>Breakout!$D$72/12</f>
        <v>316520.66666666669</v>
      </c>
      <c r="AG33" s="557">
        <v>316520.66666666669</v>
      </c>
      <c r="AH33" s="562">
        <f>Breakout!$D$82/12</f>
        <v>20331.30926151399</v>
      </c>
      <c r="AI33" s="557">
        <f>Breakout!$D$83/12</f>
        <v>0</v>
      </c>
      <c r="AJ33" s="557">
        <v>0</v>
      </c>
      <c r="AK33" s="567">
        <f>Breakout!$D$91/12</f>
        <v>273369.77940410742</v>
      </c>
      <c r="AL33" s="567">
        <v>273369.77940410742</v>
      </c>
      <c r="AM33" s="567">
        <f>(Breakout!$D$107/12)*-1</f>
        <v>55221.25</v>
      </c>
      <c r="AN33" s="567">
        <v>55221.25</v>
      </c>
      <c r="AO33" s="578">
        <f t="shared" si="1"/>
        <v>4771545.2405080581</v>
      </c>
      <c r="AP33" s="578">
        <f t="shared" si="2"/>
        <v>4919465.121460367</v>
      </c>
      <c r="AQ33" s="548">
        <f t="shared" si="3"/>
        <v>124819.98627646238</v>
      </c>
      <c r="AS33" s="553">
        <f t="shared" si="4"/>
        <v>-7567.2625143771875</v>
      </c>
      <c r="AU33" s="557">
        <f>'wholesale services'!$E$110/12</f>
        <v>40679698.73649691</v>
      </c>
      <c r="AV33" s="557">
        <f>'wholesale services'!$E$113/12</f>
        <v>18805.490972222222</v>
      </c>
      <c r="AX33" s="552">
        <f t="shared" si="5"/>
        <v>-715341.08333333337</v>
      </c>
      <c r="AY33" s="381">
        <f t="shared" si="6"/>
        <v>-705333.33333333337</v>
      </c>
      <c r="BA33" s="438">
        <f t="shared" si="7"/>
        <v>388924.66593060957</v>
      </c>
      <c r="BB33" s="438">
        <f t="shared" si="8"/>
        <v>-9936.540161861798</v>
      </c>
      <c r="BC33" s="438">
        <f t="shared" si="9"/>
        <v>1122.177310449857</v>
      </c>
      <c r="BD33" s="438">
        <f t="shared" si="24"/>
        <v>46140.203419074358</v>
      </c>
      <c r="BE33" s="438">
        <f t="shared" si="25"/>
        <v>14456.447627742018</v>
      </c>
      <c r="BF33" s="438">
        <f t="shared" si="26"/>
        <v>-7627.2477069587912</v>
      </c>
      <c r="BG33" s="438">
        <f t="shared" si="27"/>
        <v>20331.30926151399</v>
      </c>
      <c r="BH33" s="438">
        <f t="shared" si="28"/>
        <v>-273369.77940410742</v>
      </c>
      <c r="BI33" s="438">
        <f t="shared" si="29"/>
        <v>-55221.25</v>
      </c>
      <c r="BL33" s="438">
        <f t="shared" si="10"/>
        <v>531190.98782060936</v>
      </c>
      <c r="BM33" s="438">
        <f t="shared" si="11"/>
        <v>-4896.1817151951473</v>
      </c>
      <c r="BN33" s="438">
        <f t="shared" si="12"/>
        <v>3659.3160171165291</v>
      </c>
      <c r="BO33" s="438">
        <f t="shared" si="13"/>
        <v>64595.513182407652</v>
      </c>
      <c r="BP33" s="438">
        <f t="shared" si="14"/>
        <v>31436.731278950581</v>
      </c>
      <c r="BQ33" s="438">
        <f t="shared" si="15"/>
        <v>5256.0170234146062</v>
      </c>
      <c r="BR33" s="438">
        <f t="shared" si="16"/>
        <v>21179.283428180657</v>
      </c>
      <c r="BS33" s="438">
        <f t="shared" si="44"/>
        <v>-273369.77940410742</v>
      </c>
      <c r="BT33" s="438">
        <f t="shared" si="45"/>
        <v>-55221.25</v>
      </c>
      <c r="BW33" s="562">
        <f>Breakout!$D$15/12</f>
        <v>3553290.7393127251</v>
      </c>
      <c r="BX33" s="562">
        <f>Breakout!$D$26/12</f>
        <v>125889.66069710582</v>
      </c>
      <c r="BY33" s="562">
        <f>Breakout!$D$37/12</f>
        <v>63368.416017116535</v>
      </c>
      <c r="BZ33" s="562">
        <f>Breakout!$D$48/12</f>
        <v>460945.92453092383</v>
      </c>
      <c r="CA33" s="562">
        <f>Breakout!$D$59/12</f>
        <v>424105.18418683927</v>
      </c>
      <c r="CB33" s="562">
        <f>Breakout!$D$70/12</f>
        <v>321776.68369008129</v>
      </c>
      <c r="CC33" s="562">
        <f>Breakout!$D$81/12</f>
        <v>21179.283428180657</v>
      </c>
      <c r="CE33" s="634">
        <f t="shared" si="30"/>
        <v>3553150.4348153388</v>
      </c>
      <c r="CF33" s="634">
        <f t="shared" si="31"/>
        <v>125884.68984420747</v>
      </c>
      <c r="CG33" s="634">
        <f t="shared" si="32"/>
        <v>63365.913865051945</v>
      </c>
      <c r="CI33" s="634">
        <f t="shared" si="33"/>
        <v>-715341.08333333337</v>
      </c>
      <c r="CJ33" s="634">
        <f t="shared" si="34"/>
        <v>-705333.33333333337</v>
      </c>
      <c r="CL33" s="438">
        <f>'account mgt'!$D$23/12</f>
        <v>-50235</v>
      </c>
      <c r="CN33" s="438">
        <v>0</v>
      </c>
      <c r="CT33" s="438">
        <f t="shared" si="51"/>
        <v>31996042.161842987</v>
      </c>
      <c r="CU33" s="438">
        <f t="shared" si="46"/>
        <v>252502.09939387758</v>
      </c>
      <c r="CV33" s="438">
        <f>IF(CT33&lt;0.1,0,PPMT($L$3,A33-14,unwinds!$B$8*12,$K$5))</f>
        <v>515056.77810872206</v>
      </c>
      <c r="CW33" s="438">
        <f t="shared" si="47"/>
        <v>31480985.383734263</v>
      </c>
      <c r="CX33" s="438">
        <f t="shared" si="48"/>
        <v>31480985.383734263</v>
      </c>
      <c r="DA33" s="438">
        <f t="shared" si="53"/>
        <v>33946869.597001776</v>
      </c>
      <c r="DB33" s="438">
        <f t="shared" si="54"/>
        <v>267897.37923633901</v>
      </c>
      <c r="DC33" s="438">
        <f t="shared" si="55"/>
        <v>227500.69243527733</v>
      </c>
      <c r="DD33" s="438">
        <f t="shared" si="56"/>
        <v>33719368.904566497</v>
      </c>
      <c r="DE33" s="438">
        <f t="shared" si="49"/>
        <v>33719368.904566497</v>
      </c>
      <c r="DH33" s="944">
        <v>-715341.08333333337</v>
      </c>
      <c r="DI33" s="944">
        <v>-705333.33333333337</v>
      </c>
      <c r="DJ33" s="944"/>
      <c r="DL33" s="381">
        <f t="shared" si="52"/>
        <v>474832.92700924521</v>
      </c>
      <c r="DN33" s="944">
        <f t="shared" si="18"/>
        <v>-715341.08333333337</v>
      </c>
      <c r="DO33" s="944">
        <f t="shared" si="19"/>
        <v>474832.92700924521</v>
      </c>
      <c r="DQ33" s="438">
        <f t="shared" si="20"/>
        <v>302708.23931272561</v>
      </c>
      <c r="DR33" s="438">
        <f t="shared" si="21"/>
        <v>-16921.589531399557</v>
      </c>
      <c r="DS33" s="438"/>
      <c r="DT33" s="438"/>
      <c r="DU33" s="438"/>
      <c r="DV33" s="438"/>
      <c r="DW33" s="438"/>
      <c r="DX33" s="438"/>
    </row>
    <row r="34" spans="1:128" x14ac:dyDescent="0.2">
      <c r="A34" s="383">
        <v>23</v>
      </c>
      <c r="B34" s="631">
        <v>37196</v>
      </c>
      <c r="C34" s="381">
        <v>0</v>
      </c>
      <c r="D34" s="381">
        <v>0</v>
      </c>
      <c r="E34" s="381">
        <v>0</v>
      </c>
      <c r="F34" s="381">
        <v>264018.47381600598</v>
      </c>
      <c r="G34" s="381">
        <v>227500.69243527751</v>
      </c>
      <c r="H34" s="381">
        <v>0</v>
      </c>
      <c r="I34" s="381">
        <v>491519.16625128349</v>
      </c>
      <c r="J34" s="381"/>
      <c r="K34" s="381"/>
      <c r="L34" s="381">
        <f t="shared" si="50"/>
        <v>491519.16625128326</v>
      </c>
      <c r="M34" s="381"/>
      <c r="N34" s="679">
        <f t="shared" si="22"/>
        <v>-715341.08333333337</v>
      </c>
      <c r="O34" s="679">
        <f t="shared" si="23"/>
        <v>-705333.33333333337</v>
      </c>
      <c r="P34" s="562">
        <f>Breakout!$D$16/12</f>
        <v>3411024.4174227254</v>
      </c>
      <c r="Q34" s="557">
        <f>'wholesale services'!$D$110*'wholesale services'!$E$111/12</f>
        <v>3250582.4999999995</v>
      </c>
      <c r="R34" s="557">
        <v>3320487.5</v>
      </c>
      <c r="S34" s="562">
        <f>Breakout!$D$27/12</f>
        <v>120849.30225043917</v>
      </c>
      <c r="T34" s="557">
        <f>'wholesale services'!$D$113*'wholesale services'!$E$114/12</f>
        <v>142811.25022850538</v>
      </c>
      <c r="U34" s="557">
        <v>145725.7655392912</v>
      </c>
      <c r="V34" s="562">
        <f>Breakout!$D$38/12</f>
        <v>60831.277310449863</v>
      </c>
      <c r="W34" s="438">
        <f>Breakout!$D$39/12</f>
        <v>59709.100000000006</v>
      </c>
      <c r="X34" s="438">
        <v>60351.133333333331</v>
      </c>
      <c r="Y34" s="562">
        <f>Breakout!$D$49/12</f>
        <v>442490.61476759054</v>
      </c>
      <c r="Z34" s="557">
        <f>Breakout!$D$50/12</f>
        <v>396350.41134851618</v>
      </c>
      <c r="AA34" s="557">
        <v>416338.56247433304</v>
      </c>
      <c r="AB34" s="562">
        <f>Breakout!$D$60/12</f>
        <v>407124.9005356307</v>
      </c>
      <c r="AC34" s="557">
        <f>Breakout!$D$61/12</f>
        <v>392668.45290788868</v>
      </c>
      <c r="AD34" s="557">
        <v>404912.0126867537</v>
      </c>
      <c r="AE34" s="562">
        <f>Breakout!$D$71/12</f>
        <v>308893.41895970789</v>
      </c>
      <c r="AF34" s="557">
        <f>Breakout!$D$72/12</f>
        <v>316520.66666666669</v>
      </c>
      <c r="AG34" s="557">
        <v>316520.66666666669</v>
      </c>
      <c r="AH34" s="562">
        <f>Breakout!$D$82/12</f>
        <v>20331.30926151399</v>
      </c>
      <c r="AI34" s="557">
        <f>Breakout!$D$83/12</f>
        <v>0</v>
      </c>
      <c r="AJ34" s="557">
        <v>0</v>
      </c>
      <c r="AK34" s="567">
        <f>Breakout!$D$91/12</f>
        <v>273369.77940410742</v>
      </c>
      <c r="AL34" s="567">
        <v>273369.77940410742</v>
      </c>
      <c r="AM34" s="567">
        <f>(Breakout!$D$107/12)*-1</f>
        <v>55221.25</v>
      </c>
      <c r="AN34" s="567">
        <v>55221.25</v>
      </c>
      <c r="AO34" s="578">
        <f t="shared" si="1"/>
        <v>4771545.2405080581</v>
      </c>
      <c r="AP34" s="578">
        <f t="shared" si="2"/>
        <v>4919465.121460367</v>
      </c>
      <c r="AQ34" s="548">
        <f t="shared" si="3"/>
        <v>124819.98627646238</v>
      </c>
      <c r="AS34" s="553">
        <f t="shared" si="4"/>
        <v>-7567.2625143771875</v>
      </c>
      <c r="AU34" s="557">
        <f>'wholesale services'!$E$110/12</f>
        <v>40679698.73649691</v>
      </c>
      <c r="AV34" s="557">
        <f>'wholesale services'!$E$113/12</f>
        <v>18805.490972222222</v>
      </c>
      <c r="AX34" s="552">
        <f t="shared" si="5"/>
        <v>-715341.08333333337</v>
      </c>
      <c r="AY34" s="381">
        <f t="shared" si="6"/>
        <v>-705333.33333333337</v>
      </c>
      <c r="BA34" s="438">
        <f t="shared" si="7"/>
        <v>388924.66593060957</v>
      </c>
      <c r="BB34" s="438">
        <f t="shared" si="8"/>
        <v>-9936.540161861798</v>
      </c>
      <c r="BC34" s="438">
        <f t="shared" si="9"/>
        <v>1122.177310449857</v>
      </c>
      <c r="BD34" s="438">
        <f t="shared" si="24"/>
        <v>46140.203419074358</v>
      </c>
      <c r="BE34" s="438">
        <f t="shared" si="25"/>
        <v>14456.447627742018</v>
      </c>
      <c r="BF34" s="438">
        <f t="shared" si="26"/>
        <v>-7627.2477069587912</v>
      </c>
      <c r="BG34" s="438">
        <f t="shared" si="27"/>
        <v>20331.30926151399</v>
      </c>
      <c r="BH34" s="438">
        <f t="shared" si="28"/>
        <v>-273369.77940410742</v>
      </c>
      <c r="BI34" s="438">
        <f t="shared" si="29"/>
        <v>-55221.25</v>
      </c>
      <c r="BL34" s="438">
        <f t="shared" si="10"/>
        <v>531190.98782060936</v>
      </c>
      <c r="BM34" s="438">
        <f t="shared" si="11"/>
        <v>-4896.1817151951473</v>
      </c>
      <c r="BN34" s="438">
        <f t="shared" si="12"/>
        <v>3659.3160171165291</v>
      </c>
      <c r="BO34" s="438">
        <f t="shared" si="13"/>
        <v>64595.513182407652</v>
      </c>
      <c r="BP34" s="438">
        <f t="shared" si="14"/>
        <v>31436.731278950581</v>
      </c>
      <c r="BQ34" s="438">
        <f t="shared" si="15"/>
        <v>5256.0170234146062</v>
      </c>
      <c r="BR34" s="438">
        <f t="shared" si="16"/>
        <v>21179.283428180657</v>
      </c>
      <c r="BS34" s="438">
        <f t="shared" si="44"/>
        <v>-273369.77940410742</v>
      </c>
      <c r="BT34" s="438">
        <f t="shared" si="45"/>
        <v>-55221.25</v>
      </c>
      <c r="BW34" s="562">
        <f>Breakout!$D$15/12</f>
        <v>3553290.7393127251</v>
      </c>
      <c r="BX34" s="562">
        <f>Breakout!$D$26/12</f>
        <v>125889.66069710582</v>
      </c>
      <c r="BY34" s="562">
        <f>Breakout!$D$37/12</f>
        <v>63368.416017116535</v>
      </c>
      <c r="BZ34" s="562">
        <f>Breakout!$D$48/12</f>
        <v>460945.92453092383</v>
      </c>
      <c r="CA34" s="562">
        <f>Breakout!$D$59/12</f>
        <v>424105.18418683927</v>
      </c>
      <c r="CB34" s="562">
        <f>Breakout!$D$70/12</f>
        <v>321776.68369008129</v>
      </c>
      <c r="CC34" s="562">
        <f>Breakout!$D$81/12</f>
        <v>21179.283428180657</v>
      </c>
      <c r="CE34" s="634">
        <f t="shared" si="30"/>
        <v>3553150.4348153388</v>
      </c>
      <c r="CF34" s="634">
        <f t="shared" si="31"/>
        <v>125884.68984420747</v>
      </c>
      <c r="CG34" s="634">
        <f t="shared" si="32"/>
        <v>63365.913865051945</v>
      </c>
      <c r="CI34" s="634">
        <f t="shared" si="33"/>
        <v>-715341.08333333337</v>
      </c>
      <c r="CJ34" s="634">
        <f t="shared" si="34"/>
        <v>-705333.33333333337</v>
      </c>
      <c r="CL34" s="438">
        <f>'account mgt'!$D$23/12</f>
        <v>-50235</v>
      </c>
      <c r="CN34" s="438">
        <v>0</v>
      </c>
      <c r="CT34" s="438">
        <f t="shared" si="51"/>
        <v>31480985.383734263</v>
      </c>
      <c r="CU34" s="438">
        <f t="shared" si="46"/>
        <v>248437.44298663622</v>
      </c>
      <c r="CV34" s="438">
        <f>IF(CT34&lt;0.1,0,PPMT($L$3,A34-14,unwinds!$B$8*12,$K$5))</f>
        <v>519121.43451596342</v>
      </c>
      <c r="CW34" s="438">
        <f t="shared" si="47"/>
        <v>30961863.949218299</v>
      </c>
      <c r="CX34" s="438">
        <f t="shared" si="48"/>
        <v>30961863.949218299</v>
      </c>
      <c r="DA34" s="438">
        <f t="shared" si="53"/>
        <v>33719368.904566497</v>
      </c>
      <c r="DB34" s="438">
        <f t="shared" si="54"/>
        <v>266102.01960520394</v>
      </c>
      <c r="DC34" s="438">
        <f t="shared" si="55"/>
        <v>229296.05206641241</v>
      </c>
      <c r="DD34" s="438">
        <f t="shared" si="56"/>
        <v>33490072.852500085</v>
      </c>
      <c r="DE34" s="438">
        <f t="shared" si="49"/>
        <v>33490072.852500085</v>
      </c>
      <c r="DH34" s="944">
        <v>-715341.08333333337</v>
      </c>
      <c r="DI34" s="944">
        <v>-705333.33333333337</v>
      </c>
      <c r="DJ34" s="944"/>
      <c r="DL34" s="381">
        <f t="shared" si="52"/>
        <v>474832.92700924521</v>
      </c>
      <c r="DN34" s="944">
        <f t="shared" si="18"/>
        <v>-715341.08333333337</v>
      </c>
      <c r="DO34" s="944">
        <f t="shared" si="19"/>
        <v>474832.92700924521</v>
      </c>
      <c r="DQ34" s="438">
        <f t="shared" si="20"/>
        <v>302708.23931272561</v>
      </c>
      <c r="DR34" s="438">
        <f t="shared" si="21"/>
        <v>-16921.589531399557</v>
      </c>
      <c r="DS34" s="438"/>
      <c r="DT34" s="438"/>
      <c r="DU34" s="438"/>
      <c r="DV34" s="438"/>
      <c r="DW34" s="438"/>
      <c r="DX34" s="438"/>
    </row>
    <row r="35" spans="1:128" s="676" customFormat="1" x14ac:dyDescent="0.2">
      <c r="A35" s="667">
        <v>24</v>
      </c>
      <c r="B35" s="668">
        <v>37226</v>
      </c>
      <c r="C35" s="669">
        <v>0</v>
      </c>
      <c r="D35" s="669">
        <v>0</v>
      </c>
      <c r="E35" s="669">
        <v>0</v>
      </c>
      <c r="F35" s="381">
        <v>262223.11418487097</v>
      </c>
      <c r="G35" s="381">
        <v>229296.05206641252</v>
      </c>
      <c r="H35" s="381">
        <v>0</v>
      </c>
      <c r="I35" s="381">
        <v>491519.16625128349</v>
      </c>
      <c r="J35" s="669"/>
      <c r="K35" s="669"/>
      <c r="L35" s="381">
        <f t="shared" si="50"/>
        <v>491519.16625128326</v>
      </c>
      <c r="M35" s="669"/>
      <c r="N35" s="679">
        <f t="shared" si="22"/>
        <v>-715341.08333333337</v>
      </c>
      <c r="O35" s="679">
        <f t="shared" si="23"/>
        <v>-705333.33333333337</v>
      </c>
      <c r="P35" s="670">
        <f>Breakout!$D$16/12</f>
        <v>3411024.4174227254</v>
      </c>
      <c r="Q35" s="671">
        <f>'wholesale services'!$D$110*'wholesale services'!$E$111/12</f>
        <v>3250582.4999999995</v>
      </c>
      <c r="R35" s="671">
        <v>3320487.5</v>
      </c>
      <c r="S35" s="670">
        <f>Breakout!$D$27/12</f>
        <v>120849.30225043917</v>
      </c>
      <c r="T35" s="671">
        <f>'wholesale services'!$D$113*'wholesale services'!$E$114/12</f>
        <v>142811.25022850538</v>
      </c>
      <c r="U35" s="671">
        <v>145725.7655392912</v>
      </c>
      <c r="V35" s="670">
        <f>Breakout!$D$38/12</f>
        <v>60831.277310449863</v>
      </c>
      <c r="W35" s="672">
        <f>Breakout!$D$39/12</f>
        <v>59709.100000000006</v>
      </c>
      <c r="X35" s="672">
        <v>60351.133333333331</v>
      </c>
      <c r="Y35" s="670">
        <f>Breakout!$D$49/12</f>
        <v>442490.61476759054</v>
      </c>
      <c r="Z35" s="671">
        <f>Breakout!$D$50/12</f>
        <v>396350.41134851618</v>
      </c>
      <c r="AA35" s="671">
        <v>416338.56247433304</v>
      </c>
      <c r="AB35" s="670">
        <f>Breakout!$D$60/12</f>
        <v>407124.9005356307</v>
      </c>
      <c r="AC35" s="671">
        <f>Breakout!$D$61/12</f>
        <v>392668.45290788868</v>
      </c>
      <c r="AD35" s="671">
        <v>404912.0126867537</v>
      </c>
      <c r="AE35" s="670">
        <f>Breakout!$D$71/12</f>
        <v>308893.41895970789</v>
      </c>
      <c r="AF35" s="671">
        <f>Breakout!$D$72/12</f>
        <v>316520.66666666669</v>
      </c>
      <c r="AG35" s="671">
        <v>316520.66666666669</v>
      </c>
      <c r="AH35" s="670">
        <f>Breakout!$D$82/12</f>
        <v>20331.30926151399</v>
      </c>
      <c r="AI35" s="671">
        <f>Breakout!$D$83/12</f>
        <v>0</v>
      </c>
      <c r="AJ35" s="671">
        <v>0</v>
      </c>
      <c r="AK35" s="673">
        <f>Breakout!$D$91/12</f>
        <v>273369.77940410742</v>
      </c>
      <c r="AL35" s="673">
        <v>273369.77940410742</v>
      </c>
      <c r="AM35" s="673">
        <f>(Breakout!$D$107/12)*-1</f>
        <v>55221.25</v>
      </c>
      <c r="AN35" s="673">
        <v>55221.25</v>
      </c>
      <c r="AO35" s="674">
        <f t="shared" si="1"/>
        <v>4771545.2405080581</v>
      </c>
      <c r="AP35" s="674">
        <f t="shared" si="2"/>
        <v>4919465.121460367</v>
      </c>
      <c r="AQ35" s="548">
        <f t="shared" si="3"/>
        <v>124819.98627646238</v>
      </c>
      <c r="AR35" s="672">
        <f>SUM(AQ24:AQ35)</f>
        <v>1016823.5226693724</v>
      </c>
      <c r="AS35" s="553">
        <f t="shared" si="4"/>
        <v>-7567.2625143771875</v>
      </c>
      <c r="AT35" s="672">
        <f>SUM(AS24:AS35)</f>
        <v>-518435.48433662648</v>
      </c>
      <c r="AU35" s="671">
        <f>'wholesale services'!$E$110/12</f>
        <v>40679698.73649691</v>
      </c>
      <c r="AV35" s="671">
        <f>'wholesale services'!$E$113/12</f>
        <v>18805.490972222222</v>
      </c>
      <c r="AW35" s="672"/>
      <c r="AX35" s="552">
        <f t="shared" si="5"/>
        <v>-715341.08333333337</v>
      </c>
      <c r="AY35" s="381">
        <f t="shared" si="6"/>
        <v>-705333.33333333337</v>
      </c>
      <c r="AZ35" s="672"/>
      <c r="BA35" s="438">
        <f t="shared" si="7"/>
        <v>388924.66593060957</v>
      </c>
      <c r="BB35" s="438">
        <f t="shared" si="8"/>
        <v>-9936.540161861798</v>
      </c>
      <c r="BC35" s="438">
        <f t="shared" si="9"/>
        <v>1122.177310449857</v>
      </c>
      <c r="BD35" s="438">
        <f t="shared" si="24"/>
        <v>46140.203419074358</v>
      </c>
      <c r="BE35" s="438">
        <f t="shared" si="25"/>
        <v>14456.447627742018</v>
      </c>
      <c r="BF35" s="438">
        <f t="shared" si="26"/>
        <v>-7627.2477069587912</v>
      </c>
      <c r="BG35" s="438">
        <f t="shared" si="27"/>
        <v>20331.30926151399</v>
      </c>
      <c r="BH35" s="438">
        <f t="shared" si="28"/>
        <v>-273369.77940410742</v>
      </c>
      <c r="BI35" s="438">
        <f t="shared" si="29"/>
        <v>-55221.25</v>
      </c>
      <c r="BJ35" s="672"/>
      <c r="BK35" s="496"/>
      <c r="BL35" s="438">
        <f t="shared" si="10"/>
        <v>531190.98782060936</v>
      </c>
      <c r="BM35" s="438">
        <f t="shared" si="11"/>
        <v>-4896.1817151951473</v>
      </c>
      <c r="BN35" s="438">
        <f t="shared" si="12"/>
        <v>3659.3160171165291</v>
      </c>
      <c r="BO35" s="438">
        <f t="shared" si="13"/>
        <v>64595.513182407652</v>
      </c>
      <c r="BP35" s="438">
        <f t="shared" si="14"/>
        <v>31436.731278950581</v>
      </c>
      <c r="BQ35" s="438">
        <f t="shared" si="15"/>
        <v>5256.0170234146062</v>
      </c>
      <c r="BR35" s="438">
        <f t="shared" si="16"/>
        <v>21179.283428180657</v>
      </c>
      <c r="BS35" s="438">
        <f t="shared" si="44"/>
        <v>-273369.77940410742</v>
      </c>
      <c r="BT35" s="438">
        <f t="shared" si="45"/>
        <v>-55221.25</v>
      </c>
      <c r="BU35" s="672"/>
      <c r="BV35" s="672"/>
      <c r="BW35" s="670">
        <f>Breakout!$D$15/12</f>
        <v>3553290.7393127251</v>
      </c>
      <c r="BX35" s="670">
        <f>Breakout!$D$26/12</f>
        <v>125889.66069710582</v>
      </c>
      <c r="BY35" s="670">
        <f>Breakout!$D$37/12</f>
        <v>63368.416017116535</v>
      </c>
      <c r="BZ35" s="670">
        <f>Breakout!$D$48/12</f>
        <v>460945.92453092383</v>
      </c>
      <c r="CA35" s="670">
        <f>Breakout!$D$59/12</f>
        <v>424105.18418683927</v>
      </c>
      <c r="CB35" s="670">
        <f>Breakout!$D$70/12</f>
        <v>321776.68369008129</v>
      </c>
      <c r="CC35" s="670">
        <f>Breakout!$D$81/12</f>
        <v>21179.283428180657</v>
      </c>
      <c r="CD35" s="672"/>
      <c r="CE35" s="675">
        <f t="shared" si="30"/>
        <v>3553150.4348153388</v>
      </c>
      <c r="CF35" s="675">
        <f t="shared" si="31"/>
        <v>125884.68984420747</v>
      </c>
      <c r="CG35" s="675">
        <f t="shared" si="32"/>
        <v>63365.913865051945</v>
      </c>
      <c r="CH35" s="672"/>
      <c r="CI35" s="675">
        <f t="shared" si="33"/>
        <v>-715341.08333333337</v>
      </c>
      <c r="CJ35" s="675">
        <f t="shared" si="34"/>
        <v>-705333.33333333337</v>
      </c>
      <c r="CK35" s="672"/>
      <c r="CL35" s="672">
        <f>'account mgt'!$D$23/12</f>
        <v>-50235</v>
      </c>
      <c r="CM35" s="672"/>
      <c r="CN35" s="438">
        <v>0</v>
      </c>
      <c r="CO35" s="672"/>
      <c r="CP35" s="672"/>
      <c r="CQ35" s="496"/>
      <c r="CR35" s="496"/>
      <c r="CS35" s="496"/>
      <c r="CT35" s="438">
        <f t="shared" si="51"/>
        <v>30961863.949218299</v>
      </c>
      <c r="CU35" s="438">
        <f t="shared" si="46"/>
        <v>244340.70966591442</v>
      </c>
      <c r="CV35" s="438">
        <f>IF(CT35&lt;0.1,0,PPMT($L$3,A35-14,unwinds!$B$8*12,$K$5))</f>
        <v>523218.1678366852</v>
      </c>
      <c r="CW35" s="438">
        <f t="shared" si="47"/>
        <v>30438645.781381615</v>
      </c>
      <c r="CX35" s="438">
        <f t="shared" si="48"/>
        <v>30438645.781381615</v>
      </c>
      <c r="CY35" s="672">
        <f>CX35</f>
        <v>30438645.781381615</v>
      </c>
      <c r="CZ35" s="438"/>
      <c r="DA35" s="438">
        <f t="shared" si="53"/>
        <v>33490072.852500085</v>
      </c>
      <c r="DB35" s="438">
        <f t="shared" si="54"/>
        <v>264292.49159431318</v>
      </c>
      <c r="DC35" s="438">
        <f t="shared" si="55"/>
        <v>231105.58007730317</v>
      </c>
      <c r="DD35" s="438">
        <f t="shared" si="56"/>
        <v>33258967.272422783</v>
      </c>
      <c r="DE35" s="438">
        <f t="shared" si="49"/>
        <v>33258967.272422783</v>
      </c>
      <c r="DF35" s="672">
        <f>DE35</f>
        <v>33258967.272422783</v>
      </c>
      <c r="DG35" s="672"/>
      <c r="DH35" s="944">
        <v>-715341.08333333337</v>
      </c>
      <c r="DI35" s="944">
        <v>-705333.33333333337</v>
      </c>
      <c r="DJ35" s="944"/>
      <c r="DK35" s="672"/>
      <c r="DL35" s="381">
        <f t="shared" si="52"/>
        <v>474832.92700924521</v>
      </c>
      <c r="DM35" s="672"/>
      <c r="DN35" s="944">
        <f t="shared" si="18"/>
        <v>-715341.08333333337</v>
      </c>
      <c r="DO35" s="944">
        <f t="shared" si="19"/>
        <v>474832.92700924521</v>
      </c>
      <c r="DP35" s="672"/>
      <c r="DQ35" s="438">
        <f t="shared" si="20"/>
        <v>302708.23931272561</v>
      </c>
      <c r="DR35" s="438">
        <f t="shared" si="21"/>
        <v>-16921.589531399557</v>
      </c>
      <c r="DS35" s="672"/>
      <c r="DT35" s="672"/>
      <c r="DU35" s="672"/>
      <c r="DV35" s="672"/>
      <c r="DW35" s="672"/>
      <c r="DX35" s="672"/>
    </row>
    <row r="36" spans="1:128" s="532" customFormat="1" x14ac:dyDescent="0.2">
      <c r="A36" s="528">
        <v>25</v>
      </c>
      <c r="B36" s="633">
        <v>37257</v>
      </c>
      <c r="C36" s="381">
        <v>0</v>
      </c>
      <c r="D36" s="381">
        <v>0</v>
      </c>
      <c r="E36" s="381">
        <v>0</v>
      </c>
      <c r="F36" s="381">
        <v>260413.58617398018</v>
      </c>
      <c r="G36" s="381">
        <v>231105.58007730331</v>
      </c>
      <c r="H36" s="381">
        <v>0</v>
      </c>
      <c r="I36" s="381">
        <v>491519.16625128349</v>
      </c>
      <c r="J36" s="381"/>
      <c r="K36" s="381"/>
      <c r="L36" s="974">
        <f>PMT($L$3,106,$K$5,,1)</f>
        <v>491519.16625128326</v>
      </c>
      <c r="M36" s="381"/>
      <c r="N36" s="679">
        <f t="shared" si="22"/>
        <v>-715341.08333333337</v>
      </c>
      <c r="O36" s="679">
        <f t="shared" si="23"/>
        <v>-705333.33333333337</v>
      </c>
      <c r="P36" s="564">
        <f>Breakout!$E$16/12</f>
        <v>3446210.4286983572</v>
      </c>
      <c r="Q36" s="557">
        <f>'wholesale services'!$D$110*'wholesale services'!$F$111/12</f>
        <v>3250582.4999999995</v>
      </c>
      <c r="R36" s="557">
        <v>3320487.5</v>
      </c>
      <c r="S36" s="564">
        <f>Breakout!$E$27/12</f>
        <v>122095.9086628462</v>
      </c>
      <c r="T36" s="557">
        <f>'wholesale services'!$D$113*'wholesale services'!$F$114/12</f>
        <v>144397.9625240622</v>
      </c>
      <c r="U36" s="557">
        <v>147344.85971843082</v>
      </c>
      <c r="V36" s="564">
        <f>Breakout!$E$38/12</f>
        <v>61458.775020059868</v>
      </c>
      <c r="W36" s="531">
        <f>Breakout!$E$39/12</f>
        <v>61500.373</v>
      </c>
      <c r="X36" s="531">
        <v>62161.667333333338</v>
      </c>
      <c r="Y36" s="564">
        <f>Breakout!$E$49/12</f>
        <v>447055.0733745264</v>
      </c>
      <c r="Z36" s="560">
        <f>Breakout!$E$50/12</f>
        <v>404634.13494570012</v>
      </c>
      <c r="AA36" s="560">
        <v>425040.03843004658</v>
      </c>
      <c r="AB36" s="564">
        <f>Breakout!$E$60/12</f>
        <v>411324.54837974097</v>
      </c>
      <c r="AC36" s="560">
        <f>Breakout!$E$61/12</f>
        <v>400875.2235736635</v>
      </c>
      <c r="AD36" s="560">
        <v>413374.6737519069</v>
      </c>
      <c r="AE36" s="564">
        <f>Breakout!$E$71/12</f>
        <v>312079.77179464215</v>
      </c>
      <c r="AF36" s="560">
        <f>Breakout!$E$72/12</f>
        <v>316520.66666666669</v>
      </c>
      <c r="AG36" s="560">
        <v>316520.66666666669</v>
      </c>
      <c r="AH36" s="564">
        <f>Breakout!$E$82/12</f>
        <v>20541.03443183819</v>
      </c>
      <c r="AI36" s="560">
        <f>Breakout!$E$83/12</f>
        <v>0</v>
      </c>
      <c r="AJ36" s="560">
        <v>0</v>
      </c>
      <c r="AK36" s="570">
        <f>Breakout!$E$91/12</f>
        <v>276189.69241657347</v>
      </c>
      <c r="AL36" s="570">
        <v>276189.69241657347</v>
      </c>
      <c r="AM36" s="567">
        <f>(Breakout!$E$107/12)*-1</f>
        <v>55221.25</v>
      </c>
      <c r="AN36" s="567">
        <v>55221.25</v>
      </c>
      <c r="AO36" s="578">
        <f t="shared" si="1"/>
        <v>4820765.5403620116</v>
      </c>
      <c r="AP36" s="578">
        <f t="shared" si="2"/>
        <v>4942827.1567892563</v>
      </c>
      <c r="AQ36" s="548">
        <f t="shared" si="3"/>
        <v>151351.89355943428</v>
      </c>
      <c r="AR36" s="531"/>
      <c r="AS36" s="553">
        <f t="shared" si="4"/>
        <v>18239.359127104108</v>
      </c>
      <c r="AT36" s="531"/>
      <c r="AU36" s="557">
        <f>'wholesale services'!$F$110/12</f>
        <v>39106610.706018515</v>
      </c>
      <c r="AV36" s="557">
        <f>'wholesale services'!$F$113/12</f>
        <v>17613.255833333333</v>
      </c>
      <c r="AW36" s="531"/>
      <c r="AX36" s="552">
        <f t="shared" si="5"/>
        <v>-715341.08333333337</v>
      </c>
      <c r="AY36" s="381">
        <f t="shared" si="6"/>
        <v>-705333.33333333337</v>
      </c>
      <c r="AZ36" s="496"/>
      <c r="BA36" s="438">
        <f t="shared" si="7"/>
        <v>424110.67720624141</v>
      </c>
      <c r="BB36" s="438">
        <f t="shared" si="8"/>
        <v>-10276.646045011592</v>
      </c>
      <c r="BC36" s="438">
        <f t="shared" si="9"/>
        <v>-41.597979940132063</v>
      </c>
      <c r="BD36" s="438">
        <f t="shared" si="24"/>
        <v>42420.938428826281</v>
      </c>
      <c r="BE36" s="438">
        <f t="shared" si="25"/>
        <v>10449.324806077464</v>
      </c>
      <c r="BF36" s="438">
        <f t="shared" si="26"/>
        <v>-4440.8948720245389</v>
      </c>
      <c r="BG36" s="438">
        <f t="shared" si="27"/>
        <v>20541.03443183819</v>
      </c>
      <c r="BH36" s="438">
        <f t="shared" si="28"/>
        <v>-276189.69241657347</v>
      </c>
      <c r="BI36" s="438">
        <f t="shared" si="29"/>
        <v>-55221.25</v>
      </c>
      <c r="BJ36" s="531"/>
      <c r="BK36" s="496"/>
      <c r="BL36" s="438">
        <f t="shared" si="10"/>
        <v>568013.06179797591</v>
      </c>
      <c r="BM36" s="438">
        <f t="shared" si="11"/>
        <v>-5178.3234762082648</v>
      </c>
      <c r="BN36" s="438">
        <f t="shared" si="12"/>
        <v>2524.7178218532063</v>
      </c>
      <c r="BO36" s="438">
        <f t="shared" si="13"/>
        <v>61088.484254437964</v>
      </c>
      <c r="BP36" s="438">
        <f t="shared" si="14"/>
        <v>27624.88171927497</v>
      </c>
      <c r="BQ36" s="438">
        <f t="shared" si="15"/>
        <v>8590.5274027481209</v>
      </c>
      <c r="BR36" s="438">
        <f t="shared" si="16"/>
        <v>21398.760301421524</v>
      </c>
      <c r="BS36" s="438">
        <f t="shared" si="44"/>
        <v>-276189.69241657347</v>
      </c>
      <c r="BT36" s="438">
        <f t="shared" si="45"/>
        <v>-55221.25</v>
      </c>
      <c r="BU36" s="531"/>
      <c r="BV36" s="531"/>
      <c r="BW36" s="564">
        <f>Breakout!$E$15/12</f>
        <v>3590112.8132900917</v>
      </c>
      <c r="BX36" s="564">
        <f>Breakout!$E$26/12</f>
        <v>127194.23123164952</v>
      </c>
      <c r="BY36" s="564">
        <f>Breakout!$E$37/12</f>
        <v>64025.090821853206</v>
      </c>
      <c r="BZ36" s="564">
        <f>Breakout!$E$48/12</f>
        <v>465722.61920013808</v>
      </c>
      <c r="CA36" s="564">
        <f>Breakout!$E$59/12</f>
        <v>428500.10529293848</v>
      </c>
      <c r="CB36" s="564">
        <f>Breakout!$E$70/12</f>
        <v>325111.19406941481</v>
      </c>
      <c r="CC36" s="564">
        <f>Breakout!$E$81/12</f>
        <v>21398.760301421524</v>
      </c>
      <c r="CD36" s="531"/>
      <c r="CE36" s="634">
        <f t="shared" si="30"/>
        <v>3589802.5298941224</v>
      </c>
      <c r="CF36" s="634">
        <f t="shared" si="31"/>
        <v>127183.23819046479</v>
      </c>
      <c r="CG36" s="634">
        <f t="shared" si="32"/>
        <v>64019.557312562363</v>
      </c>
      <c r="CH36" s="531"/>
      <c r="CI36" s="634">
        <f t="shared" si="33"/>
        <v>-715341.08333333337</v>
      </c>
      <c r="CJ36" s="634">
        <f t="shared" si="34"/>
        <v>-705333.33333333337</v>
      </c>
      <c r="CK36" s="531"/>
      <c r="CL36" s="438">
        <f>'account mgt'!$E$23/12</f>
        <v>-51239.700000000004</v>
      </c>
      <c r="CM36" s="531"/>
      <c r="CN36" s="438">
        <v>0</v>
      </c>
      <c r="CO36" s="531"/>
      <c r="CP36" s="531"/>
      <c r="CQ36" s="496"/>
      <c r="CR36" s="496"/>
      <c r="CS36" s="496"/>
      <c r="CT36" s="438">
        <f t="shared" si="51"/>
        <v>30438645.781381615</v>
      </c>
      <c r="CU36" s="438">
        <f t="shared" si="46"/>
        <v>240211.64629140325</v>
      </c>
      <c r="CV36" s="438">
        <f>IF(CT36&lt;0.1,0,PPMT($L$3,A36-14,unwinds!$B$8*12,$K$5))</f>
        <v>527347.23121119617</v>
      </c>
      <c r="CW36" s="438">
        <f t="shared" si="47"/>
        <v>29911298.550170418</v>
      </c>
      <c r="CX36" s="438">
        <f t="shared" si="48"/>
        <v>29911298.550170418</v>
      </c>
      <c r="CY36" s="531"/>
      <c r="CZ36" s="438"/>
      <c r="DA36" s="438">
        <f t="shared" si="53"/>
        <v>33258967.272422783</v>
      </c>
      <c r="DB36" s="438">
        <f t="shared" si="54"/>
        <v>262468.68339153647</v>
      </c>
      <c r="DC36" s="438">
        <f t="shared" si="55"/>
        <v>232929.38828007982</v>
      </c>
      <c r="DD36" s="438">
        <f t="shared" si="56"/>
        <v>33026037.884142704</v>
      </c>
      <c r="DE36" s="438">
        <f t="shared" si="49"/>
        <v>33026037.884142704</v>
      </c>
      <c r="DF36" s="531"/>
      <c r="DG36" s="531"/>
      <c r="DH36" s="944">
        <v>-715341.08333333337</v>
      </c>
      <c r="DI36" s="944">
        <v>-705333.33333333337</v>
      </c>
      <c r="DJ36" s="944"/>
      <c r="DK36" s="531"/>
      <c r="DL36" s="381">
        <f t="shared" si="52"/>
        <v>474832.92700924521</v>
      </c>
      <c r="DM36" s="531"/>
      <c r="DN36" s="944">
        <f t="shared" si="18"/>
        <v>-715341.08333333337</v>
      </c>
      <c r="DO36" s="944">
        <f t="shared" si="19"/>
        <v>474832.92700924521</v>
      </c>
      <c r="DP36" s="531"/>
      <c r="DQ36" s="438">
        <f t="shared" si="20"/>
        <v>339530.31329009216</v>
      </c>
      <c r="DR36" s="438">
        <f t="shared" si="21"/>
        <v>-17203.731292412675</v>
      </c>
      <c r="DS36" s="531"/>
      <c r="DT36" s="531"/>
      <c r="DU36" s="531"/>
      <c r="DV36" s="531"/>
      <c r="DW36" s="531"/>
      <c r="DX36" s="531"/>
    </row>
    <row r="37" spans="1:128" x14ac:dyDescent="0.2">
      <c r="A37" s="383">
        <v>26</v>
      </c>
      <c r="B37" s="631">
        <v>37288</v>
      </c>
      <c r="C37" s="381">
        <v>0</v>
      </c>
      <c r="D37" s="381">
        <v>0</v>
      </c>
      <c r="E37" s="381">
        <v>0</v>
      </c>
      <c r="F37" s="381">
        <v>258589.7779712035</v>
      </c>
      <c r="G37" s="381">
        <v>232929.38828007999</v>
      </c>
      <c r="H37" s="381">
        <v>0</v>
      </c>
      <c r="I37" s="381">
        <v>491519.16625128349</v>
      </c>
      <c r="J37" s="381"/>
      <c r="K37" s="381"/>
      <c r="L37" s="381">
        <f t="shared" si="50"/>
        <v>491519.16625128326</v>
      </c>
      <c r="M37" s="381"/>
      <c r="N37" s="679">
        <f t="shared" si="22"/>
        <v>-715341.08333333337</v>
      </c>
      <c r="O37" s="679">
        <f t="shared" si="23"/>
        <v>-705333.33333333337</v>
      </c>
      <c r="P37" s="565">
        <f>Breakout!$E$16/12</f>
        <v>3446210.4286983572</v>
      </c>
      <c r="Q37" s="557">
        <f>'wholesale services'!$D$110*'wholesale services'!$F$111/12</f>
        <v>3250582.4999999995</v>
      </c>
      <c r="R37" s="557">
        <v>3320487.5</v>
      </c>
      <c r="S37" s="565">
        <f>Breakout!$E$27/12</f>
        <v>122095.9086628462</v>
      </c>
      <c r="T37" s="557">
        <f>'wholesale services'!$D$113*'wholesale services'!$F$114/12</f>
        <v>144397.9625240622</v>
      </c>
      <c r="U37" s="557">
        <v>147344.85971843082</v>
      </c>
      <c r="V37" s="565">
        <f>Breakout!$E$38/12</f>
        <v>61458.775020059868</v>
      </c>
      <c r="W37" s="496">
        <f>Breakout!$E$39/12</f>
        <v>61500.373</v>
      </c>
      <c r="X37" s="496">
        <v>62161.667333333338</v>
      </c>
      <c r="Y37" s="565">
        <f>Breakout!$E$49/12</f>
        <v>447055.0733745264</v>
      </c>
      <c r="Z37" s="566">
        <f>Breakout!$E$50/12</f>
        <v>404634.13494570012</v>
      </c>
      <c r="AA37" s="566">
        <v>425040.03843004658</v>
      </c>
      <c r="AB37" s="565">
        <f>Breakout!$E$60/12</f>
        <v>411324.54837974097</v>
      </c>
      <c r="AC37" s="566">
        <f>Breakout!$E$61/12</f>
        <v>400875.2235736635</v>
      </c>
      <c r="AD37" s="566">
        <v>413374.6737519069</v>
      </c>
      <c r="AE37" s="565">
        <f>Breakout!$E$71/12</f>
        <v>312079.77179464215</v>
      </c>
      <c r="AF37" s="566">
        <f>Breakout!$E$72/12</f>
        <v>316520.66666666669</v>
      </c>
      <c r="AG37" s="566">
        <v>316520.66666666669</v>
      </c>
      <c r="AH37" s="565">
        <f>Breakout!$E$82/12</f>
        <v>20541.03443183819</v>
      </c>
      <c r="AI37" s="566">
        <f>Breakout!$E$83/12</f>
        <v>0</v>
      </c>
      <c r="AJ37" s="566">
        <v>0</v>
      </c>
      <c r="AK37" s="571">
        <f>Breakout!$E$91/12</f>
        <v>276189.69241657347</v>
      </c>
      <c r="AL37" s="571">
        <v>276189.69241657347</v>
      </c>
      <c r="AM37" s="567">
        <f>(Breakout!$E$107/12)*-1</f>
        <v>55221.25</v>
      </c>
      <c r="AN37" s="567">
        <v>55221.25</v>
      </c>
      <c r="AO37" s="578">
        <f t="shared" si="1"/>
        <v>4820765.5403620116</v>
      </c>
      <c r="AP37" s="578">
        <f t="shared" si="2"/>
        <v>4942827.1567892563</v>
      </c>
      <c r="AQ37" s="548">
        <f t="shared" si="3"/>
        <v>151351.89355943428</v>
      </c>
      <c r="AR37" s="496"/>
      <c r="AS37" s="553">
        <f t="shared" si="4"/>
        <v>18239.359127104108</v>
      </c>
      <c r="AT37" s="496"/>
      <c r="AU37" s="557">
        <f>'wholesale services'!$F$110/12</f>
        <v>39106610.706018515</v>
      </c>
      <c r="AV37" s="557">
        <f>'wholesale services'!$F$113/12</f>
        <v>17613.255833333333</v>
      </c>
      <c r="AW37" s="496"/>
      <c r="AX37" s="552">
        <f t="shared" si="5"/>
        <v>-715341.08333333337</v>
      </c>
      <c r="AY37" s="381">
        <f t="shared" si="6"/>
        <v>-705333.33333333337</v>
      </c>
      <c r="AZ37" s="496"/>
      <c r="BA37" s="438">
        <f t="shared" si="7"/>
        <v>424110.67720624141</v>
      </c>
      <c r="BB37" s="438">
        <f t="shared" si="8"/>
        <v>-10276.646045011592</v>
      </c>
      <c r="BC37" s="438">
        <f t="shared" si="9"/>
        <v>-41.597979940132063</v>
      </c>
      <c r="BD37" s="438">
        <f t="shared" si="24"/>
        <v>42420.938428826281</v>
      </c>
      <c r="BE37" s="438">
        <f t="shared" si="25"/>
        <v>10449.324806077464</v>
      </c>
      <c r="BF37" s="438">
        <f t="shared" si="26"/>
        <v>-4440.8948720245389</v>
      </c>
      <c r="BG37" s="438">
        <f t="shared" si="27"/>
        <v>20541.03443183819</v>
      </c>
      <c r="BH37" s="438">
        <f t="shared" si="28"/>
        <v>-276189.69241657347</v>
      </c>
      <c r="BI37" s="438">
        <f t="shared" si="29"/>
        <v>-55221.25</v>
      </c>
      <c r="BL37" s="438">
        <f t="shared" si="10"/>
        <v>568013.06179797591</v>
      </c>
      <c r="BM37" s="438">
        <f t="shared" si="11"/>
        <v>-5178.3234762082648</v>
      </c>
      <c r="BN37" s="438">
        <f t="shared" si="12"/>
        <v>2524.7178218532063</v>
      </c>
      <c r="BO37" s="438">
        <f t="shared" si="13"/>
        <v>61088.484254437964</v>
      </c>
      <c r="BP37" s="438">
        <f t="shared" si="14"/>
        <v>27624.88171927497</v>
      </c>
      <c r="BQ37" s="438">
        <f t="shared" si="15"/>
        <v>8590.5274027481209</v>
      </c>
      <c r="BR37" s="438">
        <f t="shared" si="16"/>
        <v>21398.760301421524</v>
      </c>
      <c r="BS37" s="438">
        <f t="shared" si="44"/>
        <v>-276189.69241657347</v>
      </c>
      <c r="BT37" s="438">
        <f t="shared" si="45"/>
        <v>-55221.25</v>
      </c>
      <c r="BW37" s="565">
        <f>Breakout!$E$15/12</f>
        <v>3590112.8132900917</v>
      </c>
      <c r="BX37" s="565">
        <f>Breakout!$E$26/12</f>
        <v>127194.23123164952</v>
      </c>
      <c r="BY37" s="565">
        <f>Breakout!$E$37/12</f>
        <v>64025.090821853206</v>
      </c>
      <c r="BZ37" s="565">
        <f>Breakout!$E$48/12</f>
        <v>465722.61920013808</v>
      </c>
      <c r="CA37" s="565">
        <f>Breakout!$E$59/12</f>
        <v>428500.10529293848</v>
      </c>
      <c r="CB37" s="565">
        <f>Breakout!$E$70/12</f>
        <v>325111.19406941481</v>
      </c>
      <c r="CC37" s="565">
        <f>Breakout!$E$81/12</f>
        <v>21398.760301421524</v>
      </c>
      <c r="CE37" s="634">
        <f t="shared" si="30"/>
        <v>3589802.5298941224</v>
      </c>
      <c r="CF37" s="634">
        <f t="shared" si="31"/>
        <v>127183.23819046479</v>
      </c>
      <c r="CG37" s="634">
        <f t="shared" si="32"/>
        <v>64019.557312562363</v>
      </c>
      <c r="CI37" s="634">
        <f t="shared" si="33"/>
        <v>-715341.08333333337</v>
      </c>
      <c r="CJ37" s="634">
        <f t="shared" si="34"/>
        <v>-705333.33333333337</v>
      </c>
      <c r="CL37" s="438">
        <f>'account mgt'!$E$23/12</f>
        <v>-51239.700000000004</v>
      </c>
      <c r="CN37" s="438">
        <v>0</v>
      </c>
      <c r="CT37" s="438">
        <f t="shared" si="51"/>
        <v>29911298.550170418</v>
      </c>
      <c r="CU37" s="438">
        <f t="shared" si="46"/>
        <v>236049.99772509487</v>
      </c>
      <c r="CV37" s="438">
        <f>IF(CT37&lt;0.1,0,PPMT($L$3,A37-14,unwinds!$B$8*12,$K$5))</f>
        <v>531508.8797775046</v>
      </c>
      <c r="CW37" s="438">
        <f t="shared" si="47"/>
        <v>29379789.670392912</v>
      </c>
      <c r="CX37" s="438">
        <f t="shared" si="48"/>
        <v>29379789.670392912</v>
      </c>
      <c r="DA37" s="438">
        <f t="shared" si="53"/>
        <v>33026037.884142704</v>
      </c>
      <c r="DB37" s="438">
        <f t="shared" si="54"/>
        <v>260630.48230235951</v>
      </c>
      <c r="DC37" s="438">
        <f t="shared" si="55"/>
        <v>234767.58936925678</v>
      </c>
      <c r="DD37" s="438">
        <f t="shared" si="56"/>
        <v>32791270.294773448</v>
      </c>
      <c r="DE37" s="438">
        <f t="shared" si="49"/>
        <v>32791270.294773448</v>
      </c>
      <c r="DH37" s="944">
        <v>-715341.08333333337</v>
      </c>
      <c r="DI37" s="944">
        <v>-705333.33333333337</v>
      </c>
      <c r="DJ37" s="944"/>
      <c r="DL37" s="381">
        <f t="shared" si="52"/>
        <v>474832.92700924521</v>
      </c>
      <c r="DN37" s="944">
        <f t="shared" si="18"/>
        <v>-715341.08333333337</v>
      </c>
      <c r="DO37" s="944">
        <f t="shared" si="19"/>
        <v>474832.92700924521</v>
      </c>
      <c r="DQ37" s="438">
        <f t="shared" si="20"/>
        <v>339530.31329009216</v>
      </c>
      <c r="DR37" s="438">
        <f t="shared" si="21"/>
        <v>-17203.731292412675</v>
      </c>
      <c r="DS37" s="438"/>
      <c r="DT37" s="438"/>
      <c r="DU37" s="438"/>
      <c r="DV37" s="438"/>
      <c r="DW37" s="438"/>
      <c r="DX37" s="438"/>
    </row>
    <row r="38" spans="1:128" x14ac:dyDescent="0.2">
      <c r="A38" s="383">
        <v>27</v>
      </c>
      <c r="B38" s="631">
        <v>37316</v>
      </c>
      <c r="C38" s="381">
        <v>0</v>
      </c>
      <c r="D38" s="381">
        <v>0</v>
      </c>
      <c r="E38" s="381">
        <v>0</v>
      </c>
      <c r="F38" s="381">
        <v>256751.57688202657</v>
      </c>
      <c r="G38" s="381">
        <v>234767.58936925692</v>
      </c>
      <c r="H38" s="381">
        <v>0</v>
      </c>
      <c r="I38" s="381">
        <v>491519.16625128349</v>
      </c>
      <c r="J38" s="381"/>
      <c r="K38" s="381"/>
      <c r="L38" s="381">
        <f t="shared" si="50"/>
        <v>491519.16625128326</v>
      </c>
      <c r="M38" s="381"/>
      <c r="N38" s="679">
        <f t="shared" si="22"/>
        <v>-715341.08333333337</v>
      </c>
      <c r="O38" s="679">
        <f t="shared" si="23"/>
        <v>-705333.33333333337</v>
      </c>
      <c r="P38" s="565">
        <f>Breakout!$E$16/12</f>
        <v>3446210.4286983572</v>
      </c>
      <c r="Q38" s="557">
        <f>'wholesale services'!$D$110*'wholesale services'!$F$111/12</f>
        <v>3250582.4999999995</v>
      </c>
      <c r="R38" s="557">
        <v>3320487.5</v>
      </c>
      <c r="S38" s="565">
        <f>Breakout!$E$27/12</f>
        <v>122095.9086628462</v>
      </c>
      <c r="T38" s="557">
        <f>'wholesale services'!$D$113*'wholesale services'!$F$114/12</f>
        <v>144397.9625240622</v>
      </c>
      <c r="U38" s="557">
        <v>147344.85971843082</v>
      </c>
      <c r="V38" s="565">
        <f>Breakout!$E$38/12</f>
        <v>61458.775020059868</v>
      </c>
      <c r="W38" s="496">
        <f>Breakout!$E$39/12</f>
        <v>61500.373</v>
      </c>
      <c r="X38" s="496">
        <v>62161.667333333338</v>
      </c>
      <c r="Y38" s="565">
        <f>Breakout!$E$49/12</f>
        <v>447055.0733745264</v>
      </c>
      <c r="Z38" s="566">
        <f>Breakout!$E$50/12</f>
        <v>404634.13494570012</v>
      </c>
      <c r="AA38" s="566">
        <v>425040.03843004658</v>
      </c>
      <c r="AB38" s="565">
        <f>Breakout!$E$60/12</f>
        <v>411324.54837974097</v>
      </c>
      <c r="AC38" s="566">
        <f>Breakout!$E$61/12</f>
        <v>400875.2235736635</v>
      </c>
      <c r="AD38" s="566">
        <v>413374.6737519069</v>
      </c>
      <c r="AE38" s="565">
        <f>Breakout!$E$71/12</f>
        <v>312079.77179464215</v>
      </c>
      <c r="AF38" s="566">
        <f>Breakout!$E$72/12</f>
        <v>316520.66666666669</v>
      </c>
      <c r="AG38" s="566">
        <v>316520.66666666669</v>
      </c>
      <c r="AH38" s="565">
        <f>Breakout!$E$82/12</f>
        <v>20541.03443183819</v>
      </c>
      <c r="AI38" s="566">
        <f>Breakout!$E$83/12</f>
        <v>0</v>
      </c>
      <c r="AJ38" s="566">
        <v>0</v>
      </c>
      <c r="AK38" s="571">
        <f>Breakout!$E$91/12</f>
        <v>276189.69241657347</v>
      </c>
      <c r="AL38" s="571">
        <v>276189.69241657347</v>
      </c>
      <c r="AM38" s="567">
        <f>(Breakout!$E$107/12)*-1</f>
        <v>55221.25</v>
      </c>
      <c r="AN38" s="567">
        <v>55221.25</v>
      </c>
      <c r="AO38" s="578">
        <f t="shared" si="1"/>
        <v>4820765.5403620116</v>
      </c>
      <c r="AP38" s="578">
        <f t="shared" si="2"/>
        <v>4942827.1567892563</v>
      </c>
      <c r="AQ38" s="548">
        <f t="shared" si="3"/>
        <v>151351.89355943428</v>
      </c>
      <c r="AR38" s="496"/>
      <c r="AS38" s="553">
        <f t="shared" si="4"/>
        <v>18239.359127104108</v>
      </c>
      <c r="AT38" s="496"/>
      <c r="AU38" s="557">
        <f>'wholesale services'!$F$110/12</f>
        <v>39106610.706018515</v>
      </c>
      <c r="AV38" s="557">
        <f>'wholesale services'!$F$113/12</f>
        <v>17613.255833333333</v>
      </c>
      <c r="AW38" s="496"/>
      <c r="AX38" s="552">
        <f t="shared" si="5"/>
        <v>-715341.08333333337</v>
      </c>
      <c r="AY38" s="381">
        <f t="shared" si="6"/>
        <v>-705333.33333333337</v>
      </c>
      <c r="AZ38" s="496"/>
      <c r="BA38" s="438">
        <f t="shared" si="7"/>
        <v>424110.67720624141</v>
      </c>
      <c r="BB38" s="438">
        <f t="shared" si="8"/>
        <v>-10276.646045011592</v>
      </c>
      <c r="BC38" s="438">
        <f t="shared" si="9"/>
        <v>-41.597979940132063</v>
      </c>
      <c r="BD38" s="438">
        <f t="shared" si="24"/>
        <v>42420.938428826281</v>
      </c>
      <c r="BE38" s="438">
        <f t="shared" si="25"/>
        <v>10449.324806077464</v>
      </c>
      <c r="BF38" s="438">
        <f t="shared" si="26"/>
        <v>-4440.8948720245389</v>
      </c>
      <c r="BG38" s="438">
        <f t="shared" si="27"/>
        <v>20541.03443183819</v>
      </c>
      <c r="BH38" s="438">
        <f t="shared" si="28"/>
        <v>-276189.69241657347</v>
      </c>
      <c r="BI38" s="438">
        <f t="shared" si="29"/>
        <v>-55221.25</v>
      </c>
      <c r="BL38" s="438">
        <f t="shared" si="10"/>
        <v>568013.06179797591</v>
      </c>
      <c r="BM38" s="438">
        <f t="shared" si="11"/>
        <v>-5178.3234762082648</v>
      </c>
      <c r="BN38" s="438">
        <f t="shared" si="12"/>
        <v>2524.7178218532063</v>
      </c>
      <c r="BO38" s="438">
        <f t="shared" si="13"/>
        <v>61088.484254437964</v>
      </c>
      <c r="BP38" s="438">
        <f t="shared" si="14"/>
        <v>27624.88171927497</v>
      </c>
      <c r="BQ38" s="438">
        <f t="shared" si="15"/>
        <v>8590.5274027481209</v>
      </c>
      <c r="BR38" s="438">
        <f t="shared" si="16"/>
        <v>21398.760301421524</v>
      </c>
      <c r="BS38" s="438">
        <f t="shared" si="44"/>
        <v>-276189.69241657347</v>
      </c>
      <c r="BT38" s="438">
        <f t="shared" si="45"/>
        <v>-55221.25</v>
      </c>
      <c r="BW38" s="565">
        <f>Breakout!$E$15/12</f>
        <v>3590112.8132900917</v>
      </c>
      <c r="BX38" s="565">
        <f>Breakout!$E$26/12</f>
        <v>127194.23123164952</v>
      </c>
      <c r="BY38" s="565">
        <f>Breakout!$E$37/12</f>
        <v>64025.090821853206</v>
      </c>
      <c r="BZ38" s="565">
        <f>Breakout!$E$48/12</f>
        <v>465722.61920013808</v>
      </c>
      <c r="CA38" s="565">
        <f>Breakout!$E$59/12</f>
        <v>428500.10529293848</v>
      </c>
      <c r="CB38" s="565">
        <f>Breakout!$E$70/12</f>
        <v>325111.19406941481</v>
      </c>
      <c r="CC38" s="565">
        <f>Breakout!$E$81/12</f>
        <v>21398.760301421524</v>
      </c>
      <c r="CE38" s="634">
        <f t="shared" si="30"/>
        <v>3589802.5298941224</v>
      </c>
      <c r="CF38" s="634">
        <f t="shared" si="31"/>
        <v>127183.23819046479</v>
      </c>
      <c r="CG38" s="634">
        <f t="shared" si="32"/>
        <v>64019.557312562363</v>
      </c>
      <c r="CI38" s="634">
        <f t="shared" si="33"/>
        <v>-715341.08333333337</v>
      </c>
      <c r="CJ38" s="634">
        <f t="shared" si="34"/>
        <v>-705333.33333333337</v>
      </c>
      <c r="CL38" s="438">
        <f>'account mgt'!$E$23/12</f>
        <v>-51239.700000000004</v>
      </c>
      <c r="CN38" s="438">
        <v>0</v>
      </c>
      <c r="CT38" s="438">
        <f t="shared" si="51"/>
        <v>29379789.670392912</v>
      </c>
      <c r="CU38" s="438">
        <f t="shared" si="46"/>
        <v>231855.50681551741</v>
      </c>
      <c r="CV38" s="438">
        <f>IF(CT38&lt;0.1,0,PPMT($L$3,A38-14,unwinds!$B$8*12,$K$5))</f>
        <v>535703.37068708206</v>
      </c>
      <c r="CW38" s="438">
        <f t="shared" si="47"/>
        <v>28844086.299705829</v>
      </c>
      <c r="CX38" s="438">
        <f t="shared" si="48"/>
        <v>28844086.299705829</v>
      </c>
      <c r="DA38" s="438">
        <f t="shared" si="53"/>
        <v>32791270.294773448</v>
      </c>
      <c r="DB38" s="438">
        <f t="shared" si="54"/>
        <v>258777.77474292048</v>
      </c>
      <c r="DC38" s="438">
        <f t="shared" si="55"/>
        <v>236620.29692869587</v>
      </c>
      <c r="DD38" s="438">
        <f t="shared" si="56"/>
        <v>32554649.997844752</v>
      </c>
      <c r="DE38" s="438">
        <f t="shared" si="49"/>
        <v>32554649.997844752</v>
      </c>
      <c r="DH38" s="944">
        <v>-715341.08333333337</v>
      </c>
      <c r="DI38" s="944">
        <v>-705333.33333333337</v>
      </c>
      <c r="DJ38" s="944"/>
      <c r="DL38" s="381">
        <f t="shared" si="52"/>
        <v>474832.92700924521</v>
      </c>
      <c r="DN38" s="944">
        <f t="shared" si="18"/>
        <v>-715341.08333333337</v>
      </c>
      <c r="DO38" s="944">
        <f t="shared" si="19"/>
        <v>474832.92700924521</v>
      </c>
      <c r="DQ38" s="438">
        <f t="shared" si="20"/>
        <v>339530.31329009216</v>
      </c>
      <c r="DR38" s="438">
        <f t="shared" si="21"/>
        <v>-17203.731292412675</v>
      </c>
      <c r="DS38" s="438"/>
      <c r="DT38" s="438"/>
      <c r="DU38" s="438"/>
      <c r="DV38" s="438"/>
      <c r="DW38" s="438"/>
      <c r="DX38" s="438"/>
    </row>
    <row r="39" spans="1:128" x14ac:dyDescent="0.2">
      <c r="A39" s="383">
        <v>28</v>
      </c>
      <c r="B39" s="631">
        <v>37347</v>
      </c>
      <c r="C39" s="381">
        <v>0</v>
      </c>
      <c r="D39" s="381">
        <v>0</v>
      </c>
      <c r="E39" s="381">
        <v>0</v>
      </c>
      <c r="F39" s="381">
        <v>254898.86932258747</v>
      </c>
      <c r="G39" s="381">
        <v>236620.29692869601</v>
      </c>
      <c r="H39" s="381">
        <v>0</v>
      </c>
      <c r="I39" s="381">
        <v>491519.16625128349</v>
      </c>
      <c r="J39" s="381"/>
      <c r="K39" s="381"/>
      <c r="L39" s="381">
        <f t="shared" si="50"/>
        <v>491519.16625128326</v>
      </c>
      <c r="M39" s="381"/>
      <c r="N39" s="679">
        <f t="shared" si="22"/>
        <v>-715341.08333333337</v>
      </c>
      <c r="O39" s="679">
        <f t="shared" si="23"/>
        <v>-705333.33333333337</v>
      </c>
      <c r="P39" s="565">
        <f>Breakout!$E$16/12</f>
        <v>3446210.4286983572</v>
      </c>
      <c r="Q39" s="557">
        <f>'wholesale services'!$D$110*'wholesale services'!$F$111/12</f>
        <v>3250582.4999999995</v>
      </c>
      <c r="R39" s="557">
        <v>3320487.5</v>
      </c>
      <c r="S39" s="565">
        <f>Breakout!$E$27/12</f>
        <v>122095.9086628462</v>
      </c>
      <c r="T39" s="557">
        <f>'wholesale services'!$D$113*'wholesale services'!$F$114/12</f>
        <v>144397.9625240622</v>
      </c>
      <c r="U39" s="557">
        <v>147344.85971843082</v>
      </c>
      <c r="V39" s="565">
        <f>Breakout!$E$38/12</f>
        <v>61458.775020059868</v>
      </c>
      <c r="W39" s="496">
        <f>Breakout!$E$39/12</f>
        <v>61500.373</v>
      </c>
      <c r="X39" s="496">
        <v>62161.667333333338</v>
      </c>
      <c r="Y39" s="565">
        <f>Breakout!$E$49/12</f>
        <v>447055.0733745264</v>
      </c>
      <c r="Z39" s="566">
        <f>Breakout!$E$50/12</f>
        <v>404634.13494570012</v>
      </c>
      <c r="AA39" s="566">
        <v>425040.03843004658</v>
      </c>
      <c r="AB39" s="565">
        <f>Breakout!$E$60/12</f>
        <v>411324.54837974097</v>
      </c>
      <c r="AC39" s="566">
        <f>Breakout!$E$61/12</f>
        <v>400875.2235736635</v>
      </c>
      <c r="AD39" s="566">
        <v>413374.6737519069</v>
      </c>
      <c r="AE39" s="565">
        <f>Breakout!$E$71/12</f>
        <v>312079.77179464215</v>
      </c>
      <c r="AF39" s="566">
        <f>Breakout!$E$72/12</f>
        <v>316520.66666666669</v>
      </c>
      <c r="AG39" s="566">
        <v>316520.66666666669</v>
      </c>
      <c r="AH39" s="565">
        <f>Breakout!$E$82/12</f>
        <v>20541.03443183819</v>
      </c>
      <c r="AI39" s="566">
        <f>Breakout!$E$83/12</f>
        <v>0</v>
      </c>
      <c r="AJ39" s="566">
        <v>0</v>
      </c>
      <c r="AK39" s="571">
        <f>Breakout!$E$91/12</f>
        <v>276189.69241657347</v>
      </c>
      <c r="AL39" s="571">
        <v>276189.69241657347</v>
      </c>
      <c r="AM39" s="567">
        <f>(Breakout!$E$107/12)*-1</f>
        <v>55221.25</v>
      </c>
      <c r="AN39" s="567">
        <v>55221.25</v>
      </c>
      <c r="AO39" s="578">
        <f t="shared" si="1"/>
        <v>4820765.5403620116</v>
      </c>
      <c r="AP39" s="578">
        <f t="shared" si="2"/>
        <v>4942827.1567892563</v>
      </c>
      <c r="AQ39" s="548">
        <f t="shared" si="3"/>
        <v>151351.89355943428</v>
      </c>
      <c r="AR39" s="496"/>
      <c r="AS39" s="553">
        <f t="shared" si="4"/>
        <v>18239.359127104108</v>
      </c>
      <c r="AT39" s="496"/>
      <c r="AU39" s="557">
        <f>'wholesale services'!$F$110/12</f>
        <v>39106610.706018515</v>
      </c>
      <c r="AV39" s="557">
        <f>'wholesale services'!$F$113/12</f>
        <v>17613.255833333333</v>
      </c>
      <c r="AW39" s="496"/>
      <c r="AX39" s="552">
        <f t="shared" si="5"/>
        <v>-715341.08333333337</v>
      </c>
      <c r="AY39" s="381">
        <f t="shared" si="6"/>
        <v>-705333.33333333337</v>
      </c>
      <c r="AZ39" s="496"/>
      <c r="BA39" s="438">
        <f t="shared" si="7"/>
        <v>424110.67720624141</v>
      </c>
      <c r="BB39" s="438">
        <f t="shared" si="8"/>
        <v>-10276.646045011592</v>
      </c>
      <c r="BC39" s="438">
        <f t="shared" si="9"/>
        <v>-41.597979940132063</v>
      </c>
      <c r="BD39" s="438">
        <f t="shared" si="24"/>
        <v>42420.938428826281</v>
      </c>
      <c r="BE39" s="438">
        <f t="shared" si="25"/>
        <v>10449.324806077464</v>
      </c>
      <c r="BF39" s="438">
        <f t="shared" si="26"/>
        <v>-4440.8948720245389</v>
      </c>
      <c r="BG39" s="438">
        <f t="shared" si="27"/>
        <v>20541.03443183819</v>
      </c>
      <c r="BH39" s="438">
        <f t="shared" si="28"/>
        <v>-276189.69241657347</v>
      </c>
      <c r="BI39" s="438">
        <f t="shared" si="29"/>
        <v>-55221.25</v>
      </c>
      <c r="BL39" s="438">
        <f t="shared" si="10"/>
        <v>568013.06179797591</v>
      </c>
      <c r="BM39" s="438">
        <f t="shared" si="11"/>
        <v>-5178.3234762082648</v>
      </c>
      <c r="BN39" s="438">
        <f t="shared" si="12"/>
        <v>2524.7178218532063</v>
      </c>
      <c r="BO39" s="438">
        <f t="shared" si="13"/>
        <v>61088.484254437964</v>
      </c>
      <c r="BP39" s="438">
        <f t="shared" si="14"/>
        <v>27624.88171927497</v>
      </c>
      <c r="BQ39" s="438">
        <f t="shared" si="15"/>
        <v>8590.5274027481209</v>
      </c>
      <c r="BR39" s="438">
        <f t="shared" si="16"/>
        <v>21398.760301421524</v>
      </c>
      <c r="BS39" s="438">
        <f t="shared" si="44"/>
        <v>-276189.69241657347</v>
      </c>
      <c r="BT39" s="438">
        <f t="shared" si="45"/>
        <v>-55221.25</v>
      </c>
      <c r="BW39" s="565">
        <f>Breakout!$E$15/12</f>
        <v>3590112.8132900917</v>
      </c>
      <c r="BX39" s="565">
        <f>Breakout!$E$26/12</f>
        <v>127194.23123164952</v>
      </c>
      <c r="BY39" s="565">
        <f>Breakout!$E$37/12</f>
        <v>64025.090821853206</v>
      </c>
      <c r="BZ39" s="565">
        <f>Breakout!$E$48/12</f>
        <v>465722.61920013808</v>
      </c>
      <c r="CA39" s="565">
        <f>Breakout!$E$59/12</f>
        <v>428500.10529293848</v>
      </c>
      <c r="CB39" s="565">
        <f>Breakout!$E$70/12</f>
        <v>325111.19406941481</v>
      </c>
      <c r="CC39" s="565">
        <f>Breakout!$E$81/12</f>
        <v>21398.760301421524</v>
      </c>
      <c r="CE39" s="634">
        <f t="shared" si="30"/>
        <v>3589802.5298941224</v>
      </c>
      <c r="CF39" s="634">
        <f t="shared" si="31"/>
        <v>127183.23819046479</v>
      </c>
      <c r="CG39" s="634">
        <f t="shared" si="32"/>
        <v>64019.557312562363</v>
      </c>
      <c r="CI39" s="634">
        <f t="shared" si="33"/>
        <v>-715341.08333333337</v>
      </c>
      <c r="CJ39" s="634">
        <f t="shared" si="34"/>
        <v>-705333.33333333337</v>
      </c>
      <c r="CL39" s="438">
        <f>'account mgt'!$E$23/12</f>
        <v>-51239.700000000004</v>
      </c>
      <c r="CN39" s="438">
        <v>0</v>
      </c>
      <c r="CT39" s="438">
        <f t="shared" si="51"/>
        <v>28844086.299705829</v>
      </c>
      <c r="CU39" s="438">
        <f t="shared" si="46"/>
        <v>227627.91438184516</v>
      </c>
      <c r="CV39" s="438">
        <f>IF(CT39&lt;0.1,0,PPMT($L$3,A39-14,unwinds!$B$8*12,$K$5))</f>
        <v>539930.96312075434</v>
      </c>
      <c r="CW39" s="438">
        <f t="shared" si="47"/>
        <v>28304155.336585075</v>
      </c>
      <c r="CX39" s="438">
        <f t="shared" si="48"/>
        <v>28304155.336585075</v>
      </c>
      <c r="DA39" s="438">
        <f t="shared" si="53"/>
        <v>32554649.997844752</v>
      </c>
      <c r="DB39" s="438">
        <f t="shared" si="54"/>
        <v>256910.4462329915</v>
      </c>
      <c r="DC39" s="438">
        <f t="shared" si="55"/>
        <v>238487.62543862482</v>
      </c>
      <c r="DD39" s="438">
        <f t="shared" si="56"/>
        <v>32316162.372406129</v>
      </c>
      <c r="DE39" s="438">
        <f t="shared" si="49"/>
        <v>32316162.372406129</v>
      </c>
      <c r="DH39" s="944">
        <v>-715341.08333333337</v>
      </c>
      <c r="DI39" s="944">
        <v>-705333.33333333337</v>
      </c>
      <c r="DJ39" s="944"/>
      <c r="DL39" s="381">
        <f t="shared" si="52"/>
        <v>474832.92700924521</v>
      </c>
      <c r="DN39" s="944">
        <f t="shared" si="18"/>
        <v>-715341.08333333337</v>
      </c>
      <c r="DO39" s="944">
        <f t="shared" si="19"/>
        <v>474832.92700924521</v>
      </c>
      <c r="DQ39" s="438">
        <f t="shared" si="20"/>
        <v>339530.31329009216</v>
      </c>
      <c r="DR39" s="438">
        <f t="shared" si="21"/>
        <v>-17203.731292412675</v>
      </c>
      <c r="DS39" s="438"/>
      <c r="DT39" s="438"/>
      <c r="DU39" s="438"/>
      <c r="DV39" s="438"/>
      <c r="DW39" s="438"/>
      <c r="DX39" s="438"/>
    </row>
    <row r="40" spans="1:128" x14ac:dyDescent="0.2">
      <c r="A40" s="383">
        <v>29</v>
      </c>
      <c r="B40" s="631">
        <v>37377</v>
      </c>
      <c r="C40" s="381">
        <v>0</v>
      </c>
      <c r="D40" s="381">
        <v>0</v>
      </c>
      <c r="E40" s="381">
        <v>0</v>
      </c>
      <c r="F40" s="381">
        <v>253031.54081265855</v>
      </c>
      <c r="G40" s="381">
        <v>238487.62543862493</v>
      </c>
      <c r="H40" s="381">
        <v>0</v>
      </c>
      <c r="I40" s="381">
        <v>491519.16625128349</v>
      </c>
      <c r="J40" s="381"/>
      <c r="K40" s="381"/>
      <c r="L40" s="381">
        <f t="shared" si="50"/>
        <v>491519.16625128326</v>
      </c>
      <c r="M40" s="381"/>
      <c r="N40" s="679">
        <f t="shared" si="22"/>
        <v>-715341.08333333337</v>
      </c>
      <c r="O40" s="679">
        <f t="shared" si="23"/>
        <v>-705333.33333333337</v>
      </c>
      <c r="P40" s="565">
        <f>Breakout!$E$16/12</f>
        <v>3446210.4286983572</v>
      </c>
      <c r="Q40" s="557">
        <f>'wholesale services'!$D$110*'wholesale services'!$F$111/12</f>
        <v>3250582.4999999995</v>
      </c>
      <c r="R40" s="557">
        <v>3320487.5</v>
      </c>
      <c r="S40" s="565">
        <f>Breakout!$E$27/12</f>
        <v>122095.9086628462</v>
      </c>
      <c r="T40" s="557">
        <f>'wholesale services'!$D$113*'wholesale services'!$F$114/12</f>
        <v>144397.9625240622</v>
      </c>
      <c r="U40" s="557">
        <v>147344.85971843082</v>
      </c>
      <c r="V40" s="565">
        <f>Breakout!$E$38/12</f>
        <v>61458.775020059868</v>
      </c>
      <c r="W40" s="496">
        <f>Breakout!$E$39/12</f>
        <v>61500.373</v>
      </c>
      <c r="X40" s="496">
        <v>62161.667333333338</v>
      </c>
      <c r="Y40" s="565">
        <f>Breakout!$E$49/12</f>
        <v>447055.0733745264</v>
      </c>
      <c r="Z40" s="566">
        <f>Breakout!$E$50/12</f>
        <v>404634.13494570012</v>
      </c>
      <c r="AA40" s="566">
        <v>425040.03843004658</v>
      </c>
      <c r="AB40" s="565">
        <f>Breakout!$E$60/12</f>
        <v>411324.54837974097</v>
      </c>
      <c r="AC40" s="566">
        <f>Breakout!$E$61/12</f>
        <v>400875.2235736635</v>
      </c>
      <c r="AD40" s="566">
        <v>413374.6737519069</v>
      </c>
      <c r="AE40" s="565">
        <f>Breakout!$E$71/12</f>
        <v>312079.77179464215</v>
      </c>
      <c r="AF40" s="566">
        <f>Breakout!$E$72/12</f>
        <v>316520.66666666669</v>
      </c>
      <c r="AG40" s="566">
        <v>316520.66666666669</v>
      </c>
      <c r="AH40" s="565">
        <f>Breakout!$E$82/12</f>
        <v>20541.03443183819</v>
      </c>
      <c r="AI40" s="566">
        <f>Breakout!$E$83/12</f>
        <v>0</v>
      </c>
      <c r="AJ40" s="566">
        <v>0</v>
      </c>
      <c r="AK40" s="571">
        <f>Breakout!$E$91/12</f>
        <v>276189.69241657347</v>
      </c>
      <c r="AL40" s="571">
        <v>276189.69241657347</v>
      </c>
      <c r="AM40" s="567">
        <f>(Breakout!$E$107/12)*-1</f>
        <v>55221.25</v>
      </c>
      <c r="AN40" s="567">
        <v>55221.25</v>
      </c>
      <c r="AO40" s="578">
        <f t="shared" si="1"/>
        <v>4820765.5403620116</v>
      </c>
      <c r="AP40" s="578">
        <f t="shared" si="2"/>
        <v>4942827.1567892563</v>
      </c>
      <c r="AQ40" s="548">
        <f t="shared" si="3"/>
        <v>151351.89355943428</v>
      </c>
      <c r="AR40" s="496"/>
      <c r="AS40" s="553">
        <f t="shared" si="4"/>
        <v>18239.359127104108</v>
      </c>
      <c r="AT40" s="496"/>
      <c r="AU40" s="557">
        <f>'wholesale services'!$F$110/12</f>
        <v>39106610.706018515</v>
      </c>
      <c r="AV40" s="557">
        <f>'wholesale services'!$F$113/12</f>
        <v>17613.255833333333</v>
      </c>
      <c r="AW40" s="496"/>
      <c r="AX40" s="552">
        <f t="shared" si="5"/>
        <v>-715341.08333333337</v>
      </c>
      <c r="AY40" s="381">
        <f t="shared" si="6"/>
        <v>-705333.33333333337</v>
      </c>
      <c r="AZ40" s="496"/>
      <c r="BA40" s="438">
        <f t="shared" si="7"/>
        <v>424110.67720624141</v>
      </c>
      <c r="BB40" s="438">
        <f t="shared" si="8"/>
        <v>-10276.646045011592</v>
      </c>
      <c r="BC40" s="438">
        <f t="shared" si="9"/>
        <v>-41.597979940132063</v>
      </c>
      <c r="BD40" s="438">
        <f t="shared" si="24"/>
        <v>42420.938428826281</v>
      </c>
      <c r="BE40" s="438">
        <f t="shared" si="25"/>
        <v>10449.324806077464</v>
      </c>
      <c r="BF40" s="438">
        <f t="shared" si="26"/>
        <v>-4440.8948720245389</v>
      </c>
      <c r="BG40" s="438">
        <f t="shared" si="27"/>
        <v>20541.03443183819</v>
      </c>
      <c r="BH40" s="438">
        <f t="shared" si="28"/>
        <v>-276189.69241657347</v>
      </c>
      <c r="BI40" s="438">
        <f t="shared" si="29"/>
        <v>-55221.25</v>
      </c>
      <c r="BL40" s="438">
        <f t="shared" si="10"/>
        <v>568013.06179797591</v>
      </c>
      <c r="BM40" s="438">
        <f t="shared" si="11"/>
        <v>-5178.3234762082648</v>
      </c>
      <c r="BN40" s="438">
        <f t="shared" si="12"/>
        <v>2524.7178218532063</v>
      </c>
      <c r="BO40" s="438">
        <f t="shared" si="13"/>
        <v>61088.484254437964</v>
      </c>
      <c r="BP40" s="438">
        <f t="shared" si="14"/>
        <v>27624.88171927497</v>
      </c>
      <c r="BQ40" s="438">
        <f t="shared" si="15"/>
        <v>8590.5274027481209</v>
      </c>
      <c r="BR40" s="438">
        <f t="shared" si="16"/>
        <v>21398.760301421524</v>
      </c>
      <c r="BS40" s="438">
        <f t="shared" si="44"/>
        <v>-276189.69241657347</v>
      </c>
      <c r="BT40" s="438">
        <f t="shared" si="45"/>
        <v>-55221.25</v>
      </c>
      <c r="BW40" s="565">
        <f>Breakout!$E$15/12</f>
        <v>3590112.8132900917</v>
      </c>
      <c r="BX40" s="565">
        <f>Breakout!$E$26/12</f>
        <v>127194.23123164952</v>
      </c>
      <c r="BY40" s="565">
        <f>Breakout!$E$37/12</f>
        <v>64025.090821853206</v>
      </c>
      <c r="BZ40" s="565">
        <f>Breakout!$E$48/12</f>
        <v>465722.61920013808</v>
      </c>
      <c r="CA40" s="565">
        <f>Breakout!$E$59/12</f>
        <v>428500.10529293848</v>
      </c>
      <c r="CB40" s="565">
        <f>Breakout!$E$70/12</f>
        <v>325111.19406941481</v>
      </c>
      <c r="CC40" s="565">
        <f>Breakout!$E$81/12</f>
        <v>21398.760301421524</v>
      </c>
      <c r="CE40" s="634">
        <f t="shared" si="30"/>
        <v>3589802.5298941224</v>
      </c>
      <c r="CF40" s="634">
        <f t="shared" si="31"/>
        <v>127183.23819046479</v>
      </c>
      <c r="CG40" s="634">
        <f t="shared" si="32"/>
        <v>64019.557312562363</v>
      </c>
      <c r="CI40" s="634">
        <f t="shared" si="33"/>
        <v>-715341.08333333337</v>
      </c>
      <c r="CJ40" s="634">
        <f t="shared" si="34"/>
        <v>-705333.33333333337</v>
      </c>
      <c r="CL40" s="438">
        <f>'account mgt'!$E$23/12</f>
        <v>-51239.700000000004</v>
      </c>
      <c r="CN40" s="438">
        <v>0</v>
      </c>
      <c r="CT40" s="438">
        <f t="shared" si="51"/>
        <v>28304155.336585075</v>
      </c>
      <c r="CU40" s="438">
        <f t="shared" si="46"/>
        <v>223366.95919788387</v>
      </c>
      <c r="CV40" s="438">
        <f>IF(CT40&lt;0.1,0,PPMT($L$3,A40-14,unwinds!$B$8*12,$K$5))</f>
        <v>544191.91830471554</v>
      </c>
      <c r="CW40" s="438">
        <f t="shared" si="47"/>
        <v>27759963.418280359</v>
      </c>
      <c r="CX40" s="438">
        <f t="shared" si="48"/>
        <v>27759963.418280359</v>
      </c>
      <c r="DA40" s="438">
        <f t="shared" si="53"/>
        <v>32316162.372406129</v>
      </c>
      <c r="DB40" s="438">
        <f t="shared" si="54"/>
        <v>255028.38138890502</v>
      </c>
      <c r="DC40" s="438">
        <f t="shared" si="55"/>
        <v>240369.69028271126</v>
      </c>
      <c r="DD40" s="438">
        <f t="shared" si="56"/>
        <v>32075792.682123419</v>
      </c>
      <c r="DE40" s="438">
        <f t="shared" si="49"/>
        <v>32075792.682123419</v>
      </c>
      <c r="DH40" s="944">
        <v>-715341.08333333337</v>
      </c>
      <c r="DI40" s="944">
        <v>-705333.33333333337</v>
      </c>
      <c r="DJ40" s="944"/>
      <c r="DL40" s="381">
        <f t="shared" si="52"/>
        <v>474832.92700924521</v>
      </c>
      <c r="DN40" s="944">
        <f t="shared" si="18"/>
        <v>-715341.08333333337</v>
      </c>
      <c r="DO40" s="944">
        <f t="shared" si="19"/>
        <v>474832.92700924521</v>
      </c>
      <c r="DQ40" s="438">
        <f t="shared" si="20"/>
        <v>339530.31329009216</v>
      </c>
      <c r="DR40" s="438">
        <f t="shared" si="21"/>
        <v>-17203.731292412675</v>
      </c>
      <c r="DS40" s="438"/>
      <c r="DT40" s="438"/>
      <c r="DU40" s="438"/>
      <c r="DV40" s="438"/>
      <c r="DW40" s="438"/>
      <c r="DX40" s="438"/>
    </row>
    <row r="41" spans="1:128" x14ac:dyDescent="0.2">
      <c r="A41" s="383">
        <v>30</v>
      </c>
      <c r="B41" s="631">
        <v>37408</v>
      </c>
      <c r="C41" s="381">
        <v>0</v>
      </c>
      <c r="D41" s="381">
        <v>0</v>
      </c>
      <c r="E41" s="381">
        <v>0</v>
      </c>
      <c r="F41" s="381">
        <v>251149.47596857208</v>
      </c>
      <c r="G41" s="381">
        <v>240369.69028271141</v>
      </c>
      <c r="H41" s="381">
        <v>0</v>
      </c>
      <c r="I41" s="381">
        <v>491519.16625128349</v>
      </c>
      <c r="J41" s="381"/>
      <c r="K41" s="381"/>
      <c r="L41" s="381">
        <f t="shared" si="50"/>
        <v>491519.16625128326</v>
      </c>
      <c r="M41" s="381"/>
      <c r="N41" s="679">
        <f t="shared" si="22"/>
        <v>-715341.08333333337</v>
      </c>
      <c r="O41" s="679">
        <f t="shared" si="23"/>
        <v>-705333.33333333337</v>
      </c>
      <c r="P41" s="565">
        <f>Breakout!$E$16/12</f>
        <v>3446210.4286983572</v>
      </c>
      <c r="Q41" s="557">
        <f>'wholesale services'!$D$110*'wholesale services'!$F$111/12</f>
        <v>3250582.4999999995</v>
      </c>
      <c r="R41" s="557">
        <v>3320487.5</v>
      </c>
      <c r="S41" s="565">
        <f>Breakout!$E$27/12</f>
        <v>122095.9086628462</v>
      </c>
      <c r="T41" s="557">
        <f>'wholesale services'!$D$113*'wholesale services'!$F$114/12</f>
        <v>144397.9625240622</v>
      </c>
      <c r="U41" s="557">
        <v>147344.85971843082</v>
      </c>
      <c r="V41" s="565">
        <f>Breakout!$E$38/12</f>
        <v>61458.775020059868</v>
      </c>
      <c r="W41" s="496">
        <f>Breakout!$E$39/12</f>
        <v>61500.373</v>
      </c>
      <c r="X41" s="496">
        <v>62161.667333333338</v>
      </c>
      <c r="Y41" s="565">
        <f>Breakout!$E$49/12</f>
        <v>447055.0733745264</v>
      </c>
      <c r="Z41" s="566">
        <f>Breakout!$E$50/12</f>
        <v>404634.13494570012</v>
      </c>
      <c r="AA41" s="566">
        <v>425040.03843004658</v>
      </c>
      <c r="AB41" s="565">
        <f>Breakout!$E$60/12</f>
        <v>411324.54837974097</v>
      </c>
      <c r="AC41" s="566">
        <f>Breakout!$E$61/12</f>
        <v>400875.2235736635</v>
      </c>
      <c r="AD41" s="566">
        <v>413374.6737519069</v>
      </c>
      <c r="AE41" s="565">
        <f>Breakout!$E$71/12</f>
        <v>312079.77179464215</v>
      </c>
      <c r="AF41" s="566">
        <f>Breakout!$E$72/12</f>
        <v>316520.66666666669</v>
      </c>
      <c r="AG41" s="566">
        <v>316520.66666666669</v>
      </c>
      <c r="AH41" s="565">
        <f>Breakout!$E$82/12</f>
        <v>20541.03443183819</v>
      </c>
      <c r="AI41" s="566">
        <f>Breakout!$E$83/12</f>
        <v>0</v>
      </c>
      <c r="AJ41" s="566">
        <v>0</v>
      </c>
      <c r="AK41" s="571">
        <f>Breakout!$E$91/12</f>
        <v>276189.69241657347</v>
      </c>
      <c r="AL41" s="571">
        <v>276189.69241657347</v>
      </c>
      <c r="AM41" s="567">
        <f>(Breakout!$E$107/12)*-1</f>
        <v>55221.25</v>
      </c>
      <c r="AN41" s="567">
        <v>55221.25</v>
      </c>
      <c r="AO41" s="578">
        <f t="shared" si="1"/>
        <v>4820765.5403620116</v>
      </c>
      <c r="AP41" s="578">
        <f t="shared" si="2"/>
        <v>4942827.1567892563</v>
      </c>
      <c r="AQ41" s="548">
        <f t="shared" si="3"/>
        <v>151351.89355943428</v>
      </c>
      <c r="AR41" s="496"/>
      <c r="AS41" s="553">
        <f t="shared" si="4"/>
        <v>18239.359127104108</v>
      </c>
      <c r="AT41" s="496"/>
      <c r="AU41" s="557">
        <f>'wholesale services'!$F$110/12</f>
        <v>39106610.706018515</v>
      </c>
      <c r="AV41" s="557">
        <f>'wholesale services'!$F$113/12</f>
        <v>17613.255833333333</v>
      </c>
      <c r="AW41" s="496"/>
      <c r="AX41" s="552">
        <f t="shared" si="5"/>
        <v>-715341.08333333337</v>
      </c>
      <c r="AY41" s="381">
        <f t="shared" si="6"/>
        <v>-705333.33333333337</v>
      </c>
      <c r="AZ41" s="496"/>
      <c r="BA41" s="438">
        <f t="shared" si="7"/>
        <v>424110.67720624141</v>
      </c>
      <c r="BB41" s="438">
        <f t="shared" si="8"/>
        <v>-10276.646045011592</v>
      </c>
      <c r="BC41" s="438">
        <f t="shared" si="9"/>
        <v>-41.597979940132063</v>
      </c>
      <c r="BD41" s="438">
        <f t="shared" si="24"/>
        <v>42420.938428826281</v>
      </c>
      <c r="BE41" s="438">
        <f t="shared" si="25"/>
        <v>10449.324806077464</v>
      </c>
      <c r="BF41" s="438">
        <f t="shared" si="26"/>
        <v>-4440.8948720245389</v>
      </c>
      <c r="BG41" s="438">
        <f t="shared" si="27"/>
        <v>20541.03443183819</v>
      </c>
      <c r="BH41" s="438">
        <f t="shared" si="28"/>
        <v>-276189.69241657347</v>
      </c>
      <c r="BI41" s="438">
        <f t="shared" si="29"/>
        <v>-55221.25</v>
      </c>
      <c r="BL41" s="438">
        <f t="shared" si="10"/>
        <v>568013.06179797591</v>
      </c>
      <c r="BM41" s="438">
        <f t="shared" si="11"/>
        <v>-5178.3234762082648</v>
      </c>
      <c r="BN41" s="438">
        <f t="shared" si="12"/>
        <v>2524.7178218532063</v>
      </c>
      <c r="BO41" s="438">
        <f t="shared" si="13"/>
        <v>61088.484254437964</v>
      </c>
      <c r="BP41" s="438">
        <f t="shared" si="14"/>
        <v>27624.88171927497</v>
      </c>
      <c r="BQ41" s="438">
        <f t="shared" si="15"/>
        <v>8590.5274027481209</v>
      </c>
      <c r="BR41" s="438">
        <f t="shared" si="16"/>
        <v>21398.760301421524</v>
      </c>
      <c r="BS41" s="438">
        <f t="shared" si="44"/>
        <v>-276189.69241657347</v>
      </c>
      <c r="BT41" s="438">
        <f t="shared" si="45"/>
        <v>-55221.25</v>
      </c>
      <c r="BW41" s="565">
        <f>Breakout!$E$15/12</f>
        <v>3590112.8132900917</v>
      </c>
      <c r="BX41" s="565">
        <f>Breakout!$E$26/12</f>
        <v>127194.23123164952</v>
      </c>
      <c r="BY41" s="565">
        <f>Breakout!$E$37/12</f>
        <v>64025.090821853206</v>
      </c>
      <c r="BZ41" s="565">
        <f>Breakout!$E$48/12</f>
        <v>465722.61920013808</v>
      </c>
      <c r="CA41" s="565">
        <f>Breakout!$E$59/12</f>
        <v>428500.10529293848</v>
      </c>
      <c r="CB41" s="565">
        <f>Breakout!$E$70/12</f>
        <v>325111.19406941481</v>
      </c>
      <c r="CC41" s="565">
        <f>Breakout!$E$81/12</f>
        <v>21398.760301421524</v>
      </c>
      <c r="CE41" s="634">
        <f t="shared" si="30"/>
        <v>3589802.5298941224</v>
      </c>
      <c r="CF41" s="634">
        <f t="shared" si="31"/>
        <v>127183.23819046479</v>
      </c>
      <c r="CG41" s="634">
        <f t="shared" si="32"/>
        <v>64019.557312562363</v>
      </c>
      <c r="CI41" s="634">
        <f t="shared" si="33"/>
        <v>-715341.08333333337</v>
      </c>
      <c r="CJ41" s="634">
        <f t="shared" si="34"/>
        <v>-705333.33333333337</v>
      </c>
      <c r="CL41" s="438">
        <f>'account mgt'!$E$23/12</f>
        <v>-51239.700000000004</v>
      </c>
      <c r="CN41" s="438">
        <v>0</v>
      </c>
      <c r="CT41" s="438">
        <f t="shared" si="51"/>
        <v>27759963.418280359</v>
      </c>
      <c r="CU41" s="438">
        <f t="shared" si="46"/>
        <v>219072.37797592918</v>
      </c>
      <c r="CV41" s="438">
        <f>IF(CT41&lt;0.1,0,PPMT($L$3,A41-14,unwinds!$B$8*12,$K$5))</f>
        <v>548486.49952667032</v>
      </c>
      <c r="CW41" s="438">
        <f t="shared" si="47"/>
        <v>27211476.918753687</v>
      </c>
      <c r="CX41" s="438">
        <f t="shared" si="48"/>
        <v>27211476.918753687</v>
      </c>
      <c r="DA41" s="438">
        <f t="shared" si="53"/>
        <v>32075792.682123419</v>
      </c>
      <c r="DB41" s="438">
        <f t="shared" si="54"/>
        <v>253131.46391642399</v>
      </c>
      <c r="DC41" s="438">
        <f t="shared" si="55"/>
        <v>242266.60775519232</v>
      </c>
      <c r="DD41" s="438">
        <f t="shared" si="56"/>
        <v>31833526.074368227</v>
      </c>
      <c r="DE41" s="438">
        <f t="shared" si="49"/>
        <v>31833526.074368227</v>
      </c>
      <c r="DH41" s="944">
        <v>-715341.08333333337</v>
      </c>
      <c r="DI41" s="944">
        <v>-705333.33333333337</v>
      </c>
      <c r="DJ41" s="944"/>
      <c r="DL41" s="381">
        <f t="shared" si="52"/>
        <v>474832.92700924521</v>
      </c>
      <c r="DN41" s="944">
        <f t="shared" si="18"/>
        <v>-715341.08333333337</v>
      </c>
      <c r="DO41" s="944">
        <f t="shared" si="19"/>
        <v>474832.92700924521</v>
      </c>
      <c r="DQ41" s="438">
        <f t="shared" si="20"/>
        <v>339530.31329009216</v>
      </c>
      <c r="DR41" s="438">
        <f t="shared" si="21"/>
        <v>-17203.731292412675</v>
      </c>
      <c r="DS41" s="438"/>
      <c r="DT41" s="438"/>
      <c r="DU41" s="438"/>
      <c r="DV41" s="438"/>
      <c r="DW41" s="438"/>
      <c r="DX41" s="438"/>
    </row>
    <row r="42" spans="1:128" x14ac:dyDescent="0.2">
      <c r="A42" s="383">
        <v>31</v>
      </c>
      <c r="B42" s="631">
        <v>37438</v>
      </c>
      <c r="C42" s="381">
        <v>0</v>
      </c>
      <c r="D42" s="381">
        <v>0</v>
      </c>
      <c r="E42" s="381">
        <v>0</v>
      </c>
      <c r="F42" s="381">
        <v>249252.55849609099</v>
      </c>
      <c r="G42" s="381">
        <v>242266.6077551925</v>
      </c>
      <c r="H42" s="381">
        <v>0</v>
      </c>
      <c r="I42" s="381">
        <v>491519.16625128349</v>
      </c>
      <c r="J42" s="381"/>
      <c r="K42" s="381"/>
      <c r="L42" s="381">
        <f t="shared" si="50"/>
        <v>491519.16625128326</v>
      </c>
      <c r="M42" s="381"/>
      <c r="N42" s="679">
        <f t="shared" si="22"/>
        <v>-715341.08333333337</v>
      </c>
      <c r="O42" s="679">
        <f t="shared" si="23"/>
        <v>-705333.33333333337</v>
      </c>
      <c r="P42" s="565">
        <f>Breakout!$E$16/12</f>
        <v>3446210.4286983572</v>
      </c>
      <c r="Q42" s="557">
        <f>'wholesale services'!$D$110*'wholesale services'!$F$111/12</f>
        <v>3250582.4999999995</v>
      </c>
      <c r="R42" s="557">
        <v>3320487.5</v>
      </c>
      <c r="S42" s="565">
        <f>Breakout!$E$27/12</f>
        <v>122095.9086628462</v>
      </c>
      <c r="T42" s="557">
        <f>'wholesale services'!$D$113*'wholesale services'!$F$114/12</f>
        <v>144397.9625240622</v>
      </c>
      <c r="U42" s="557">
        <v>147344.85971843082</v>
      </c>
      <c r="V42" s="565">
        <f>Breakout!$E$38/12</f>
        <v>61458.775020059868</v>
      </c>
      <c r="W42" s="496">
        <f>Breakout!$E$39/12</f>
        <v>61500.373</v>
      </c>
      <c r="X42" s="496">
        <v>62161.667333333338</v>
      </c>
      <c r="Y42" s="565">
        <f>Breakout!$E$49/12</f>
        <v>447055.0733745264</v>
      </c>
      <c r="Z42" s="566">
        <f>Breakout!$E$50/12</f>
        <v>404634.13494570012</v>
      </c>
      <c r="AA42" s="566">
        <v>425040.03843004658</v>
      </c>
      <c r="AB42" s="565">
        <f>Breakout!$E$60/12</f>
        <v>411324.54837974097</v>
      </c>
      <c r="AC42" s="566">
        <f>Breakout!$E$61/12</f>
        <v>400875.2235736635</v>
      </c>
      <c r="AD42" s="566">
        <v>413374.6737519069</v>
      </c>
      <c r="AE42" s="565">
        <f>Breakout!$E$71/12</f>
        <v>312079.77179464215</v>
      </c>
      <c r="AF42" s="566">
        <f>Breakout!$E$72/12</f>
        <v>316520.66666666669</v>
      </c>
      <c r="AG42" s="566">
        <v>316520.66666666669</v>
      </c>
      <c r="AH42" s="565">
        <f>Breakout!$E$82/12</f>
        <v>20541.03443183819</v>
      </c>
      <c r="AI42" s="566">
        <f>Breakout!$E$83/12</f>
        <v>0</v>
      </c>
      <c r="AJ42" s="566">
        <v>0</v>
      </c>
      <c r="AK42" s="571">
        <f>Breakout!$E$91/12</f>
        <v>276189.69241657347</v>
      </c>
      <c r="AL42" s="571">
        <v>276189.69241657347</v>
      </c>
      <c r="AM42" s="567">
        <f>(Breakout!$E$107/12)*-1</f>
        <v>55221.25</v>
      </c>
      <c r="AN42" s="567">
        <v>55221.25</v>
      </c>
      <c r="AO42" s="578">
        <f t="shared" si="1"/>
        <v>4820765.5403620116</v>
      </c>
      <c r="AP42" s="578">
        <f t="shared" si="2"/>
        <v>4942827.1567892563</v>
      </c>
      <c r="AQ42" s="548">
        <f t="shared" si="3"/>
        <v>151351.89355943428</v>
      </c>
      <c r="AR42" s="496"/>
      <c r="AS42" s="553">
        <f t="shared" si="4"/>
        <v>18239.359127104108</v>
      </c>
      <c r="AT42" s="496"/>
      <c r="AU42" s="557">
        <f>'wholesale services'!$F$110/12</f>
        <v>39106610.706018515</v>
      </c>
      <c r="AV42" s="557">
        <f>'wholesale services'!$F$113/12</f>
        <v>17613.255833333333</v>
      </c>
      <c r="AW42" s="496"/>
      <c r="AX42" s="552">
        <f t="shared" si="5"/>
        <v>-715341.08333333337</v>
      </c>
      <c r="AY42" s="381">
        <f t="shared" si="6"/>
        <v>-705333.33333333337</v>
      </c>
      <c r="AZ42" s="496"/>
      <c r="BA42" s="438">
        <f t="shared" si="7"/>
        <v>424110.67720624141</v>
      </c>
      <c r="BB42" s="438">
        <f t="shared" si="8"/>
        <v>-10276.646045011592</v>
      </c>
      <c r="BC42" s="438">
        <f t="shared" si="9"/>
        <v>-41.597979940132063</v>
      </c>
      <c r="BD42" s="438">
        <f t="shared" si="24"/>
        <v>42420.938428826281</v>
      </c>
      <c r="BE42" s="438">
        <f t="shared" si="25"/>
        <v>10449.324806077464</v>
      </c>
      <c r="BF42" s="438">
        <f t="shared" si="26"/>
        <v>-4440.8948720245389</v>
      </c>
      <c r="BG42" s="438">
        <f t="shared" si="27"/>
        <v>20541.03443183819</v>
      </c>
      <c r="BH42" s="438">
        <f t="shared" si="28"/>
        <v>-276189.69241657347</v>
      </c>
      <c r="BI42" s="438">
        <f t="shared" si="29"/>
        <v>-55221.25</v>
      </c>
      <c r="BL42" s="438">
        <f t="shared" si="10"/>
        <v>568013.06179797591</v>
      </c>
      <c r="BM42" s="438">
        <f t="shared" si="11"/>
        <v>-5178.3234762082648</v>
      </c>
      <c r="BN42" s="438">
        <f t="shared" si="12"/>
        <v>2524.7178218532063</v>
      </c>
      <c r="BO42" s="438">
        <f t="shared" si="13"/>
        <v>61088.484254437964</v>
      </c>
      <c r="BP42" s="438">
        <f t="shared" si="14"/>
        <v>27624.88171927497</v>
      </c>
      <c r="BQ42" s="438">
        <f t="shared" si="15"/>
        <v>8590.5274027481209</v>
      </c>
      <c r="BR42" s="438">
        <f t="shared" si="16"/>
        <v>21398.760301421524</v>
      </c>
      <c r="BS42" s="438">
        <f t="shared" si="44"/>
        <v>-276189.69241657347</v>
      </c>
      <c r="BT42" s="438">
        <f t="shared" si="45"/>
        <v>-55221.25</v>
      </c>
      <c r="BW42" s="565">
        <f>Breakout!$E$15/12</f>
        <v>3590112.8132900917</v>
      </c>
      <c r="BX42" s="565">
        <f>Breakout!$E$26/12</f>
        <v>127194.23123164952</v>
      </c>
      <c r="BY42" s="565">
        <f>Breakout!$E$37/12</f>
        <v>64025.090821853206</v>
      </c>
      <c r="BZ42" s="565">
        <f>Breakout!$E$48/12</f>
        <v>465722.61920013808</v>
      </c>
      <c r="CA42" s="565">
        <f>Breakout!$E$59/12</f>
        <v>428500.10529293848</v>
      </c>
      <c r="CB42" s="565">
        <f>Breakout!$E$70/12</f>
        <v>325111.19406941481</v>
      </c>
      <c r="CC42" s="565">
        <f>Breakout!$E$81/12</f>
        <v>21398.760301421524</v>
      </c>
      <c r="CE42" s="634">
        <f t="shared" si="30"/>
        <v>3589802.5298941224</v>
      </c>
      <c r="CF42" s="634">
        <f t="shared" si="31"/>
        <v>127183.23819046479</v>
      </c>
      <c r="CG42" s="634">
        <f t="shared" si="32"/>
        <v>64019.557312562363</v>
      </c>
      <c r="CI42" s="634">
        <f t="shared" si="33"/>
        <v>-715341.08333333337</v>
      </c>
      <c r="CJ42" s="634">
        <f t="shared" si="34"/>
        <v>-705333.33333333337</v>
      </c>
      <c r="CL42" s="438">
        <f>'account mgt'!$E$23/12</f>
        <v>-51239.700000000004</v>
      </c>
      <c r="CN42" s="438">
        <v>0</v>
      </c>
      <c r="CT42" s="438">
        <f t="shared" si="51"/>
        <v>27211476.918753687</v>
      </c>
      <c r="CU42" s="438">
        <f t="shared" si="46"/>
        <v>214743.90535049784</v>
      </c>
      <c r="CV42" s="438">
        <f>IF(CT42&lt;0.1,0,PPMT($L$3,A42-14,unwinds!$B$8*12,$K$5))</f>
        <v>552814.97215210146</v>
      </c>
      <c r="CW42" s="438">
        <f t="shared" si="47"/>
        <v>26658661.946601585</v>
      </c>
      <c r="CX42" s="438">
        <f t="shared" si="48"/>
        <v>26658661.946601585</v>
      </c>
      <c r="DA42" s="438">
        <f t="shared" si="53"/>
        <v>31833526.074368227</v>
      </c>
      <c r="DB42" s="438">
        <f t="shared" si="54"/>
        <v>251219.57660355594</v>
      </c>
      <c r="DC42" s="438">
        <f t="shared" si="55"/>
        <v>244178.49506806032</v>
      </c>
      <c r="DD42" s="438">
        <f t="shared" si="56"/>
        <v>31589347.579300165</v>
      </c>
      <c r="DE42" s="438">
        <f t="shared" si="49"/>
        <v>31589347.579300165</v>
      </c>
      <c r="DH42" s="944">
        <v>-715341.08333333337</v>
      </c>
      <c r="DI42" s="944">
        <v>-705333.33333333337</v>
      </c>
      <c r="DJ42" s="944"/>
      <c r="DL42" s="381">
        <f t="shared" si="52"/>
        <v>474832.92700924521</v>
      </c>
      <c r="DN42" s="944">
        <f t="shared" si="18"/>
        <v>-715341.08333333337</v>
      </c>
      <c r="DO42" s="944">
        <f t="shared" si="19"/>
        <v>474832.92700924521</v>
      </c>
      <c r="DQ42" s="438">
        <f t="shared" si="20"/>
        <v>339530.31329009216</v>
      </c>
      <c r="DR42" s="438">
        <f t="shared" si="21"/>
        <v>-17203.731292412675</v>
      </c>
      <c r="DS42" s="438"/>
      <c r="DT42" s="438"/>
      <c r="DU42" s="438"/>
      <c r="DV42" s="438"/>
      <c r="DW42" s="438"/>
      <c r="DX42" s="438"/>
    </row>
    <row r="43" spans="1:128" x14ac:dyDescent="0.2">
      <c r="A43" s="383">
        <v>32</v>
      </c>
      <c r="B43" s="631">
        <v>37469</v>
      </c>
      <c r="C43" s="381">
        <v>0</v>
      </c>
      <c r="D43" s="381">
        <v>0</v>
      </c>
      <c r="E43" s="381">
        <v>0</v>
      </c>
      <c r="F43" s="381">
        <v>247340.67118322296</v>
      </c>
      <c r="G43" s="381">
        <v>244178.49506806053</v>
      </c>
      <c r="H43" s="381">
        <v>0</v>
      </c>
      <c r="I43" s="381">
        <v>491519.16625128349</v>
      </c>
      <c r="J43" s="381"/>
      <c r="K43" s="381"/>
      <c r="L43" s="381">
        <f t="shared" si="50"/>
        <v>491519.16625128326</v>
      </c>
      <c r="M43" s="381"/>
      <c r="N43" s="679">
        <f t="shared" si="22"/>
        <v>-715341.08333333337</v>
      </c>
      <c r="O43" s="679">
        <f t="shared" si="23"/>
        <v>-705333.33333333337</v>
      </c>
      <c r="P43" s="565">
        <f>Breakout!$E$16/12</f>
        <v>3446210.4286983572</v>
      </c>
      <c r="Q43" s="557">
        <f>'wholesale services'!$D$110*'wholesale services'!$F$111/12</f>
        <v>3250582.4999999995</v>
      </c>
      <c r="R43" s="557">
        <v>3320487.5</v>
      </c>
      <c r="S43" s="565">
        <f>Breakout!$E$27/12</f>
        <v>122095.9086628462</v>
      </c>
      <c r="T43" s="557">
        <f>'wholesale services'!$D$113*'wholesale services'!$F$114/12</f>
        <v>144397.9625240622</v>
      </c>
      <c r="U43" s="557">
        <v>147344.85971843082</v>
      </c>
      <c r="V43" s="565">
        <f>Breakout!$E$38/12</f>
        <v>61458.775020059868</v>
      </c>
      <c r="W43" s="496">
        <f>Breakout!$E$39/12</f>
        <v>61500.373</v>
      </c>
      <c r="X43" s="496">
        <v>62161.667333333338</v>
      </c>
      <c r="Y43" s="565">
        <f>Breakout!$E$49/12</f>
        <v>447055.0733745264</v>
      </c>
      <c r="Z43" s="566">
        <f>Breakout!$E$50/12</f>
        <v>404634.13494570012</v>
      </c>
      <c r="AA43" s="566">
        <v>425040.03843004658</v>
      </c>
      <c r="AB43" s="565">
        <f>Breakout!$E$60/12</f>
        <v>411324.54837974097</v>
      </c>
      <c r="AC43" s="566">
        <f>Breakout!$E$61/12</f>
        <v>400875.2235736635</v>
      </c>
      <c r="AD43" s="566">
        <v>413374.6737519069</v>
      </c>
      <c r="AE43" s="565">
        <f>Breakout!$E$71/12</f>
        <v>312079.77179464215</v>
      </c>
      <c r="AF43" s="566">
        <f>Breakout!$E$72/12</f>
        <v>316520.66666666669</v>
      </c>
      <c r="AG43" s="566">
        <v>316520.66666666669</v>
      </c>
      <c r="AH43" s="565">
        <f>Breakout!$E$82/12</f>
        <v>20541.03443183819</v>
      </c>
      <c r="AI43" s="566">
        <f>Breakout!$E$83/12</f>
        <v>0</v>
      </c>
      <c r="AJ43" s="566">
        <v>0</v>
      </c>
      <c r="AK43" s="571">
        <f>Breakout!$E$91/12</f>
        <v>276189.69241657347</v>
      </c>
      <c r="AL43" s="571">
        <v>276189.69241657347</v>
      </c>
      <c r="AM43" s="567">
        <f>(Breakout!$E$107/12)*-1</f>
        <v>55221.25</v>
      </c>
      <c r="AN43" s="567">
        <v>55221.25</v>
      </c>
      <c r="AO43" s="578">
        <f t="shared" ref="AO43:AO74" si="57">(P43+S43+V43)+Y43+AB43+AE43+AH43</f>
        <v>4820765.5403620116</v>
      </c>
      <c r="AP43" s="578">
        <f t="shared" ref="AP43:AP74" si="58">Q43+T43+W43+AA43+AD43+AG43+AJ43+AL43+AN43</f>
        <v>4942827.1567892563</v>
      </c>
      <c r="AQ43" s="548">
        <f t="shared" ref="AQ43:AQ74" si="59">P43+S43+V43+Y43+AB43+AE43+AH43-Q43-T43-W43-Z43-AC43-AF43-AI43-AK43-AM43-DH43-DL43-CN43</f>
        <v>151351.89355943428</v>
      </c>
      <c r="AR43" s="496"/>
      <c r="AS43" s="553">
        <f t="shared" ref="AS43:AS74" si="60">P43+S43+V43+Y43+AB43+AE43+AH43-R43-U43-X43-AA43-AD43-AG43-AJ43-AL43-AN43-O43-L43-CN43</f>
        <v>18239.359127104108</v>
      </c>
      <c r="AT43" s="496"/>
      <c r="AU43" s="557">
        <f>'wholesale services'!$F$110/12</f>
        <v>39106610.706018515</v>
      </c>
      <c r="AV43" s="557">
        <f>'wholesale services'!$F$113/12</f>
        <v>17613.255833333333</v>
      </c>
      <c r="AW43" s="496"/>
      <c r="AX43" s="552">
        <f t="shared" ref="AX43:AX74" si="61">IF(A43&lt;$AX$6,0,-$R$5/12)</f>
        <v>-715341.08333333337</v>
      </c>
      <c r="AY43" s="381">
        <f t="shared" ref="AY43:AY74" si="62">IF(A43&lt;$AX$6,0,-$S$5/12)</f>
        <v>-705333.33333333337</v>
      </c>
      <c r="AZ43" s="496"/>
      <c r="BA43" s="438">
        <f t="shared" ref="BA43:BA74" si="63">P43-IF($BL$4="mid",Q43,R43)-$BL$9*(IF($BL$4="mid",N43,O43)+IF($BL$4="mid",DL43,L43))</f>
        <v>424110.67720624141</v>
      </c>
      <c r="BB43" s="438">
        <f t="shared" ref="BB43:BB74" si="64">S43-IF($BL$4="mid",T43,U43)-$BM$9*(IF($BL$4="mid",N43,O43)+IF($BL$4="mid",DL43,L43))</f>
        <v>-10276.646045011592</v>
      </c>
      <c r="BC43" s="438">
        <f t="shared" ref="BC43:BC74" si="65">V43-IF($BL$4="mid",W43,X43)-$BN$9*(IF($BL$4="mid",N43,O43)+IF($BL$4="mid",DL43,L43))</f>
        <v>-41.597979940132063</v>
      </c>
      <c r="BD43" s="438">
        <f t="shared" si="24"/>
        <v>42420.938428826281</v>
      </c>
      <c r="BE43" s="438">
        <f t="shared" si="25"/>
        <v>10449.324806077464</v>
      </c>
      <c r="BF43" s="438">
        <f t="shared" si="26"/>
        <v>-4440.8948720245389</v>
      </c>
      <c r="BG43" s="438">
        <f t="shared" si="27"/>
        <v>20541.03443183819</v>
      </c>
      <c r="BH43" s="438">
        <f t="shared" si="28"/>
        <v>-276189.69241657347</v>
      </c>
      <c r="BI43" s="438">
        <f t="shared" si="29"/>
        <v>-55221.25</v>
      </c>
      <c r="BL43" s="438">
        <f t="shared" ref="BL43:BL74" si="66">BW43-IF($BL$4="mid",Q43,R43)-$BL$9*(IF($BL$4="mid",N43,O43)+IF($BL$4="mid",DL43,L43))</f>
        <v>568013.06179797591</v>
      </c>
      <c r="BM43" s="438">
        <f t="shared" ref="BM43:BM74" si="67">BX43-IF($BL$4="mid",T43,U43)-$BM$9*(IF($BL$4="mid",N43,O43)+IF($BL$4="mid",DL43,L43))</f>
        <v>-5178.3234762082648</v>
      </c>
      <c r="BN43" s="438">
        <f t="shared" ref="BN43:BN74" si="68">BY43-IF($BL$4="mid",W43,X43)-$BN$9*(IF($BL$4="mid",N43,O43)+IF($BL$4="mid",DL43,L43))</f>
        <v>2524.7178218532063</v>
      </c>
      <c r="BO43" s="438">
        <f t="shared" ref="BO43:BO74" si="69">BZ43-IF($BL$4="mid",Z43,AA43)</f>
        <v>61088.484254437964</v>
      </c>
      <c r="BP43" s="438">
        <f t="shared" ref="BP43:BP74" si="70">CA43-IF($BL$4="mid",AC43,AD43)</f>
        <v>27624.88171927497</v>
      </c>
      <c r="BQ43" s="438">
        <f t="shared" ref="BQ43:BQ74" si="71">CB43-IF($BL$4="mid",AF43,AG43)</f>
        <v>8590.5274027481209</v>
      </c>
      <c r="BR43" s="438">
        <f t="shared" ref="BR43:BR74" si="72">CC43-IF($BL$4="mid",AI43,AJ43)</f>
        <v>21398.760301421524</v>
      </c>
      <c r="BS43" s="438">
        <f t="shared" si="44"/>
        <v>-276189.69241657347</v>
      </c>
      <c r="BT43" s="438">
        <f t="shared" si="45"/>
        <v>-55221.25</v>
      </c>
      <c r="BW43" s="565">
        <f>Breakout!$E$15/12</f>
        <v>3590112.8132900917</v>
      </c>
      <c r="BX43" s="565">
        <f>Breakout!$E$26/12</f>
        <v>127194.23123164952</v>
      </c>
      <c r="BY43" s="565">
        <f>Breakout!$E$37/12</f>
        <v>64025.090821853206</v>
      </c>
      <c r="BZ43" s="565">
        <f>Breakout!$E$48/12</f>
        <v>465722.61920013808</v>
      </c>
      <c r="CA43" s="565">
        <f>Breakout!$E$59/12</f>
        <v>428500.10529293848</v>
      </c>
      <c r="CB43" s="565">
        <f>Breakout!$E$70/12</f>
        <v>325111.19406941481</v>
      </c>
      <c r="CC43" s="565">
        <f>Breakout!$E$81/12</f>
        <v>21398.760301421524</v>
      </c>
      <c r="CE43" s="634">
        <f t="shared" si="30"/>
        <v>3589802.5298941224</v>
      </c>
      <c r="CF43" s="634">
        <f t="shared" si="31"/>
        <v>127183.23819046479</v>
      </c>
      <c r="CG43" s="634">
        <f t="shared" si="32"/>
        <v>64019.557312562363</v>
      </c>
      <c r="CI43" s="634">
        <f t="shared" si="33"/>
        <v>-715341.08333333337</v>
      </c>
      <c r="CJ43" s="634">
        <f t="shared" si="34"/>
        <v>-705333.33333333337</v>
      </c>
      <c r="CL43" s="438">
        <f>'account mgt'!$E$23/12</f>
        <v>-51239.700000000004</v>
      </c>
      <c r="CN43" s="438">
        <v>0</v>
      </c>
      <c r="CT43" s="438">
        <f t="shared" si="51"/>
        <v>26658661.946601585</v>
      </c>
      <c r="CU43" s="438">
        <f t="shared" si="46"/>
        <v>210381.27386193085</v>
      </c>
      <c r="CV43" s="438">
        <f>IF(CT43&lt;0.1,0,PPMT($L$3,A43-14,unwinds!$B$8*12,$K$5))</f>
        <v>557177.60364066833</v>
      </c>
      <c r="CW43" s="438">
        <f t="shared" si="47"/>
        <v>26101484.342960916</v>
      </c>
      <c r="CX43" s="438">
        <f t="shared" si="48"/>
        <v>26101484.342960916</v>
      </c>
      <c r="DA43" s="438">
        <f t="shared" si="53"/>
        <v>31589347.579300165</v>
      </c>
      <c r="DB43" s="438">
        <f t="shared" si="54"/>
        <v>249292.60131331047</v>
      </c>
      <c r="DC43" s="438">
        <f t="shared" si="55"/>
        <v>246105.47035830576</v>
      </c>
      <c r="DD43" s="438">
        <f t="shared" si="56"/>
        <v>31343242.10894186</v>
      </c>
      <c r="DE43" s="438">
        <f t="shared" si="49"/>
        <v>31343242.10894186</v>
      </c>
      <c r="DH43" s="944">
        <v>-715341.08333333337</v>
      </c>
      <c r="DI43" s="944">
        <v>-705333.33333333337</v>
      </c>
      <c r="DJ43" s="944"/>
      <c r="DL43" s="381">
        <f t="shared" si="52"/>
        <v>474832.92700924521</v>
      </c>
      <c r="DN43" s="944">
        <f t="shared" si="18"/>
        <v>-715341.08333333337</v>
      </c>
      <c r="DO43" s="944">
        <f t="shared" si="19"/>
        <v>474832.92700924521</v>
      </c>
      <c r="DQ43" s="438">
        <f t="shared" si="20"/>
        <v>339530.31329009216</v>
      </c>
      <c r="DR43" s="438">
        <f t="shared" si="21"/>
        <v>-17203.731292412675</v>
      </c>
      <c r="DS43" s="438"/>
      <c r="DT43" s="438"/>
      <c r="DU43" s="438"/>
      <c r="DV43" s="438"/>
      <c r="DW43" s="438"/>
      <c r="DX43" s="438"/>
    </row>
    <row r="44" spans="1:128" x14ac:dyDescent="0.2">
      <c r="A44" s="383">
        <v>33</v>
      </c>
      <c r="B44" s="631">
        <v>37500</v>
      </c>
      <c r="C44" s="381">
        <v>0</v>
      </c>
      <c r="D44" s="381">
        <v>0</v>
      </c>
      <c r="E44" s="381">
        <v>0</v>
      </c>
      <c r="F44" s="381">
        <v>245413.69589297753</v>
      </c>
      <c r="G44" s="381">
        <v>246105.47035830596</v>
      </c>
      <c r="H44" s="381">
        <v>0</v>
      </c>
      <c r="I44" s="381">
        <v>491519.16625128349</v>
      </c>
      <c r="J44" s="381"/>
      <c r="K44" s="381"/>
      <c r="L44" s="381">
        <f t="shared" si="50"/>
        <v>491519.16625128326</v>
      </c>
      <c r="M44" s="381"/>
      <c r="N44" s="679">
        <f t="shared" si="22"/>
        <v>-715341.08333333337</v>
      </c>
      <c r="O44" s="679">
        <f t="shared" si="23"/>
        <v>-705333.33333333337</v>
      </c>
      <c r="P44" s="565">
        <f>Breakout!$E$16/12</f>
        <v>3446210.4286983572</v>
      </c>
      <c r="Q44" s="557">
        <f>'wholesale services'!$D$110*'wholesale services'!$F$111/12</f>
        <v>3250582.4999999995</v>
      </c>
      <c r="R44" s="557">
        <v>3320487.5</v>
      </c>
      <c r="S44" s="565">
        <f>Breakout!$E$27/12</f>
        <v>122095.9086628462</v>
      </c>
      <c r="T44" s="557">
        <f>'wholesale services'!$D$113*'wholesale services'!$F$114/12</f>
        <v>144397.9625240622</v>
      </c>
      <c r="U44" s="557">
        <v>147344.85971843082</v>
      </c>
      <c r="V44" s="565">
        <f>Breakout!$E$38/12</f>
        <v>61458.775020059868</v>
      </c>
      <c r="W44" s="496">
        <f>Breakout!$E$39/12</f>
        <v>61500.373</v>
      </c>
      <c r="X44" s="496">
        <v>62161.667333333338</v>
      </c>
      <c r="Y44" s="565">
        <f>Breakout!$E$49/12</f>
        <v>447055.0733745264</v>
      </c>
      <c r="Z44" s="566">
        <f>Breakout!$E$50/12</f>
        <v>404634.13494570012</v>
      </c>
      <c r="AA44" s="566">
        <v>425040.03843004658</v>
      </c>
      <c r="AB44" s="565">
        <f>Breakout!$E$60/12</f>
        <v>411324.54837974097</v>
      </c>
      <c r="AC44" s="566">
        <f>Breakout!$E$61/12</f>
        <v>400875.2235736635</v>
      </c>
      <c r="AD44" s="566">
        <v>413374.6737519069</v>
      </c>
      <c r="AE44" s="565">
        <f>Breakout!$E$71/12</f>
        <v>312079.77179464215</v>
      </c>
      <c r="AF44" s="566">
        <f>Breakout!$E$72/12</f>
        <v>316520.66666666669</v>
      </c>
      <c r="AG44" s="566">
        <v>316520.66666666669</v>
      </c>
      <c r="AH44" s="565">
        <f>Breakout!$E$82/12</f>
        <v>20541.03443183819</v>
      </c>
      <c r="AI44" s="566">
        <f>Breakout!$E$83/12</f>
        <v>0</v>
      </c>
      <c r="AJ44" s="566">
        <v>0</v>
      </c>
      <c r="AK44" s="571">
        <f>Breakout!$E$91/12</f>
        <v>276189.69241657347</v>
      </c>
      <c r="AL44" s="571">
        <v>276189.69241657347</v>
      </c>
      <c r="AM44" s="567">
        <f>(Breakout!$E$107/12)*-1</f>
        <v>55221.25</v>
      </c>
      <c r="AN44" s="567">
        <v>55221.25</v>
      </c>
      <c r="AO44" s="578">
        <f t="shared" si="57"/>
        <v>4820765.5403620116</v>
      </c>
      <c r="AP44" s="578">
        <f t="shared" si="58"/>
        <v>4942827.1567892563</v>
      </c>
      <c r="AQ44" s="548">
        <f t="shared" si="59"/>
        <v>151351.89355943428</v>
      </c>
      <c r="AR44" s="496"/>
      <c r="AS44" s="553">
        <f t="shared" si="60"/>
        <v>18239.359127104108</v>
      </c>
      <c r="AT44" s="496"/>
      <c r="AU44" s="557">
        <f>'wholesale services'!$F$110/12</f>
        <v>39106610.706018515</v>
      </c>
      <c r="AV44" s="557">
        <f>'wholesale services'!$F$113/12</f>
        <v>17613.255833333333</v>
      </c>
      <c r="AW44" s="496"/>
      <c r="AX44" s="552">
        <f t="shared" si="61"/>
        <v>-715341.08333333337</v>
      </c>
      <c r="AY44" s="381">
        <f t="shared" si="62"/>
        <v>-705333.33333333337</v>
      </c>
      <c r="AZ44" s="496"/>
      <c r="BA44" s="438">
        <f t="shared" si="63"/>
        <v>424110.67720624141</v>
      </c>
      <c r="BB44" s="438">
        <f t="shared" si="64"/>
        <v>-10276.646045011592</v>
      </c>
      <c r="BC44" s="438">
        <f t="shared" si="65"/>
        <v>-41.597979940132063</v>
      </c>
      <c r="BD44" s="438">
        <f t="shared" si="24"/>
        <v>42420.938428826281</v>
      </c>
      <c r="BE44" s="438">
        <f t="shared" si="25"/>
        <v>10449.324806077464</v>
      </c>
      <c r="BF44" s="438">
        <f t="shared" si="26"/>
        <v>-4440.8948720245389</v>
      </c>
      <c r="BG44" s="438">
        <f t="shared" si="27"/>
        <v>20541.03443183819</v>
      </c>
      <c r="BH44" s="438">
        <f t="shared" si="28"/>
        <v>-276189.69241657347</v>
      </c>
      <c r="BI44" s="438">
        <f t="shared" si="29"/>
        <v>-55221.25</v>
      </c>
      <c r="BL44" s="438">
        <f t="shared" si="66"/>
        <v>568013.06179797591</v>
      </c>
      <c r="BM44" s="438">
        <f t="shared" si="67"/>
        <v>-5178.3234762082648</v>
      </c>
      <c r="BN44" s="438">
        <f t="shared" si="68"/>
        <v>2524.7178218532063</v>
      </c>
      <c r="BO44" s="438">
        <f t="shared" si="69"/>
        <v>61088.484254437964</v>
      </c>
      <c r="BP44" s="438">
        <f t="shared" si="70"/>
        <v>27624.88171927497</v>
      </c>
      <c r="BQ44" s="438">
        <f t="shared" si="71"/>
        <v>8590.5274027481209</v>
      </c>
      <c r="BR44" s="438">
        <f t="shared" si="72"/>
        <v>21398.760301421524</v>
      </c>
      <c r="BS44" s="438">
        <f t="shared" si="44"/>
        <v>-276189.69241657347</v>
      </c>
      <c r="BT44" s="438">
        <f t="shared" si="45"/>
        <v>-55221.25</v>
      </c>
      <c r="BW44" s="565">
        <f>Breakout!$E$15/12</f>
        <v>3590112.8132900917</v>
      </c>
      <c r="BX44" s="565">
        <f>Breakout!$E$26/12</f>
        <v>127194.23123164952</v>
      </c>
      <c r="BY44" s="565">
        <f>Breakout!$E$37/12</f>
        <v>64025.090821853206</v>
      </c>
      <c r="BZ44" s="565">
        <f>Breakout!$E$48/12</f>
        <v>465722.61920013808</v>
      </c>
      <c r="CA44" s="565">
        <f>Breakout!$E$59/12</f>
        <v>428500.10529293848</v>
      </c>
      <c r="CB44" s="565">
        <f>Breakout!$E$70/12</f>
        <v>325111.19406941481</v>
      </c>
      <c r="CC44" s="565">
        <f>Breakout!$E$81/12</f>
        <v>21398.760301421524</v>
      </c>
      <c r="CE44" s="634">
        <f t="shared" si="30"/>
        <v>3589802.5298941224</v>
      </c>
      <c r="CF44" s="634">
        <f t="shared" si="31"/>
        <v>127183.23819046479</v>
      </c>
      <c r="CG44" s="634">
        <f t="shared" si="32"/>
        <v>64019.557312562363</v>
      </c>
      <c r="CI44" s="634">
        <f t="shared" si="33"/>
        <v>-715341.08333333337</v>
      </c>
      <c r="CJ44" s="634">
        <f t="shared" si="34"/>
        <v>-705333.33333333337</v>
      </c>
      <c r="CL44" s="438">
        <f>'account mgt'!$E$23/12</f>
        <v>-51239.700000000004</v>
      </c>
      <c r="CN44" s="438">
        <v>0</v>
      </c>
      <c r="CT44" s="438">
        <f t="shared" si="51"/>
        <v>26101484.342960916</v>
      </c>
      <c r="CU44" s="438">
        <f t="shared" si="46"/>
        <v>205984.21393986657</v>
      </c>
      <c r="CV44" s="438">
        <f>IF(CT44&lt;0.1,0,PPMT($L$3,A44-14,unwinds!$B$8*12,$K$5))</f>
        <v>561574.66356273275</v>
      </c>
      <c r="CW44" s="438">
        <f t="shared" si="47"/>
        <v>25539909.679398183</v>
      </c>
      <c r="CX44" s="438">
        <f t="shared" si="48"/>
        <v>25539909.679398183</v>
      </c>
      <c r="DA44" s="438">
        <f t="shared" si="53"/>
        <v>31343242.10894186</v>
      </c>
      <c r="DB44" s="438">
        <f t="shared" si="54"/>
        <v>247350.41897639952</v>
      </c>
      <c r="DC44" s="438">
        <f t="shared" si="55"/>
        <v>248047.65269521673</v>
      </c>
      <c r="DD44" s="438">
        <f t="shared" si="56"/>
        <v>31095194.456246644</v>
      </c>
      <c r="DE44" s="438">
        <f t="shared" si="49"/>
        <v>31095194.456246644</v>
      </c>
      <c r="DH44" s="944">
        <v>-715341.08333333337</v>
      </c>
      <c r="DI44" s="944">
        <v>-705333.33333333337</v>
      </c>
      <c r="DJ44" s="944"/>
      <c r="DL44" s="381">
        <f t="shared" si="52"/>
        <v>474832.92700924521</v>
      </c>
      <c r="DN44" s="944">
        <f t="shared" si="18"/>
        <v>-715341.08333333337</v>
      </c>
      <c r="DO44" s="944">
        <f t="shared" si="19"/>
        <v>474832.92700924521</v>
      </c>
      <c r="DQ44" s="438">
        <f t="shared" si="20"/>
        <v>339530.31329009216</v>
      </c>
      <c r="DR44" s="438">
        <f t="shared" si="21"/>
        <v>-17203.731292412675</v>
      </c>
      <c r="DS44" s="438"/>
      <c r="DT44" s="438"/>
      <c r="DU44" s="438"/>
      <c r="DV44" s="438"/>
      <c r="DW44" s="438"/>
      <c r="DX44" s="438"/>
    </row>
    <row r="45" spans="1:128" x14ac:dyDescent="0.2">
      <c r="A45" s="383">
        <v>34</v>
      </c>
      <c r="B45" s="631">
        <v>37530</v>
      </c>
      <c r="C45" s="381">
        <v>0</v>
      </c>
      <c r="D45" s="381">
        <v>0</v>
      </c>
      <c r="E45" s="381">
        <v>0</v>
      </c>
      <c r="F45" s="381">
        <v>243471.51355606655</v>
      </c>
      <c r="G45" s="381">
        <v>248047.65269521694</v>
      </c>
      <c r="H45" s="381">
        <v>0</v>
      </c>
      <c r="I45" s="381">
        <v>491519.16625128349</v>
      </c>
      <c r="J45" s="381"/>
      <c r="K45" s="381"/>
      <c r="L45" s="381">
        <f t="shared" si="50"/>
        <v>491519.16625128326</v>
      </c>
      <c r="M45" s="381"/>
      <c r="N45" s="679">
        <f t="shared" si="22"/>
        <v>-715341.08333333337</v>
      </c>
      <c r="O45" s="679">
        <f t="shared" si="23"/>
        <v>-705333.33333333337</v>
      </c>
      <c r="P45" s="565">
        <f>Breakout!$E$16/12</f>
        <v>3446210.4286983572</v>
      </c>
      <c r="Q45" s="557">
        <f>'wholesale services'!$D$110*'wholesale services'!$F$111/12</f>
        <v>3250582.4999999995</v>
      </c>
      <c r="R45" s="557">
        <v>3320487.5</v>
      </c>
      <c r="S45" s="565">
        <f>Breakout!$E$27/12</f>
        <v>122095.9086628462</v>
      </c>
      <c r="T45" s="557">
        <f>'wholesale services'!$D$113*'wholesale services'!$F$114/12</f>
        <v>144397.9625240622</v>
      </c>
      <c r="U45" s="557">
        <v>147344.85971843082</v>
      </c>
      <c r="V45" s="565">
        <f>Breakout!$E$38/12</f>
        <v>61458.775020059868</v>
      </c>
      <c r="W45" s="496">
        <f>Breakout!$E$39/12</f>
        <v>61500.373</v>
      </c>
      <c r="X45" s="496">
        <v>62161.667333333338</v>
      </c>
      <c r="Y45" s="565">
        <f>Breakout!$E$49/12</f>
        <v>447055.0733745264</v>
      </c>
      <c r="Z45" s="566">
        <f>Breakout!$E$50/12</f>
        <v>404634.13494570012</v>
      </c>
      <c r="AA45" s="566">
        <v>425040.03843004658</v>
      </c>
      <c r="AB45" s="565">
        <f>Breakout!$E$60/12</f>
        <v>411324.54837974097</v>
      </c>
      <c r="AC45" s="566">
        <f>Breakout!$E$61/12</f>
        <v>400875.2235736635</v>
      </c>
      <c r="AD45" s="566">
        <v>413374.6737519069</v>
      </c>
      <c r="AE45" s="565">
        <f>Breakout!$E$71/12</f>
        <v>312079.77179464215</v>
      </c>
      <c r="AF45" s="566">
        <f>Breakout!$E$72/12</f>
        <v>316520.66666666669</v>
      </c>
      <c r="AG45" s="566">
        <v>316520.66666666669</v>
      </c>
      <c r="AH45" s="565">
        <f>Breakout!$E$82/12</f>
        <v>20541.03443183819</v>
      </c>
      <c r="AI45" s="566">
        <f>Breakout!$E$83/12</f>
        <v>0</v>
      </c>
      <c r="AJ45" s="566">
        <v>0</v>
      </c>
      <c r="AK45" s="571">
        <f>Breakout!$E$91/12</f>
        <v>276189.69241657347</v>
      </c>
      <c r="AL45" s="571">
        <v>276189.69241657347</v>
      </c>
      <c r="AM45" s="567">
        <f>(Breakout!$E$107/12)*-1</f>
        <v>55221.25</v>
      </c>
      <c r="AN45" s="567">
        <v>55221.25</v>
      </c>
      <c r="AO45" s="578">
        <f t="shared" si="57"/>
        <v>4820765.5403620116</v>
      </c>
      <c r="AP45" s="578">
        <f t="shared" si="58"/>
        <v>4942827.1567892563</v>
      </c>
      <c r="AQ45" s="548">
        <f t="shared" si="59"/>
        <v>151351.89355943428</v>
      </c>
      <c r="AR45" s="496"/>
      <c r="AS45" s="553">
        <f t="shared" si="60"/>
        <v>18239.359127104108</v>
      </c>
      <c r="AT45" s="496"/>
      <c r="AU45" s="557">
        <f>'wholesale services'!$F$110/12</f>
        <v>39106610.706018515</v>
      </c>
      <c r="AV45" s="557">
        <f>'wholesale services'!$F$113/12</f>
        <v>17613.255833333333</v>
      </c>
      <c r="AW45" s="496"/>
      <c r="AX45" s="552">
        <f t="shared" si="61"/>
        <v>-715341.08333333337</v>
      </c>
      <c r="AY45" s="381">
        <f t="shared" si="62"/>
        <v>-705333.33333333337</v>
      </c>
      <c r="AZ45" s="496"/>
      <c r="BA45" s="438">
        <f t="shared" si="63"/>
        <v>424110.67720624141</v>
      </c>
      <c r="BB45" s="438">
        <f t="shared" si="64"/>
        <v>-10276.646045011592</v>
      </c>
      <c r="BC45" s="438">
        <f t="shared" si="65"/>
        <v>-41.597979940132063</v>
      </c>
      <c r="BD45" s="438">
        <f t="shared" si="24"/>
        <v>42420.938428826281</v>
      </c>
      <c r="BE45" s="438">
        <f t="shared" si="25"/>
        <v>10449.324806077464</v>
      </c>
      <c r="BF45" s="438">
        <f t="shared" si="26"/>
        <v>-4440.8948720245389</v>
      </c>
      <c r="BG45" s="438">
        <f t="shared" si="27"/>
        <v>20541.03443183819</v>
      </c>
      <c r="BH45" s="438">
        <f t="shared" si="28"/>
        <v>-276189.69241657347</v>
      </c>
      <c r="BI45" s="438">
        <f t="shared" si="29"/>
        <v>-55221.25</v>
      </c>
      <c r="BL45" s="438">
        <f t="shared" si="66"/>
        <v>568013.06179797591</v>
      </c>
      <c r="BM45" s="438">
        <f t="shared" si="67"/>
        <v>-5178.3234762082648</v>
      </c>
      <c r="BN45" s="438">
        <f t="shared" si="68"/>
        <v>2524.7178218532063</v>
      </c>
      <c r="BO45" s="438">
        <f t="shared" si="69"/>
        <v>61088.484254437964</v>
      </c>
      <c r="BP45" s="438">
        <f t="shared" si="70"/>
        <v>27624.88171927497</v>
      </c>
      <c r="BQ45" s="438">
        <f t="shared" si="71"/>
        <v>8590.5274027481209</v>
      </c>
      <c r="BR45" s="438">
        <f t="shared" si="72"/>
        <v>21398.760301421524</v>
      </c>
      <c r="BS45" s="438">
        <f t="shared" si="44"/>
        <v>-276189.69241657347</v>
      </c>
      <c r="BT45" s="438">
        <f t="shared" si="45"/>
        <v>-55221.25</v>
      </c>
      <c r="BW45" s="565">
        <f>Breakout!$E$15/12</f>
        <v>3590112.8132900917</v>
      </c>
      <c r="BX45" s="565">
        <f>Breakout!$E$26/12</f>
        <v>127194.23123164952</v>
      </c>
      <c r="BY45" s="565">
        <f>Breakout!$E$37/12</f>
        <v>64025.090821853206</v>
      </c>
      <c r="BZ45" s="565">
        <f>Breakout!$E$48/12</f>
        <v>465722.61920013808</v>
      </c>
      <c r="CA45" s="565">
        <f>Breakout!$E$59/12</f>
        <v>428500.10529293848</v>
      </c>
      <c r="CB45" s="565">
        <f>Breakout!$E$70/12</f>
        <v>325111.19406941481</v>
      </c>
      <c r="CC45" s="565">
        <f>Breakout!$E$81/12</f>
        <v>21398.760301421524</v>
      </c>
      <c r="CE45" s="634">
        <f t="shared" si="30"/>
        <v>3589802.5298941224</v>
      </c>
      <c r="CF45" s="634">
        <f t="shared" si="31"/>
        <v>127183.23819046479</v>
      </c>
      <c r="CG45" s="634">
        <f t="shared" si="32"/>
        <v>64019.557312562363</v>
      </c>
      <c r="CI45" s="634">
        <f t="shared" si="33"/>
        <v>-715341.08333333337</v>
      </c>
      <c r="CJ45" s="634">
        <f t="shared" si="34"/>
        <v>-705333.33333333337</v>
      </c>
      <c r="CL45" s="438">
        <f>'account mgt'!$E$23/12</f>
        <v>-51239.700000000004</v>
      </c>
      <c r="CN45" s="438">
        <v>0</v>
      </c>
      <c r="CT45" s="438">
        <f t="shared" si="51"/>
        <v>25539909.679398183</v>
      </c>
      <c r="CU45" s="438">
        <f t="shared" si="46"/>
        <v>201552.453886584</v>
      </c>
      <c r="CV45" s="438">
        <f>IF(CT45&lt;0.1,0,PPMT($L$3,A45-14,unwinds!$B$8*12,$K$5))</f>
        <v>566006.42361601512</v>
      </c>
      <c r="CW45" s="438">
        <f t="shared" si="47"/>
        <v>24973903.255782168</v>
      </c>
      <c r="CX45" s="438">
        <f t="shared" si="48"/>
        <v>24973903.255782168</v>
      </c>
      <c r="DA45" s="438">
        <f t="shared" si="53"/>
        <v>31095194.456246644</v>
      </c>
      <c r="DB45" s="438">
        <f t="shared" si="54"/>
        <v>245392.90958387978</v>
      </c>
      <c r="DC45" s="438">
        <f t="shared" si="55"/>
        <v>250005.16208773642</v>
      </c>
      <c r="DD45" s="438">
        <f t="shared" si="56"/>
        <v>30845189.294158909</v>
      </c>
      <c r="DE45" s="438">
        <f t="shared" si="49"/>
        <v>30845189.294158909</v>
      </c>
      <c r="DH45" s="944">
        <v>-715341.08333333337</v>
      </c>
      <c r="DI45" s="944">
        <v>-705333.33333333337</v>
      </c>
      <c r="DJ45" s="944"/>
      <c r="DL45" s="381">
        <f t="shared" si="52"/>
        <v>474832.92700924521</v>
      </c>
      <c r="DN45" s="944">
        <f t="shared" si="18"/>
        <v>-715341.08333333337</v>
      </c>
      <c r="DO45" s="944">
        <f t="shared" si="19"/>
        <v>474832.92700924521</v>
      </c>
      <c r="DQ45" s="438">
        <f t="shared" si="20"/>
        <v>339530.31329009216</v>
      </c>
      <c r="DR45" s="438">
        <f t="shared" si="21"/>
        <v>-17203.731292412675</v>
      </c>
      <c r="DS45" s="438"/>
      <c r="DT45" s="438"/>
      <c r="DU45" s="438"/>
      <c r="DV45" s="438"/>
      <c r="DW45" s="438"/>
      <c r="DX45" s="438"/>
    </row>
    <row r="46" spans="1:128" x14ac:dyDescent="0.2">
      <c r="A46" s="383">
        <v>35</v>
      </c>
      <c r="B46" s="631">
        <v>37561</v>
      </c>
      <c r="C46" s="381">
        <v>0</v>
      </c>
      <c r="D46" s="381">
        <v>0</v>
      </c>
      <c r="E46" s="381">
        <v>0</v>
      </c>
      <c r="F46" s="381">
        <v>241514.00416354687</v>
      </c>
      <c r="G46" s="381">
        <v>250005.16208773662</v>
      </c>
      <c r="H46" s="381">
        <v>0</v>
      </c>
      <c r="I46" s="381">
        <v>491519.16625128349</v>
      </c>
      <c r="J46" s="381"/>
      <c r="K46" s="381"/>
      <c r="L46" s="381">
        <f t="shared" si="50"/>
        <v>491519.16625128326</v>
      </c>
      <c r="M46" s="381"/>
      <c r="N46" s="679">
        <f t="shared" si="22"/>
        <v>-715341.08333333337</v>
      </c>
      <c r="O46" s="679">
        <f t="shared" si="23"/>
        <v>-705333.33333333337</v>
      </c>
      <c r="P46" s="565">
        <f>Breakout!$E$16/12</f>
        <v>3446210.4286983572</v>
      </c>
      <c r="Q46" s="557">
        <f>'wholesale services'!$D$110*'wholesale services'!$F$111/12</f>
        <v>3250582.4999999995</v>
      </c>
      <c r="R46" s="557">
        <v>3320487.5</v>
      </c>
      <c r="S46" s="565">
        <f>Breakout!$E$27/12</f>
        <v>122095.9086628462</v>
      </c>
      <c r="T46" s="557">
        <f>'wholesale services'!$D$113*'wholesale services'!$F$114/12</f>
        <v>144397.9625240622</v>
      </c>
      <c r="U46" s="557">
        <v>147344.85971843082</v>
      </c>
      <c r="V46" s="565">
        <f>Breakout!$E$38/12</f>
        <v>61458.775020059868</v>
      </c>
      <c r="W46" s="496">
        <f>Breakout!$E$39/12</f>
        <v>61500.373</v>
      </c>
      <c r="X46" s="496">
        <v>62161.667333333338</v>
      </c>
      <c r="Y46" s="565">
        <f>Breakout!$E$49/12</f>
        <v>447055.0733745264</v>
      </c>
      <c r="Z46" s="566">
        <f>Breakout!$E$50/12</f>
        <v>404634.13494570012</v>
      </c>
      <c r="AA46" s="566">
        <v>425040.03843004658</v>
      </c>
      <c r="AB46" s="565">
        <f>Breakout!$E$60/12</f>
        <v>411324.54837974097</v>
      </c>
      <c r="AC46" s="566">
        <f>Breakout!$E$61/12</f>
        <v>400875.2235736635</v>
      </c>
      <c r="AD46" s="566">
        <v>413374.6737519069</v>
      </c>
      <c r="AE46" s="565">
        <f>Breakout!$E$71/12</f>
        <v>312079.77179464215</v>
      </c>
      <c r="AF46" s="566">
        <f>Breakout!$E$72/12</f>
        <v>316520.66666666669</v>
      </c>
      <c r="AG46" s="566">
        <v>316520.66666666669</v>
      </c>
      <c r="AH46" s="565">
        <f>Breakout!$E$82/12</f>
        <v>20541.03443183819</v>
      </c>
      <c r="AI46" s="566">
        <f>Breakout!$E$83/12</f>
        <v>0</v>
      </c>
      <c r="AJ46" s="566">
        <v>0</v>
      </c>
      <c r="AK46" s="571">
        <f>Breakout!$E$91/12</f>
        <v>276189.69241657347</v>
      </c>
      <c r="AL46" s="571">
        <v>276189.69241657347</v>
      </c>
      <c r="AM46" s="567">
        <f>(Breakout!$E$107/12)*-1</f>
        <v>55221.25</v>
      </c>
      <c r="AN46" s="567">
        <v>55221.25</v>
      </c>
      <c r="AO46" s="578">
        <f t="shared" si="57"/>
        <v>4820765.5403620116</v>
      </c>
      <c r="AP46" s="578">
        <f t="shared" si="58"/>
        <v>4942827.1567892563</v>
      </c>
      <c r="AQ46" s="548">
        <f t="shared" si="59"/>
        <v>151351.89355943428</v>
      </c>
      <c r="AR46" s="496"/>
      <c r="AS46" s="553">
        <f t="shared" si="60"/>
        <v>18239.359127104108</v>
      </c>
      <c r="AT46" s="496"/>
      <c r="AU46" s="557">
        <f>'wholesale services'!$F$110/12</f>
        <v>39106610.706018515</v>
      </c>
      <c r="AV46" s="557">
        <f>'wholesale services'!$F$113/12</f>
        <v>17613.255833333333</v>
      </c>
      <c r="AW46" s="496"/>
      <c r="AX46" s="552">
        <f t="shared" si="61"/>
        <v>-715341.08333333337</v>
      </c>
      <c r="AY46" s="381">
        <f t="shared" si="62"/>
        <v>-705333.33333333337</v>
      </c>
      <c r="AZ46" s="496"/>
      <c r="BA46" s="438">
        <f t="shared" si="63"/>
        <v>424110.67720624141</v>
      </c>
      <c r="BB46" s="438">
        <f t="shared" si="64"/>
        <v>-10276.646045011592</v>
      </c>
      <c r="BC46" s="438">
        <f t="shared" si="65"/>
        <v>-41.597979940132063</v>
      </c>
      <c r="BD46" s="438">
        <f t="shared" si="24"/>
        <v>42420.938428826281</v>
      </c>
      <c r="BE46" s="438">
        <f t="shared" si="25"/>
        <v>10449.324806077464</v>
      </c>
      <c r="BF46" s="438">
        <f t="shared" si="26"/>
        <v>-4440.8948720245389</v>
      </c>
      <c r="BG46" s="438">
        <f t="shared" si="27"/>
        <v>20541.03443183819</v>
      </c>
      <c r="BH46" s="438">
        <f t="shared" si="28"/>
        <v>-276189.69241657347</v>
      </c>
      <c r="BI46" s="438">
        <f t="shared" si="29"/>
        <v>-55221.25</v>
      </c>
      <c r="BL46" s="438">
        <f t="shared" si="66"/>
        <v>568013.06179797591</v>
      </c>
      <c r="BM46" s="438">
        <f t="shared" si="67"/>
        <v>-5178.3234762082648</v>
      </c>
      <c r="BN46" s="438">
        <f t="shared" si="68"/>
        <v>2524.7178218532063</v>
      </c>
      <c r="BO46" s="438">
        <f t="shared" si="69"/>
        <v>61088.484254437964</v>
      </c>
      <c r="BP46" s="438">
        <f t="shared" si="70"/>
        <v>27624.88171927497</v>
      </c>
      <c r="BQ46" s="438">
        <f t="shared" si="71"/>
        <v>8590.5274027481209</v>
      </c>
      <c r="BR46" s="438">
        <f t="shared" si="72"/>
        <v>21398.760301421524</v>
      </c>
      <c r="BS46" s="438">
        <f t="shared" si="44"/>
        <v>-276189.69241657347</v>
      </c>
      <c r="BT46" s="438">
        <f t="shared" si="45"/>
        <v>-55221.25</v>
      </c>
      <c r="BW46" s="565">
        <f>Breakout!$E$15/12</f>
        <v>3590112.8132900917</v>
      </c>
      <c r="BX46" s="565">
        <f>Breakout!$E$26/12</f>
        <v>127194.23123164952</v>
      </c>
      <c r="BY46" s="565">
        <f>Breakout!$E$37/12</f>
        <v>64025.090821853206</v>
      </c>
      <c r="BZ46" s="565">
        <f>Breakout!$E$48/12</f>
        <v>465722.61920013808</v>
      </c>
      <c r="CA46" s="565">
        <f>Breakout!$E$59/12</f>
        <v>428500.10529293848</v>
      </c>
      <c r="CB46" s="565">
        <f>Breakout!$E$70/12</f>
        <v>325111.19406941481</v>
      </c>
      <c r="CC46" s="565">
        <f>Breakout!$E$81/12</f>
        <v>21398.760301421524</v>
      </c>
      <c r="CE46" s="634">
        <f t="shared" si="30"/>
        <v>3589802.5298941224</v>
      </c>
      <c r="CF46" s="634">
        <f t="shared" si="31"/>
        <v>127183.23819046479</v>
      </c>
      <c r="CG46" s="634">
        <f t="shared" si="32"/>
        <v>64019.557312562363</v>
      </c>
      <c r="CI46" s="634">
        <f t="shared" si="33"/>
        <v>-715341.08333333337</v>
      </c>
      <c r="CJ46" s="634">
        <f t="shared" si="34"/>
        <v>-705333.33333333337</v>
      </c>
      <c r="CL46" s="438">
        <f>'account mgt'!$E$23/12</f>
        <v>-51239.700000000004</v>
      </c>
      <c r="CN46" s="438">
        <v>0</v>
      </c>
      <c r="CT46" s="438">
        <f t="shared" si="51"/>
        <v>24973903.255782168</v>
      </c>
      <c r="CU46" s="438">
        <f t="shared" si="46"/>
        <v>197085.71986021427</v>
      </c>
      <c r="CV46" s="438">
        <f>IF(CT46&lt;0.1,0,PPMT($L$3,A46-14,unwinds!$B$8*12,$K$5))</f>
        <v>570473.15764238499</v>
      </c>
      <c r="CW46" s="438">
        <f t="shared" si="47"/>
        <v>24403430.098139785</v>
      </c>
      <c r="CX46" s="438">
        <f t="shared" si="48"/>
        <v>24403430.098139785</v>
      </c>
      <c r="DA46" s="438">
        <f t="shared" si="53"/>
        <v>30845189.294158909</v>
      </c>
      <c r="DB46" s="438">
        <f t="shared" si="54"/>
        <v>243419.95217973739</v>
      </c>
      <c r="DC46" s="438">
        <f t="shared" si="55"/>
        <v>251978.11949187887</v>
      </c>
      <c r="DD46" s="438">
        <f t="shared" si="56"/>
        <v>30593211.174667031</v>
      </c>
      <c r="DE46" s="438">
        <f t="shared" si="49"/>
        <v>30593211.174667031</v>
      </c>
      <c r="DH46" s="944">
        <v>-715341.08333333337</v>
      </c>
      <c r="DI46" s="944">
        <v>-705333.33333333337</v>
      </c>
      <c r="DJ46" s="944"/>
      <c r="DL46" s="381">
        <f t="shared" si="52"/>
        <v>474832.92700924521</v>
      </c>
      <c r="DN46" s="944">
        <f t="shared" si="18"/>
        <v>-715341.08333333337</v>
      </c>
      <c r="DO46" s="944">
        <f t="shared" si="19"/>
        <v>474832.92700924521</v>
      </c>
      <c r="DQ46" s="438">
        <f t="shared" si="20"/>
        <v>339530.31329009216</v>
      </c>
      <c r="DR46" s="438">
        <f t="shared" si="21"/>
        <v>-17203.731292412675</v>
      </c>
      <c r="DS46" s="438"/>
      <c r="DT46" s="438"/>
      <c r="DU46" s="438"/>
      <c r="DV46" s="438"/>
      <c r="DW46" s="438"/>
      <c r="DX46" s="438"/>
    </row>
    <row r="47" spans="1:128" s="676" customFormat="1" x14ac:dyDescent="0.2">
      <c r="A47" s="667">
        <v>36</v>
      </c>
      <c r="B47" s="668">
        <v>37591</v>
      </c>
      <c r="C47" s="669">
        <v>0</v>
      </c>
      <c r="D47" s="669">
        <v>0</v>
      </c>
      <c r="E47" s="669">
        <v>0</v>
      </c>
      <c r="F47" s="381">
        <v>239541.04675940447</v>
      </c>
      <c r="G47" s="381">
        <v>251978.11949187901</v>
      </c>
      <c r="H47" s="381">
        <v>0</v>
      </c>
      <c r="I47" s="381">
        <v>491519.16625128349</v>
      </c>
      <c r="J47" s="669"/>
      <c r="K47" s="669"/>
      <c r="L47" s="974">
        <f t="shared" si="50"/>
        <v>491519.16625128326</v>
      </c>
      <c r="M47" s="669"/>
      <c r="N47" s="679">
        <f t="shared" si="22"/>
        <v>-715341.08333333337</v>
      </c>
      <c r="O47" s="679">
        <f t="shared" si="23"/>
        <v>-705333.33333333337</v>
      </c>
      <c r="P47" s="670">
        <f>Breakout!$E$16/12</f>
        <v>3446210.4286983572</v>
      </c>
      <c r="Q47" s="671">
        <f>'wholesale services'!$D$110*'wholesale services'!$F$111/12</f>
        <v>3250582.4999999995</v>
      </c>
      <c r="R47" s="671">
        <v>3320487.5</v>
      </c>
      <c r="S47" s="670">
        <f>Breakout!$E$27/12</f>
        <v>122095.9086628462</v>
      </c>
      <c r="T47" s="671">
        <f>'wholesale services'!$D$113*'wholesale services'!$F$114/12</f>
        <v>144397.9625240622</v>
      </c>
      <c r="U47" s="671">
        <v>147344.85971843082</v>
      </c>
      <c r="V47" s="670">
        <f>Breakout!$E$38/12</f>
        <v>61458.775020059868</v>
      </c>
      <c r="W47" s="672">
        <f>Breakout!$E$39/12</f>
        <v>61500.373</v>
      </c>
      <c r="X47" s="672">
        <v>62161.667333333338</v>
      </c>
      <c r="Y47" s="670">
        <f>Breakout!$E$49/12</f>
        <v>447055.0733745264</v>
      </c>
      <c r="Z47" s="671">
        <f>Breakout!$E$50/12</f>
        <v>404634.13494570012</v>
      </c>
      <c r="AA47" s="671">
        <v>425040.03843004658</v>
      </c>
      <c r="AB47" s="670">
        <f>Breakout!$E$60/12</f>
        <v>411324.54837974097</v>
      </c>
      <c r="AC47" s="671">
        <f>Breakout!$E$61/12</f>
        <v>400875.2235736635</v>
      </c>
      <c r="AD47" s="671">
        <v>413374.6737519069</v>
      </c>
      <c r="AE47" s="670">
        <f>Breakout!$E$71/12</f>
        <v>312079.77179464215</v>
      </c>
      <c r="AF47" s="671">
        <f>Breakout!$E$72/12</f>
        <v>316520.66666666669</v>
      </c>
      <c r="AG47" s="671">
        <v>316520.66666666669</v>
      </c>
      <c r="AH47" s="670">
        <f>Breakout!$E$82/12</f>
        <v>20541.03443183819</v>
      </c>
      <c r="AI47" s="671">
        <f>Breakout!$E$83/12</f>
        <v>0</v>
      </c>
      <c r="AJ47" s="671">
        <v>0</v>
      </c>
      <c r="AK47" s="673">
        <f>Breakout!$E$91/12</f>
        <v>276189.69241657347</v>
      </c>
      <c r="AL47" s="673">
        <v>276189.69241657347</v>
      </c>
      <c r="AM47" s="673">
        <f>(Breakout!$E$107/12)*-1</f>
        <v>55221.25</v>
      </c>
      <c r="AN47" s="673">
        <v>55221.25</v>
      </c>
      <c r="AO47" s="674">
        <f t="shared" si="57"/>
        <v>4820765.5403620116</v>
      </c>
      <c r="AP47" s="674">
        <f t="shared" si="58"/>
        <v>4942827.1567892563</v>
      </c>
      <c r="AQ47" s="548">
        <f t="shared" si="59"/>
        <v>151351.89355943428</v>
      </c>
      <c r="AR47" s="672">
        <f>SUM(AQ36:AQ47)</f>
        <v>1816222.7227132109</v>
      </c>
      <c r="AS47" s="553">
        <f t="shared" si="60"/>
        <v>18239.359127104108</v>
      </c>
      <c r="AT47" s="672">
        <f>SUM(AS36:AS47)</f>
        <v>218872.30952524929</v>
      </c>
      <c r="AU47" s="671">
        <f>'wholesale services'!$F$110/12</f>
        <v>39106610.706018515</v>
      </c>
      <c r="AV47" s="671">
        <f>'wholesale services'!$F$113/12</f>
        <v>17613.255833333333</v>
      </c>
      <c r="AW47" s="672"/>
      <c r="AX47" s="552">
        <f t="shared" si="61"/>
        <v>-715341.08333333337</v>
      </c>
      <c r="AY47" s="381">
        <f t="shared" si="62"/>
        <v>-705333.33333333337</v>
      </c>
      <c r="AZ47" s="672"/>
      <c r="BA47" s="438">
        <f t="shared" si="63"/>
        <v>424110.67720624141</v>
      </c>
      <c r="BB47" s="438">
        <f t="shared" si="64"/>
        <v>-10276.646045011592</v>
      </c>
      <c r="BC47" s="438">
        <f t="shared" si="65"/>
        <v>-41.597979940132063</v>
      </c>
      <c r="BD47" s="438">
        <f t="shared" si="24"/>
        <v>42420.938428826281</v>
      </c>
      <c r="BE47" s="438">
        <f t="shared" si="25"/>
        <v>10449.324806077464</v>
      </c>
      <c r="BF47" s="438">
        <f t="shared" si="26"/>
        <v>-4440.8948720245389</v>
      </c>
      <c r="BG47" s="438">
        <f t="shared" si="27"/>
        <v>20541.03443183819</v>
      </c>
      <c r="BH47" s="438">
        <f t="shared" si="28"/>
        <v>-276189.69241657347</v>
      </c>
      <c r="BI47" s="438">
        <f t="shared" si="29"/>
        <v>-55221.25</v>
      </c>
      <c r="BJ47" s="672"/>
      <c r="BK47" s="496"/>
      <c r="BL47" s="438">
        <f t="shared" si="66"/>
        <v>568013.06179797591</v>
      </c>
      <c r="BM47" s="438">
        <f t="shared" si="67"/>
        <v>-5178.3234762082648</v>
      </c>
      <c r="BN47" s="438">
        <f t="shared" si="68"/>
        <v>2524.7178218532063</v>
      </c>
      <c r="BO47" s="438">
        <f t="shared" si="69"/>
        <v>61088.484254437964</v>
      </c>
      <c r="BP47" s="438">
        <f t="shared" si="70"/>
        <v>27624.88171927497</v>
      </c>
      <c r="BQ47" s="438">
        <f t="shared" si="71"/>
        <v>8590.5274027481209</v>
      </c>
      <c r="BR47" s="438">
        <f t="shared" si="72"/>
        <v>21398.760301421524</v>
      </c>
      <c r="BS47" s="438">
        <f t="shared" si="44"/>
        <v>-276189.69241657347</v>
      </c>
      <c r="BT47" s="438">
        <f t="shared" si="45"/>
        <v>-55221.25</v>
      </c>
      <c r="BU47" s="672"/>
      <c r="BV47" s="672"/>
      <c r="BW47" s="670">
        <f>Breakout!$E$15/12</f>
        <v>3590112.8132900917</v>
      </c>
      <c r="BX47" s="670">
        <f>Breakout!$E$26/12</f>
        <v>127194.23123164952</v>
      </c>
      <c r="BY47" s="670">
        <f>Breakout!$E$37/12</f>
        <v>64025.090821853206</v>
      </c>
      <c r="BZ47" s="670">
        <f>Breakout!$E$48/12</f>
        <v>465722.61920013808</v>
      </c>
      <c r="CA47" s="670">
        <f>Breakout!$E$59/12</f>
        <v>428500.10529293848</v>
      </c>
      <c r="CB47" s="670">
        <f>Breakout!$E$70/12</f>
        <v>325111.19406941481</v>
      </c>
      <c r="CC47" s="670">
        <f>Breakout!$E$81/12</f>
        <v>21398.760301421524</v>
      </c>
      <c r="CD47" s="672"/>
      <c r="CE47" s="675">
        <f t="shared" si="30"/>
        <v>3589802.5298941224</v>
      </c>
      <c r="CF47" s="675">
        <f t="shared" si="31"/>
        <v>127183.23819046479</v>
      </c>
      <c r="CG47" s="675">
        <f t="shared" si="32"/>
        <v>64019.557312562363</v>
      </c>
      <c r="CH47" s="672"/>
      <c r="CI47" s="675">
        <f t="shared" si="33"/>
        <v>-715341.08333333337</v>
      </c>
      <c r="CJ47" s="675">
        <f t="shared" si="34"/>
        <v>-705333.33333333337</v>
      </c>
      <c r="CK47" s="672"/>
      <c r="CL47" s="672">
        <f>'account mgt'!$E$23/12</f>
        <v>-51239.700000000004</v>
      </c>
      <c r="CM47" s="672"/>
      <c r="CN47" s="438">
        <v>0</v>
      </c>
      <c r="CO47" s="672"/>
      <c r="CP47" s="672"/>
      <c r="CQ47" s="496"/>
      <c r="CR47" s="496"/>
      <c r="CS47" s="496"/>
      <c r="CT47" s="438">
        <f t="shared" si="51"/>
        <v>24403430.098139785</v>
      </c>
      <c r="CU47" s="438">
        <f t="shared" si="46"/>
        <v>192583.73585781982</v>
      </c>
      <c r="CV47" s="438">
        <f>IF(CT47&lt;0.1,0,PPMT($L$3,A47-14,unwinds!$B$8*12,$K$5))</f>
        <v>574975.14164477936</v>
      </c>
      <c r="CW47" s="438">
        <f t="shared" si="47"/>
        <v>23828454.956495006</v>
      </c>
      <c r="CX47" s="438">
        <f t="shared" si="48"/>
        <v>23828454.956495006</v>
      </c>
      <c r="CY47" s="672">
        <f>CX47</f>
        <v>23828454.956495006</v>
      </c>
      <c r="CZ47" s="438"/>
      <c r="DA47" s="438">
        <f t="shared" si="53"/>
        <v>30593211.174667031</v>
      </c>
      <c r="DB47" s="438">
        <f t="shared" si="54"/>
        <v>241431.42485341398</v>
      </c>
      <c r="DC47" s="438">
        <f t="shared" si="55"/>
        <v>253966.64681820225</v>
      </c>
      <c r="DD47" s="438">
        <f t="shared" si="56"/>
        <v>30339244.527848829</v>
      </c>
      <c r="DE47" s="438">
        <f t="shared" si="49"/>
        <v>30339244.527848829</v>
      </c>
      <c r="DF47" s="672">
        <f>DE47</f>
        <v>30339244.527848829</v>
      </c>
      <c r="DG47" s="672"/>
      <c r="DH47" s="944">
        <v>-715341.08333333337</v>
      </c>
      <c r="DI47" s="944">
        <v>-705333.33333333337</v>
      </c>
      <c r="DJ47" s="944"/>
      <c r="DK47" s="672"/>
      <c r="DL47" s="381">
        <f t="shared" si="52"/>
        <v>474832.92700924521</v>
      </c>
      <c r="DM47" s="672"/>
      <c r="DN47" s="944">
        <f t="shared" si="18"/>
        <v>-715341.08333333337</v>
      </c>
      <c r="DO47" s="944">
        <f t="shared" si="19"/>
        <v>474832.92700924521</v>
      </c>
      <c r="DP47" s="672"/>
      <c r="DQ47" s="438">
        <f t="shared" si="20"/>
        <v>339530.31329009216</v>
      </c>
      <c r="DR47" s="438">
        <f t="shared" si="21"/>
        <v>-17203.731292412675</v>
      </c>
      <c r="DS47" s="672"/>
      <c r="DT47" s="672"/>
      <c r="DU47" s="672"/>
      <c r="DV47" s="672"/>
      <c r="DW47" s="672"/>
      <c r="DX47" s="672"/>
    </row>
    <row r="48" spans="1:128" s="532" customFormat="1" x14ac:dyDescent="0.2">
      <c r="A48" s="528">
        <v>37</v>
      </c>
      <c r="B48" s="633">
        <v>37622</v>
      </c>
      <c r="C48" s="381">
        <v>0</v>
      </c>
      <c r="D48" s="381">
        <v>0</v>
      </c>
      <c r="E48" s="381">
        <v>0</v>
      </c>
      <c r="F48" s="381">
        <v>237552.51943308106</v>
      </c>
      <c r="G48" s="381">
        <v>253966.64681820243</v>
      </c>
      <c r="H48" s="381">
        <v>0</v>
      </c>
      <c r="I48" s="381">
        <v>491519.16625128349</v>
      </c>
      <c r="J48" s="381"/>
      <c r="K48" s="381"/>
      <c r="L48" s="381">
        <f t="shared" si="50"/>
        <v>491519.16625128326</v>
      </c>
      <c r="M48" s="381"/>
      <c r="N48" s="679">
        <f t="shared" si="22"/>
        <v>-715341.08333333337</v>
      </c>
      <c r="O48" s="679">
        <f t="shared" si="23"/>
        <v>-705333.33333333337</v>
      </c>
      <c r="P48" s="564">
        <f>Breakout!$F$16/12</f>
        <v>3481801.0791036584</v>
      </c>
      <c r="Q48" s="557">
        <f>'wholesale services'!$D$110*'wholesale services'!$G$111/12</f>
        <v>3250582.4999999995</v>
      </c>
      <c r="R48" s="557">
        <v>3320487.5</v>
      </c>
      <c r="S48" s="564">
        <f>Breakout!$F$27/12</f>
        <v>123356.85104899592</v>
      </c>
      <c r="T48" s="557">
        <f>'wholesale services'!$D$113*'wholesale services'!$G$114/12</f>
        <v>146872.60858606594</v>
      </c>
      <c r="U48" s="557">
        <v>149870.0087612918</v>
      </c>
      <c r="V48" s="564">
        <f>Breakout!$F$38/12</f>
        <v>62093.488953330387</v>
      </c>
      <c r="W48" s="531">
        <f>Breakout!$F$39/12</f>
        <v>63345.384190000012</v>
      </c>
      <c r="X48" s="531">
        <v>64026.517353333329</v>
      </c>
      <c r="Y48" s="564">
        <f>Breakout!$F$49/12</f>
        <v>451672.02325544209</v>
      </c>
      <c r="Z48" s="560">
        <f>Breakout!$F$50/12</f>
        <v>412767.28105810867</v>
      </c>
      <c r="AA48" s="560">
        <v>433583.34320249053</v>
      </c>
      <c r="AB48" s="564">
        <f>Breakout!$F$60/12</f>
        <v>415572.49217405851</v>
      </c>
      <c r="AC48" s="560">
        <f>Breakout!$F$61/12</f>
        <v>408932.81556749414</v>
      </c>
      <c r="AD48" s="560">
        <v>421683.50469432026</v>
      </c>
      <c r="AE48" s="564">
        <f>Breakout!$F$71/12</f>
        <v>315302.7676871781</v>
      </c>
      <c r="AF48" s="560">
        <f>Breakout!$F$72/12</f>
        <v>316520.66666666669</v>
      </c>
      <c r="AG48" s="560">
        <v>316520.66666666669</v>
      </c>
      <c r="AH48" s="564">
        <f>Breakout!$F$82/12</f>
        <v>20753.171441621118</v>
      </c>
      <c r="AI48" s="560">
        <f>Breakout!$F$83/12</f>
        <v>0</v>
      </c>
      <c r="AJ48" s="560">
        <v>0</v>
      </c>
      <c r="AK48" s="570">
        <f>Breakout!$F$91/12</f>
        <v>279042.03442868293</v>
      </c>
      <c r="AL48" s="570">
        <v>279042.03442868293</v>
      </c>
      <c r="AM48" s="567">
        <f>(Breakout!$F$107/12)*-1</f>
        <v>55221.25</v>
      </c>
      <c r="AN48" s="567">
        <v>55221.25</v>
      </c>
      <c r="AO48" s="578">
        <f t="shared" si="57"/>
        <v>4870551.8736642851</v>
      </c>
      <c r="AP48" s="578">
        <f t="shared" si="58"/>
        <v>4966851.2917682268</v>
      </c>
      <c r="AQ48" s="548">
        <f t="shared" si="59"/>
        <v>177775.4894913552</v>
      </c>
      <c r="AR48" s="531"/>
      <c r="AS48" s="553">
        <f t="shared" si="60"/>
        <v>43931.21563954954</v>
      </c>
      <c r="AT48" s="531"/>
      <c r="AU48" s="557">
        <f>'wholesale services'!$G$110/12</f>
        <v>39106610.706018515</v>
      </c>
      <c r="AV48" s="557">
        <f>'wholesale services'!$G$113/12</f>
        <v>17613.255833333333</v>
      </c>
      <c r="AW48" s="531"/>
      <c r="AX48" s="552">
        <f t="shared" si="61"/>
        <v>-715341.08333333337</v>
      </c>
      <c r="AY48" s="381">
        <f t="shared" si="62"/>
        <v>-705333.33333333337</v>
      </c>
      <c r="AZ48" s="496"/>
      <c r="BA48" s="438">
        <f t="shared" si="63"/>
        <v>459701.32761154266</v>
      </c>
      <c r="BB48" s="438">
        <f t="shared" si="64"/>
        <v>-11490.349720865612</v>
      </c>
      <c r="BC48" s="438">
        <f t="shared" si="65"/>
        <v>-1251.8952366696249</v>
      </c>
      <c r="BD48" s="438">
        <f t="shared" si="24"/>
        <v>38904.742197333428</v>
      </c>
      <c r="BE48" s="438">
        <f t="shared" si="25"/>
        <v>6639.6766065643751</v>
      </c>
      <c r="BF48" s="438">
        <f t="shared" si="26"/>
        <v>-1217.8989794885856</v>
      </c>
      <c r="BG48" s="438">
        <f t="shared" si="27"/>
        <v>20753.171441621118</v>
      </c>
      <c r="BH48" s="438">
        <f t="shared" si="28"/>
        <v>-279042.03442868293</v>
      </c>
      <c r="BI48" s="438">
        <f t="shared" si="29"/>
        <v>-55221.25</v>
      </c>
      <c r="BJ48" s="531"/>
      <c r="BK48" s="496"/>
      <c r="BL48" s="438">
        <f t="shared" si="66"/>
        <v>605258.5896260821</v>
      </c>
      <c r="BM48" s="438">
        <f t="shared" si="67"/>
        <v>-6333.3964425210652</v>
      </c>
      <c r="BN48" s="438">
        <f t="shared" si="68"/>
        <v>1343.9331968443366</v>
      </c>
      <c r="BO48" s="438">
        <f t="shared" si="69"/>
        <v>57786.964799939597</v>
      </c>
      <c r="BP48" s="438">
        <f t="shared" si="70"/>
        <v>24012.752424263686</v>
      </c>
      <c r="BQ48" s="438">
        <f t="shared" si="71"/>
        <v>11963.384651443921</v>
      </c>
      <c r="BR48" s="438">
        <f t="shared" si="72"/>
        <v>21620.761158704659</v>
      </c>
      <c r="BS48" s="438">
        <f t="shared" si="44"/>
        <v>-279042.03442868293</v>
      </c>
      <c r="BT48" s="438">
        <f t="shared" si="45"/>
        <v>-55221.25</v>
      </c>
      <c r="BU48" s="531"/>
      <c r="BV48" s="531"/>
      <c r="BW48" s="564">
        <f>Breakout!$F$15/12</f>
        <v>3627358.3411181979</v>
      </c>
      <c r="BX48" s="564">
        <f>Breakout!$F$26/12</f>
        <v>128513.80432734046</v>
      </c>
      <c r="BY48" s="564">
        <f>Breakout!$F$37/12</f>
        <v>64689.317386844348</v>
      </c>
      <c r="BZ48" s="564">
        <f>Breakout!$F$48/12</f>
        <v>470554.24585804826</v>
      </c>
      <c r="CA48" s="564">
        <f>Breakout!$F$59/12</f>
        <v>432945.56799175782</v>
      </c>
      <c r="CB48" s="564">
        <f>Breakout!$F$70/12</f>
        <v>328484.05131811061</v>
      </c>
      <c r="CC48" s="564">
        <f>Breakout!$F$81/12</f>
        <v>21620.761158704659</v>
      </c>
      <c r="CD48" s="531"/>
      <c r="CE48" s="634">
        <f t="shared" si="30"/>
        <v>3626876.1240663109</v>
      </c>
      <c r="CF48" s="634">
        <f t="shared" si="31"/>
        <v>128496.71984270409</v>
      </c>
      <c r="CG48" s="634">
        <f t="shared" si="32"/>
        <v>64680.717659719157</v>
      </c>
      <c r="CH48" s="531"/>
      <c r="CI48" s="634">
        <f t="shared" si="33"/>
        <v>-715341.08333333337</v>
      </c>
      <c r="CJ48" s="634">
        <f t="shared" si="34"/>
        <v>-705333.33333333337</v>
      </c>
      <c r="CK48" s="531"/>
      <c r="CL48" s="438">
        <f>'account mgt'!$F$23/12</f>
        <v>-52264.493999999999</v>
      </c>
      <c r="CM48" s="531"/>
      <c r="CN48" s="438">
        <v>0</v>
      </c>
      <c r="CO48" s="531"/>
      <c r="CP48" s="531"/>
      <c r="CQ48" s="496"/>
      <c r="CR48" s="496"/>
      <c r="CS48" s="496"/>
      <c r="CT48" s="438">
        <f t="shared" si="51"/>
        <v>23828454.956495006</v>
      </c>
      <c r="CU48" s="438">
        <f t="shared" si="46"/>
        <v>188046.22369833975</v>
      </c>
      <c r="CV48" s="438">
        <f>IF(CT48&lt;0.1,0,PPMT($L$3,A48-14,unwinds!$B$8*12,$K$5))</f>
        <v>579512.65380425949</v>
      </c>
      <c r="CW48" s="438">
        <f t="shared" si="47"/>
        <v>23248942.302690744</v>
      </c>
      <c r="CX48" s="438">
        <f t="shared" si="48"/>
        <v>23248942.302690744</v>
      </c>
      <c r="CY48" s="531"/>
      <c r="CZ48" s="438"/>
      <c r="DA48" s="438">
        <f t="shared" si="53"/>
        <v>30339244.527848829</v>
      </c>
      <c r="DB48" s="438">
        <f t="shared" si="54"/>
        <v>239427.20473227368</v>
      </c>
      <c r="DC48" s="438">
        <f t="shared" si="55"/>
        <v>255970.86693934252</v>
      </c>
      <c r="DD48" s="438">
        <f t="shared" si="56"/>
        <v>30083273.660909485</v>
      </c>
      <c r="DE48" s="438">
        <f t="shared" si="49"/>
        <v>30083273.660909485</v>
      </c>
      <c r="DF48" s="531"/>
      <c r="DG48" s="531"/>
      <c r="DH48" s="944">
        <v>-715341.08333333337</v>
      </c>
      <c r="DI48" s="944">
        <v>-705333.33333333337</v>
      </c>
      <c r="DJ48" s="944"/>
      <c r="DK48" s="531"/>
      <c r="DL48" s="381">
        <f t="shared" si="52"/>
        <v>474832.92700924521</v>
      </c>
      <c r="DM48" s="531"/>
      <c r="DN48" s="944">
        <f t="shared" si="18"/>
        <v>-715341.08333333337</v>
      </c>
      <c r="DO48" s="944">
        <f t="shared" si="19"/>
        <v>474832.92700924521</v>
      </c>
      <c r="DP48" s="531"/>
      <c r="DQ48" s="438">
        <f t="shared" si="20"/>
        <v>376775.84111819835</v>
      </c>
      <c r="DR48" s="438">
        <f t="shared" si="21"/>
        <v>-18358.804258725475</v>
      </c>
      <c r="DS48" s="531"/>
      <c r="DT48" s="531"/>
      <c r="DU48" s="531"/>
      <c r="DV48" s="531"/>
      <c r="DW48" s="531"/>
      <c r="DX48" s="531"/>
    </row>
    <row r="49" spans="1:128" x14ac:dyDescent="0.2">
      <c r="A49" s="383">
        <v>38</v>
      </c>
      <c r="B49" s="631">
        <v>37653</v>
      </c>
      <c r="C49" s="381">
        <v>0</v>
      </c>
      <c r="D49" s="381">
        <v>0</v>
      </c>
      <c r="E49" s="381">
        <v>0</v>
      </c>
      <c r="F49" s="381">
        <v>235548.29931194073</v>
      </c>
      <c r="G49" s="381">
        <v>255970.86693934276</v>
      </c>
      <c r="H49" s="381">
        <v>0</v>
      </c>
      <c r="I49" s="381">
        <v>491519.16625128349</v>
      </c>
      <c r="J49" s="381"/>
      <c r="K49" s="381"/>
      <c r="L49" s="381">
        <f t="shared" si="50"/>
        <v>491519.16625128326</v>
      </c>
      <c r="M49" s="381"/>
      <c r="N49" s="679">
        <f t="shared" si="22"/>
        <v>-715341.08333333337</v>
      </c>
      <c r="O49" s="679">
        <f t="shared" si="23"/>
        <v>-705333.33333333337</v>
      </c>
      <c r="P49" s="565">
        <f>Breakout!$F$16/12</f>
        <v>3481801.0791036584</v>
      </c>
      <c r="Q49" s="557">
        <f>'wholesale services'!$D$110*'wholesale services'!$G$111/12</f>
        <v>3250582.4999999995</v>
      </c>
      <c r="R49" s="557">
        <v>3320487.5</v>
      </c>
      <c r="S49" s="565">
        <f>Breakout!$F$27/12</f>
        <v>123356.85104899592</v>
      </c>
      <c r="T49" s="557">
        <f>'wholesale services'!$D$113*'wholesale services'!$G$114/12</f>
        <v>146872.60858606594</v>
      </c>
      <c r="U49" s="557">
        <v>149870.0087612918</v>
      </c>
      <c r="V49" s="565">
        <f>Breakout!$F$38/12</f>
        <v>62093.488953330387</v>
      </c>
      <c r="W49" s="496">
        <f>Breakout!$F$39/12</f>
        <v>63345.384190000012</v>
      </c>
      <c r="X49" s="496">
        <v>64026.517353333329</v>
      </c>
      <c r="Y49" s="565">
        <f>Breakout!$F$49/12</f>
        <v>451672.02325544209</v>
      </c>
      <c r="Z49" s="566">
        <f>Breakout!$F$50/12</f>
        <v>412767.28105810867</v>
      </c>
      <c r="AA49" s="566">
        <v>433583.34320249053</v>
      </c>
      <c r="AB49" s="565">
        <f>Breakout!$F$60/12</f>
        <v>415572.49217405851</v>
      </c>
      <c r="AC49" s="566">
        <f>Breakout!$F$61/12</f>
        <v>408932.81556749414</v>
      </c>
      <c r="AD49" s="566">
        <v>421683.50469432026</v>
      </c>
      <c r="AE49" s="565">
        <f>Breakout!$F$71/12</f>
        <v>315302.7676871781</v>
      </c>
      <c r="AF49" s="566">
        <f>Breakout!$F$72/12</f>
        <v>316520.66666666669</v>
      </c>
      <c r="AG49" s="566">
        <v>316520.66666666669</v>
      </c>
      <c r="AH49" s="565">
        <f>Breakout!$F$82/12</f>
        <v>20753.171441621118</v>
      </c>
      <c r="AI49" s="566">
        <f>Breakout!$F$83/12</f>
        <v>0</v>
      </c>
      <c r="AJ49" s="566">
        <v>0</v>
      </c>
      <c r="AK49" s="571">
        <f>Breakout!$F$91/12</f>
        <v>279042.03442868293</v>
      </c>
      <c r="AL49" s="571">
        <v>279042.03442868293</v>
      </c>
      <c r="AM49" s="567">
        <f>(Breakout!$F$107/12)*-1</f>
        <v>55221.25</v>
      </c>
      <c r="AN49" s="567">
        <v>55221.25</v>
      </c>
      <c r="AO49" s="578">
        <f t="shared" si="57"/>
        <v>4870551.8736642851</v>
      </c>
      <c r="AP49" s="578">
        <f t="shared" si="58"/>
        <v>4966851.2917682268</v>
      </c>
      <c r="AQ49" s="548">
        <f t="shared" si="59"/>
        <v>177775.4894913552</v>
      </c>
      <c r="AR49" s="496"/>
      <c r="AS49" s="553">
        <f t="shared" si="60"/>
        <v>43931.21563954954</v>
      </c>
      <c r="AT49" s="496"/>
      <c r="AU49" s="557">
        <f>'wholesale services'!$G$110/12</f>
        <v>39106610.706018515</v>
      </c>
      <c r="AV49" s="557">
        <f>'wholesale services'!$G$113/12</f>
        <v>17613.255833333333</v>
      </c>
      <c r="AW49" s="496"/>
      <c r="AX49" s="552">
        <f t="shared" si="61"/>
        <v>-715341.08333333337</v>
      </c>
      <c r="AY49" s="381">
        <f t="shared" si="62"/>
        <v>-705333.33333333337</v>
      </c>
      <c r="AZ49" s="496"/>
      <c r="BA49" s="438">
        <f t="shared" si="63"/>
        <v>459701.32761154266</v>
      </c>
      <c r="BB49" s="438">
        <f t="shared" si="64"/>
        <v>-11490.349720865612</v>
      </c>
      <c r="BC49" s="438">
        <f t="shared" si="65"/>
        <v>-1251.8952366696249</v>
      </c>
      <c r="BD49" s="438">
        <f t="shared" si="24"/>
        <v>38904.742197333428</v>
      </c>
      <c r="BE49" s="438">
        <f t="shared" si="25"/>
        <v>6639.6766065643751</v>
      </c>
      <c r="BF49" s="438">
        <f t="shared" si="26"/>
        <v>-1217.8989794885856</v>
      </c>
      <c r="BG49" s="438">
        <f t="shared" si="27"/>
        <v>20753.171441621118</v>
      </c>
      <c r="BH49" s="438">
        <f t="shared" si="28"/>
        <v>-279042.03442868293</v>
      </c>
      <c r="BI49" s="438">
        <f t="shared" si="29"/>
        <v>-55221.25</v>
      </c>
      <c r="BL49" s="438">
        <f t="shared" si="66"/>
        <v>605258.5896260821</v>
      </c>
      <c r="BM49" s="438">
        <f t="shared" si="67"/>
        <v>-6333.3964425210652</v>
      </c>
      <c r="BN49" s="438">
        <f t="shared" si="68"/>
        <v>1343.9331968443366</v>
      </c>
      <c r="BO49" s="438">
        <f t="shared" si="69"/>
        <v>57786.964799939597</v>
      </c>
      <c r="BP49" s="438">
        <f t="shared" si="70"/>
        <v>24012.752424263686</v>
      </c>
      <c r="BQ49" s="438">
        <f t="shared" si="71"/>
        <v>11963.384651443921</v>
      </c>
      <c r="BR49" s="438">
        <f t="shared" si="72"/>
        <v>21620.761158704659</v>
      </c>
      <c r="BS49" s="438">
        <f t="shared" si="44"/>
        <v>-279042.03442868293</v>
      </c>
      <c r="BT49" s="438">
        <f t="shared" si="45"/>
        <v>-55221.25</v>
      </c>
      <c r="BW49" s="565">
        <f>Breakout!$F$15/12</f>
        <v>3627358.3411181979</v>
      </c>
      <c r="BX49" s="565">
        <f>Breakout!$F$26/12</f>
        <v>128513.80432734046</v>
      </c>
      <c r="BY49" s="565">
        <f>Breakout!$F$37/12</f>
        <v>64689.317386844348</v>
      </c>
      <c r="BZ49" s="565">
        <f>Breakout!$F$48/12</f>
        <v>470554.24585804826</v>
      </c>
      <c r="CA49" s="565">
        <f>Breakout!$F$59/12</f>
        <v>432945.56799175782</v>
      </c>
      <c r="CB49" s="565">
        <f>Breakout!$F$70/12</f>
        <v>328484.05131811061</v>
      </c>
      <c r="CC49" s="565">
        <f>Breakout!$F$81/12</f>
        <v>21620.761158704659</v>
      </c>
      <c r="CE49" s="634">
        <f t="shared" si="30"/>
        <v>3626876.1240663109</v>
      </c>
      <c r="CF49" s="634">
        <f t="shared" si="31"/>
        <v>128496.71984270409</v>
      </c>
      <c r="CG49" s="634">
        <f t="shared" si="32"/>
        <v>64680.717659719157</v>
      </c>
      <c r="CI49" s="634">
        <f t="shared" si="33"/>
        <v>-715341.08333333337</v>
      </c>
      <c r="CJ49" s="634">
        <f t="shared" si="34"/>
        <v>-705333.33333333337</v>
      </c>
      <c r="CL49" s="438">
        <f>'account mgt'!$F$23/12</f>
        <v>-52264.493999999999</v>
      </c>
      <c r="CN49" s="438">
        <v>0</v>
      </c>
      <c r="CT49" s="438">
        <f t="shared" si="51"/>
        <v>23248942.302690744</v>
      </c>
      <c r="CU49" s="438">
        <f t="shared" si="46"/>
        <v>183472.90300540111</v>
      </c>
      <c r="CV49" s="438">
        <f>IF(CT49&lt;0.1,0,PPMT($L$3,A49-14,unwinds!$B$8*12,$K$5))</f>
        <v>584085.97449719801</v>
      </c>
      <c r="CW49" s="438">
        <f t="shared" si="47"/>
        <v>22664856.328193545</v>
      </c>
      <c r="CX49" s="438">
        <f t="shared" si="48"/>
        <v>22664856.328193545</v>
      </c>
      <c r="DA49" s="438">
        <f t="shared" si="53"/>
        <v>30083273.660909485</v>
      </c>
      <c r="DB49" s="438">
        <f t="shared" si="54"/>
        <v>237407.16797401069</v>
      </c>
      <c r="DC49" s="438">
        <f t="shared" si="55"/>
        <v>257990.90369760551</v>
      </c>
      <c r="DD49" s="438">
        <f t="shared" si="56"/>
        <v>29825282.757211879</v>
      </c>
      <c r="DE49" s="438">
        <f t="shared" si="49"/>
        <v>29825282.757211879</v>
      </c>
      <c r="DH49" s="944">
        <v>-715341.08333333337</v>
      </c>
      <c r="DI49" s="944">
        <v>-705333.33333333337</v>
      </c>
      <c r="DJ49" s="944"/>
      <c r="DL49" s="381">
        <f t="shared" si="52"/>
        <v>474832.92700924521</v>
      </c>
      <c r="DN49" s="944">
        <f t="shared" si="18"/>
        <v>-715341.08333333337</v>
      </c>
      <c r="DO49" s="944">
        <f t="shared" si="19"/>
        <v>474832.92700924521</v>
      </c>
      <c r="DQ49" s="438">
        <f t="shared" si="20"/>
        <v>376775.84111819835</v>
      </c>
      <c r="DR49" s="438">
        <f t="shared" si="21"/>
        <v>-18358.804258725475</v>
      </c>
      <c r="DS49" s="438"/>
      <c r="DT49" s="438"/>
      <c r="DU49" s="438"/>
      <c r="DV49" s="438"/>
      <c r="DW49" s="438"/>
      <c r="DX49" s="438"/>
    </row>
    <row r="50" spans="1:128" x14ac:dyDescent="0.2">
      <c r="A50" s="383">
        <v>39</v>
      </c>
      <c r="B50" s="631">
        <v>37681</v>
      </c>
      <c r="C50" s="381">
        <v>0</v>
      </c>
      <c r="D50" s="381">
        <v>0</v>
      </c>
      <c r="E50" s="381">
        <v>0</v>
      </c>
      <c r="F50" s="381">
        <v>233528.26255367778</v>
      </c>
      <c r="G50" s="381">
        <v>257990.90369760571</v>
      </c>
      <c r="H50" s="381">
        <v>0</v>
      </c>
      <c r="I50" s="381">
        <v>491519.16625128349</v>
      </c>
      <c r="J50" s="381"/>
      <c r="K50" s="381"/>
      <c r="L50" s="381">
        <f t="shared" si="50"/>
        <v>491519.16625128326</v>
      </c>
      <c r="M50" s="381"/>
      <c r="N50" s="679">
        <f t="shared" si="22"/>
        <v>-715341.08333333337</v>
      </c>
      <c r="O50" s="679">
        <f t="shared" si="23"/>
        <v>-705333.33333333337</v>
      </c>
      <c r="P50" s="565">
        <f>Breakout!$F$16/12</f>
        <v>3481801.0791036584</v>
      </c>
      <c r="Q50" s="557">
        <f>'wholesale services'!$D$110*'wholesale services'!$G$111/12</f>
        <v>3250582.4999999995</v>
      </c>
      <c r="R50" s="557">
        <v>3320487.5</v>
      </c>
      <c r="S50" s="565">
        <f>Breakout!$F$27/12</f>
        <v>123356.85104899592</v>
      </c>
      <c r="T50" s="557">
        <f>'wholesale services'!$D$113*'wholesale services'!$G$114/12</f>
        <v>146872.60858606594</v>
      </c>
      <c r="U50" s="557">
        <v>149870.0087612918</v>
      </c>
      <c r="V50" s="565">
        <f>Breakout!$F$38/12</f>
        <v>62093.488953330387</v>
      </c>
      <c r="W50" s="496">
        <f>Breakout!$F$39/12</f>
        <v>63345.384190000012</v>
      </c>
      <c r="X50" s="496">
        <v>64026.517353333329</v>
      </c>
      <c r="Y50" s="565">
        <f>Breakout!$F$49/12</f>
        <v>451672.02325544209</v>
      </c>
      <c r="Z50" s="566">
        <f>Breakout!$F$50/12</f>
        <v>412767.28105810867</v>
      </c>
      <c r="AA50" s="566">
        <v>433583.34320249053</v>
      </c>
      <c r="AB50" s="565">
        <f>Breakout!$F$60/12</f>
        <v>415572.49217405851</v>
      </c>
      <c r="AC50" s="566">
        <f>Breakout!$F$61/12</f>
        <v>408932.81556749414</v>
      </c>
      <c r="AD50" s="566">
        <v>421683.50469432026</v>
      </c>
      <c r="AE50" s="565">
        <f>Breakout!$F$71/12</f>
        <v>315302.7676871781</v>
      </c>
      <c r="AF50" s="566">
        <f>Breakout!$F$72/12</f>
        <v>316520.66666666669</v>
      </c>
      <c r="AG50" s="566">
        <v>316520.66666666669</v>
      </c>
      <c r="AH50" s="565">
        <f>Breakout!$F$82/12</f>
        <v>20753.171441621118</v>
      </c>
      <c r="AI50" s="566">
        <f>Breakout!$F$83/12</f>
        <v>0</v>
      </c>
      <c r="AJ50" s="566">
        <v>0</v>
      </c>
      <c r="AK50" s="571">
        <f>Breakout!$F$91/12</f>
        <v>279042.03442868293</v>
      </c>
      <c r="AL50" s="571">
        <v>279042.03442868293</v>
      </c>
      <c r="AM50" s="567">
        <f>(Breakout!$F$107/12)*-1</f>
        <v>55221.25</v>
      </c>
      <c r="AN50" s="567">
        <v>55221.25</v>
      </c>
      <c r="AO50" s="578">
        <f t="shared" si="57"/>
        <v>4870551.8736642851</v>
      </c>
      <c r="AP50" s="578">
        <f t="shared" si="58"/>
        <v>4966851.2917682268</v>
      </c>
      <c r="AQ50" s="548">
        <f t="shared" si="59"/>
        <v>177775.4894913552</v>
      </c>
      <c r="AR50" s="496"/>
      <c r="AS50" s="553">
        <f t="shared" si="60"/>
        <v>43931.21563954954</v>
      </c>
      <c r="AT50" s="496"/>
      <c r="AU50" s="557">
        <f>'wholesale services'!$G$110/12</f>
        <v>39106610.706018515</v>
      </c>
      <c r="AV50" s="557">
        <f>'wholesale services'!$G$113/12</f>
        <v>17613.255833333333</v>
      </c>
      <c r="AW50" s="496"/>
      <c r="AX50" s="552">
        <f t="shared" si="61"/>
        <v>-715341.08333333337</v>
      </c>
      <c r="AY50" s="381">
        <f t="shared" si="62"/>
        <v>-705333.33333333337</v>
      </c>
      <c r="AZ50" s="496"/>
      <c r="BA50" s="438">
        <f t="shared" si="63"/>
        <v>459701.32761154266</v>
      </c>
      <c r="BB50" s="438">
        <f t="shared" si="64"/>
        <v>-11490.349720865612</v>
      </c>
      <c r="BC50" s="438">
        <f t="shared" si="65"/>
        <v>-1251.8952366696249</v>
      </c>
      <c r="BD50" s="438">
        <f t="shared" si="24"/>
        <v>38904.742197333428</v>
      </c>
      <c r="BE50" s="438">
        <f t="shared" si="25"/>
        <v>6639.6766065643751</v>
      </c>
      <c r="BF50" s="438">
        <f t="shared" si="26"/>
        <v>-1217.8989794885856</v>
      </c>
      <c r="BG50" s="438">
        <f t="shared" si="27"/>
        <v>20753.171441621118</v>
      </c>
      <c r="BH50" s="438">
        <f t="shared" si="28"/>
        <v>-279042.03442868293</v>
      </c>
      <c r="BI50" s="438">
        <f t="shared" si="29"/>
        <v>-55221.25</v>
      </c>
      <c r="BL50" s="438">
        <f t="shared" si="66"/>
        <v>605258.5896260821</v>
      </c>
      <c r="BM50" s="438">
        <f t="shared" si="67"/>
        <v>-6333.3964425210652</v>
      </c>
      <c r="BN50" s="438">
        <f t="shared" si="68"/>
        <v>1343.9331968443366</v>
      </c>
      <c r="BO50" s="438">
        <f t="shared" si="69"/>
        <v>57786.964799939597</v>
      </c>
      <c r="BP50" s="438">
        <f t="shared" si="70"/>
        <v>24012.752424263686</v>
      </c>
      <c r="BQ50" s="438">
        <f t="shared" si="71"/>
        <v>11963.384651443921</v>
      </c>
      <c r="BR50" s="438">
        <f t="shared" si="72"/>
        <v>21620.761158704659</v>
      </c>
      <c r="BS50" s="438">
        <f t="shared" si="44"/>
        <v>-279042.03442868293</v>
      </c>
      <c r="BT50" s="438">
        <f t="shared" si="45"/>
        <v>-55221.25</v>
      </c>
      <c r="BW50" s="565">
        <f>Breakout!$F$15/12</f>
        <v>3627358.3411181979</v>
      </c>
      <c r="BX50" s="565">
        <f>Breakout!$F$26/12</f>
        <v>128513.80432734046</v>
      </c>
      <c r="BY50" s="565">
        <f>Breakout!$F$37/12</f>
        <v>64689.317386844348</v>
      </c>
      <c r="BZ50" s="565">
        <f>Breakout!$F$48/12</f>
        <v>470554.24585804826</v>
      </c>
      <c r="CA50" s="565">
        <f>Breakout!$F$59/12</f>
        <v>432945.56799175782</v>
      </c>
      <c r="CB50" s="565">
        <f>Breakout!$F$70/12</f>
        <v>328484.05131811061</v>
      </c>
      <c r="CC50" s="565">
        <f>Breakout!$F$81/12</f>
        <v>21620.761158704659</v>
      </c>
      <c r="CE50" s="634">
        <f t="shared" si="30"/>
        <v>3626876.1240663109</v>
      </c>
      <c r="CF50" s="634">
        <f t="shared" si="31"/>
        <v>128496.71984270409</v>
      </c>
      <c r="CG50" s="634">
        <f t="shared" si="32"/>
        <v>64680.717659719157</v>
      </c>
      <c r="CI50" s="634">
        <f t="shared" si="33"/>
        <v>-715341.08333333337</v>
      </c>
      <c r="CJ50" s="634">
        <f t="shared" si="34"/>
        <v>-705333.33333333337</v>
      </c>
      <c r="CL50" s="438">
        <f>'account mgt'!$F$23/12</f>
        <v>-52264.493999999999</v>
      </c>
      <c r="CN50" s="438">
        <v>0</v>
      </c>
      <c r="CT50" s="438">
        <f t="shared" si="51"/>
        <v>22664856.328193545</v>
      </c>
      <c r="CU50" s="438">
        <f t="shared" si="46"/>
        <v>178863.49118999406</v>
      </c>
      <c r="CV50" s="438">
        <f>IF(CT50&lt;0.1,0,PPMT($L$3,A50-14,unwinds!$B$8*12,$K$5))</f>
        <v>588695.38631260511</v>
      </c>
      <c r="CW50" s="438">
        <f t="shared" si="47"/>
        <v>22076160.941880941</v>
      </c>
      <c r="CX50" s="438">
        <f t="shared" si="48"/>
        <v>22076160.941880941</v>
      </c>
      <c r="DA50" s="438">
        <f t="shared" si="53"/>
        <v>29825282.757211879</v>
      </c>
      <c r="DB50" s="438">
        <f t="shared" si="54"/>
        <v>235371.18975899709</v>
      </c>
      <c r="DC50" s="438">
        <f t="shared" si="55"/>
        <v>260026.88191261911</v>
      </c>
      <c r="DD50" s="438">
        <f t="shared" si="56"/>
        <v>29565255.87529926</v>
      </c>
      <c r="DE50" s="438">
        <f t="shared" si="49"/>
        <v>29565255.87529926</v>
      </c>
      <c r="DH50" s="944">
        <v>-715341.08333333337</v>
      </c>
      <c r="DI50" s="944">
        <v>-705333.33333333337</v>
      </c>
      <c r="DJ50" s="944"/>
      <c r="DL50" s="381">
        <f t="shared" si="52"/>
        <v>474832.92700924521</v>
      </c>
      <c r="DN50" s="944">
        <f t="shared" si="18"/>
        <v>-715341.08333333337</v>
      </c>
      <c r="DO50" s="944">
        <f t="shared" si="19"/>
        <v>474832.92700924521</v>
      </c>
      <c r="DQ50" s="438">
        <f t="shared" si="20"/>
        <v>376775.84111819835</v>
      </c>
      <c r="DR50" s="438">
        <f t="shared" si="21"/>
        <v>-18358.804258725475</v>
      </c>
      <c r="DS50" s="438"/>
      <c r="DT50" s="438"/>
      <c r="DU50" s="438"/>
      <c r="DV50" s="438"/>
      <c r="DW50" s="438"/>
      <c r="DX50" s="438"/>
    </row>
    <row r="51" spans="1:128" x14ac:dyDescent="0.2">
      <c r="A51" s="383">
        <v>40</v>
      </c>
      <c r="B51" s="631">
        <v>37712</v>
      </c>
      <c r="C51" s="381">
        <v>0</v>
      </c>
      <c r="D51" s="381">
        <v>0</v>
      </c>
      <c r="E51" s="381">
        <v>0</v>
      </c>
      <c r="F51" s="381">
        <v>231492.28433866418</v>
      </c>
      <c r="G51" s="381">
        <v>260026.88191261931</v>
      </c>
      <c r="H51" s="381">
        <v>0</v>
      </c>
      <c r="I51" s="381">
        <v>491519.16625128349</v>
      </c>
      <c r="J51" s="381"/>
      <c r="K51" s="381"/>
      <c r="L51" s="381">
        <f t="shared" si="50"/>
        <v>491519.16625128326</v>
      </c>
      <c r="M51" s="381"/>
      <c r="N51" s="679">
        <f t="shared" si="22"/>
        <v>-715341.08333333337</v>
      </c>
      <c r="O51" s="679">
        <f t="shared" si="23"/>
        <v>-705333.33333333337</v>
      </c>
      <c r="P51" s="565">
        <f>Breakout!$F$16/12</f>
        <v>3481801.0791036584</v>
      </c>
      <c r="Q51" s="557">
        <f>'wholesale services'!$D$110*'wholesale services'!$G$111/12</f>
        <v>3250582.4999999995</v>
      </c>
      <c r="R51" s="557">
        <v>3320487.5</v>
      </c>
      <c r="S51" s="565">
        <f>Breakout!$F$27/12</f>
        <v>123356.85104899592</v>
      </c>
      <c r="T51" s="557">
        <f>'wholesale services'!$D$113*'wholesale services'!$G$114/12</f>
        <v>146872.60858606594</v>
      </c>
      <c r="U51" s="557">
        <v>149870.0087612918</v>
      </c>
      <c r="V51" s="565">
        <f>Breakout!$F$38/12</f>
        <v>62093.488953330387</v>
      </c>
      <c r="W51" s="496">
        <f>Breakout!$F$39/12</f>
        <v>63345.384190000012</v>
      </c>
      <c r="X51" s="496">
        <v>64026.517353333329</v>
      </c>
      <c r="Y51" s="565">
        <f>Breakout!$F$49/12</f>
        <v>451672.02325544209</v>
      </c>
      <c r="Z51" s="566">
        <f>Breakout!$F$50/12</f>
        <v>412767.28105810867</v>
      </c>
      <c r="AA51" s="566">
        <v>433583.34320249053</v>
      </c>
      <c r="AB51" s="565">
        <f>Breakout!$F$60/12</f>
        <v>415572.49217405851</v>
      </c>
      <c r="AC51" s="566">
        <f>Breakout!$F$61/12</f>
        <v>408932.81556749414</v>
      </c>
      <c r="AD51" s="566">
        <v>421683.50469432026</v>
      </c>
      <c r="AE51" s="565">
        <f>Breakout!$F$71/12</f>
        <v>315302.7676871781</v>
      </c>
      <c r="AF51" s="566">
        <f>Breakout!$F$72/12</f>
        <v>316520.66666666669</v>
      </c>
      <c r="AG51" s="566">
        <v>316520.66666666669</v>
      </c>
      <c r="AH51" s="565">
        <f>Breakout!$F$82/12</f>
        <v>20753.171441621118</v>
      </c>
      <c r="AI51" s="566">
        <f>Breakout!$F$83/12</f>
        <v>0</v>
      </c>
      <c r="AJ51" s="566">
        <v>0</v>
      </c>
      <c r="AK51" s="571">
        <f>Breakout!$F$91/12</f>
        <v>279042.03442868293</v>
      </c>
      <c r="AL51" s="571">
        <v>279042.03442868293</v>
      </c>
      <c r="AM51" s="567">
        <f>(Breakout!$F$107/12)*-1</f>
        <v>55221.25</v>
      </c>
      <c r="AN51" s="567">
        <v>55221.25</v>
      </c>
      <c r="AO51" s="578">
        <f t="shared" si="57"/>
        <v>4870551.8736642851</v>
      </c>
      <c r="AP51" s="578">
        <f t="shared" si="58"/>
        <v>4966851.2917682268</v>
      </c>
      <c r="AQ51" s="548">
        <f t="shared" si="59"/>
        <v>177775.4894913552</v>
      </c>
      <c r="AR51" s="496"/>
      <c r="AS51" s="553">
        <f t="shared" si="60"/>
        <v>43931.21563954954</v>
      </c>
      <c r="AT51" s="496"/>
      <c r="AU51" s="557">
        <f>'wholesale services'!$G$110/12</f>
        <v>39106610.706018515</v>
      </c>
      <c r="AV51" s="557">
        <f>'wholesale services'!$G$113/12</f>
        <v>17613.255833333333</v>
      </c>
      <c r="AW51" s="496"/>
      <c r="AX51" s="552">
        <f t="shared" si="61"/>
        <v>-715341.08333333337</v>
      </c>
      <c r="AY51" s="381">
        <f t="shared" si="62"/>
        <v>-705333.33333333337</v>
      </c>
      <c r="AZ51" s="496"/>
      <c r="BA51" s="438">
        <f t="shared" si="63"/>
        <v>459701.32761154266</v>
      </c>
      <c r="BB51" s="438">
        <f t="shared" si="64"/>
        <v>-11490.349720865612</v>
      </c>
      <c r="BC51" s="438">
        <f t="shared" si="65"/>
        <v>-1251.8952366696249</v>
      </c>
      <c r="BD51" s="438">
        <f t="shared" si="24"/>
        <v>38904.742197333428</v>
      </c>
      <c r="BE51" s="438">
        <f t="shared" si="25"/>
        <v>6639.6766065643751</v>
      </c>
      <c r="BF51" s="438">
        <f t="shared" si="26"/>
        <v>-1217.8989794885856</v>
      </c>
      <c r="BG51" s="438">
        <f t="shared" si="27"/>
        <v>20753.171441621118</v>
      </c>
      <c r="BH51" s="438">
        <f t="shared" si="28"/>
        <v>-279042.03442868293</v>
      </c>
      <c r="BI51" s="438">
        <f t="shared" si="29"/>
        <v>-55221.25</v>
      </c>
      <c r="BL51" s="438">
        <f t="shared" si="66"/>
        <v>605258.5896260821</v>
      </c>
      <c r="BM51" s="438">
        <f t="shared" si="67"/>
        <v>-6333.3964425210652</v>
      </c>
      <c r="BN51" s="438">
        <f t="shared" si="68"/>
        <v>1343.9331968443366</v>
      </c>
      <c r="BO51" s="438">
        <f t="shared" si="69"/>
        <v>57786.964799939597</v>
      </c>
      <c r="BP51" s="438">
        <f t="shared" si="70"/>
        <v>24012.752424263686</v>
      </c>
      <c r="BQ51" s="438">
        <f t="shared" si="71"/>
        <v>11963.384651443921</v>
      </c>
      <c r="BR51" s="438">
        <f t="shared" si="72"/>
        <v>21620.761158704659</v>
      </c>
      <c r="BS51" s="438">
        <f t="shared" si="44"/>
        <v>-279042.03442868293</v>
      </c>
      <c r="BT51" s="438">
        <f t="shared" si="45"/>
        <v>-55221.25</v>
      </c>
      <c r="BW51" s="565">
        <f>Breakout!$F$15/12</f>
        <v>3627358.3411181979</v>
      </c>
      <c r="BX51" s="565">
        <f>Breakout!$F$26/12</f>
        <v>128513.80432734046</v>
      </c>
      <c r="BY51" s="565">
        <f>Breakout!$F$37/12</f>
        <v>64689.317386844348</v>
      </c>
      <c r="BZ51" s="565">
        <f>Breakout!$F$48/12</f>
        <v>470554.24585804826</v>
      </c>
      <c r="CA51" s="565">
        <f>Breakout!$F$59/12</f>
        <v>432945.56799175782</v>
      </c>
      <c r="CB51" s="565">
        <f>Breakout!$F$70/12</f>
        <v>328484.05131811061</v>
      </c>
      <c r="CC51" s="565">
        <f>Breakout!$F$81/12</f>
        <v>21620.761158704659</v>
      </c>
      <c r="CE51" s="634">
        <f t="shared" si="30"/>
        <v>3626876.1240663109</v>
      </c>
      <c r="CF51" s="634">
        <f t="shared" si="31"/>
        <v>128496.71984270409</v>
      </c>
      <c r="CG51" s="634">
        <f t="shared" si="32"/>
        <v>64680.717659719157</v>
      </c>
      <c r="CI51" s="634">
        <f t="shared" si="33"/>
        <v>-715341.08333333337</v>
      </c>
      <c r="CJ51" s="634">
        <f t="shared" si="34"/>
        <v>-705333.33333333337</v>
      </c>
      <c r="CL51" s="438">
        <f>'account mgt'!$F$23/12</f>
        <v>-52264.493999999999</v>
      </c>
      <c r="CN51" s="438">
        <v>0</v>
      </c>
      <c r="CT51" s="438">
        <f t="shared" si="51"/>
        <v>22076160.941880941</v>
      </c>
      <c r="CU51" s="438">
        <f t="shared" si="46"/>
        <v>174217.70343301044</v>
      </c>
      <c r="CV51" s="438">
        <f>IF(CT51&lt;0.1,0,PPMT($L$3,A51-14,unwinds!$B$8*12,$K$5))</f>
        <v>593341.17406958877</v>
      </c>
      <c r="CW51" s="438">
        <f t="shared" si="47"/>
        <v>21482819.767811354</v>
      </c>
      <c r="CX51" s="438">
        <f t="shared" si="48"/>
        <v>21482819.767811354</v>
      </c>
      <c r="DA51" s="438">
        <f t="shared" si="53"/>
        <v>29565255.87529926</v>
      </c>
      <c r="DB51" s="438">
        <f t="shared" si="54"/>
        <v>233319.14428256999</v>
      </c>
      <c r="DC51" s="438">
        <f t="shared" si="55"/>
        <v>262078.92738904618</v>
      </c>
      <c r="DD51" s="438">
        <f t="shared" si="56"/>
        <v>29303176.947910212</v>
      </c>
      <c r="DE51" s="438">
        <f t="shared" si="49"/>
        <v>29303176.947910212</v>
      </c>
      <c r="DH51" s="944">
        <v>-715341.08333333337</v>
      </c>
      <c r="DI51" s="944">
        <v>-705333.33333333337</v>
      </c>
      <c r="DJ51" s="944"/>
      <c r="DL51" s="381">
        <f t="shared" si="52"/>
        <v>474832.92700924521</v>
      </c>
      <c r="DN51" s="944">
        <f t="shared" si="18"/>
        <v>-715341.08333333337</v>
      </c>
      <c r="DO51" s="944">
        <f t="shared" si="19"/>
        <v>474832.92700924521</v>
      </c>
      <c r="DQ51" s="438">
        <f t="shared" si="20"/>
        <v>376775.84111819835</v>
      </c>
      <c r="DR51" s="438">
        <f t="shared" si="21"/>
        <v>-18358.804258725475</v>
      </c>
      <c r="DS51" s="438"/>
      <c r="DT51" s="438"/>
      <c r="DU51" s="438"/>
      <c r="DV51" s="438"/>
      <c r="DW51" s="438"/>
      <c r="DX51" s="438"/>
    </row>
    <row r="52" spans="1:128" x14ac:dyDescent="0.2">
      <c r="A52" s="383">
        <v>41</v>
      </c>
      <c r="B52" s="631">
        <v>37742</v>
      </c>
      <c r="C52" s="381">
        <v>0</v>
      </c>
      <c r="D52" s="381">
        <v>0</v>
      </c>
      <c r="E52" s="381">
        <v>0</v>
      </c>
      <c r="F52" s="381">
        <v>229440.23886223711</v>
      </c>
      <c r="G52" s="381">
        <v>262078.92738904638</v>
      </c>
      <c r="H52" s="381">
        <v>0</v>
      </c>
      <c r="I52" s="381">
        <v>491519.16625128349</v>
      </c>
      <c r="J52" s="381"/>
      <c r="K52" s="381"/>
      <c r="L52" s="381">
        <f t="shared" si="50"/>
        <v>491519.16625128326</v>
      </c>
      <c r="M52" s="381"/>
      <c r="N52" s="679">
        <f t="shared" si="22"/>
        <v>-715341.08333333337</v>
      </c>
      <c r="O52" s="679">
        <f t="shared" si="23"/>
        <v>-705333.33333333337</v>
      </c>
      <c r="P52" s="565">
        <f>Breakout!$F$16/12</f>
        <v>3481801.0791036584</v>
      </c>
      <c r="Q52" s="557">
        <f>'wholesale services'!$D$110*'wholesale services'!$G$111/12</f>
        <v>3250582.4999999995</v>
      </c>
      <c r="R52" s="557">
        <v>3320487.5</v>
      </c>
      <c r="S52" s="565">
        <f>Breakout!$F$27/12</f>
        <v>123356.85104899592</v>
      </c>
      <c r="T52" s="557">
        <f>'wholesale services'!$D$113*'wholesale services'!$G$114/12</f>
        <v>146872.60858606594</v>
      </c>
      <c r="U52" s="557">
        <v>149870.0087612918</v>
      </c>
      <c r="V52" s="565">
        <f>Breakout!$F$38/12</f>
        <v>62093.488953330387</v>
      </c>
      <c r="W52" s="496">
        <f>Breakout!$F$39/12</f>
        <v>63345.384190000012</v>
      </c>
      <c r="X52" s="496">
        <v>64026.517353333329</v>
      </c>
      <c r="Y52" s="565">
        <f>Breakout!$F$49/12</f>
        <v>451672.02325544209</v>
      </c>
      <c r="Z52" s="566">
        <f>Breakout!$F$50/12</f>
        <v>412767.28105810867</v>
      </c>
      <c r="AA52" s="566">
        <v>433583.34320249053</v>
      </c>
      <c r="AB52" s="565">
        <f>Breakout!$F$60/12</f>
        <v>415572.49217405851</v>
      </c>
      <c r="AC52" s="566">
        <f>Breakout!$F$61/12</f>
        <v>408932.81556749414</v>
      </c>
      <c r="AD52" s="566">
        <v>421683.50469432026</v>
      </c>
      <c r="AE52" s="565">
        <f>Breakout!$F$71/12</f>
        <v>315302.7676871781</v>
      </c>
      <c r="AF52" s="566">
        <f>Breakout!$F$72/12</f>
        <v>316520.66666666669</v>
      </c>
      <c r="AG52" s="566">
        <v>316520.66666666669</v>
      </c>
      <c r="AH52" s="565">
        <f>Breakout!$F$82/12</f>
        <v>20753.171441621118</v>
      </c>
      <c r="AI52" s="566">
        <f>Breakout!$F$83/12</f>
        <v>0</v>
      </c>
      <c r="AJ52" s="566">
        <v>0</v>
      </c>
      <c r="AK52" s="571">
        <f>Breakout!$F$91/12</f>
        <v>279042.03442868293</v>
      </c>
      <c r="AL52" s="571">
        <v>279042.03442868293</v>
      </c>
      <c r="AM52" s="567">
        <f>(Breakout!$F$107/12)*-1</f>
        <v>55221.25</v>
      </c>
      <c r="AN52" s="567">
        <v>55221.25</v>
      </c>
      <c r="AO52" s="578">
        <f t="shared" si="57"/>
        <v>4870551.8736642851</v>
      </c>
      <c r="AP52" s="578">
        <f t="shared" si="58"/>
        <v>4966851.2917682268</v>
      </c>
      <c r="AQ52" s="548">
        <f t="shared" si="59"/>
        <v>177775.4894913552</v>
      </c>
      <c r="AR52" s="496"/>
      <c r="AS52" s="553">
        <f t="shared" si="60"/>
        <v>43931.21563954954</v>
      </c>
      <c r="AT52" s="496"/>
      <c r="AU52" s="557">
        <f>'wholesale services'!$G$110/12</f>
        <v>39106610.706018515</v>
      </c>
      <c r="AV52" s="557">
        <f>'wholesale services'!$G$113/12</f>
        <v>17613.255833333333</v>
      </c>
      <c r="AW52" s="496"/>
      <c r="AX52" s="552">
        <f t="shared" si="61"/>
        <v>-715341.08333333337</v>
      </c>
      <c r="AY52" s="381">
        <f t="shared" si="62"/>
        <v>-705333.33333333337</v>
      </c>
      <c r="AZ52" s="496"/>
      <c r="BA52" s="438">
        <f t="shared" si="63"/>
        <v>459701.32761154266</v>
      </c>
      <c r="BB52" s="438">
        <f t="shared" si="64"/>
        <v>-11490.349720865612</v>
      </c>
      <c r="BC52" s="438">
        <f t="shared" si="65"/>
        <v>-1251.8952366696249</v>
      </c>
      <c r="BD52" s="438">
        <f t="shared" si="24"/>
        <v>38904.742197333428</v>
      </c>
      <c r="BE52" s="438">
        <f t="shared" si="25"/>
        <v>6639.6766065643751</v>
      </c>
      <c r="BF52" s="438">
        <f t="shared" si="26"/>
        <v>-1217.8989794885856</v>
      </c>
      <c r="BG52" s="438">
        <f t="shared" si="27"/>
        <v>20753.171441621118</v>
      </c>
      <c r="BH52" s="438">
        <f t="shared" si="28"/>
        <v>-279042.03442868293</v>
      </c>
      <c r="BI52" s="438">
        <f t="shared" si="29"/>
        <v>-55221.25</v>
      </c>
      <c r="BL52" s="438">
        <f t="shared" si="66"/>
        <v>605258.5896260821</v>
      </c>
      <c r="BM52" s="438">
        <f t="shared" si="67"/>
        <v>-6333.3964425210652</v>
      </c>
      <c r="BN52" s="438">
        <f t="shared" si="68"/>
        <v>1343.9331968443366</v>
      </c>
      <c r="BO52" s="438">
        <f t="shared" si="69"/>
        <v>57786.964799939597</v>
      </c>
      <c r="BP52" s="438">
        <f t="shared" si="70"/>
        <v>24012.752424263686</v>
      </c>
      <c r="BQ52" s="438">
        <f t="shared" si="71"/>
        <v>11963.384651443921</v>
      </c>
      <c r="BR52" s="438">
        <f t="shared" si="72"/>
        <v>21620.761158704659</v>
      </c>
      <c r="BS52" s="438">
        <f t="shared" si="44"/>
        <v>-279042.03442868293</v>
      </c>
      <c r="BT52" s="438">
        <f t="shared" si="45"/>
        <v>-55221.25</v>
      </c>
      <c r="BW52" s="565">
        <f>Breakout!$F$15/12</f>
        <v>3627358.3411181979</v>
      </c>
      <c r="BX52" s="565">
        <f>Breakout!$F$26/12</f>
        <v>128513.80432734046</v>
      </c>
      <c r="BY52" s="565">
        <f>Breakout!$F$37/12</f>
        <v>64689.317386844348</v>
      </c>
      <c r="BZ52" s="565">
        <f>Breakout!$F$48/12</f>
        <v>470554.24585804826</v>
      </c>
      <c r="CA52" s="565">
        <f>Breakout!$F$59/12</f>
        <v>432945.56799175782</v>
      </c>
      <c r="CB52" s="565">
        <f>Breakout!$F$70/12</f>
        <v>328484.05131811061</v>
      </c>
      <c r="CC52" s="565">
        <f>Breakout!$F$81/12</f>
        <v>21620.761158704659</v>
      </c>
      <c r="CE52" s="634">
        <f t="shared" si="30"/>
        <v>3626876.1240663109</v>
      </c>
      <c r="CF52" s="634">
        <f t="shared" si="31"/>
        <v>128496.71984270409</v>
      </c>
      <c r="CG52" s="634">
        <f t="shared" si="32"/>
        <v>64680.717659719157</v>
      </c>
      <c r="CI52" s="634">
        <f t="shared" si="33"/>
        <v>-715341.08333333337</v>
      </c>
      <c r="CJ52" s="634">
        <f t="shared" si="34"/>
        <v>-705333.33333333337</v>
      </c>
      <c r="CL52" s="438">
        <f>'account mgt'!$F$23/12</f>
        <v>-52264.493999999999</v>
      </c>
      <c r="CN52" s="438">
        <v>0</v>
      </c>
      <c r="CT52" s="438">
        <f t="shared" si="51"/>
        <v>21482819.767811354</v>
      </c>
      <c r="CU52" s="438">
        <f t="shared" si="46"/>
        <v>169535.25266764461</v>
      </c>
      <c r="CV52" s="438">
        <f>IF(CT52&lt;0.1,0,PPMT($L$3,A52-14,unwinds!$B$8*12,$K$5))</f>
        <v>598023.62483495427</v>
      </c>
      <c r="CW52" s="438">
        <f t="shared" si="47"/>
        <v>20884796.1429764</v>
      </c>
      <c r="CX52" s="438">
        <f t="shared" si="48"/>
        <v>20884796.1429764</v>
      </c>
      <c r="DA52" s="438">
        <f t="shared" si="53"/>
        <v>29303176.947910212</v>
      </c>
      <c r="DB52" s="438">
        <f t="shared" si="54"/>
        <v>231250.90474725809</v>
      </c>
      <c r="DC52" s="438">
        <f t="shared" si="55"/>
        <v>264147.166924358</v>
      </c>
      <c r="DD52" s="438">
        <f t="shared" si="56"/>
        <v>29039029.780985855</v>
      </c>
      <c r="DE52" s="438">
        <f t="shared" si="49"/>
        <v>29039029.780985855</v>
      </c>
      <c r="DH52" s="944">
        <v>-715341.08333333337</v>
      </c>
      <c r="DI52" s="944">
        <v>-705333.33333333337</v>
      </c>
      <c r="DJ52" s="944"/>
      <c r="DL52" s="381">
        <f t="shared" si="52"/>
        <v>474832.92700924521</v>
      </c>
      <c r="DN52" s="944">
        <f t="shared" si="18"/>
        <v>-715341.08333333337</v>
      </c>
      <c r="DO52" s="944">
        <f t="shared" si="19"/>
        <v>474832.92700924521</v>
      </c>
      <c r="DQ52" s="438">
        <f t="shared" si="20"/>
        <v>376775.84111819835</v>
      </c>
      <c r="DR52" s="438">
        <f t="shared" si="21"/>
        <v>-18358.804258725475</v>
      </c>
      <c r="DS52" s="438"/>
      <c r="DT52" s="438"/>
      <c r="DU52" s="438"/>
      <c r="DV52" s="438"/>
      <c r="DW52" s="438"/>
      <c r="DX52" s="438"/>
    </row>
    <row r="53" spans="1:128" x14ac:dyDescent="0.2">
      <c r="A53" s="383">
        <v>42</v>
      </c>
      <c r="B53" s="631">
        <v>37773</v>
      </c>
      <c r="C53" s="381">
        <v>0</v>
      </c>
      <c r="D53" s="381">
        <v>0</v>
      </c>
      <c r="E53" s="381">
        <v>0</v>
      </c>
      <c r="F53" s="381">
        <v>227371.99932692532</v>
      </c>
      <c r="G53" s="381">
        <v>264147.16692435817</v>
      </c>
      <c r="H53" s="381">
        <v>0</v>
      </c>
      <c r="I53" s="381">
        <v>491519.16625128349</v>
      </c>
      <c r="J53" s="381"/>
      <c r="K53" s="381"/>
      <c r="L53" s="381">
        <f t="shared" si="50"/>
        <v>491519.16625128326</v>
      </c>
      <c r="M53" s="381"/>
      <c r="N53" s="679">
        <f t="shared" si="22"/>
        <v>-715341.08333333337</v>
      </c>
      <c r="O53" s="679">
        <f t="shared" si="23"/>
        <v>-705333.33333333337</v>
      </c>
      <c r="P53" s="565">
        <f>Breakout!$F$16/12</f>
        <v>3481801.0791036584</v>
      </c>
      <c r="Q53" s="557">
        <f>'wholesale services'!$D$110*'wholesale services'!$G$111/12</f>
        <v>3250582.4999999995</v>
      </c>
      <c r="R53" s="557">
        <v>3320487.5</v>
      </c>
      <c r="S53" s="565">
        <f>Breakout!$F$27/12</f>
        <v>123356.85104899592</v>
      </c>
      <c r="T53" s="557">
        <f>'wholesale services'!$D$113*'wholesale services'!$G$114/12</f>
        <v>146872.60858606594</v>
      </c>
      <c r="U53" s="557">
        <v>149870.0087612918</v>
      </c>
      <c r="V53" s="565">
        <f>Breakout!$F$38/12</f>
        <v>62093.488953330387</v>
      </c>
      <c r="W53" s="496">
        <f>Breakout!$F$39/12</f>
        <v>63345.384190000012</v>
      </c>
      <c r="X53" s="496">
        <v>64026.517353333329</v>
      </c>
      <c r="Y53" s="565">
        <f>Breakout!$F$49/12</f>
        <v>451672.02325544209</v>
      </c>
      <c r="Z53" s="566">
        <f>Breakout!$F$50/12</f>
        <v>412767.28105810867</v>
      </c>
      <c r="AA53" s="566">
        <v>433583.34320249053</v>
      </c>
      <c r="AB53" s="565">
        <f>Breakout!$F$60/12</f>
        <v>415572.49217405851</v>
      </c>
      <c r="AC53" s="566">
        <f>Breakout!$F$61/12</f>
        <v>408932.81556749414</v>
      </c>
      <c r="AD53" s="566">
        <v>421683.50469432026</v>
      </c>
      <c r="AE53" s="565">
        <f>Breakout!$F$71/12</f>
        <v>315302.7676871781</v>
      </c>
      <c r="AF53" s="566">
        <f>Breakout!$F$72/12</f>
        <v>316520.66666666669</v>
      </c>
      <c r="AG53" s="566">
        <v>316520.66666666669</v>
      </c>
      <c r="AH53" s="565">
        <f>Breakout!$F$82/12</f>
        <v>20753.171441621118</v>
      </c>
      <c r="AI53" s="566">
        <f>Breakout!$F$83/12</f>
        <v>0</v>
      </c>
      <c r="AJ53" s="566">
        <v>0</v>
      </c>
      <c r="AK53" s="571">
        <f>Breakout!$F$91/12</f>
        <v>279042.03442868293</v>
      </c>
      <c r="AL53" s="571">
        <v>279042.03442868293</v>
      </c>
      <c r="AM53" s="567">
        <f>(Breakout!$F$107/12)*-1</f>
        <v>55221.25</v>
      </c>
      <c r="AN53" s="567">
        <v>55221.25</v>
      </c>
      <c r="AO53" s="578">
        <f t="shared" si="57"/>
        <v>4870551.8736642851</v>
      </c>
      <c r="AP53" s="578">
        <f t="shared" si="58"/>
        <v>4966851.2917682268</v>
      </c>
      <c r="AQ53" s="548">
        <f t="shared" si="59"/>
        <v>177775.4894913552</v>
      </c>
      <c r="AR53" s="496"/>
      <c r="AS53" s="553">
        <f t="shared" si="60"/>
        <v>43931.21563954954</v>
      </c>
      <c r="AT53" s="496"/>
      <c r="AU53" s="557">
        <f>'wholesale services'!$G$110/12</f>
        <v>39106610.706018515</v>
      </c>
      <c r="AV53" s="557">
        <f>'wholesale services'!$G$113/12</f>
        <v>17613.255833333333</v>
      </c>
      <c r="AW53" s="496"/>
      <c r="AX53" s="552">
        <f t="shared" si="61"/>
        <v>-715341.08333333337</v>
      </c>
      <c r="AY53" s="381">
        <f t="shared" si="62"/>
        <v>-705333.33333333337</v>
      </c>
      <c r="AZ53" s="496"/>
      <c r="BA53" s="438">
        <f t="shared" si="63"/>
        <v>459701.32761154266</v>
      </c>
      <c r="BB53" s="438">
        <f t="shared" si="64"/>
        <v>-11490.349720865612</v>
      </c>
      <c r="BC53" s="438">
        <f t="shared" si="65"/>
        <v>-1251.8952366696249</v>
      </c>
      <c r="BD53" s="438">
        <f t="shared" si="24"/>
        <v>38904.742197333428</v>
      </c>
      <c r="BE53" s="438">
        <f t="shared" si="25"/>
        <v>6639.6766065643751</v>
      </c>
      <c r="BF53" s="438">
        <f t="shared" si="26"/>
        <v>-1217.8989794885856</v>
      </c>
      <c r="BG53" s="438">
        <f t="shared" si="27"/>
        <v>20753.171441621118</v>
      </c>
      <c r="BH53" s="438">
        <f t="shared" si="28"/>
        <v>-279042.03442868293</v>
      </c>
      <c r="BI53" s="438">
        <f t="shared" si="29"/>
        <v>-55221.25</v>
      </c>
      <c r="BL53" s="438">
        <f t="shared" si="66"/>
        <v>605258.5896260821</v>
      </c>
      <c r="BM53" s="438">
        <f t="shared" si="67"/>
        <v>-6333.3964425210652</v>
      </c>
      <c r="BN53" s="438">
        <f t="shared" si="68"/>
        <v>1343.9331968443366</v>
      </c>
      <c r="BO53" s="438">
        <f t="shared" si="69"/>
        <v>57786.964799939597</v>
      </c>
      <c r="BP53" s="438">
        <f t="shared" si="70"/>
        <v>24012.752424263686</v>
      </c>
      <c r="BQ53" s="438">
        <f t="shared" si="71"/>
        <v>11963.384651443921</v>
      </c>
      <c r="BR53" s="438">
        <f t="shared" si="72"/>
        <v>21620.761158704659</v>
      </c>
      <c r="BS53" s="438">
        <f t="shared" si="44"/>
        <v>-279042.03442868293</v>
      </c>
      <c r="BT53" s="438">
        <f t="shared" si="45"/>
        <v>-55221.25</v>
      </c>
      <c r="BW53" s="565">
        <f>Breakout!$F$15/12</f>
        <v>3627358.3411181979</v>
      </c>
      <c r="BX53" s="565">
        <f>Breakout!$F$26/12</f>
        <v>128513.80432734046</v>
      </c>
      <c r="BY53" s="565">
        <f>Breakout!$F$37/12</f>
        <v>64689.317386844348</v>
      </c>
      <c r="BZ53" s="565">
        <f>Breakout!$F$48/12</f>
        <v>470554.24585804826</v>
      </c>
      <c r="CA53" s="565">
        <f>Breakout!$F$59/12</f>
        <v>432945.56799175782</v>
      </c>
      <c r="CB53" s="565">
        <f>Breakout!$F$70/12</f>
        <v>328484.05131811061</v>
      </c>
      <c r="CC53" s="565">
        <f>Breakout!$F$81/12</f>
        <v>21620.761158704659</v>
      </c>
      <c r="CE53" s="634">
        <f t="shared" si="30"/>
        <v>3626876.1240663109</v>
      </c>
      <c r="CF53" s="634">
        <f t="shared" si="31"/>
        <v>128496.71984270409</v>
      </c>
      <c r="CG53" s="634">
        <f t="shared" si="32"/>
        <v>64680.717659719157</v>
      </c>
      <c r="CI53" s="634">
        <f t="shared" si="33"/>
        <v>-715341.08333333337</v>
      </c>
      <c r="CJ53" s="634">
        <f t="shared" si="34"/>
        <v>-705333.33333333337</v>
      </c>
      <c r="CL53" s="438">
        <f>'account mgt'!$F$23/12</f>
        <v>-52264.493999999999</v>
      </c>
      <c r="CN53" s="438">
        <v>0</v>
      </c>
      <c r="CT53" s="438">
        <f t="shared" si="51"/>
        <v>20884796.1429764</v>
      </c>
      <c r="CU53" s="438">
        <f t="shared" si="46"/>
        <v>164815.84956165543</v>
      </c>
      <c r="CV53" s="438">
        <f>IF(CT53&lt;0.1,0,PPMT($L$3,A53-14,unwinds!$B$8*12,$K$5))</f>
        <v>602743.0279409436</v>
      </c>
      <c r="CW53" s="438">
        <f t="shared" si="47"/>
        <v>20282053.115035456</v>
      </c>
      <c r="CX53" s="438">
        <f t="shared" si="48"/>
        <v>20282053.115035456</v>
      </c>
      <c r="DA53" s="438">
        <f t="shared" si="53"/>
        <v>29039029.780985855</v>
      </c>
      <c r="DB53" s="438">
        <f t="shared" si="54"/>
        <v>229166.3433549467</v>
      </c>
      <c r="DC53" s="438">
        <f t="shared" si="55"/>
        <v>266231.72831666941</v>
      </c>
      <c r="DD53" s="438">
        <f t="shared" si="56"/>
        <v>28772798.052669186</v>
      </c>
      <c r="DE53" s="438">
        <f t="shared" si="49"/>
        <v>28772798.052669186</v>
      </c>
      <c r="DH53" s="944">
        <v>-715341.08333333337</v>
      </c>
      <c r="DI53" s="944">
        <v>-705333.33333333337</v>
      </c>
      <c r="DJ53" s="944"/>
      <c r="DL53" s="381">
        <f t="shared" si="52"/>
        <v>474832.92700924521</v>
      </c>
      <c r="DN53" s="944">
        <f t="shared" si="18"/>
        <v>-715341.08333333337</v>
      </c>
      <c r="DO53" s="944">
        <f t="shared" si="19"/>
        <v>474832.92700924521</v>
      </c>
      <c r="DQ53" s="438">
        <f t="shared" si="20"/>
        <v>376775.84111819835</v>
      </c>
      <c r="DR53" s="438">
        <f t="shared" si="21"/>
        <v>-18358.804258725475</v>
      </c>
      <c r="DS53" s="438"/>
      <c r="DT53" s="438"/>
      <c r="DU53" s="438"/>
      <c r="DV53" s="438"/>
      <c r="DW53" s="438"/>
      <c r="DX53" s="438"/>
    </row>
    <row r="54" spans="1:128" x14ac:dyDescent="0.2">
      <c r="A54" s="383">
        <v>43</v>
      </c>
      <c r="B54" s="631">
        <v>37803</v>
      </c>
      <c r="C54" s="381">
        <v>0</v>
      </c>
      <c r="D54" s="381">
        <v>0</v>
      </c>
      <c r="E54" s="381">
        <v>0</v>
      </c>
      <c r="F54" s="381">
        <v>225287.4379346139</v>
      </c>
      <c r="G54" s="381">
        <v>266231.72831666959</v>
      </c>
      <c r="H54" s="381">
        <v>0</v>
      </c>
      <c r="I54" s="381">
        <v>491519.16625128349</v>
      </c>
      <c r="J54" s="381"/>
      <c r="K54" s="381"/>
      <c r="L54" s="381">
        <f t="shared" si="50"/>
        <v>491519.16625128326</v>
      </c>
      <c r="M54" s="381"/>
      <c r="N54" s="679">
        <f t="shared" si="22"/>
        <v>-715341.08333333337</v>
      </c>
      <c r="O54" s="679">
        <f t="shared" si="23"/>
        <v>-705333.33333333337</v>
      </c>
      <c r="P54" s="565">
        <f>Breakout!$F$16/12</f>
        <v>3481801.0791036584</v>
      </c>
      <c r="Q54" s="557">
        <f>'wholesale services'!$D$110*'wholesale services'!$G$111/12</f>
        <v>3250582.4999999995</v>
      </c>
      <c r="R54" s="557">
        <v>3320487.5</v>
      </c>
      <c r="S54" s="565">
        <f>Breakout!$F$27/12</f>
        <v>123356.85104899592</v>
      </c>
      <c r="T54" s="557">
        <f>'wholesale services'!$D$113*'wholesale services'!$G$114/12</f>
        <v>146872.60858606594</v>
      </c>
      <c r="U54" s="557">
        <v>149870.0087612918</v>
      </c>
      <c r="V54" s="565">
        <f>Breakout!$F$38/12</f>
        <v>62093.488953330387</v>
      </c>
      <c r="W54" s="496">
        <f>Breakout!$F$39/12</f>
        <v>63345.384190000012</v>
      </c>
      <c r="X54" s="496">
        <v>64026.517353333329</v>
      </c>
      <c r="Y54" s="565">
        <f>Breakout!$F$49/12</f>
        <v>451672.02325544209</v>
      </c>
      <c r="Z54" s="566">
        <f>Breakout!$F$50/12</f>
        <v>412767.28105810867</v>
      </c>
      <c r="AA54" s="566">
        <v>433583.34320249053</v>
      </c>
      <c r="AB54" s="565">
        <f>Breakout!$F$60/12</f>
        <v>415572.49217405851</v>
      </c>
      <c r="AC54" s="566">
        <f>Breakout!$F$61/12</f>
        <v>408932.81556749414</v>
      </c>
      <c r="AD54" s="566">
        <v>421683.50469432026</v>
      </c>
      <c r="AE54" s="565">
        <f>Breakout!$F$71/12</f>
        <v>315302.7676871781</v>
      </c>
      <c r="AF54" s="566">
        <f>Breakout!$F$72/12</f>
        <v>316520.66666666669</v>
      </c>
      <c r="AG54" s="566">
        <v>316520.66666666669</v>
      </c>
      <c r="AH54" s="565">
        <f>Breakout!$F$82/12</f>
        <v>20753.171441621118</v>
      </c>
      <c r="AI54" s="566">
        <f>Breakout!$F$83/12</f>
        <v>0</v>
      </c>
      <c r="AJ54" s="566">
        <v>0</v>
      </c>
      <c r="AK54" s="571">
        <f>Breakout!$F$91/12</f>
        <v>279042.03442868293</v>
      </c>
      <c r="AL54" s="571">
        <v>279042.03442868293</v>
      </c>
      <c r="AM54" s="567">
        <f>(Breakout!$F$107/12)*-1</f>
        <v>55221.25</v>
      </c>
      <c r="AN54" s="567">
        <v>55221.25</v>
      </c>
      <c r="AO54" s="578">
        <f t="shared" si="57"/>
        <v>4870551.8736642851</v>
      </c>
      <c r="AP54" s="578">
        <f t="shared" si="58"/>
        <v>4966851.2917682268</v>
      </c>
      <c r="AQ54" s="548">
        <f t="shared" si="59"/>
        <v>177775.4894913552</v>
      </c>
      <c r="AR54" s="496"/>
      <c r="AS54" s="553">
        <f t="shared" si="60"/>
        <v>43931.21563954954</v>
      </c>
      <c r="AT54" s="496"/>
      <c r="AU54" s="557">
        <f>'wholesale services'!$G$110/12</f>
        <v>39106610.706018515</v>
      </c>
      <c r="AV54" s="557">
        <f>'wholesale services'!$G$113/12</f>
        <v>17613.255833333333</v>
      </c>
      <c r="AW54" s="496"/>
      <c r="AX54" s="552">
        <f t="shared" si="61"/>
        <v>-715341.08333333337</v>
      </c>
      <c r="AY54" s="381">
        <f t="shared" si="62"/>
        <v>-705333.33333333337</v>
      </c>
      <c r="AZ54" s="496"/>
      <c r="BA54" s="438">
        <f t="shared" si="63"/>
        <v>459701.32761154266</v>
      </c>
      <c r="BB54" s="438">
        <f t="shared" si="64"/>
        <v>-11490.349720865612</v>
      </c>
      <c r="BC54" s="438">
        <f t="shared" si="65"/>
        <v>-1251.8952366696249</v>
      </c>
      <c r="BD54" s="438">
        <f t="shared" si="24"/>
        <v>38904.742197333428</v>
      </c>
      <c r="BE54" s="438">
        <f t="shared" si="25"/>
        <v>6639.6766065643751</v>
      </c>
      <c r="BF54" s="438">
        <f t="shared" si="26"/>
        <v>-1217.8989794885856</v>
      </c>
      <c r="BG54" s="438">
        <f t="shared" si="27"/>
        <v>20753.171441621118</v>
      </c>
      <c r="BH54" s="438">
        <f t="shared" si="28"/>
        <v>-279042.03442868293</v>
      </c>
      <c r="BI54" s="438">
        <f t="shared" si="29"/>
        <v>-55221.25</v>
      </c>
      <c r="BL54" s="438">
        <f t="shared" si="66"/>
        <v>605258.5896260821</v>
      </c>
      <c r="BM54" s="438">
        <f t="shared" si="67"/>
        <v>-6333.3964425210652</v>
      </c>
      <c r="BN54" s="438">
        <f t="shared" si="68"/>
        <v>1343.9331968443366</v>
      </c>
      <c r="BO54" s="438">
        <f t="shared" si="69"/>
        <v>57786.964799939597</v>
      </c>
      <c r="BP54" s="438">
        <f t="shared" si="70"/>
        <v>24012.752424263686</v>
      </c>
      <c r="BQ54" s="438">
        <f t="shared" si="71"/>
        <v>11963.384651443921</v>
      </c>
      <c r="BR54" s="438">
        <f t="shared" si="72"/>
        <v>21620.761158704659</v>
      </c>
      <c r="BS54" s="438">
        <f t="shared" si="44"/>
        <v>-279042.03442868293</v>
      </c>
      <c r="BT54" s="438">
        <f t="shared" si="45"/>
        <v>-55221.25</v>
      </c>
      <c r="BW54" s="565">
        <f>Breakout!$F$15/12</f>
        <v>3627358.3411181979</v>
      </c>
      <c r="BX54" s="565">
        <f>Breakout!$F$26/12</f>
        <v>128513.80432734046</v>
      </c>
      <c r="BY54" s="565">
        <f>Breakout!$F$37/12</f>
        <v>64689.317386844348</v>
      </c>
      <c r="BZ54" s="565">
        <f>Breakout!$F$48/12</f>
        <v>470554.24585804826</v>
      </c>
      <c r="CA54" s="565">
        <f>Breakout!$F$59/12</f>
        <v>432945.56799175782</v>
      </c>
      <c r="CB54" s="565">
        <f>Breakout!$F$70/12</f>
        <v>328484.05131811061</v>
      </c>
      <c r="CC54" s="565">
        <f>Breakout!$F$81/12</f>
        <v>21620.761158704659</v>
      </c>
      <c r="CE54" s="634">
        <f t="shared" si="30"/>
        <v>3626876.1240663109</v>
      </c>
      <c r="CF54" s="634">
        <f t="shared" si="31"/>
        <v>128496.71984270409</v>
      </c>
      <c r="CG54" s="634">
        <f t="shared" si="32"/>
        <v>64680.717659719157</v>
      </c>
      <c r="CI54" s="634">
        <f t="shared" si="33"/>
        <v>-715341.08333333337</v>
      </c>
      <c r="CJ54" s="634">
        <f t="shared" si="34"/>
        <v>-705333.33333333337</v>
      </c>
      <c r="CL54" s="438">
        <f>'account mgt'!$F$23/12</f>
        <v>-52264.493999999999</v>
      </c>
      <c r="CN54" s="438">
        <v>0</v>
      </c>
      <c r="CT54" s="438">
        <f t="shared" si="51"/>
        <v>20282053.115035456</v>
      </c>
      <c r="CU54" s="438">
        <f t="shared" si="46"/>
        <v>160059.20249948814</v>
      </c>
      <c r="CV54" s="438">
        <f>IF(CT54&lt;0.1,0,PPMT($L$3,A54-14,unwinds!$B$8*12,$K$5))</f>
        <v>607499.67500311078</v>
      </c>
      <c r="CW54" s="438">
        <f t="shared" si="47"/>
        <v>19674553.440032344</v>
      </c>
      <c r="CX54" s="438">
        <f t="shared" si="48"/>
        <v>19674553.440032344</v>
      </c>
      <c r="DA54" s="438">
        <f t="shared" si="53"/>
        <v>28772798.052669186</v>
      </c>
      <c r="DB54" s="438">
        <f t="shared" si="54"/>
        <v>227065.33129898098</v>
      </c>
      <c r="DC54" s="438">
        <f t="shared" si="55"/>
        <v>268332.74037263507</v>
      </c>
      <c r="DD54" s="438">
        <f t="shared" si="56"/>
        <v>28504465.312296551</v>
      </c>
      <c r="DE54" s="438">
        <f t="shared" si="49"/>
        <v>28504465.312296551</v>
      </c>
      <c r="DH54" s="944">
        <v>-715341.08333333337</v>
      </c>
      <c r="DI54" s="944">
        <v>-705333.33333333337</v>
      </c>
      <c r="DJ54" s="944"/>
      <c r="DL54" s="381">
        <f t="shared" si="52"/>
        <v>474832.92700924521</v>
      </c>
      <c r="DN54" s="944">
        <f t="shared" si="18"/>
        <v>-715341.08333333337</v>
      </c>
      <c r="DO54" s="944">
        <f t="shared" si="19"/>
        <v>474832.92700924521</v>
      </c>
      <c r="DQ54" s="438">
        <f t="shared" si="20"/>
        <v>376775.84111819835</v>
      </c>
      <c r="DR54" s="438">
        <f t="shared" si="21"/>
        <v>-18358.804258725475</v>
      </c>
      <c r="DS54" s="438"/>
      <c r="DT54" s="438"/>
      <c r="DU54" s="438"/>
      <c r="DV54" s="438"/>
      <c r="DW54" s="438"/>
      <c r="DX54" s="438"/>
    </row>
    <row r="55" spans="1:128" x14ac:dyDescent="0.2">
      <c r="A55" s="383">
        <v>44</v>
      </c>
      <c r="B55" s="631">
        <v>37834</v>
      </c>
      <c r="C55" s="381">
        <v>0</v>
      </c>
      <c r="D55" s="381">
        <v>0</v>
      </c>
      <c r="E55" s="381">
        <v>0</v>
      </c>
      <c r="F55" s="381">
        <v>223186.42587864818</v>
      </c>
      <c r="G55" s="381">
        <v>268332.74037263531</v>
      </c>
      <c r="H55" s="381">
        <v>0</v>
      </c>
      <c r="I55" s="381">
        <v>491519.16625128349</v>
      </c>
      <c r="J55" s="381"/>
      <c r="K55" s="381"/>
      <c r="L55" s="381">
        <f t="shared" si="50"/>
        <v>491519.16625128326</v>
      </c>
      <c r="M55" s="381"/>
      <c r="N55" s="679">
        <f t="shared" si="22"/>
        <v>-715341.08333333337</v>
      </c>
      <c r="O55" s="679">
        <f t="shared" si="23"/>
        <v>-705333.33333333337</v>
      </c>
      <c r="P55" s="565">
        <f>Breakout!$F$16/12</f>
        <v>3481801.0791036584</v>
      </c>
      <c r="Q55" s="557">
        <f>'wholesale services'!$D$110*'wholesale services'!$G$111/12</f>
        <v>3250582.4999999995</v>
      </c>
      <c r="R55" s="557">
        <v>3320487.5</v>
      </c>
      <c r="S55" s="565">
        <f>Breakout!$F$27/12</f>
        <v>123356.85104899592</v>
      </c>
      <c r="T55" s="557">
        <f>'wholesale services'!$D$113*'wholesale services'!$G$114/12</f>
        <v>146872.60858606594</v>
      </c>
      <c r="U55" s="557">
        <v>149870.0087612918</v>
      </c>
      <c r="V55" s="565">
        <f>Breakout!$F$38/12</f>
        <v>62093.488953330387</v>
      </c>
      <c r="W55" s="496">
        <f>Breakout!$F$39/12</f>
        <v>63345.384190000012</v>
      </c>
      <c r="X55" s="496">
        <v>64026.517353333329</v>
      </c>
      <c r="Y55" s="565">
        <f>Breakout!$F$49/12</f>
        <v>451672.02325544209</v>
      </c>
      <c r="Z55" s="566">
        <f>Breakout!$F$50/12</f>
        <v>412767.28105810867</v>
      </c>
      <c r="AA55" s="566">
        <v>433583.34320249053</v>
      </c>
      <c r="AB55" s="565">
        <f>Breakout!$F$60/12</f>
        <v>415572.49217405851</v>
      </c>
      <c r="AC55" s="566">
        <f>Breakout!$F$61/12</f>
        <v>408932.81556749414</v>
      </c>
      <c r="AD55" s="566">
        <v>421683.50469432026</v>
      </c>
      <c r="AE55" s="565">
        <f>Breakout!$F$71/12</f>
        <v>315302.7676871781</v>
      </c>
      <c r="AF55" s="566">
        <f>Breakout!$F$72/12</f>
        <v>316520.66666666669</v>
      </c>
      <c r="AG55" s="566">
        <v>316520.66666666669</v>
      </c>
      <c r="AH55" s="565">
        <f>Breakout!$F$82/12</f>
        <v>20753.171441621118</v>
      </c>
      <c r="AI55" s="566">
        <f>Breakout!$F$83/12</f>
        <v>0</v>
      </c>
      <c r="AJ55" s="566">
        <v>0</v>
      </c>
      <c r="AK55" s="571">
        <f>Breakout!$F$91/12</f>
        <v>279042.03442868293</v>
      </c>
      <c r="AL55" s="571">
        <v>279042.03442868293</v>
      </c>
      <c r="AM55" s="567">
        <f>(Breakout!$F$107/12)*-1</f>
        <v>55221.25</v>
      </c>
      <c r="AN55" s="567">
        <v>55221.25</v>
      </c>
      <c r="AO55" s="578">
        <f t="shared" si="57"/>
        <v>4870551.8736642851</v>
      </c>
      <c r="AP55" s="578">
        <f t="shared" si="58"/>
        <v>4966851.2917682268</v>
      </c>
      <c r="AQ55" s="548">
        <f t="shared" si="59"/>
        <v>177775.4894913552</v>
      </c>
      <c r="AR55" s="496"/>
      <c r="AS55" s="553">
        <f t="shared" si="60"/>
        <v>43931.21563954954</v>
      </c>
      <c r="AT55" s="496"/>
      <c r="AU55" s="557">
        <f>'wholesale services'!$G$110/12</f>
        <v>39106610.706018515</v>
      </c>
      <c r="AV55" s="557">
        <f>'wholesale services'!$G$113/12</f>
        <v>17613.255833333333</v>
      </c>
      <c r="AW55" s="496"/>
      <c r="AX55" s="552">
        <f t="shared" si="61"/>
        <v>-715341.08333333337</v>
      </c>
      <c r="AY55" s="381">
        <f t="shared" si="62"/>
        <v>-705333.33333333337</v>
      </c>
      <c r="AZ55" s="496"/>
      <c r="BA55" s="438">
        <f t="shared" si="63"/>
        <v>459701.32761154266</v>
      </c>
      <c r="BB55" s="438">
        <f t="shared" si="64"/>
        <v>-11490.349720865612</v>
      </c>
      <c r="BC55" s="438">
        <f t="shared" si="65"/>
        <v>-1251.8952366696249</v>
      </c>
      <c r="BD55" s="438">
        <f t="shared" si="24"/>
        <v>38904.742197333428</v>
      </c>
      <c r="BE55" s="438">
        <f t="shared" si="25"/>
        <v>6639.6766065643751</v>
      </c>
      <c r="BF55" s="438">
        <f t="shared" si="26"/>
        <v>-1217.8989794885856</v>
      </c>
      <c r="BG55" s="438">
        <f t="shared" si="27"/>
        <v>20753.171441621118</v>
      </c>
      <c r="BH55" s="438">
        <f t="shared" si="28"/>
        <v>-279042.03442868293</v>
      </c>
      <c r="BI55" s="438">
        <f t="shared" si="29"/>
        <v>-55221.25</v>
      </c>
      <c r="BL55" s="438">
        <f t="shared" si="66"/>
        <v>605258.5896260821</v>
      </c>
      <c r="BM55" s="438">
        <f t="shared" si="67"/>
        <v>-6333.3964425210652</v>
      </c>
      <c r="BN55" s="438">
        <f t="shared" si="68"/>
        <v>1343.9331968443366</v>
      </c>
      <c r="BO55" s="438">
        <f t="shared" si="69"/>
        <v>57786.964799939597</v>
      </c>
      <c r="BP55" s="438">
        <f t="shared" si="70"/>
        <v>24012.752424263686</v>
      </c>
      <c r="BQ55" s="438">
        <f t="shared" si="71"/>
        <v>11963.384651443921</v>
      </c>
      <c r="BR55" s="438">
        <f t="shared" si="72"/>
        <v>21620.761158704659</v>
      </c>
      <c r="BS55" s="438">
        <f t="shared" si="44"/>
        <v>-279042.03442868293</v>
      </c>
      <c r="BT55" s="438">
        <f t="shared" si="45"/>
        <v>-55221.25</v>
      </c>
      <c r="BW55" s="565">
        <f>Breakout!$F$15/12</f>
        <v>3627358.3411181979</v>
      </c>
      <c r="BX55" s="565">
        <f>Breakout!$F$26/12</f>
        <v>128513.80432734046</v>
      </c>
      <c r="BY55" s="565">
        <f>Breakout!$F$37/12</f>
        <v>64689.317386844348</v>
      </c>
      <c r="BZ55" s="565">
        <f>Breakout!$F$48/12</f>
        <v>470554.24585804826</v>
      </c>
      <c r="CA55" s="565">
        <f>Breakout!$F$59/12</f>
        <v>432945.56799175782</v>
      </c>
      <c r="CB55" s="565">
        <f>Breakout!$F$70/12</f>
        <v>328484.05131811061</v>
      </c>
      <c r="CC55" s="565">
        <f>Breakout!$F$81/12</f>
        <v>21620.761158704659</v>
      </c>
      <c r="CE55" s="634">
        <f t="shared" si="30"/>
        <v>3626876.1240663109</v>
      </c>
      <c r="CF55" s="634">
        <f t="shared" si="31"/>
        <v>128496.71984270409</v>
      </c>
      <c r="CG55" s="634">
        <f t="shared" si="32"/>
        <v>64680.717659719157</v>
      </c>
      <c r="CI55" s="634">
        <f t="shared" si="33"/>
        <v>-715341.08333333337</v>
      </c>
      <c r="CJ55" s="634">
        <f t="shared" si="34"/>
        <v>-705333.33333333337</v>
      </c>
      <c r="CL55" s="438">
        <f>'account mgt'!$F$23/12</f>
        <v>-52264.493999999999</v>
      </c>
      <c r="CN55" s="438">
        <v>0</v>
      </c>
      <c r="CT55" s="438">
        <f t="shared" si="51"/>
        <v>19674553.440032344</v>
      </c>
      <c r="CU55" s="438">
        <f t="shared" si="46"/>
        <v>155265.01756425525</v>
      </c>
      <c r="CV55" s="438">
        <f>IF(CT55&lt;0.1,0,PPMT($L$3,A55-14,unwinds!$B$8*12,$K$5))</f>
        <v>612293.85993834375</v>
      </c>
      <c r="CW55" s="438">
        <f t="shared" si="47"/>
        <v>19062259.580094002</v>
      </c>
      <c r="CX55" s="438">
        <f t="shared" si="48"/>
        <v>19062259.580094002</v>
      </c>
      <c r="DA55" s="438">
        <f t="shared" si="53"/>
        <v>28504465.312296551</v>
      </c>
      <c r="DB55" s="438">
        <f t="shared" si="54"/>
        <v>224947.73875620693</v>
      </c>
      <c r="DC55" s="438">
        <f t="shared" si="55"/>
        <v>270450.33291540924</v>
      </c>
      <c r="DD55" s="438">
        <f t="shared" si="56"/>
        <v>28234014.97938114</v>
      </c>
      <c r="DE55" s="438">
        <f t="shared" si="49"/>
        <v>28234014.97938114</v>
      </c>
      <c r="DH55" s="944">
        <v>-715341.08333333337</v>
      </c>
      <c r="DI55" s="944">
        <v>-705333.33333333337</v>
      </c>
      <c r="DJ55" s="944"/>
      <c r="DL55" s="381">
        <f t="shared" si="52"/>
        <v>474832.92700924521</v>
      </c>
      <c r="DN55" s="944">
        <f t="shared" si="18"/>
        <v>-715341.08333333337</v>
      </c>
      <c r="DO55" s="944">
        <f t="shared" si="19"/>
        <v>474832.92700924521</v>
      </c>
      <c r="DQ55" s="438">
        <f t="shared" si="20"/>
        <v>376775.84111819835</v>
      </c>
      <c r="DR55" s="438">
        <f t="shared" si="21"/>
        <v>-18358.804258725475</v>
      </c>
      <c r="DS55" s="438"/>
      <c r="DT55" s="438"/>
      <c r="DU55" s="438"/>
      <c r="DV55" s="438"/>
      <c r="DW55" s="438"/>
      <c r="DX55" s="438"/>
    </row>
    <row r="56" spans="1:128" x14ac:dyDescent="0.2">
      <c r="A56" s="383">
        <v>45</v>
      </c>
      <c r="B56" s="631">
        <v>37865</v>
      </c>
      <c r="C56" s="381">
        <v>0</v>
      </c>
      <c r="D56" s="381">
        <v>0</v>
      </c>
      <c r="E56" s="381">
        <v>0</v>
      </c>
      <c r="F56" s="381">
        <v>221068.83333587408</v>
      </c>
      <c r="G56" s="381">
        <v>270450.33291540941</v>
      </c>
      <c r="H56" s="381">
        <v>0</v>
      </c>
      <c r="I56" s="381">
        <v>491519.16625128349</v>
      </c>
      <c r="J56" s="381"/>
      <c r="K56" s="381"/>
      <c r="L56" s="381">
        <f t="shared" si="50"/>
        <v>491519.16625128326</v>
      </c>
      <c r="M56" s="381"/>
      <c r="N56" s="679">
        <f t="shared" si="22"/>
        <v>-715341.08333333337</v>
      </c>
      <c r="O56" s="679">
        <f t="shared" si="23"/>
        <v>-705333.33333333337</v>
      </c>
      <c r="P56" s="565">
        <f>Breakout!$F$16/12</f>
        <v>3481801.0791036584</v>
      </c>
      <c r="Q56" s="557">
        <f>'wholesale services'!$D$110*'wholesale services'!$G$111/12</f>
        <v>3250582.4999999995</v>
      </c>
      <c r="R56" s="557">
        <v>3320487.5</v>
      </c>
      <c r="S56" s="565">
        <f>Breakout!$F$27/12</f>
        <v>123356.85104899592</v>
      </c>
      <c r="T56" s="557">
        <f>'wholesale services'!$D$113*'wholesale services'!$G$114/12</f>
        <v>146872.60858606594</v>
      </c>
      <c r="U56" s="557">
        <v>149870.0087612918</v>
      </c>
      <c r="V56" s="565">
        <f>Breakout!$F$38/12</f>
        <v>62093.488953330387</v>
      </c>
      <c r="W56" s="496">
        <f>Breakout!$F$39/12</f>
        <v>63345.384190000012</v>
      </c>
      <c r="X56" s="496">
        <v>64026.517353333329</v>
      </c>
      <c r="Y56" s="565">
        <f>Breakout!$F$49/12</f>
        <v>451672.02325544209</v>
      </c>
      <c r="Z56" s="566">
        <f>Breakout!$F$50/12</f>
        <v>412767.28105810867</v>
      </c>
      <c r="AA56" s="566">
        <v>433583.34320249053</v>
      </c>
      <c r="AB56" s="565">
        <f>Breakout!$F$60/12</f>
        <v>415572.49217405851</v>
      </c>
      <c r="AC56" s="566">
        <f>Breakout!$F$61/12</f>
        <v>408932.81556749414</v>
      </c>
      <c r="AD56" s="566">
        <v>421683.50469432026</v>
      </c>
      <c r="AE56" s="565">
        <f>Breakout!$F$71/12</f>
        <v>315302.7676871781</v>
      </c>
      <c r="AF56" s="566">
        <f>Breakout!$F$72/12</f>
        <v>316520.66666666669</v>
      </c>
      <c r="AG56" s="566">
        <v>316520.66666666669</v>
      </c>
      <c r="AH56" s="565">
        <f>Breakout!$F$82/12</f>
        <v>20753.171441621118</v>
      </c>
      <c r="AI56" s="566">
        <f>Breakout!$F$83/12</f>
        <v>0</v>
      </c>
      <c r="AJ56" s="566">
        <v>0</v>
      </c>
      <c r="AK56" s="571">
        <f>Breakout!$F$91/12</f>
        <v>279042.03442868293</v>
      </c>
      <c r="AL56" s="571">
        <v>279042.03442868293</v>
      </c>
      <c r="AM56" s="567">
        <f>(Breakout!$F$107/12)*-1</f>
        <v>55221.25</v>
      </c>
      <c r="AN56" s="567">
        <v>55221.25</v>
      </c>
      <c r="AO56" s="578">
        <f t="shared" si="57"/>
        <v>4870551.8736642851</v>
      </c>
      <c r="AP56" s="578">
        <f t="shared" si="58"/>
        <v>4966851.2917682268</v>
      </c>
      <c r="AQ56" s="548">
        <f t="shared" si="59"/>
        <v>177775.4894913552</v>
      </c>
      <c r="AR56" s="496"/>
      <c r="AS56" s="553">
        <f t="shared" si="60"/>
        <v>43931.21563954954</v>
      </c>
      <c r="AT56" s="496"/>
      <c r="AU56" s="557">
        <f>'wholesale services'!$G$110/12</f>
        <v>39106610.706018515</v>
      </c>
      <c r="AV56" s="557">
        <f>'wholesale services'!$G$113/12</f>
        <v>17613.255833333333</v>
      </c>
      <c r="AW56" s="496"/>
      <c r="AX56" s="552">
        <f t="shared" si="61"/>
        <v>-715341.08333333337</v>
      </c>
      <c r="AY56" s="381">
        <f t="shared" si="62"/>
        <v>-705333.33333333337</v>
      </c>
      <c r="AZ56" s="496"/>
      <c r="BA56" s="438">
        <f t="shared" si="63"/>
        <v>459701.32761154266</v>
      </c>
      <c r="BB56" s="438">
        <f t="shared" si="64"/>
        <v>-11490.349720865612</v>
      </c>
      <c r="BC56" s="438">
        <f t="shared" si="65"/>
        <v>-1251.8952366696249</v>
      </c>
      <c r="BD56" s="438">
        <f t="shared" si="24"/>
        <v>38904.742197333428</v>
      </c>
      <c r="BE56" s="438">
        <f t="shared" si="25"/>
        <v>6639.6766065643751</v>
      </c>
      <c r="BF56" s="438">
        <f t="shared" si="26"/>
        <v>-1217.8989794885856</v>
      </c>
      <c r="BG56" s="438">
        <f t="shared" si="27"/>
        <v>20753.171441621118</v>
      </c>
      <c r="BH56" s="438">
        <f t="shared" si="28"/>
        <v>-279042.03442868293</v>
      </c>
      <c r="BI56" s="438">
        <f t="shared" si="29"/>
        <v>-55221.25</v>
      </c>
      <c r="BL56" s="438">
        <f t="shared" si="66"/>
        <v>605258.5896260821</v>
      </c>
      <c r="BM56" s="438">
        <f t="shared" si="67"/>
        <v>-6333.3964425210652</v>
      </c>
      <c r="BN56" s="438">
        <f t="shared" si="68"/>
        <v>1343.9331968443366</v>
      </c>
      <c r="BO56" s="438">
        <f t="shared" si="69"/>
        <v>57786.964799939597</v>
      </c>
      <c r="BP56" s="438">
        <f t="shared" si="70"/>
        <v>24012.752424263686</v>
      </c>
      <c r="BQ56" s="438">
        <f t="shared" si="71"/>
        <v>11963.384651443921</v>
      </c>
      <c r="BR56" s="438">
        <f t="shared" si="72"/>
        <v>21620.761158704659</v>
      </c>
      <c r="BS56" s="438">
        <f t="shared" si="44"/>
        <v>-279042.03442868293</v>
      </c>
      <c r="BT56" s="438">
        <f t="shared" si="45"/>
        <v>-55221.25</v>
      </c>
      <c r="BW56" s="565">
        <f>Breakout!$F$15/12</f>
        <v>3627358.3411181979</v>
      </c>
      <c r="BX56" s="565">
        <f>Breakout!$F$26/12</f>
        <v>128513.80432734046</v>
      </c>
      <c r="BY56" s="565">
        <f>Breakout!$F$37/12</f>
        <v>64689.317386844348</v>
      </c>
      <c r="BZ56" s="565">
        <f>Breakout!$F$48/12</f>
        <v>470554.24585804826</v>
      </c>
      <c r="CA56" s="565">
        <f>Breakout!$F$59/12</f>
        <v>432945.56799175782</v>
      </c>
      <c r="CB56" s="565">
        <f>Breakout!$F$70/12</f>
        <v>328484.05131811061</v>
      </c>
      <c r="CC56" s="565">
        <f>Breakout!$F$81/12</f>
        <v>21620.761158704659</v>
      </c>
      <c r="CE56" s="634">
        <f t="shared" si="30"/>
        <v>3626876.1240663109</v>
      </c>
      <c r="CF56" s="634">
        <f t="shared" si="31"/>
        <v>128496.71984270409</v>
      </c>
      <c r="CG56" s="634">
        <f t="shared" si="32"/>
        <v>64680.717659719157</v>
      </c>
      <c r="CI56" s="634">
        <f t="shared" si="33"/>
        <v>-715341.08333333337</v>
      </c>
      <c r="CJ56" s="634">
        <f t="shared" si="34"/>
        <v>-705333.33333333337</v>
      </c>
      <c r="CL56" s="438">
        <f>'account mgt'!$F$23/12</f>
        <v>-52264.493999999999</v>
      </c>
      <c r="CN56" s="438">
        <v>0</v>
      </c>
      <c r="CT56" s="438">
        <f t="shared" si="51"/>
        <v>19062259.580094002</v>
      </c>
      <c r="CU56" s="438">
        <f t="shared" si="46"/>
        <v>150432.99851957517</v>
      </c>
      <c r="CV56" s="438">
        <f>IF(CT56&lt;0.1,0,PPMT($L$3,A56-14,unwinds!$B$8*12,$K$5))</f>
        <v>617125.87898302381</v>
      </c>
      <c r="CW56" s="438">
        <f t="shared" si="47"/>
        <v>18445133.701110978</v>
      </c>
      <c r="CX56" s="438">
        <f t="shared" si="48"/>
        <v>18445133.701110978</v>
      </c>
      <c r="DA56" s="438">
        <f t="shared" si="53"/>
        <v>28234014.97938114</v>
      </c>
      <c r="DB56" s="438">
        <f t="shared" si="54"/>
        <v>222813.43487894948</v>
      </c>
      <c r="DC56" s="438">
        <f t="shared" si="55"/>
        <v>272584.63679266663</v>
      </c>
      <c r="DD56" s="438">
        <f t="shared" si="56"/>
        <v>27961430.342588473</v>
      </c>
      <c r="DE56" s="438">
        <f t="shared" si="49"/>
        <v>27961430.342588473</v>
      </c>
      <c r="DH56" s="944">
        <v>-715341.08333333337</v>
      </c>
      <c r="DI56" s="944">
        <v>-705333.33333333337</v>
      </c>
      <c r="DJ56" s="944"/>
      <c r="DL56" s="381">
        <f t="shared" si="52"/>
        <v>474832.92700924521</v>
      </c>
      <c r="DN56" s="944">
        <f t="shared" si="18"/>
        <v>-715341.08333333337</v>
      </c>
      <c r="DO56" s="944">
        <f t="shared" si="19"/>
        <v>474832.92700924521</v>
      </c>
      <c r="DQ56" s="438">
        <f t="shared" si="20"/>
        <v>376775.84111819835</v>
      </c>
      <c r="DR56" s="438">
        <f t="shared" si="21"/>
        <v>-18358.804258725475</v>
      </c>
      <c r="DS56" s="438"/>
      <c r="DT56" s="438"/>
      <c r="DU56" s="438"/>
      <c r="DV56" s="438"/>
      <c r="DW56" s="438"/>
      <c r="DX56" s="438"/>
    </row>
    <row r="57" spans="1:128" x14ac:dyDescent="0.2">
      <c r="A57" s="383">
        <v>46</v>
      </c>
      <c r="B57" s="631">
        <v>37895</v>
      </c>
      <c r="C57" s="381">
        <v>0</v>
      </c>
      <c r="D57" s="381">
        <v>0</v>
      </c>
      <c r="E57" s="381">
        <v>0</v>
      </c>
      <c r="F57" s="381">
        <v>218934.52945861669</v>
      </c>
      <c r="G57" s="381">
        <v>272584.6367926668</v>
      </c>
      <c r="H57" s="381">
        <v>0</v>
      </c>
      <c r="I57" s="381">
        <v>491519.16625128349</v>
      </c>
      <c r="J57" s="381"/>
      <c r="K57" s="381"/>
      <c r="L57" s="381">
        <f t="shared" si="50"/>
        <v>491519.16625128326</v>
      </c>
      <c r="M57" s="381"/>
      <c r="N57" s="679">
        <f t="shared" si="22"/>
        <v>-715341.08333333337</v>
      </c>
      <c r="O57" s="679">
        <f t="shared" si="23"/>
        <v>-705333.33333333337</v>
      </c>
      <c r="P57" s="565">
        <f>Breakout!$F$16/12</f>
        <v>3481801.0791036584</v>
      </c>
      <c r="Q57" s="557">
        <f>'wholesale services'!$D$110*'wholesale services'!$G$111/12</f>
        <v>3250582.4999999995</v>
      </c>
      <c r="R57" s="557">
        <v>3320487.5</v>
      </c>
      <c r="S57" s="565">
        <f>Breakout!$F$27/12</f>
        <v>123356.85104899592</v>
      </c>
      <c r="T57" s="557">
        <f>'wholesale services'!$D$113*'wholesale services'!$G$114/12</f>
        <v>146872.60858606594</v>
      </c>
      <c r="U57" s="557">
        <v>149870.0087612918</v>
      </c>
      <c r="V57" s="565">
        <f>Breakout!$F$38/12</f>
        <v>62093.488953330387</v>
      </c>
      <c r="W57" s="496">
        <f>Breakout!$F$39/12</f>
        <v>63345.384190000012</v>
      </c>
      <c r="X57" s="496">
        <v>64026.517353333329</v>
      </c>
      <c r="Y57" s="565">
        <f>Breakout!$F$49/12</f>
        <v>451672.02325544209</v>
      </c>
      <c r="Z57" s="566">
        <f>Breakout!$F$50/12</f>
        <v>412767.28105810867</v>
      </c>
      <c r="AA57" s="566">
        <v>433583.34320249053</v>
      </c>
      <c r="AB57" s="565">
        <f>Breakout!$F$60/12</f>
        <v>415572.49217405851</v>
      </c>
      <c r="AC57" s="566">
        <f>Breakout!$F$61/12</f>
        <v>408932.81556749414</v>
      </c>
      <c r="AD57" s="566">
        <v>421683.50469432026</v>
      </c>
      <c r="AE57" s="565">
        <f>Breakout!$F$71/12</f>
        <v>315302.7676871781</v>
      </c>
      <c r="AF57" s="566">
        <f>Breakout!$F$72/12</f>
        <v>316520.66666666669</v>
      </c>
      <c r="AG57" s="566">
        <v>316520.66666666669</v>
      </c>
      <c r="AH57" s="565">
        <f>Breakout!$F$82/12</f>
        <v>20753.171441621118</v>
      </c>
      <c r="AI57" s="566">
        <f>Breakout!$F$83/12</f>
        <v>0</v>
      </c>
      <c r="AJ57" s="566">
        <v>0</v>
      </c>
      <c r="AK57" s="571">
        <f>Breakout!$F$91/12</f>
        <v>279042.03442868293</v>
      </c>
      <c r="AL57" s="571">
        <v>279042.03442868293</v>
      </c>
      <c r="AM57" s="567">
        <f>(Breakout!$F$107/12)*-1</f>
        <v>55221.25</v>
      </c>
      <c r="AN57" s="567">
        <v>55221.25</v>
      </c>
      <c r="AO57" s="578">
        <f t="shared" si="57"/>
        <v>4870551.8736642851</v>
      </c>
      <c r="AP57" s="578">
        <f t="shared" si="58"/>
        <v>4966851.2917682268</v>
      </c>
      <c r="AQ57" s="548">
        <f t="shared" si="59"/>
        <v>177775.4894913552</v>
      </c>
      <c r="AR57" s="496"/>
      <c r="AS57" s="553">
        <f t="shared" si="60"/>
        <v>43931.21563954954</v>
      </c>
      <c r="AT57" s="496"/>
      <c r="AU57" s="557">
        <f>'wholesale services'!$G$110/12</f>
        <v>39106610.706018515</v>
      </c>
      <c r="AV57" s="557">
        <f>'wholesale services'!$G$113/12</f>
        <v>17613.255833333333</v>
      </c>
      <c r="AW57" s="496"/>
      <c r="AX57" s="552">
        <f t="shared" si="61"/>
        <v>-715341.08333333337</v>
      </c>
      <c r="AY57" s="381">
        <f t="shared" si="62"/>
        <v>-705333.33333333337</v>
      </c>
      <c r="AZ57" s="496"/>
      <c r="BA57" s="438">
        <f t="shared" si="63"/>
        <v>459701.32761154266</v>
      </c>
      <c r="BB57" s="438">
        <f t="shared" si="64"/>
        <v>-11490.349720865612</v>
      </c>
      <c r="BC57" s="438">
        <f t="shared" si="65"/>
        <v>-1251.8952366696249</v>
      </c>
      <c r="BD57" s="438">
        <f t="shared" si="24"/>
        <v>38904.742197333428</v>
      </c>
      <c r="BE57" s="438">
        <f t="shared" si="25"/>
        <v>6639.6766065643751</v>
      </c>
      <c r="BF57" s="438">
        <f t="shared" si="26"/>
        <v>-1217.8989794885856</v>
      </c>
      <c r="BG57" s="438">
        <f t="shared" si="27"/>
        <v>20753.171441621118</v>
      </c>
      <c r="BH57" s="438">
        <f t="shared" si="28"/>
        <v>-279042.03442868293</v>
      </c>
      <c r="BI57" s="438">
        <f t="shared" si="29"/>
        <v>-55221.25</v>
      </c>
      <c r="BL57" s="438">
        <f t="shared" si="66"/>
        <v>605258.5896260821</v>
      </c>
      <c r="BM57" s="438">
        <f t="shared" si="67"/>
        <v>-6333.3964425210652</v>
      </c>
      <c r="BN57" s="438">
        <f t="shared" si="68"/>
        <v>1343.9331968443366</v>
      </c>
      <c r="BO57" s="438">
        <f t="shared" si="69"/>
        <v>57786.964799939597</v>
      </c>
      <c r="BP57" s="438">
        <f t="shared" si="70"/>
        <v>24012.752424263686</v>
      </c>
      <c r="BQ57" s="438">
        <f t="shared" si="71"/>
        <v>11963.384651443921</v>
      </c>
      <c r="BR57" s="438">
        <f t="shared" si="72"/>
        <v>21620.761158704659</v>
      </c>
      <c r="BS57" s="438">
        <f t="shared" si="44"/>
        <v>-279042.03442868293</v>
      </c>
      <c r="BT57" s="438">
        <f t="shared" si="45"/>
        <v>-55221.25</v>
      </c>
      <c r="BW57" s="565">
        <f>Breakout!$F$15/12</f>
        <v>3627358.3411181979</v>
      </c>
      <c r="BX57" s="565">
        <f>Breakout!$F$26/12</f>
        <v>128513.80432734046</v>
      </c>
      <c r="BY57" s="565">
        <f>Breakout!$F$37/12</f>
        <v>64689.317386844348</v>
      </c>
      <c r="BZ57" s="565">
        <f>Breakout!$F$48/12</f>
        <v>470554.24585804826</v>
      </c>
      <c r="CA57" s="565">
        <f>Breakout!$F$59/12</f>
        <v>432945.56799175782</v>
      </c>
      <c r="CB57" s="565">
        <f>Breakout!$F$70/12</f>
        <v>328484.05131811061</v>
      </c>
      <c r="CC57" s="565">
        <f>Breakout!$F$81/12</f>
        <v>21620.761158704659</v>
      </c>
      <c r="CE57" s="634">
        <f t="shared" si="30"/>
        <v>3626876.1240663109</v>
      </c>
      <c r="CF57" s="634">
        <f t="shared" si="31"/>
        <v>128496.71984270409</v>
      </c>
      <c r="CG57" s="634">
        <f t="shared" si="32"/>
        <v>64680.717659719157</v>
      </c>
      <c r="CI57" s="634">
        <f t="shared" si="33"/>
        <v>-715341.08333333337</v>
      </c>
      <c r="CJ57" s="634">
        <f t="shared" si="34"/>
        <v>-705333.33333333337</v>
      </c>
      <c r="CL57" s="438">
        <f>'account mgt'!$F$23/12</f>
        <v>-52264.493999999999</v>
      </c>
      <c r="CN57" s="438">
        <v>0</v>
      </c>
      <c r="CT57" s="438">
        <f t="shared" si="51"/>
        <v>18445133.701110978</v>
      </c>
      <c r="CU57" s="438">
        <f t="shared" si="46"/>
        <v>145562.84679126745</v>
      </c>
      <c r="CV57" s="438">
        <f>IF(CT57&lt;0.1,0,PPMT($L$3,A57-14,unwinds!$B$8*12,$K$5))</f>
        <v>621996.0307113314</v>
      </c>
      <c r="CW57" s="438">
        <f t="shared" si="47"/>
        <v>17823137.670399647</v>
      </c>
      <c r="CX57" s="438">
        <f t="shared" si="48"/>
        <v>17823137.670399647</v>
      </c>
      <c r="DA57" s="438">
        <f t="shared" si="53"/>
        <v>27961430.342588473</v>
      </c>
      <c r="DB57" s="438">
        <f t="shared" si="54"/>
        <v>220662.28778692737</v>
      </c>
      <c r="DC57" s="438">
        <f t="shared" si="55"/>
        <v>274735.78388468869</v>
      </c>
      <c r="DD57" s="438">
        <f t="shared" si="56"/>
        <v>27686694.558703784</v>
      </c>
      <c r="DE57" s="438">
        <f t="shared" si="49"/>
        <v>27686694.558703784</v>
      </c>
      <c r="DH57" s="944">
        <v>-715341.08333333337</v>
      </c>
      <c r="DI57" s="944">
        <v>-705333.33333333337</v>
      </c>
      <c r="DJ57" s="944"/>
      <c r="DL57" s="381">
        <f t="shared" si="52"/>
        <v>474832.92700924521</v>
      </c>
      <c r="DN57" s="944">
        <f t="shared" si="18"/>
        <v>-715341.08333333337</v>
      </c>
      <c r="DO57" s="944">
        <f t="shared" si="19"/>
        <v>474832.92700924521</v>
      </c>
      <c r="DQ57" s="438">
        <f t="shared" si="20"/>
        <v>376775.84111819835</v>
      </c>
      <c r="DR57" s="438">
        <f t="shared" si="21"/>
        <v>-18358.804258725475</v>
      </c>
      <c r="DS57" s="438"/>
      <c r="DT57" s="438"/>
      <c r="DU57" s="438"/>
      <c r="DV57" s="438"/>
      <c r="DW57" s="438"/>
      <c r="DX57" s="438"/>
    </row>
    <row r="58" spans="1:128" x14ac:dyDescent="0.2">
      <c r="A58" s="383">
        <v>47</v>
      </c>
      <c r="B58" s="631">
        <v>37926</v>
      </c>
      <c r="C58" s="381">
        <v>0</v>
      </c>
      <c r="D58" s="381">
        <v>0</v>
      </c>
      <c r="E58" s="381">
        <v>0</v>
      </c>
      <c r="F58" s="381">
        <v>216783.38236659457</v>
      </c>
      <c r="G58" s="381">
        <v>274735.78388468892</v>
      </c>
      <c r="H58" s="381">
        <v>0</v>
      </c>
      <c r="I58" s="381">
        <v>491519.16625128349</v>
      </c>
      <c r="J58" s="381"/>
      <c r="K58" s="381"/>
      <c r="L58" s="381">
        <f t="shared" si="50"/>
        <v>491519.16625128326</v>
      </c>
      <c r="M58" s="381"/>
      <c r="N58" s="679">
        <f t="shared" si="22"/>
        <v>-715341.08333333337</v>
      </c>
      <c r="O58" s="679">
        <f t="shared" si="23"/>
        <v>-705333.33333333337</v>
      </c>
      <c r="P58" s="565">
        <f>Breakout!$F$16/12</f>
        <v>3481801.0791036584</v>
      </c>
      <c r="Q58" s="557">
        <f>'wholesale services'!$D$110*'wholesale services'!$G$111/12</f>
        <v>3250582.4999999995</v>
      </c>
      <c r="R58" s="557">
        <v>3320487.5</v>
      </c>
      <c r="S58" s="565">
        <f>Breakout!$F$27/12</f>
        <v>123356.85104899592</v>
      </c>
      <c r="T58" s="557">
        <f>'wholesale services'!$D$113*'wholesale services'!$G$114/12</f>
        <v>146872.60858606594</v>
      </c>
      <c r="U58" s="557">
        <v>149870.0087612918</v>
      </c>
      <c r="V58" s="565">
        <f>Breakout!$F$38/12</f>
        <v>62093.488953330387</v>
      </c>
      <c r="W58" s="496">
        <f>Breakout!$F$39/12</f>
        <v>63345.384190000012</v>
      </c>
      <c r="X58" s="496">
        <v>64026.517353333329</v>
      </c>
      <c r="Y58" s="565">
        <f>Breakout!$F$49/12</f>
        <v>451672.02325544209</v>
      </c>
      <c r="Z58" s="566">
        <f>Breakout!$F$50/12</f>
        <v>412767.28105810867</v>
      </c>
      <c r="AA58" s="566">
        <v>433583.34320249053</v>
      </c>
      <c r="AB58" s="565">
        <f>Breakout!$F$60/12</f>
        <v>415572.49217405851</v>
      </c>
      <c r="AC58" s="566">
        <f>Breakout!$F$61/12</f>
        <v>408932.81556749414</v>
      </c>
      <c r="AD58" s="566">
        <v>421683.50469432026</v>
      </c>
      <c r="AE58" s="565">
        <f>Breakout!$F$71/12</f>
        <v>315302.7676871781</v>
      </c>
      <c r="AF58" s="566">
        <f>Breakout!$F$72/12</f>
        <v>316520.66666666669</v>
      </c>
      <c r="AG58" s="566">
        <v>316520.66666666669</v>
      </c>
      <c r="AH58" s="565">
        <f>Breakout!$F$82/12</f>
        <v>20753.171441621118</v>
      </c>
      <c r="AI58" s="566">
        <f>Breakout!$F$83/12</f>
        <v>0</v>
      </c>
      <c r="AJ58" s="566">
        <v>0</v>
      </c>
      <c r="AK58" s="571">
        <f>Breakout!$F$91/12</f>
        <v>279042.03442868293</v>
      </c>
      <c r="AL58" s="571">
        <v>279042.03442868293</v>
      </c>
      <c r="AM58" s="567">
        <f>(Breakout!$F$107/12)*-1</f>
        <v>55221.25</v>
      </c>
      <c r="AN58" s="567">
        <v>55221.25</v>
      </c>
      <c r="AO58" s="578">
        <f t="shared" si="57"/>
        <v>4870551.8736642851</v>
      </c>
      <c r="AP58" s="578">
        <f t="shared" si="58"/>
        <v>4966851.2917682268</v>
      </c>
      <c r="AQ58" s="548">
        <f t="shared" si="59"/>
        <v>177775.4894913552</v>
      </c>
      <c r="AR58" s="496"/>
      <c r="AS58" s="553">
        <f t="shared" si="60"/>
        <v>43931.21563954954</v>
      </c>
      <c r="AT58" s="496"/>
      <c r="AU58" s="557">
        <f>'wholesale services'!$G$110/12</f>
        <v>39106610.706018515</v>
      </c>
      <c r="AV58" s="557">
        <f>'wholesale services'!$G$113/12</f>
        <v>17613.255833333333</v>
      </c>
      <c r="AW58" s="496"/>
      <c r="AX58" s="552">
        <f t="shared" si="61"/>
        <v>-715341.08333333337</v>
      </c>
      <c r="AY58" s="381">
        <f t="shared" si="62"/>
        <v>-705333.33333333337</v>
      </c>
      <c r="AZ58" s="496"/>
      <c r="BA58" s="438">
        <f t="shared" si="63"/>
        <v>459701.32761154266</v>
      </c>
      <c r="BB58" s="438">
        <f t="shared" si="64"/>
        <v>-11490.349720865612</v>
      </c>
      <c r="BC58" s="438">
        <f t="shared" si="65"/>
        <v>-1251.8952366696249</v>
      </c>
      <c r="BD58" s="438">
        <f t="shared" si="24"/>
        <v>38904.742197333428</v>
      </c>
      <c r="BE58" s="438">
        <f t="shared" si="25"/>
        <v>6639.6766065643751</v>
      </c>
      <c r="BF58" s="438">
        <f t="shared" si="26"/>
        <v>-1217.8989794885856</v>
      </c>
      <c r="BG58" s="438">
        <f t="shared" si="27"/>
        <v>20753.171441621118</v>
      </c>
      <c r="BH58" s="438">
        <f t="shared" si="28"/>
        <v>-279042.03442868293</v>
      </c>
      <c r="BI58" s="438">
        <f t="shared" si="29"/>
        <v>-55221.25</v>
      </c>
      <c r="BL58" s="438">
        <f t="shared" si="66"/>
        <v>605258.5896260821</v>
      </c>
      <c r="BM58" s="438">
        <f t="shared" si="67"/>
        <v>-6333.3964425210652</v>
      </c>
      <c r="BN58" s="438">
        <f t="shared" si="68"/>
        <v>1343.9331968443366</v>
      </c>
      <c r="BO58" s="438">
        <f t="shared" si="69"/>
        <v>57786.964799939597</v>
      </c>
      <c r="BP58" s="438">
        <f t="shared" si="70"/>
        <v>24012.752424263686</v>
      </c>
      <c r="BQ58" s="438">
        <f t="shared" si="71"/>
        <v>11963.384651443921</v>
      </c>
      <c r="BR58" s="438">
        <f t="shared" si="72"/>
        <v>21620.761158704659</v>
      </c>
      <c r="BS58" s="438">
        <f t="shared" si="44"/>
        <v>-279042.03442868293</v>
      </c>
      <c r="BT58" s="438">
        <f t="shared" si="45"/>
        <v>-55221.25</v>
      </c>
      <c r="BW58" s="565">
        <f>Breakout!$F$15/12</f>
        <v>3627358.3411181979</v>
      </c>
      <c r="BX58" s="565">
        <f>Breakout!$F$26/12</f>
        <v>128513.80432734046</v>
      </c>
      <c r="BY58" s="565">
        <f>Breakout!$F$37/12</f>
        <v>64689.317386844348</v>
      </c>
      <c r="BZ58" s="565">
        <f>Breakout!$F$48/12</f>
        <v>470554.24585804826</v>
      </c>
      <c r="CA58" s="565">
        <f>Breakout!$F$59/12</f>
        <v>432945.56799175782</v>
      </c>
      <c r="CB58" s="565">
        <f>Breakout!$F$70/12</f>
        <v>328484.05131811061</v>
      </c>
      <c r="CC58" s="565">
        <f>Breakout!$F$81/12</f>
        <v>21620.761158704659</v>
      </c>
      <c r="CE58" s="634">
        <f t="shared" si="30"/>
        <v>3626876.1240663109</v>
      </c>
      <c r="CF58" s="634">
        <f t="shared" si="31"/>
        <v>128496.71984270409</v>
      </c>
      <c r="CG58" s="634">
        <f t="shared" si="32"/>
        <v>64680.717659719157</v>
      </c>
      <c r="CI58" s="634">
        <f t="shared" si="33"/>
        <v>-715341.08333333337</v>
      </c>
      <c r="CJ58" s="634">
        <f t="shared" si="34"/>
        <v>-705333.33333333337</v>
      </c>
      <c r="CL58" s="438">
        <f>'account mgt'!$F$23/12</f>
        <v>-52264.493999999999</v>
      </c>
      <c r="CN58" s="438">
        <v>0</v>
      </c>
      <c r="CT58" s="438">
        <f t="shared" si="51"/>
        <v>17823137.670399647</v>
      </c>
      <c r="CU58" s="438">
        <f t="shared" si="46"/>
        <v>140654.26144890388</v>
      </c>
      <c r="CV58" s="438">
        <f>IF(CT58&lt;0.1,0,PPMT($L$3,A58-14,unwinds!$B$8*12,$K$5))</f>
        <v>626904.61605369498</v>
      </c>
      <c r="CW58" s="438">
        <f t="shared" si="47"/>
        <v>17196233.05434595</v>
      </c>
      <c r="CX58" s="438">
        <f t="shared" si="48"/>
        <v>17196233.05434595</v>
      </c>
      <c r="DA58" s="438">
        <f t="shared" si="53"/>
        <v>27686694.558703784</v>
      </c>
      <c r="DB58" s="438">
        <f t="shared" si="54"/>
        <v>218494.16455910401</v>
      </c>
      <c r="DC58" s="438">
        <f t="shared" si="55"/>
        <v>276903.90711251198</v>
      </c>
      <c r="DD58" s="438">
        <f t="shared" si="56"/>
        <v>27409790.651591271</v>
      </c>
      <c r="DE58" s="438">
        <f t="shared" ref="DE58:DE89" si="73">DE57-DC58</f>
        <v>27409790.651591271</v>
      </c>
      <c r="DH58" s="944">
        <v>-715341.08333333337</v>
      </c>
      <c r="DI58" s="944">
        <v>-705333.33333333337</v>
      </c>
      <c r="DJ58" s="944"/>
      <c r="DL58" s="381">
        <f t="shared" si="52"/>
        <v>474832.92700924521</v>
      </c>
      <c r="DN58" s="944">
        <f t="shared" si="18"/>
        <v>-715341.08333333337</v>
      </c>
      <c r="DO58" s="944">
        <f t="shared" si="19"/>
        <v>474832.92700924521</v>
      </c>
      <c r="DQ58" s="438">
        <f t="shared" si="20"/>
        <v>376775.84111819835</v>
      </c>
      <c r="DR58" s="438">
        <f t="shared" si="21"/>
        <v>-18358.804258725475</v>
      </c>
      <c r="DS58" s="438"/>
      <c r="DT58" s="438"/>
      <c r="DU58" s="438"/>
      <c r="DV58" s="438"/>
      <c r="DW58" s="438"/>
      <c r="DX58" s="438"/>
    </row>
    <row r="59" spans="1:128" s="676" customFormat="1" x14ac:dyDescent="0.2">
      <c r="A59" s="667">
        <v>48</v>
      </c>
      <c r="B59" s="668">
        <v>37956</v>
      </c>
      <c r="C59" s="669">
        <v>0</v>
      </c>
      <c r="D59" s="669">
        <v>0</v>
      </c>
      <c r="E59" s="669">
        <v>0</v>
      </c>
      <c r="F59" s="381">
        <v>214615.25913877125</v>
      </c>
      <c r="G59" s="381">
        <v>276903.90711251227</v>
      </c>
      <c r="H59" s="381">
        <v>0</v>
      </c>
      <c r="I59" s="381">
        <v>491519.16625128349</v>
      </c>
      <c r="J59" s="669"/>
      <c r="K59" s="669"/>
      <c r="L59" s="381">
        <f t="shared" si="50"/>
        <v>491519.16625128326</v>
      </c>
      <c r="M59" s="669"/>
      <c r="N59" s="679">
        <f t="shared" si="22"/>
        <v>-715341.08333333337</v>
      </c>
      <c r="O59" s="679">
        <f t="shared" si="23"/>
        <v>-705333.33333333337</v>
      </c>
      <c r="P59" s="670">
        <f>Breakout!$F$16/12</f>
        <v>3481801.0791036584</v>
      </c>
      <c r="Q59" s="671">
        <f>'wholesale services'!$D$110*'wholesale services'!$G$111/12</f>
        <v>3250582.4999999995</v>
      </c>
      <c r="R59" s="671">
        <v>3320487.5</v>
      </c>
      <c r="S59" s="670">
        <f>Breakout!$F$27/12</f>
        <v>123356.85104899592</v>
      </c>
      <c r="T59" s="671">
        <f>'wholesale services'!$D$113*'wholesale services'!$G$114/12</f>
        <v>146872.60858606594</v>
      </c>
      <c r="U59" s="671">
        <v>149870.0087612918</v>
      </c>
      <c r="V59" s="670">
        <f>Breakout!$F$38/12</f>
        <v>62093.488953330387</v>
      </c>
      <c r="W59" s="672">
        <f>Breakout!$F$39/12</f>
        <v>63345.384190000012</v>
      </c>
      <c r="X59" s="672">
        <v>64026.517353333329</v>
      </c>
      <c r="Y59" s="670">
        <f>Breakout!$F$49/12</f>
        <v>451672.02325544209</v>
      </c>
      <c r="Z59" s="671">
        <f>Breakout!$F$50/12</f>
        <v>412767.28105810867</v>
      </c>
      <c r="AA59" s="671">
        <v>433583.34320249053</v>
      </c>
      <c r="AB59" s="670">
        <f>Breakout!$F$60/12</f>
        <v>415572.49217405851</v>
      </c>
      <c r="AC59" s="671">
        <f>Breakout!$F$61/12</f>
        <v>408932.81556749414</v>
      </c>
      <c r="AD59" s="671">
        <v>421683.50469432026</v>
      </c>
      <c r="AE59" s="670">
        <f>Breakout!$F$71/12</f>
        <v>315302.7676871781</v>
      </c>
      <c r="AF59" s="671">
        <f>Breakout!$F$72/12</f>
        <v>316520.66666666669</v>
      </c>
      <c r="AG59" s="671">
        <v>316520.66666666669</v>
      </c>
      <c r="AH59" s="670">
        <f>Breakout!$F$82/12</f>
        <v>20753.171441621118</v>
      </c>
      <c r="AI59" s="671">
        <f>Breakout!$F$83/12</f>
        <v>0</v>
      </c>
      <c r="AJ59" s="671">
        <v>0</v>
      </c>
      <c r="AK59" s="673">
        <f>Breakout!$F$91/12</f>
        <v>279042.03442868293</v>
      </c>
      <c r="AL59" s="673">
        <v>279042.03442868293</v>
      </c>
      <c r="AM59" s="673">
        <f>(Breakout!$F$107/12)*-1</f>
        <v>55221.25</v>
      </c>
      <c r="AN59" s="673">
        <v>55221.25</v>
      </c>
      <c r="AO59" s="674">
        <f t="shared" si="57"/>
        <v>4870551.8736642851</v>
      </c>
      <c r="AP59" s="674">
        <f t="shared" si="58"/>
        <v>4966851.2917682268</v>
      </c>
      <c r="AQ59" s="548">
        <f t="shared" si="59"/>
        <v>177775.4894913552</v>
      </c>
      <c r="AR59" s="672">
        <f>SUM(AQ48:AQ59)</f>
        <v>2133305.8738962621</v>
      </c>
      <c r="AS59" s="553">
        <f t="shared" si="60"/>
        <v>43931.21563954954</v>
      </c>
      <c r="AT59" s="672">
        <f>SUM(AS48:AS59)</f>
        <v>527174.58767459448</v>
      </c>
      <c r="AU59" s="671">
        <f>'wholesale services'!$G$110/12</f>
        <v>39106610.706018515</v>
      </c>
      <c r="AV59" s="671">
        <f>'wholesale services'!$G$113/12</f>
        <v>17613.255833333333</v>
      </c>
      <c r="AW59" s="672"/>
      <c r="AX59" s="552">
        <f t="shared" si="61"/>
        <v>-715341.08333333337</v>
      </c>
      <c r="AY59" s="381">
        <f t="shared" si="62"/>
        <v>-705333.33333333337</v>
      </c>
      <c r="AZ59" s="672"/>
      <c r="BA59" s="438">
        <f t="shared" si="63"/>
        <v>459701.32761154266</v>
      </c>
      <c r="BB59" s="438">
        <f t="shared" si="64"/>
        <v>-11490.349720865612</v>
      </c>
      <c r="BC59" s="438">
        <f t="shared" si="65"/>
        <v>-1251.8952366696249</v>
      </c>
      <c r="BD59" s="438">
        <f t="shared" si="24"/>
        <v>38904.742197333428</v>
      </c>
      <c r="BE59" s="438">
        <f t="shared" si="25"/>
        <v>6639.6766065643751</v>
      </c>
      <c r="BF59" s="438">
        <f t="shared" si="26"/>
        <v>-1217.8989794885856</v>
      </c>
      <c r="BG59" s="438">
        <f t="shared" si="27"/>
        <v>20753.171441621118</v>
      </c>
      <c r="BH59" s="438">
        <f t="shared" si="28"/>
        <v>-279042.03442868293</v>
      </c>
      <c r="BI59" s="438">
        <f t="shared" si="29"/>
        <v>-55221.25</v>
      </c>
      <c r="BJ59" s="672"/>
      <c r="BK59" s="496"/>
      <c r="BL59" s="438">
        <f t="shared" si="66"/>
        <v>605258.5896260821</v>
      </c>
      <c r="BM59" s="438">
        <f t="shared" si="67"/>
        <v>-6333.3964425210652</v>
      </c>
      <c r="BN59" s="438">
        <f t="shared" si="68"/>
        <v>1343.9331968443366</v>
      </c>
      <c r="BO59" s="438">
        <f t="shared" si="69"/>
        <v>57786.964799939597</v>
      </c>
      <c r="BP59" s="438">
        <f t="shared" si="70"/>
        <v>24012.752424263686</v>
      </c>
      <c r="BQ59" s="438">
        <f t="shared" si="71"/>
        <v>11963.384651443921</v>
      </c>
      <c r="BR59" s="438">
        <f t="shared" si="72"/>
        <v>21620.761158704659</v>
      </c>
      <c r="BS59" s="438">
        <f t="shared" si="44"/>
        <v>-279042.03442868293</v>
      </c>
      <c r="BT59" s="438">
        <f t="shared" si="45"/>
        <v>-55221.25</v>
      </c>
      <c r="BU59" s="672"/>
      <c r="BV59" s="672"/>
      <c r="BW59" s="670">
        <f>Breakout!$F$15/12</f>
        <v>3627358.3411181979</v>
      </c>
      <c r="BX59" s="670">
        <f>Breakout!$F$26/12</f>
        <v>128513.80432734046</v>
      </c>
      <c r="BY59" s="670">
        <f>Breakout!$F$37/12</f>
        <v>64689.317386844348</v>
      </c>
      <c r="BZ59" s="670">
        <f>Breakout!$F$48/12</f>
        <v>470554.24585804826</v>
      </c>
      <c r="CA59" s="670">
        <f>Breakout!$F$59/12</f>
        <v>432945.56799175782</v>
      </c>
      <c r="CB59" s="670">
        <f>Breakout!$F$70/12</f>
        <v>328484.05131811061</v>
      </c>
      <c r="CC59" s="670">
        <f>Breakout!$F$81/12</f>
        <v>21620.761158704659</v>
      </c>
      <c r="CD59" s="672"/>
      <c r="CE59" s="675">
        <f t="shared" si="30"/>
        <v>3626876.1240663109</v>
      </c>
      <c r="CF59" s="675">
        <f t="shared" si="31"/>
        <v>128496.71984270409</v>
      </c>
      <c r="CG59" s="675">
        <f t="shared" si="32"/>
        <v>64680.717659719157</v>
      </c>
      <c r="CH59" s="672"/>
      <c r="CI59" s="675">
        <f t="shared" si="33"/>
        <v>-715341.08333333337</v>
      </c>
      <c r="CJ59" s="675">
        <f t="shared" si="34"/>
        <v>-705333.33333333337</v>
      </c>
      <c r="CK59" s="672"/>
      <c r="CL59" s="672">
        <f>'account mgt'!$F$23/12</f>
        <v>-52264.493999999999</v>
      </c>
      <c r="CM59" s="672"/>
      <c r="CN59" s="438">
        <v>0</v>
      </c>
      <c r="CO59" s="672"/>
      <c r="CP59" s="672"/>
      <c r="CQ59" s="496"/>
      <c r="CR59" s="496"/>
      <c r="CS59" s="496"/>
      <c r="CT59" s="438">
        <f t="shared" si="51"/>
        <v>17196233.05434595</v>
      </c>
      <c r="CU59" s="438">
        <f t="shared" si="46"/>
        <v>135706.93918721346</v>
      </c>
      <c r="CV59" s="438">
        <f>IF(CT59&lt;0.1,0,PPMT($L$3,A59-14,unwinds!$B$8*12,$K$5))</f>
        <v>631851.93831538537</v>
      </c>
      <c r="CW59" s="438">
        <f t="shared" si="47"/>
        <v>16564381.116030565</v>
      </c>
      <c r="CX59" s="438">
        <f t="shared" si="48"/>
        <v>16564381.116030565</v>
      </c>
      <c r="CY59" s="672">
        <f>CX59</f>
        <v>16564381.116030565</v>
      </c>
      <c r="CZ59" s="438"/>
      <c r="DA59" s="438">
        <f t="shared" si="53"/>
        <v>27409790.651591271</v>
      </c>
      <c r="DB59" s="438">
        <f t="shared" si="54"/>
        <v>216308.93122547446</v>
      </c>
      <c r="DC59" s="438">
        <f t="shared" si="55"/>
        <v>279089.14044614154</v>
      </c>
      <c r="DD59" s="438">
        <f t="shared" si="56"/>
        <v>27130701.51114513</v>
      </c>
      <c r="DE59" s="438">
        <f t="shared" si="73"/>
        <v>27130701.51114513</v>
      </c>
      <c r="DF59" s="672">
        <f>DE59</f>
        <v>27130701.51114513</v>
      </c>
      <c r="DG59" s="672"/>
      <c r="DH59" s="944">
        <v>-715341.08333333337</v>
      </c>
      <c r="DI59" s="944">
        <v>-705333.33333333337</v>
      </c>
      <c r="DJ59" s="944"/>
      <c r="DK59" s="672"/>
      <c r="DL59" s="381">
        <f t="shared" si="52"/>
        <v>474832.92700924521</v>
      </c>
      <c r="DM59" s="672"/>
      <c r="DN59" s="944">
        <f t="shared" si="18"/>
        <v>-715341.08333333337</v>
      </c>
      <c r="DO59" s="944">
        <f t="shared" si="19"/>
        <v>474832.92700924521</v>
      </c>
      <c r="DP59" s="672"/>
      <c r="DQ59" s="438">
        <f t="shared" si="20"/>
        <v>376775.84111819835</v>
      </c>
      <c r="DR59" s="438">
        <f t="shared" si="21"/>
        <v>-18358.804258725475</v>
      </c>
      <c r="DS59" s="672"/>
      <c r="DT59" s="672"/>
      <c r="DU59" s="672"/>
      <c r="DV59" s="672"/>
      <c r="DW59" s="672"/>
      <c r="DX59" s="672"/>
    </row>
    <row r="60" spans="1:128" s="532" customFormat="1" x14ac:dyDescent="0.2">
      <c r="A60" s="528">
        <v>49</v>
      </c>
      <c r="B60" s="633">
        <v>37987</v>
      </c>
      <c r="C60" s="381">
        <v>0</v>
      </c>
      <c r="D60" s="381">
        <v>0</v>
      </c>
      <c r="E60" s="381">
        <v>0</v>
      </c>
      <c r="F60" s="381">
        <v>212430.02580514172</v>
      </c>
      <c r="G60" s="381">
        <v>279089.14044614177</v>
      </c>
      <c r="H60" s="381">
        <v>0</v>
      </c>
      <c r="I60" s="381">
        <v>491519.16625128349</v>
      </c>
      <c r="J60" s="381"/>
      <c r="K60" s="381"/>
      <c r="L60" s="381">
        <f t="shared" si="50"/>
        <v>491519.16625128326</v>
      </c>
      <c r="M60" s="381"/>
      <c r="N60" s="679">
        <f t="shared" si="22"/>
        <v>-715341.08333333337</v>
      </c>
      <c r="O60" s="679">
        <f t="shared" si="23"/>
        <v>-705333.33333333337</v>
      </c>
      <c r="P60" s="564">
        <f>Breakout!$G$16/12</f>
        <v>3517801.021988621</v>
      </c>
      <c r="Q60" s="557">
        <f>'wholesale services'!$D$110*'wholesale services'!$H$111/12</f>
        <v>3250582.4999999995</v>
      </c>
      <c r="R60" s="557">
        <v>3320487.5</v>
      </c>
      <c r="S60" s="564">
        <f>Breakout!$G$27/12</f>
        <v>124632.29427258635</v>
      </c>
      <c r="T60" s="557">
        <f>'wholesale services'!$D$113*'wholesale services'!$H$114/12</f>
        <v>149885.89363430496</v>
      </c>
      <c r="U60" s="557">
        <v>152944.78942276016</v>
      </c>
      <c r="V60" s="564">
        <f>Breakout!$G$38/12</f>
        <v>62735.502096833523</v>
      </c>
      <c r="W60" s="531">
        <f>Breakout!$G$39/12</f>
        <v>65245.745715700003</v>
      </c>
      <c r="X60" s="531">
        <v>65947.312873933333</v>
      </c>
      <c r="Y60" s="564">
        <f>Breakout!$G$49/12</f>
        <v>456342.06805998832</v>
      </c>
      <c r="Z60" s="560">
        <f>Breakout!$G$50/12</f>
        <v>420774.96631063597</v>
      </c>
      <c r="AA60" s="560">
        <v>441994.8600606189</v>
      </c>
      <c r="AB60" s="564">
        <f>Breakout!$G$60/12</f>
        <v>419869.28732201079</v>
      </c>
      <c r="AC60" s="560">
        <f>Breakout!$G$61/12</f>
        <v>416866.11218950356</v>
      </c>
      <c r="AD60" s="560">
        <v>429864.16468539002</v>
      </c>
      <c r="AE60" s="564">
        <f>Breakout!$G$71/12</f>
        <v>318562.82803247822</v>
      </c>
      <c r="AF60" s="560">
        <f>Breakout!$G$72/12</f>
        <v>316520.66666666669</v>
      </c>
      <c r="AG60" s="560">
        <v>316520.66666666669</v>
      </c>
      <c r="AH60" s="564">
        <f>Breakout!$G$82/12</f>
        <v>20967.748027016551</v>
      </c>
      <c r="AI60" s="560">
        <f>Breakout!$G$83/12</f>
        <v>0</v>
      </c>
      <c r="AJ60" s="560">
        <v>0</v>
      </c>
      <c r="AK60" s="570">
        <f>Breakout!$G$91/12</f>
        <v>281927.17837393162</v>
      </c>
      <c r="AL60" s="570">
        <v>281927.17837393162</v>
      </c>
      <c r="AM60" s="567">
        <f>(Breakout!$G$107/12)*-1</f>
        <v>55221.25</v>
      </c>
      <c r="AN60" s="567">
        <v>55221.25</v>
      </c>
      <c r="AO60" s="578">
        <f t="shared" si="57"/>
        <v>4920910.7497995337</v>
      </c>
      <c r="AP60" s="578">
        <f t="shared" si="58"/>
        <v>4991242.2591366125</v>
      </c>
      <c r="AQ60" s="548">
        <f t="shared" si="59"/>
        <v>204394.59323287959</v>
      </c>
      <c r="AR60" s="531"/>
      <c r="AS60" s="553">
        <f t="shared" si="60"/>
        <v>69817.194798283163</v>
      </c>
      <c r="AT60" s="531"/>
      <c r="AU60" s="557">
        <f>'wholesale services'!$H$110/12</f>
        <v>39106610.706018515</v>
      </c>
      <c r="AV60" s="557">
        <f>'wholesale services'!$H$113/12</f>
        <v>17613.255833333333</v>
      </c>
      <c r="AW60" s="531"/>
      <c r="AX60" s="552">
        <f t="shared" si="61"/>
        <v>-715341.08333333337</v>
      </c>
      <c r="AY60" s="381">
        <f t="shared" si="62"/>
        <v>-705333.33333333337</v>
      </c>
      <c r="AZ60" s="496"/>
      <c r="BA60" s="438">
        <f t="shared" si="63"/>
        <v>495701.2704965052</v>
      </c>
      <c r="BB60" s="438">
        <f t="shared" si="64"/>
        <v>-13228.191545514193</v>
      </c>
      <c r="BC60" s="438">
        <f t="shared" si="65"/>
        <v>-2510.2436188664797</v>
      </c>
      <c r="BD60" s="438">
        <f t="shared" si="24"/>
        <v>35567.101749352354</v>
      </c>
      <c r="BE60" s="438">
        <f t="shared" si="25"/>
        <v>3003.1751325072255</v>
      </c>
      <c r="BF60" s="438">
        <f t="shared" si="26"/>
        <v>2042.1613658115384</v>
      </c>
      <c r="BG60" s="438">
        <f t="shared" si="27"/>
        <v>20967.748027016551</v>
      </c>
      <c r="BH60" s="438">
        <f t="shared" si="28"/>
        <v>-281927.17837393162</v>
      </c>
      <c r="BI60" s="438">
        <f t="shared" si="29"/>
        <v>-55221.25</v>
      </c>
      <c r="BJ60" s="531"/>
      <c r="BK60" s="496"/>
      <c r="BL60" s="438">
        <f t="shared" si="66"/>
        <v>642932.44102421158</v>
      </c>
      <c r="BM60" s="438">
        <f t="shared" si="67"/>
        <v>-8011.9333044686864</v>
      </c>
      <c r="BN60" s="438">
        <f t="shared" si="68"/>
        <v>115.43684163288708</v>
      </c>
      <c r="BO60" s="438">
        <f t="shared" si="69"/>
        <v>54666.469911888416</v>
      </c>
      <c r="BP60" s="438">
        <f t="shared" si="70"/>
        <v>20576.041322110046</v>
      </c>
      <c r="BQ60" s="438">
        <f t="shared" si="71"/>
        <v>15375.029758499819</v>
      </c>
      <c r="BR60" s="438">
        <f t="shared" si="72"/>
        <v>21845.31502584655</v>
      </c>
      <c r="BS60" s="438">
        <f t="shared" si="44"/>
        <v>-281927.17837393162</v>
      </c>
      <c r="BT60" s="438">
        <f t="shared" si="45"/>
        <v>-55221.25</v>
      </c>
      <c r="BU60" s="531"/>
      <c r="BV60" s="531"/>
      <c r="BW60" s="564">
        <f>Breakout!$G$15/12</f>
        <v>3665032.1925163274</v>
      </c>
      <c r="BX60" s="564">
        <f>Breakout!$G$26/12</f>
        <v>129848.55251363186</v>
      </c>
      <c r="BY60" s="564">
        <f>Breakout!$G$37/12</f>
        <v>65361.18255733289</v>
      </c>
      <c r="BZ60" s="564">
        <f>Breakout!$G$48/12</f>
        <v>475441.43622252438</v>
      </c>
      <c r="CA60" s="564">
        <f>Breakout!$G$59/12</f>
        <v>437442.15351161361</v>
      </c>
      <c r="CB60" s="564">
        <f>Breakout!$G$70/12</f>
        <v>331895.6964251665</v>
      </c>
      <c r="CC60" s="564">
        <f>Breakout!$G$81/12</f>
        <v>21845.31502584655</v>
      </c>
      <c r="CD60" s="531"/>
      <c r="CE60" s="634">
        <f t="shared" si="30"/>
        <v>3664376.0645714803</v>
      </c>
      <c r="CF60" s="634">
        <f t="shared" si="31"/>
        <v>129825.30653394412</v>
      </c>
      <c r="CG60" s="634">
        <f t="shared" si="32"/>
        <v>65349.481350868256</v>
      </c>
      <c r="CH60" s="531"/>
      <c r="CI60" s="634">
        <f t="shared" si="33"/>
        <v>-715341.08333333337</v>
      </c>
      <c r="CJ60" s="634">
        <f t="shared" si="34"/>
        <v>-705333.33333333337</v>
      </c>
      <c r="CK60" s="531"/>
      <c r="CL60" s="438">
        <f>'account mgt'!$G$23/12</f>
        <v>-53309.783880000003</v>
      </c>
      <c r="CM60" s="531"/>
      <c r="CN60" s="438">
        <v>0</v>
      </c>
      <c r="CO60" s="531"/>
      <c r="CP60" s="531"/>
      <c r="CQ60" s="496"/>
      <c r="CR60" s="496"/>
      <c r="CS60" s="496"/>
      <c r="CT60" s="438">
        <f t="shared" si="51"/>
        <v>16564381.116030565</v>
      </c>
      <c r="CU60" s="438">
        <f t="shared" si="46"/>
        <v>130720.5743073412</v>
      </c>
      <c r="CV60" s="438">
        <f>IF(CT60&lt;0.1,0,PPMT($L$3,A60-14,unwinds!$B$8*12,$K$5))</f>
        <v>636838.30319525755</v>
      </c>
      <c r="CW60" s="438">
        <f t="shared" si="47"/>
        <v>15927542.812835308</v>
      </c>
      <c r="CX60" s="438">
        <f t="shared" si="48"/>
        <v>15927542.812835308</v>
      </c>
      <c r="CY60" s="531"/>
      <c r="CZ60" s="438"/>
      <c r="DA60" s="438">
        <f t="shared" si="53"/>
        <v>27130701.51114513</v>
      </c>
      <c r="DB60" s="438">
        <f t="shared" si="54"/>
        <v>214106.45275878697</v>
      </c>
      <c r="DC60" s="438">
        <f t="shared" si="55"/>
        <v>281291.61891282897</v>
      </c>
      <c r="DD60" s="438">
        <f t="shared" si="56"/>
        <v>26849409.892232303</v>
      </c>
      <c r="DE60" s="438">
        <f t="shared" si="73"/>
        <v>26849409.892232303</v>
      </c>
      <c r="DF60" s="531"/>
      <c r="DG60" s="531"/>
      <c r="DH60" s="944">
        <v>-715341.08333333337</v>
      </c>
      <c r="DI60" s="944">
        <v>-705333.33333333337</v>
      </c>
      <c r="DJ60" s="944"/>
      <c r="DK60" s="531"/>
      <c r="DL60" s="381">
        <f t="shared" si="52"/>
        <v>474832.92700924521</v>
      </c>
      <c r="DM60" s="531"/>
      <c r="DN60" s="944">
        <f t="shared" si="18"/>
        <v>-715341.08333333337</v>
      </c>
      <c r="DO60" s="944">
        <f t="shared" si="19"/>
        <v>474832.92700924521</v>
      </c>
      <c r="DP60" s="531"/>
      <c r="DQ60" s="438">
        <f t="shared" si="20"/>
        <v>414449.69251632784</v>
      </c>
      <c r="DR60" s="438">
        <f t="shared" si="21"/>
        <v>-20037.341120673096</v>
      </c>
      <c r="DS60" s="531"/>
      <c r="DT60" s="531"/>
      <c r="DU60" s="531"/>
      <c r="DV60" s="531"/>
      <c r="DW60" s="531"/>
      <c r="DX60" s="531"/>
    </row>
    <row r="61" spans="1:128" x14ac:dyDescent="0.2">
      <c r="A61" s="383">
        <v>50</v>
      </c>
      <c r="B61" s="631">
        <v>38018</v>
      </c>
      <c r="C61" s="381">
        <v>0</v>
      </c>
      <c r="D61" s="381">
        <v>0</v>
      </c>
      <c r="E61" s="381">
        <v>0</v>
      </c>
      <c r="F61" s="381">
        <v>210227.54733845426</v>
      </c>
      <c r="G61" s="381">
        <v>281291.6189128292</v>
      </c>
      <c r="H61" s="381">
        <v>0</v>
      </c>
      <c r="I61" s="381">
        <v>491519.16625128349</v>
      </c>
      <c r="J61" s="381"/>
      <c r="K61" s="381"/>
      <c r="L61" s="381">
        <f t="shared" si="50"/>
        <v>491519.16625128326</v>
      </c>
      <c r="M61" s="381"/>
      <c r="N61" s="679">
        <f t="shared" si="22"/>
        <v>-715341.08333333337</v>
      </c>
      <c r="O61" s="679">
        <f t="shared" si="23"/>
        <v>-705333.33333333337</v>
      </c>
      <c r="P61" s="565">
        <f>Breakout!$G$16/12</f>
        <v>3517801.021988621</v>
      </c>
      <c r="Q61" s="557">
        <f>'wholesale services'!$D$110*'wholesale services'!$H$111/12</f>
        <v>3250582.4999999995</v>
      </c>
      <c r="R61" s="557">
        <v>3320487.5</v>
      </c>
      <c r="S61" s="565">
        <f>Breakout!$G$27/12</f>
        <v>124632.29427258635</v>
      </c>
      <c r="T61" s="557">
        <f>'wholesale services'!$D$113*'wholesale services'!$H$114/12</f>
        <v>149885.89363430496</v>
      </c>
      <c r="U61" s="557">
        <v>152944.78942276016</v>
      </c>
      <c r="V61" s="565">
        <f>Breakout!$G$38/12</f>
        <v>62735.502096833523</v>
      </c>
      <c r="W61" s="496">
        <f>Breakout!$G$39/12</f>
        <v>65245.745715700003</v>
      </c>
      <c r="X61" s="496">
        <v>65947.312873933333</v>
      </c>
      <c r="Y61" s="565">
        <f>Breakout!$G$49/12</f>
        <v>456342.06805998832</v>
      </c>
      <c r="Z61" s="566">
        <f>Breakout!$G$50/12</f>
        <v>420774.96631063597</v>
      </c>
      <c r="AA61" s="566">
        <v>441994.8600606189</v>
      </c>
      <c r="AB61" s="565">
        <f>Breakout!$G$60/12</f>
        <v>419869.28732201079</v>
      </c>
      <c r="AC61" s="566">
        <f>Breakout!$G$61/12</f>
        <v>416866.11218950356</v>
      </c>
      <c r="AD61" s="566">
        <v>429864.16468539002</v>
      </c>
      <c r="AE61" s="565">
        <f>Breakout!$G$71/12</f>
        <v>318562.82803247822</v>
      </c>
      <c r="AF61" s="566">
        <f>Breakout!$G$72/12</f>
        <v>316520.66666666669</v>
      </c>
      <c r="AG61" s="566">
        <v>316520.66666666669</v>
      </c>
      <c r="AH61" s="565">
        <f>Breakout!$G$82/12</f>
        <v>20967.748027016551</v>
      </c>
      <c r="AI61" s="566">
        <f>Breakout!$G$83/12</f>
        <v>0</v>
      </c>
      <c r="AJ61" s="566">
        <v>0</v>
      </c>
      <c r="AK61" s="571">
        <f>Breakout!$G$91/12</f>
        <v>281927.17837393162</v>
      </c>
      <c r="AL61" s="571">
        <v>281927.17837393162</v>
      </c>
      <c r="AM61" s="567">
        <f>(Breakout!$G$107/12)*-1</f>
        <v>55221.25</v>
      </c>
      <c r="AN61" s="567">
        <v>55221.25</v>
      </c>
      <c r="AO61" s="578">
        <f t="shared" si="57"/>
        <v>4920910.7497995337</v>
      </c>
      <c r="AP61" s="578">
        <f t="shared" si="58"/>
        <v>4991242.2591366125</v>
      </c>
      <c r="AQ61" s="548">
        <f t="shared" si="59"/>
        <v>204394.59323287959</v>
      </c>
      <c r="AR61" s="496"/>
      <c r="AS61" s="553">
        <f t="shared" si="60"/>
        <v>69817.194798283163</v>
      </c>
      <c r="AT61" s="496"/>
      <c r="AU61" s="557">
        <f>'wholesale services'!$H$110/12</f>
        <v>39106610.706018515</v>
      </c>
      <c r="AV61" s="557">
        <f>'wholesale services'!$H$113/12</f>
        <v>17613.255833333333</v>
      </c>
      <c r="AW61" s="496"/>
      <c r="AX61" s="552">
        <f t="shared" si="61"/>
        <v>-715341.08333333337</v>
      </c>
      <c r="AY61" s="381">
        <f t="shared" si="62"/>
        <v>-705333.33333333337</v>
      </c>
      <c r="AZ61" s="496"/>
      <c r="BA61" s="438">
        <f t="shared" si="63"/>
        <v>495701.2704965052</v>
      </c>
      <c r="BB61" s="438">
        <f t="shared" si="64"/>
        <v>-13228.191545514193</v>
      </c>
      <c r="BC61" s="438">
        <f t="shared" si="65"/>
        <v>-2510.2436188664797</v>
      </c>
      <c r="BD61" s="438">
        <f t="shared" si="24"/>
        <v>35567.101749352354</v>
      </c>
      <c r="BE61" s="438">
        <f t="shared" si="25"/>
        <v>3003.1751325072255</v>
      </c>
      <c r="BF61" s="438">
        <f t="shared" si="26"/>
        <v>2042.1613658115384</v>
      </c>
      <c r="BG61" s="438">
        <f t="shared" si="27"/>
        <v>20967.748027016551</v>
      </c>
      <c r="BH61" s="438">
        <f t="shared" si="28"/>
        <v>-281927.17837393162</v>
      </c>
      <c r="BI61" s="438">
        <f t="shared" si="29"/>
        <v>-55221.25</v>
      </c>
      <c r="BL61" s="438">
        <f t="shared" si="66"/>
        <v>642932.44102421158</v>
      </c>
      <c r="BM61" s="438">
        <f t="shared" si="67"/>
        <v>-8011.9333044686864</v>
      </c>
      <c r="BN61" s="438">
        <f t="shared" si="68"/>
        <v>115.43684163288708</v>
      </c>
      <c r="BO61" s="438">
        <f t="shared" si="69"/>
        <v>54666.469911888416</v>
      </c>
      <c r="BP61" s="438">
        <f t="shared" si="70"/>
        <v>20576.041322110046</v>
      </c>
      <c r="BQ61" s="438">
        <f t="shared" si="71"/>
        <v>15375.029758499819</v>
      </c>
      <c r="BR61" s="438">
        <f t="shared" si="72"/>
        <v>21845.31502584655</v>
      </c>
      <c r="BS61" s="438">
        <f t="shared" si="44"/>
        <v>-281927.17837393162</v>
      </c>
      <c r="BT61" s="438">
        <f t="shared" si="45"/>
        <v>-55221.25</v>
      </c>
      <c r="BW61" s="565">
        <f>Breakout!$G$15/12</f>
        <v>3665032.1925163274</v>
      </c>
      <c r="BX61" s="565">
        <f>Breakout!$G$26/12</f>
        <v>129848.55251363186</v>
      </c>
      <c r="BY61" s="565">
        <f>Breakout!$G$37/12</f>
        <v>65361.18255733289</v>
      </c>
      <c r="BZ61" s="565">
        <f>Breakout!$G$48/12</f>
        <v>475441.43622252438</v>
      </c>
      <c r="CA61" s="565">
        <f>Breakout!$G$59/12</f>
        <v>437442.15351161361</v>
      </c>
      <c r="CB61" s="565">
        <f>Breakout!$G$70/12</f>
        <v>331895.6964251665</v>
      </c>
      <c r="CC61" s="565">
        <f>Breakout!$G$81/12</f>
        <v>21845.31502584655</v>
      </c>
      <c r="CE61" s="634">
        <f t="shared" si="30"/>
        <v>3664376.0645714803</v>
      </c>
      <c r="CF61" s="634">
        <f t="shared" si="31"/>
        <v>129825.30653394412</v>
      </c>
      <c r="CG61" s="634">
        <f t="shared" si="32"/>
        <v>65349.481350868256</v>
      </c>
      <c r="CI61" s="634">
        <f t="shared" si="33"/>
        <v>-715341.08333333337</v>
      </c>
      <c r="CJ61" s="634">
        <f t="shared" si="34"/>
        <v>-705333.33333333337</v>
      </c>
      <c r="CL61" s="438">
        <f>'account mgt'!$G$23/12</f>
        <v>-53309.783880000003</v>
      </c>
      <c r="CN61" s="438">
        <v>0</v>
      </c>
      <c r="CT61" s="438">
        <f t="shared" si="51"/>
        <v>15927542.812835308</v>
      </c>
      <c r="CU61" s="438">
        <f t="shared" si="46"/>
        <v>125694.85869795864</v>
      </c>
      <c r="CV61" s="438">
        <f>IF(CT61&lt;0.1,0,PPMT($L$3,A61-14,unwinds!$B$8*12,$K$5))</f>
        <v>641864.01880464004</v>
      </c>
      <c r="CW61" s="438">
        <f t="shared" si="47"/>
        <v>15285678.794030668</v>
      </c>
      <c r="CX61" s="438">
        <f t="shared" si="48"/>
        <v>15285678.794030668</v>
      </c>
      <c r="DA61" s="438">
        <f t="shared" si="53"/>
        <v>26849409.892232303</v>
      </c>
      <c r="DB61" s="438">
        <f t="shared" si="54"/>
        <v>211886.59306619992</v>
      </c>
      <c r="DC61" s="438">
        <f t="shared" si="55"/>
        <v>283511.47860541602</v>
      </c>
      <c r="DD61" s="438">
        <f t="shared" si="56"/>
        <v>26565898.413626887</v>
      </c>
      <c r="DE61" s="438">
        <f t="shared" si="73"/>
        <v>26565898.413626887</v>
      </c>
      <c r="DH61" s="944">
        <v>-715341.08333333337</v>
      </c>
      <c r="DI61" s="944">
        <v>-705333.33333333337</v>
      </c>
      <c r="DJ61" s="944"/>
      <c r="DL61" s="381">
        <f t="shared" si="52"/>
        <v>474832.92700924521</v>
      </c>
      <c r="DN61" s="944">
        <f t="shared" si="18"/>
        <v>-715341.08333333337</v>
      </c>
      <c r="DO61" s="944">
        <f t="shared" si="19"/>
        <v>474832.92700924521</v>
      </c>
      <c r="DQ61" s="438">
        <f t="shared" si="20"/>
        <v>414449.69251632784</v>
      </c>
      <c r="DR61" s="438">
        <f t="shared" si="21"/>
        <v>-20037.341120673096</v>
      </c>
      <c r="DS61" s="438"/>
      <c r="DT61" s="438"/>
      <c r="DU61" s="438"/>
      <c r="DV61" s="438"/>
      <c r="DW61" s="438"/>
      <c r="DX61" s="438"/>
    </row>
    <row r="62" spans="1:128" x14ac:dyDescent="0.2">
      <c r="A62" s="383">
        <v>51</v>
      </c>
      <c r="B62" s="631">
        <v>38047</v>
      </c>
      <c r="C62" s="381">
        <v>0</v>
      </c>
      <c r="D62" s="381">
        <v>0</v>
      </c>
      <c r="E62" s="381">
        <v>0</v>
      </c>
      <c r="F62" s="381">
        <v>208007.68764586723</v>
      </c>
      <c r="G62" s="381">
        <v>283511.47860541625</v>
      </c>
      <c r="H62" s="381">
        <v>0</v>
      </c>
      <c r="I62" s="381">
        <v>491519.16625128349</v>
      </c>
      <c r="J62" s="381"/>
      <c r="K62" s="381"/>
      <c r="L62" s="381">
        <f t="shared" si="50"/>
        <v>491519.16625128326</v>
      </c>
      <c r="M62" s="381"/>
      <c r="N62" s="679">
        <f t="shared" si="22"/>
        <v>-715341.08333333337</v>
      </c>
      <c r="O62" s="679">
        <f t="shared" si="23"/>
        <v>-705333.33333333337</v>
      </c>
      <c r="P62" s="565">
        <f>Breakout!$G$16/12</f>
        <v>3517801.021988621</v>
      </c>
      <c r="Q62" s="557">
        <f>'wholesale services'!$D$110*'wholesale services'!$H$111/12</f>
        <v>3250582.4999999995</v>
      </c>
      <c r="R62" s="557">
        <v>3320487.5</v>
      </c>
      <c r="S62" s="565">
        <f>Breakout!$G$27/12</f>
        <v>124632.29427258635</v>
      </c>
      <c r="T62" s="557">
        <f>'wholesale services'!$D$113*'wholesale services'!$H$114/12</f>
        <v>149885.89363430496</v>
      </c>
      <c r="U62" s="557">
        <v>152944.78942276016</v>
      </c>
      <c r="V62" s="565">
        <f>Breakout!$G$38/12</f>
        <v>62735.502096833523</v>
      </c>
      <c r="W62" s="496">
        <f>Breakout!$G$39/12</f>
        <v>65245.745715700003</v>
      </c>
      <c r="X62" s="496">
        <v>65947.312873933333</v>
      </c>
      <c r="Y62" s="565">
        <f>Breakout!$G$49/12</f>
        <v>456342.06805998832</v>
      </c>
      <c r="Z62" s="566">
        <f>Breakout!$G$50/12</f>
        <v>420774.96631063597</v>
      </c>
      <c r="AA62" s="566">
        <v>441994.8600606189</v>
      </c>
      <c r="AB62" s="565">
        <f>Breakout!$G$60/12</f>
        <v>419869.28732201079</v>
      </c>
      <c r="AC62" s="566">
        <f>Breakout!$G$61/12</f>
        <v>416866.11218950356</v>
      </c>
      <c r="AD62" s="566">
        <v>429864.16468539002</v>
      </c>
      <c r="AE62" s="565">
        <f>Breakout!$G$71/12</f>
        <v>318562.82803247822</v>
      </c>
      <c r="AF62" s="566">
        <f>Breakout!$G$72/12</f>
        <v>316520.66666666669</v>
      </c>
      <c r="AG62" s="566">
        <v>316520.66666666669</v>
      </c>
      <c r="AH62" s="565">
        <f>Breakout!$G$82/12</f>
        <v>20967.748027016551</v>
      </c>
      <c r="AI62" s="566">
        <f>Breakout!$G$83/12</f>
        <v>0</v>
      </c>
      <c r="AJ62" s="566">
        <v>0</v>
      </c>
      <c r="AK62" s="571">
        <f>Breakout!$G$91/12</f>
        <v>281927.17837393162</v>
      </c>
      <c r="AL62" s="571">
        <v>281927.17837393162</v>
      </c>
      <c r="AM62" s="567">
        <f>(Breakout!$G$107/12)*-1</f>
        <v>55221.25</v>
      </c>
      <c r="AN62" s="567">
        <v>55221.25</v>
      </c>
      <c r="AO62" s="578">
        <f t="shared" si="57"/>
        <v>4920910.7497995337</v>
      </c>
      <c r="AP62" s="578">
        <f t="shared" si="58"/>
        <v>4991242.2591366125</v>
      </c>
      <c r="AQ62" s="548">
        <f t="shared" si="59"/>
        <v>204394.59323287959</v>
      </c>
      <c r="AR62" s="496"/>
      <c r="AS62" s="553">
        <f t="shared" si="60"/>
        <v>69817.194798283163</v>
      </c>
      <c r="AT62" s="496"/>
      <c r="AU62" s="557">
        <f>'wholesale services'!$H$110/12</f>
        <v>39106610.706018515</v>
      </c>
      <c r="AV62" s="557">
        <f>'wholesale services'!$H$113/12</f>
        <v>17613.255833333333</v>
      </c>
      <c r="AW62" s="496"/>
      <c r="AX62" s="552">
        <f t="shared" si="61"/>
        <v>-715341.08333333337</v>
      </c>
      <c r="AY62" s="381">
        <f t="shared" si="62"/>
        <v>-705333.33333333337</v>
      </c>
      <c r="AZ62" s="496"/>
      <c r="BA62" s="438">
        <f t="shared" si="63"/>
        <v>495701.2704965052</v>
      </c>
      <c r="BB62" s="438">
        <f t="shared" si="64"/>
        <v>-13228.191545514193</v>
      </c>
      <c r="BC62" s="438">
        <f t="shared" si="65"/>
        <v>-2510.2436188664797</v>
      </c>
      <c r="BD62" s="438">
        <f t="shared" si="24"/>
        <v>35567.101749352354</v>
      </c>
      <c r="BE62" s="438">
        <f t="shared" si="25"/>
        <v>3003.1751325072255</v>
      </c>
      <c r="BF62" s="438">
        <f t="shared" si="26"/>
        <v>2042.1613658115384</v>
      </c>
      <c r="BG62" s="438">
        <f t="shared" si="27"/>
        <v>20967.748027016551</v>
      </c>
      <c r="BH62" s="438">
        <f t="shared" si="28"/>
        <v>-281927.17837393162</v>
      </c>
      <c r="BI62" s="438">
        <f t="shared" si="29"/>
        <v>-55221.25</v>
      </c>
      <c r="BL62" s="438">
        <f t="shared" si="66"/>
        <v>642932.44102421158</v>
      </c>
      <c r="BM62" s="438">
        <f t="shared" si="67"/>
        <v>-8011.9333044686864</v>
      </c>
      <c r="BN62" s="438">
        <f t="shared" si="68"/>
        <v>115.43684163288708</v>
      </c>
      <c r="BO62" s="438">
        <f t="shared" si="69"/>
        <v>54666.469911888416</v>
      </c>
      <c r="BP62" s="438">
        <f t="shared" si="70"/>
        <v>20576.041322110046</v>
      </c>
      <c r="BQ62" s="438">
        <f t="shared" si="71"/>
        <v>15375.029758499819</v>
      </c>
      <c r="BR62" s="438">
        <f t="shared" si="72"/>
        <v>21845.31502584655</v>
      </c>
      <c r="BS62" s="438">
        <f t="shared" si="44"/>
        <v>-281927.17837393162</v>
      </c>
      <c r="BT62" s="438">
        <f t="shared" si="45"/>
        <v>-55221.25</v>
      </c>
      <c r="BW62" s="565">
        <f>Breakout!$G$15/12</f>
        <v>3665032.1925163274</v>
      </c>
      <c r="BX62" s="565">
        <f>Breakout!$G$26/12</f>
        <v>129848.55251363186</v>
      </c>
      <c r="BY62" s="565">
        <f>Breakout!$G$37/12</f>
        <v>65361.18255733289</v>
      </c>
      <c r="BZ62" s="565">
        <f>Breakout!$G$48/12</f>
        <v>475441.43622252438</v>
      </c>
      <c r="CA62" s="565">
        <f>Breakout!$G$59/12</f>
        <v>437442.15351161361</v>
      </c>
      <c r="CB62" s="565">
        <f>Breakout!$G$70/12</f>
        <v>331895.6964251665</v>
      </c>
      <c r="CC62" s="565">
        <f>Breakout!$G$81/12</f>
        <v>21845.31502584655</v>
      </c>
      <c r="CE62" s="634">
        <f t="shared" si="30"/>
        <v>3664376.0645714803</v>
      </c>
      <c r="CF62" s="634">
        <f t="shared" si="31"/>
        <v>129825.30653394412</v>
      </c>
      <c r="CG62" s="634">
        <f t="shared" si="32"/>
        <v>65349.481350868256</v>
      </c>
      <c r="CI62" s="634">
        <f t="shared" si="33"/>
        <v>-715341.08333333337</v>
      </c>
      <c r="CJ62" s="634">
        <f t="shared" si="34"/>
        <v>-705333.33333333337</v>
      </c>
      <c r="CL62" s="438">
        <f>'account mgt'!$G$23/12</f>
        <v>-53309.783880000003</v>
      </c>
      <c r="CN62" s="438">
        <v>0</v>
      </c>
      <c r="CT62" s="438">
        <f t="shared" si="51"/>
        <v>15285678.794030668</v>
      </c>
      <c r="CU62" s="438">
        <f t="shared" si="46"/>
        <v>120629.48181622535</v>
      </c>
      <c r="CV62" s="438">
        <f>IF(CT62&lt;0.1,0,PPMT($L$3,A62-14,unwinds!$B$8*12,$K$5))</f>
        <v>646929.39568637335</v>
      </c>
      <c r="CW62" s="438">
        <f t="shared" si="47"/>
        <v>14638749.398344295</v>
      </c>
      <c r="CX62" s="438">
        <f t="shared" si="48"/>
        <v>14638749.398344295</v>
      </c>
      <c r="DA62" s="438">
        <f t="shared" si="53"/>
        <v>26565898.413626887</v>
      </c>
      <c r="DB62" s="438">
        <f t="shared" si="54"/>
        <v>209649.21498087217</v>
      </c>
      <c r="DC62" s="438">
        <f t="shared" si="55"/>
        <v>285748.85669074382</v>
      </c>
      <c r="DD62" s="438">
        <f t="shared" si="56"/>
        <v>26280149.556936145</v>
      </c>
      <c r="DE62" s="438">
        <f t="shared" si="73"/>
        <v>26280149.556936145</v>
      </c>
      <c r="DH62" s="944">
        <v>-715341.08333333337</v>
      </c>
      <c r="DI62" s="944">
        <v>-705333.33333333337</v>
      </c>
      <c r="DJ62" s="944"/>
      <c r="DL62" s="381">
        <f t="shared" si="52"/>
        <v>474832.92700924521</v>
      </c>
      <c r="DN62" s="944">
        <f t="shared" si="18"/>
        <v>-715341.08333333337</v>
      </c>
      <c r="DO62" s="944">
        <f t="shared" si="19"/>
        <v>474832.92700924521</v>
      </c>
      <c r="DQ62" s="438">
        <f t="shared" si="20"/>
        <v>414449.69251632784</v>
      </c>
      <c r="DR62" s="438">
        <f t="shared" si="21"/>
        <v>-20037.341120673096</v>
      </c>
      <c r="DS62" s="438"/>
      <c r="DT62" s="438"/>
      <c r="DU62" s="438"/>
      <c r="DV62" s="438"/>
      <c r="DW62" s="438"/>
      <c r="DX62" s="438"/>
    </row>
    <row r="63" spans="1:128" x14ac:dyDescent="0.2">
      <c r="A63" s="383">
        <v>52</v>
      </c>
      <c r="B63" s="631">
        <v>38078</v>
      </c>
      <c r="C63" s="381">
        <v>0</v>
      </c>
      <c r="D63" s="381">
        <v>0</v>
      </c>
      <c r="E63" s="381">
        <v>0</v>
      </c>
      <c r="F63" s="381">
        <v>205770.30956053946</v>
      </c>
      <c r="G63" s="381">
        <v>285748.85669074405</v>
      </c>
      <c r="H63" s="381">
        <v>0</v>
      </c>
      <c r="I63" s="381">
        <v>491519.16625128349</v>
      </c>
      <c r="J63" s="381"/>
      <c r="K63" s="381"/>
      <c r="L63" s="381">
        <f t="shared" si="50"/>
        <v>491519.16625128326</v>
      </c>
      <c r="M63" s="381"/>
      <c r="N63" s="679">
        <f t="shared" si="22"/>
        <v>-715341.08333333337</v>
      </c>
      <c r="O63" s="679">
        <f t="shared" si="23"/>
        <v>-705333.33333333337</v>
      </c>
      <c r="P63" s="565">
        <f>Breakout!$G$16/12</f>
        <v>3517801.021988621</v>
      </c>
      <c r="Q63" s="557">
        <f>'wholesale services'!$D$110*'wholesale services'!$H$111/12</f>
        <v>3250582.4999999995</v>
      </c>
      <c r="R63" s="557">
        <v>3320487.5</v>
      </c>
      <c r="S63" s="565">
        <f>Breakout!$G$27/12</f>
        <v>124632.29427258635</v>
      </c>
      <c r="T63" s="557">
        <f>'wholesale services'!$D$113*'wholesale services'!$H$114/12</f>
        <v>149885.89363430496</v>
      </c>
      <c r="U63" s="557">
        <v>152944.78942276016</v>
      </c>
      <c r="V63" s="565">
        <f>Breakout!$G$38/12</f>
        <v>62735.502096833523</v>
      </c>
      <c r="W63" s="496">
        <f>Breakout!$G$39/12</f>
        <v>65245.745715700003</v>
      </c>
      <c r="X63" s="496">
        <v>65947.312873933333</v>
      </c>
      <c r="Y63" s="565">
        <f>Breakout!$G$49/12</f>
        <v>456342.06805998832</v>
      </c>
      <c r="Z63" s="566">
        <f>Breakout!$G$50/12</f>
        <v>420774.96631063597</v>
      </c>
      <c r="AA63" s="566">
        <v>441994.8600606189</v>
      </c>
      <c r="AB63" s="565">
        <f>Breakout!$G$60/12</f>
        <v>419869.28732201079</v>
      </c>
      <c r="AC63" s="566">
        <f>Breakout!$G$61/12</f>
        <v>416866.11218950356</v>
      </c>
      <c r="AD63" s="566">
        <v>429864.16468539002</v>
      </c>
      <c r="AE63" s="565">
        <f>Breakout!$G$71/12</f>
        <v>318562.82803247822</v>
      </c>
      <c r="AF63" s="566">
        <f>Breakout!$G$72/12</f>
        <v>316520.66666666669</v>
      </c>
      <c r="AG63" s="566">
        <v>316520.66666666669</v>
      </c>
      <c r="AH63" s="565">
        <f>Breakout!$G$82/12</f>
        <v>20967.748027016551</v>
      </c>
      <c r="AI63" s="566">
        <f>Breakout!$G$83/12</f>
        <v>0</v>
      </c>
      <c r="AJ63" s="566">
        <v>0</v>
      </c>
      <c r="AK63" s="571">
        <f>Breakout!$G$91/12</f>
        <v>281927.17837393162</v>
      </c>
      <c r="AL63" s="571">
        <v>281927.17837393162</v>
      </c>
      <c r="AM63" s="567">
        <f>(Breakout!$G$107/12)*-1</f>
        <v>55221.25</v>
      </c>
      <c r="AN63" s="567">
        <v>55221.25</v>
      </c>
      <c r="AO63" s="578">
        <f t="shared" si="57"/>
        <v>4920910.7497995337</v>
      </c>
      <c r="AP63" s="578">
        <f t="shared" si="58"/>
        <v>4991242.2591366125</v>
      </c>
      <c r="AQ63" s="548">
        <f t="shared" si="59"/>
        <v>204394.59323287959</v>
      </c>
      <c r="AR63" s="496"/>
      <c r="AS63" s="553">
        <f t="shared" si="60"/>
        <v>69817.194798283163</v>
      </c>
      <c r="AT63" s="496"/>
      <c r="AU63" s="557">
        <f>'wholesale services'!$H$110/12</f>
        <v>39106610.706018515</v>
      </c>
      <c r="AV63" s="557">
        <f>'wholesale services'!$H$113/12</f>
        <v>17613.255833333333</v>
      </c>
      <c r="AW63" s="496"/>
      <c r="AX63" s="552">
        <f t="shared" si="61"/>
        <v>-715341.08333333337</v>
      </c>
      <c r="AY63" s="381">
        <f t="shared" si="62"/>
        <v>-705333.33333333337</v>
      </c>
      <c r="AZ63" s="496"/>
      <c r="BA63" s="438">
        <f t="shared" si="63"/>
        <v>495701.2704965052</v>
      </c>
      <c r="BB63" s="438">
        <f t="shared" si="64"/>
        <v>-13228.191545514193</v>
      </c>
      <c r="BC63" s="438">
        <f t="shared" si="65"/>
        <v>-2510.2436188664797</v>
      </c>
      <c r="BD63" s="438">
        <f t="shared" si="24"/>
        <v>35567.101749352354</v>
      </c>
      <c r="BE63" s="438">
        <f t="shared" si="25"/>
        <v>3003.1751325072255</v>
      </c>
      <c r="BF63" s="438">
        <f t="shared" si="26"/>
        <v>2042.1613658115384</v>
      </c>
      <c r="BG63" s="438">
        <f t="shared" si="27"/>
        <v>20967.748027016551</v>
      </c>
      <c r="BH63" s="438">
        <f t="shared" si="28"/>
        <v>-281927.17837393162</v>
      </c>
      <c r="BI63" s="438">
        <f t="shared" si="29"/>
        <v>-55221.25</v>
      </c>
      <c r="BL63" s="438">
        <f t="shared" si="66"/>
        <v>642932.44102421158</v>
      </c>
      <c r="BM63" s="438">
        <f t="shared" si="67"/>
        <v>-8011.9333044686864</v>
      </c>
      <c r="BN63" s="438">
        <f t="shared" si="68"/>
        <v>115.43684163288708</v>
      </c>
      <c r="BO63" s="438">
        <f t="shared" si="69"/>
        <v>54666.469911888416</v>
      </c>
      <c r="BP63" s="438">
        <f t="shared" si="70"/>
        <v>20576.041322110046</v>
      </c>
      <c r="BQ63" s="438">
        <f t="shared" si="71"/>
        <v>15375.029758499819</v>
      </c>
      <c r="BR63" s="438">
        <f t="shared" si="72"/>
        <v>21845.31502584655</v>
      </c>
      <c r="BS63" s="438">
        <f t="shared" si="44"/>
        <v>-281927.17837393162</v>
      </c>
      <c r="BT63" s="438">
        <f t="shared" si="45"/>
        <v>-55221.25</v>
      </c>
      <c r="BW63" s="565">
        <f>Breakout!$G$15/12</f>
        <v>3665032.1925163274</v>
      </c>
      <c r="BX63" s="565">
        <f>Breakout!$G$26/12</f>
        <v>129848.55251363186</v>
      </c>
      <c r="BY63" s="565">
        <f>Breakout!$G$37/12</f>
        <v>65361.18255733289</v>
      </c>
      <c r="BZ63" s="565">
        <f>Breakout!$G$48/12</f>
        <v>475441.43622252438</v>
      </c>
      <c r="CA63" s="565">
        <f>Breakout!$G$59/12</f>
        <v>437442.15351161361</v>
      </c>
      <c r="CB63" s="565">
        <f>Breakout!$G$70/12</f>
        <v>331895.6964251665</v>
      </c>
      <c r="CC63" s="565">
        <f>Breakout!$G$81/12</f>
        <v>21845.31502584655</v>
      </c>
      <c r="CE63" s="634">
        <f t="shared" si="30"/>
        <v>3664376.0645714803</v>
      </c>
      <c r="CF63" s="634">
        <f t="shared" si="31"/>
        <v>129825.30653394412</v>
      </c>
      <c r="CG63" s="634">
        <f t="shared" si="32"/>
        <v>65349.481350868256</v>
      </c>
      <c r="CI63" s="634">
        <f t="shared" si="33"/>
        <v>-715341.08333333337</v>
      </c>
      <c r="CJ63" s="634">
        <f t="shared" si="34"/>
        <v>-705333.33333333337</v>
      </c>
      <c r="CL63" s="438">
        <f>'account mgt'!$G$23/12</f>
        <v>-53309.783880000003</v>
      </c>
      <c r="CN63" s="438">
        <v>0</v>
      </c>
      <c r="CT63" s="438">
        <f t="shared" si="51"/>
        <v>14638749.398344295</v>
      </c>
      <c r="CU63" s="438">
        <f t="shared" si="46"/>
        <v>115524.1306686004</v>
      </c>
      <c r="CV63" s="438">
        <f>IF(CT63&lt;0.1,0,PPMT($L$3,A63-14,unwinds!$B$8*12,$K$5))</f>
        <v>652034.74683399836</v>
      </c>
      <c r="CW63" s="438">
        <f t="shared" si="47"/>
        <v>13986714.651510296</v>
      </c>
      <c r="CX63" s="438">
        <f t="shared" si="48"/>
        <v>13986714.651510296</v>
      </c>
      <c r="DA63" s="438">
        <f t="shared" si="53"/>
        <v>26280149.556936145</v>
      </c>
      <c r="DB63" s="438">
        <f t="shared" si="54"/>
        <v>207394.18025348775</v>
      </c>
      <c r="DC63" s="438">
        <f t="shared" si="55"/>
        <v>288003.89141812827</v>
      </c>
      <c r="DD63" s="438">
        <f t="shared" si="56"/>
        <v>25992145.665518016</v>
      </c>
      <c r="DE63" s="438">
        <f t="shared" si="73"/>
        <v>25992145.665518016</v>
      </c>
      <c r="DH63" s="944">
        <v>-715341.08333333337</v>
      </c>
      <c r="DI63" s="944">
        <v>-705333.33333333337</v>
      </c>
      <c r="DJ63" s="944"/>
      <c r="DL63" s="381">
        <f t="shared" si="52"/>
        <v>474832.92700924521</v>
      </c>
      <c r="DN63" s="944">
        <f t="shared" si="18"/>
        <v>-715341.08333333337</v>
      </c>
      <c r="DO63" s="944">
        <f t="shared" si="19"/>
        <v>474832.92700924521</v>
      </c>
      <c r="DQ63" s="438">
        <f t="shared" si="20"/>
        <v>414449.69251632784</v>
      </c>
      <c r="DR63" s="438">
        <f t="shared" si="21"/>
        <v>-20037.341120673096</v>
      </c>
      <c r="DS63" s="438"/>
      <c r="DT63" s="438"/>
      <c r="DU63" s="438"/>
      <c r="DV63" s="438"/>
      <c r="DW63" s="438"/>
      <c r="DX63" s="438"/>
    </row>
    <row r="64" spans="1:128" x14ac:dyDescent="0.2">
      <c r="A64" s="383">
        <v>53</v>
      </c>
      <c r="B64" s="631">
        <v>38108</v>
      </c>
      <c r="C64" s="381">
        <v>0</v>
      </c>
      <c r="D64" s="381">
        <v>0</v>
      </c>
      <c r="E64" s="381">
        <v>0</v>
      </c>
      <c r="F64" s="381">
        <v>203515.27483315495</v>
      </c>
      <c r="G64" s="381">
        <v>288003.89141812851</v>
      </c>
      <c r="H64" s="381">
        <v>0</v>
      </c>
      <c r="I64" s="381">
        <v>491519.16625128349</v>
      </c>
      <c r="J64" s="381"/>
      <c r="K64" s="381"/>
      <c r="L64" s="381">
        <f t="shared" si="50"/>
        <v>491519.16625128326</v>
      </c>
      <c r="M64" s="381"/>
      <c r="N64" s="679">
        <f t="shared" si="22"/>
        <v>-715341.08333333337</v>
      </c>
      <c r="O64" s="679">
        <f t="shared" si="23"/>
        <v>-705333.33333333337</v>
      </c>
      <c r="P64" s="565">
        <f>Breakout!$G$16/12</f>
        <v>3517801.021988621</v>
      </c>
      <c r="Q64" s="557">
        <f>'wholesale services'!$D$110*'wholesale services'!$H$111/12</f>
        <v>3250582.4999999995</v>
      </c>
      <c r="R64" s="557">
        <v>3320487.5</v>
      </c>
      <c r="S64" s="565">
        <f>Breakout!$G$27/12</f>
        <v>124632.29427258635</v>
      </c>
      <c r="T64" s="557">
        <f>'wholesale services'!$D$113*'wholesale services'!$H$114/12</f>
        <v>149885.89363430496</v>
      </c>
      <c r="U64" s="557">
        <v>152944.78942276016</v>
      </c>
      <c r="V64" s="565">
        <f>Breakout!$G$38/12</f>
        <v>62735.502096833523</v>
      </c>
      <c r="W64" s="496">
        <f>Breakout!$G$39/12</f>
        <v>65245.745715700003</v>
      </c>
      <c r="X64" s="496">
        <v>65947.312873933333</v>
      </c>
      <c r="Y64" s="565">
        <f>Breakout!$G$49/12</f>
        <v>456342.06805998832</v>
      </c>
      <c r="Z64" s="566">
        <f>Breakout!$G$50/12</f>
        <v>420774.96631063597</v>
      </c>
      <c r="AA64" s="566">
        <v>441994.8600606189</v>
      </c>
      <c r="AB64" s="565">
        <f>Breakout!$G$60/12</f>
        <v>419869.28732201079</v>
      </c>
      <c r="AC64" s="566">
        <f>Breakout!$G$61/12</f>
        <v>416866.11218950356</v>
      </c>
      <c r="AD64" s="566">
        <v>429864.16468539002</v>
      </c>
      <c r="AE64" s="565">
        <f>Breakout!$G$71/12</f>
        <v>318562.82803247822</v>
      </c>
      <c r="AF64" s="566">
        <f>Breakout!$G$72/12</f>
        <v>316520.66666666669</v>
      </c>
      <c r="AG64" s="566">
        <v>316520.66666666669</v>
      </c>
      <c r="AH64" s="565">
        <f>Breakout!$G$82/12</f>
        <v>20967.748027016551</v>
      </c>
      <c r="AI64" s="566">
        <f>Breakout!$G$83/12</f>
        <v>0</v>
      </c>
      <c r="AJ64" s="566">
        <v>0</v>
      </c>
      <c r="AK64" s="571">
        <f>Breakout!$G$91/12</f>
        <v>281927.17837393162</v>
      </c>
      <c r="AL64" s="571">
        <v>281927.17837393162</v>
      </c>
      <c r="AM64" s="567">
        <f>(Breakout!$G$107/12)*-1</f>
        <v>55221.25</v>
      </c>
      <c r="AN64" s="567">
        <v>55221.25</v>
      </c>
      <c r="AO64" s="578">
        <f t="shared" si="57"/>
        <v>4920910.7497995337</v>
      </c>
      <c r="AP64" s="578">
        <f t="shared" si="58"/>
        <v>4991242.2591366125</v>
      </c>
      <c r="AQ64" s="548">
        <f t="shared" si="59"/>
        <v>204394.59323287959</v>
      </c>
      <c r="AR64" s="496"/>
      <c r="AS64" s="553">
        <f t="shared" si="60"/>
        <v>69817.194798283163</v>
      </c>
      <c r="AT64" s="496"/>
      <c r="AU64" s="557">
        <f>'wholesale services'!$H$110/12</f>
        <v>39106610.706018515</v>
      </c>
      <c r="AV64" s="557">
        <f>'wholesale services'!$H$113/12</f>
        <v>17613.255833333333</v>
      </c>
      <c r="AW64" s="496"/>
      <c r="AX64" s="552">
        <f t="shared" si="61"/>
        <v>-715341.08333333337</v>
      </c>
      <c r="AY64" s="381">
        <f t="shared" si="62"/>
        <v>-705333.33333333337</v>
      </c>
      <c r="AZ64" s="496"/>
      <c r="BA64" s="438">
        <f t="shared" si="63"/>
        <v>495701.2704965052</v>
      </c>
      <c r="BB64" s="438">
        <f t="shared" si="64"/>
        <v>-13228.191545514193</v>
      </c>
      <c r="BC64" s="438">
        <f t="shared" si="65"/>
        <v>-2510.2436188664797</v>
      </c>
      <c r="BD64" s="438">
        <f t="shared" si="24"/>
        <v>35567.101749352354</v>
      </c>
      <c r="BE64" s="438">
        <f t="shared" si="25"/>
        <v>3003.1751325072255</v>
      </c>
      <c r="BF64" s="438">
        <f t="shared" si="26"/>
        <v>2042.1613658115384</v>
      </c>
      <c r="BG64" s="438">
        <f t="shared" si="27"/>
        <v>20967.748027016551</v>
      </c>
      <c r="BH64" s="438">
        <f t="shared" si="28"/>
        <v>-281927.17837393162</v>
      </c>
      <c r="BI64" s="438">
        <f t="shared" si="29"/>
        <v>-55221.25</v>
      </c>
      <c r="BL64" s="438">
        <f t="shared" si="66"/>
        <v>642932.44102421158</v>
      </c>
      <c r="BM64" s="438">
        <f t="shared" si="67"/>
        <v>-8011.9333044686864</v>
      </c>
      <c r="BN64" s="438">
        <f t="shared" si="68"/>
        <v>115.43684163288708</v>
      </c>
      <c r="BO64" s="438">
        <f t="shared" si="69"/>
        <v>54666.469911888416</v>
      </c>
      <c r="BP64" s="438">
        <f t="shared" si="70"/>
        <v>20576.041322110046</v>
      </c>
      <c r="BQ64" s="438">
        <f t="shared" si="71"/>
        <v>15375.029758499819</v>
      </c>
      <c r="BR64" s="438">
        <f t="shared" si="72"/>
        <v>21845.31502584655</v>
      </c>
      <c r="BS64" s="438">
        <f t="shared" si="44"/>
        <v>-281927.17837393162</v>
      </c>
      <c r="BT64" s="438">
        <f t="shared" si="45"/>
        <v>-55221.25</v>
      </c>
      <c r="BW64" s="565">
        <f>Breakout!$G$15/12</f>
        <v>3665032.1925163274</v>
      </c>
      <c r="BX64" s="565">
        <f>Breakout!$G$26/12</f>
        <v>129848.55251363186</v>
      </c>
      <c r="BY64" s="565">
        <f>Breakout!$G$37/12</f>
        <v>65361.18255733289</v>
      </c>
      <c r="BZ64" s="565">
        <f>Breakout!$G$48/12</f>
        <v>475441.43622252438</v>
      </c>
      <c r="CA64" s="565">
        <f>Breakout!$G$59/12</f>
        <v>437442.15351161361</v>
      </c>
      <c r="CB64" s="565">
        <f>Breakout!$G$70/12</f>
        <v>331895.6964251665</v>
      </c>
      <c r="CC64" s="565">
        <f>Breakout!$G$81/12</f>
        <v>21845.31502584655</v>
      </c>
      <c r="CE64" s="634">
        <f t="shared" si="30"/>
        <v>3664376.0645714803</v>
      </c>
      <c r="CF64" s="634">
        <f t="shared" si="31"/>
        <v>129825.30653394412</v>
      </c>
      <c r="CG64" s="634">
        <f t="shared" si="32"/>
        <v>65349.481350868256</v>
      </c>
      <c r="CI64" s="634">
        <f t="shared" si="33"/>
        <v>-715341.08333333337</v>
      </c>
      <c r="CJ64" s="634">
        <f t="shared" si="34"/>
        <v>-705333.33333333337</v>
      </c>
      <c r="CL64" s="438">
        <f>'account mgt'!$G$23/12</f>
        <v>-53309.783880000003</v>
      </c>
      <c r="CN64" s="438">
        <v>0</v>
      </c>
      <c r="CT64" s="438">
        <f t="shared" si="51"/>
        <v>13986714.651510296</v>
      </c>
      <c r="CU64" s="438">
        <f t="shared" si="46"/>
        <v>110378.48979150208</v>
      </c>
      <c r="CV64" s="438">
        <f>IF(CT64&lt;0.1,0,PPMT($L$3,A64-14,unwinds!$B$8*12,$K$5))</f>
        <v>657180.38771109655</v>
      </c>
      <c r="CW64" s="438">
        <f t="shared" si="47"/>
        <v>13329534.2637992</v>
      </c>
      <c r="CX64" s="438">
        <f t="shared" si="48"/>
        <v>13329534.2637992</v>
      </c>
      <c r="DA64" s="438">
        <f t="shared" si="53"/>
        <v>25992145.665518016</v>
      </c>
      <c r="DB64" s="438">
        <f t="shared" si="54"/>
        <v>205121.349543713</v>
      </c>
      <c r="DC64" s="438">
        <f t="shared" si="55"/>
        <v>290276.72212790296</v>
      </c>
      <c r="DD64" s="438">
        <f t="shared" si="56"/>
        <v>25701868.943390112</v>
      </c>
      <c r="DE64" s="438">
        <f t="shared" si="73"/>
        <v>25701868.943390112</v>
      </c>
      <c r="DH64" s="944">
        <v>-715341.08333333337</v>
      </c>
      <c r="DI64" s="944">
        <v>-705333.33333333337</v>
      </c>
      <c r="DJ64" s="944"/>
      <c r="DL64" s="381">
        <f t="shared" si="52"/>
        <v>474832.92700924521</v>
      </c>
      <c r="DN64" s="944">
        <f t="shared" si="18"/>
        <v>-715341.08333333337</v>
      </c>
      <c r="DO64" s="944">
        <f t="shared" si="19"/>
        <v>474832.92700924521</v>
      </c>
      <c r="DQ64" s="438">
        <f t="shared" si="20"/>
        <v>414449.69251632784</v>
      </c>
      <c r="DR64" s="438">
        <f t="shared" si="21"/>
        <v>-20037.341120673096</v>
      </c>
      <c r="DS64" s="438"/>
      <c r="DT64" s="438"/>
      <c r="DU64" s="438"/>
      <c r="DV64" s="438"/>
      <c r="DW64" s="438"/>
      <c r="DX64" s="438"/>
    </row>
    <row r="65" spans="1:128" x14ac:dyDescent="0.2">
      <c r="A65" s="383">
        <v>54</v>
      </c>
      <c r="B65" s="631">
        <v>38139</v>
      </c>
      <c r="C65" s="381">
        <v>0</v>
      </c>
      <c r="D65" s="381">
        <v>0</v>
      </c>
      <c r="E65" s="381">
        <v>0</v>
      </c>
      <c r="F65" s="381">
        <v>201242.44412338035</v>
      </c>
      <c r="G65" s="381">
        <v>290276.72212790314</v>
      </c>
      <c r="H65" s="381">
        <v>0</v>
      </c>
      <c r="I65" s="381">
        <v>491519.16625128349</v>
      </c>
      <c r="J65" s="381"/>
      <c r="K65" s="381"/>
      <c r="L65" s="381">
        <f t="shared" si="50"/>
        <v>491519.16625128326</v>
      </c>
      <c r="M65" s="381"/>
      <c r="N65" s="679">
        <f t="shared" si="22"/>
        <v>-715341.08333333337</v>
      </c>
      <c r="O65" s="679">
        <f t="shared" si="23"/>
        <v>-705333.33333333337</v>
      </c>
      <c r="P65" s="565">
        <f>Breakout!$G$16/12</f>
        <v>3517801.021988621</v>
      </c>
      <c r="Q65" s="557">
        <f>'wholesale services'!$D$110*'wholesale services'!$H$111/12</f>
        <v>3250582.4999999995</v>
      </c>
      <c r="R65" s="557">
        <v>3320487.5</v>
      </c>
      <c r="S65" s="565">
        <f>Breakout!$G$27/12</f>
        <v>124632.29427258635</v>
      </c>
      <c r="T65" s="557">
        <f>'wholesale services'!$D$113*'wholesale services'!$H$114/12</f>
        <v>149885.89363430496</v>
      </c>
      <c r="U65" s="557">
        <v>152944.78942276016</v>
      </c>
      <c r="V65" s="565">
        <f>Breakout!$G$38/12</f>
        <v>62735.502096833523</v>
      </c>
      <c r="W65" s="496">
        <f>Breakout!$G$39/12</f>
        <v>65245.745715700003</v>
      </c>
      <c r="X65" s="496">
        <v>65947.312873933333</v>
      </c>
      <c r="Y65" s="565">
        <f>Breakout!$G$49/12</f>
        <v>456342.06805998832</v>
      </c>
      <c r="Z65" s="566">
        <f>Breakout!$G$50/12</f>
        <v>420774.96631063597</v>
      </c>
      <c r="AA65" s="566">
        <v>441994.8600606189</v>
      </c>
      <c r="AB65" s="565">
        <f>Breakout!$G$60/12</f>
        <v>419869.28732201079</v>
      </c>
      <c r="AC65" s="566">
        <f>Breakout!$G$61/12</f>
        <v>416866.11218950356</v>
      </c>
      <c r="AD65" s="566">
        <v>429864.16468539002</v>
      </c>
      <c r="AE65" s="565">
        <f>Breakout!$G$71/12</f>
        <v>318562.82803247822</v>
      </c>
      <c r="AF65" s="566">
        <f>Breakout!$G$72/12</f>
        <v>316520.66666666669</v>
      </c>
      <c r="AG65" s="566">
        <v>316520.66666666669</v>
      </c>
      <c r="AH65" s="565">
        <f>Breakout!$G$82/12</f>
        <v>20967.748027016551</v>
      </c>
      <c r="AI65" s="566">
        <f>Breakout!$G$83/12</f>
        <v>0</v>
      </c>
      <c r="AJ65" s="566">
        <v>0</v>
      </c>
      <c r="AK65" s="571">
        <f>Breakout!$G$91/12</f>
        <v>281927.17837393162</v>
      </c>
      <c r="AL65" s="571">
        <v>281927.17837393162</v>
      </c>
      <c r="AM65" s="567">
        <f>(Breakout!$G$107/12)*-1</f>
        <v>55221.25</v>
      </c>
      <c r="AN65" s="567">
        <v>55221.25</v>
      </c>
      <c r="AO65" s="578">
        <f t="shared" si="57"/>
        <v>4920910.7497995337</v>
      </c>
      <c r="AP65" s="578">
        <f t="shared" si="58"/>
        <v>4991242.2591366125</v>
      </c>
      <c r="AQ65" s="548">
        <f t="shared" si="59"/>
        <v>204394.59323287959</v>
      </c>
      <c r="AR65" s="496"/>
      <c r="AS65" s="553">
        <f t="shared" si="60"/>
        <v>69817.194798283163</v>
      </c>
      <c r="AT65" s="496"/>
      <c r="AU65" s="557">
        <f>'wholesale services'!$H$110/12</f>
        <v>39106610.706018515</v>
      </c>
      <c r="AV65" s="557">
        <f>'wholesale services'!$H$113/12</f>
        <v>17613.255833333333</v>
      </c>
      <c r="AW65" s="496"/>
      <c r="AX65" s="552">
        <f t="shared" si="61"/>
        <v>-715341.08333333337</v>
      </c>
      <c r="AY65" s="381">
        <f t="shared" si="62"/>
        <v>-705333.33333333337</v>
      </c>
      <c r="AZ65" s="496"/>
      <c r="BA65" s="438">
        <f t="shared" si="63"/>
        <v>495701.2704965052</v>
      </c>
      <c r="BB65" s="438">
        <f t="shared" si="64"/>
        <v>-13228.191545514193</v>
      </c>
      <c r="BC65" s="438">
        <f t="shared" si="65"/>
        <v>-2510.2436188664797</v>
      </c>
      <c r="BD65" s="438">
        <f t="shared" si="24"/>
        <v>35567.101749352354</v>
      </c>
      <c r="BE65" s="438">
        <f t="shared" si="25"/>
        <v>3003.1751325072255</v>
      </c>
      <c r="BF65" s="438">
        <f t="shared" si="26"/>
        <v>2042.1613658115384</v>
      </c>
      <c r="BG65" s="438">
        <f t="shared" si="27"/>
        <v>20967.748027016551</v>
      </c>
      <c r="BH65" s="438">
        <f t="shared" si="28"/>
        <v>-281927.17837393162</v>
      </c>
      <c r="BI65" s="438">
        <f t="shared" si="29"/>
        <v>-55221.25</v>
      </c>
      <c r="BL65" s="438">
        <f t="shared" si="66"/>
        <v>642932.44102421158</v>
      </c>
      <c r="BM65" s="438">
        <f t="shared" si="67"/>
        <v>-8011.9333044686864</v>
      </c>
      <c r="BN65" s="438">
        <f t="shared" si="68"/>
        <v>115.43684163288708</v>
      </c>
      <c r="BO65" s="438">
        <f t="shared" si="69"/>
        <v>54666.469911888416</v>
      </c>
      <c r="BP65" s="438">
        <f t="shared" si="70"/>
        <v>20576.041322110046</v>
      </c>
      <c r="BQ65" s="438">
        <f t="shared" si="71"/>
        <v>15375.029758499819</v>
      </c>
      <c r="BR65" s="438">
        <f t="shared" si="72"/>
        <v>21845.31502584655</v>
      </c>
      <c r="BS65" s="438">
        <f t="shared" si="44"/>
        <v>-281927.17837393162</v>
      </c>
      <c r="BT65" s="438">
        <f t="shared" si="45"/>
        <v>-55221.25</v>
      </c>
      <c r="BW65" s="565">
        <f>Breakout!$G$15/12</f>
        <v>3665032.1925163274</v>
      </c>
      <c r="BX65" s="565">
        <f>Breakout!$G$26/12</f>
        <v>129848.55251363186</v>
      </c>
      <c r="BY65" s="565">
        <f>Breakout!$G$37/12</f>
        <v>65361.18255733289</v>
      </c>
      <c r="BZ65" s="565">
        <f>Breakout!$G$48/12</f>
        <v>475441.43622252438</v>
      </c>
      <c r="CA65" s="565">
        <f>Breakout!$G$59/12</f>
        <v>437442.15351161361</v>
      </c>
      <c r="CB65" s="565">
        <f>Breakout!$G$70/12</f>
        <v>331895.6964251665</v>
      </c>
      <c r="CC65" s="565">
        <f>Breakout!$G$81/12</f>
        <v>21845.31502584655</v>
      </c>
      <c r="CE65" s="634">
        <f t="shared" si="30"/>
        <v>3664376.0645714803</v>
      </c>
      <c r="CF65" s="634">
        <f t="shared" si="31"/>
        <v>129825.30653394412</v>
      </c>
      <c r="CG65" s="634">
        <f t="shared" si="32"/>
        <v>65349.481350868256</v>
      </c>
      <c r="CI65" s="634">
        <f t="shared" si="33"/>
        <v>-715341.08333333337</v>
      </c>
      <c r="CJ65" s="634">
        <f t="shared" si="34"/>
        <v>-705333.33333333337</v>
      </c>
      <c r="CL65" s="438">
        <f>'account mgt'!$G$23/12</f>
        <v>-53309.783880000003</v>
      </c>
      <c r="CN65" s="438">
        <v>0</v>
      </c>
      <c r="CT65" s="438">
        <f t="shared" si="51"/>
        <v>13329534.2637992</v>
      </c>
      <c r="CU65" s="438">
        <f t="shared" si="46"/>
        <v>105192.24123181535</v>
      </c>
      <c r="CV65" s="438">
        <f>IF(CT65&lt;0.1,0,PPMT($L$3,A65-14,unwinds!$B$8*12,$K$5))</f>
        <v>662366.63627078338</v>
      </c>
      <c r="CW65" s="438">
        <f t="shared" si="47"/>
        <v>12667167.627528416</v>
      </c>
      <c r="CX65" s="438">
        <f t="shared" si="48"/>
        <v>12667167.627528416</v>
      </c>
      <c r="DA65" s="438">
        <f t="shared" si="53"/>
        <v>25701868.943390112</v>
      </c>
      <c r="DB65" s="438">
        <f t="shared" si="54"/>
        <v>202830.58241158698</v>
      </c>
      <c r="DC65" s="438">
        <f t="shared" si="55"/>
        <v>292567.48926002905</v>
      </c>
      <c r="DD65" s="438">
        <f t="shared" si="56"/>
        <v>25409301.454130083</v>
      </c>
      <c r="DE65" s="438">
        <f t="shared" si="73"/>
        <v>25409301.454130083</v>
      </c>
      <c r="DH65" s="944">
        <v>-715341.08333333337</v>
      </c>
      <c r="DI65" s="944">
        <v>-705333.33333333337</v>
      </c>
      <c r="DJ65" s="944"/>
      <c r="DL65" s="381">
        <f t="shared" si="52"/>
        <v>474832.92700924521</v>
      </c>
      <c r="DN65" s="944">
        <f t="shared" si="18"/>
        <v>-715341.08333333337</v>
      </c>
      <c r="DO65" s="944">
        <f t="shared" si="19"/>
        <v>474832.92700924521</v>
      </c>
      <c r="DQ65" s="438">
        <f t="shared" si="20"/>
        <v>414449.69251632784</v>
      </c>
      <c r="DR65" s="438">
        <f t="shared" si="21"/>
        <v>-20037.341120673096</v>
      </c>
      <c r="DS65" s="438"/>
      <c r="DT65" s="438"/>
      <c r="DU65" s="438"/>
      <c r="DV65" s="438"/>
      <c r="DW65" s="438"/>
      <c r="DX65" s="438"/>
    </row>
    <row r="66" spans="1:128" x14ac:dyDescent="0.2">
      <c r="A66" s="383">
        <v>55</v>
      </c>
      <c r="B66" s="631">
        <v>38169</v>
      </c>
      <c r="C66" s="381">
        <v>0</v>
      </c>
      <c r="D66" s="381">
        <v>0</v>
      </c>
      <c r="E66" s="381">
        <v>0</v>
      </c>
      <c r="F66" s="381">
        <v>198951.67699125427</v>
      </c>
      <c r="G66" s="381">
        <v>292567.48926002922</v>
      </c>
      <c r="H66" s="381">
        <v>0</v>
      </c>
      <c r="I66" s="381">
        <v>491519.16625128349</v>
      </c>
      <c r="J66" s="381"/>
      <c r="K66" s="381"/>
      <c r="L66" s="381">
        <f t="shared" si="50"/>
        <v>491519.16625128326</v>
      </c>
      <c r="M66" s="381"/>
      <c r="N66" s="679">
        <f t="shared" si="22"/>
        <v>-715341.08333333337</v>
      </c>
      <c r="O66" s="679">
        <f t="shared" si="23"/>
        <v>-705333.33333333337</v>
      </c>
      <c r="P66" s="565">
        <f>Breakout!$G$16/12</f>
        <v>3517801.021988621</v>
      </c>
      <c r="Q66" s="557">
        <f>'wholesale services'!$D$110*'wholesale services'!$H$111/12</f>
        <v>3250582.4999999995</v>
      </c>
      <c r="R66" s="557">
        <v>3320487.5</v>
      </c>
      <c r="S66" s="565">
        <f>Breakout!$G$27/12</f>
        <v>124632.29427258635</v>
      </c>
      <c r="T66" s="557">
        <f>'wholesale services'!$D$113*'wholesale services'!$H$114/12</f>
        <v>149885.89363430496</v>
      </c>
      <c r="U66" s="557">
        <v>152944.78942276016</v>
      </c>
      <c r="V66" s="565">
        <f>Breakout!$G$38/12</f>
        <v>62735.502096833523</v>
      </c>
      <c r="W66" s="496">
        <f>Breakout!$G$39/12</f>
        <v>65245.745715700003</v>
      </c>
      <c r="X66" s="496">
        <v>65947.312873933333</v>
      </c>
      <c r="Y66" s="565">
        <f>Breakout!$G$49/12</f>
        <v>456342.06805998832</v>
      </c>
      <c r="Z66" s="566">
        <f>Breakout!$G$50/12</f>
        <v>420774.96631063597</v>
      </c>
      <c r="AA66" s="566">
        <v>441994.8600606189</v>
      </c>
      <c r="AB66" s="565">
        <f>Breakout!$G$60/12</f>
        <v>419869.28732201079</v>
      </c>
      <c r="AC66" s="566">
        <f>Breakout!$G$61/12</f>
        <v>416866.11218950356</v>
      </c>
      <c r="AD66" s="566">
        <v>429864.16468539002</v>
      </c>
      <c r="AE66" s="565">
        <f>Breakout!$G$71/12</f>
        <v>318562.82803247822</v>
      </c>
      <c r="AF66" s="566">
        <f>Breakout!$G$72/12</f>
        <v>316520.66666666669</v>
      </c>
      <c r="AG66" s="566">
        <v>316520.66666666669</v>
      </c>
      <c r="AH66" s="565">
        <f>Breakout!$G$82/12</f>
        <v>20967.748027016551</v>
      </c>
      <c r="AI66" s="566">
        <f>Breakout!$G$83/12</f>
        <v>0</v>
      </c>
      <c r="AJ66" s="566">
        <v>0</v>
      </c>
      <c r="AK66" s="571">
        <f>Breakout!$G$91/12</f>
        <v>281927.17837393162</v>
      </c>
      <c r="AL66" s="571">
        <v>281927.17837393162</v>
      </c>
      <c r="AM66" s="567">
        <f>(Breakout!$G$107/12)*-1</f>
        <v>55221.25</v>
      </c>
      <c r="AN66" s="567">
        <v>55221.25</v>
      </c>
      <c r="AO66" s="578">
        <f t="shared" si="57"/>
        <v>4920910.7497995337</v>
      </c>
      <c r="AP66" s="578">
        <f t="shared" si="58"/>
        <v>4991242.2591366125</v>
      </c>
      <c r="AQ66" s="548">
        <f t="shared" si="59"/>
        <v>204394.59323287959</v>
      </c>
      <c r="AR66" s="496"/>
      <c r="AS66" s="553">
        <f t="shared" si="60"/>
        <v>69817.194798283163</v>
      </c>
      <c r="AT66" s="496"/>
      <c r="AU66" s="557">
        <f>'wholesale services'!$H$110/12</f>
        <v>39106610.706018515</v>
      </c>
      <c r="AV66" s="557">
        <f>'wholesale services'!$H$113/12</f>
        <v>17613.255833333333</v>
      </c>
      <c r="AW66" s="496"/>
      <c r="AX66" s="552">
        <f t="shared" si="61"/>
        <v>-715341.08333333337</v>
      </c>
      <c r="AY66" s="381">
        <f t="shared" si="62"/>
        <v>-705333.33333333337</v>
      </c>
      <c r="AZ66" s="496"/>
      <c r="BA66" s="438">
        <f t="shared" si="63"/>
        <v>495701.2704965052</v>
      </c>
      <c r="BB66" s="438">
        <f t="shared" si="64"/>
        <v>-13228.191545514193</v>
      </c>
      <c r="BC66" s="438">
        <f t="shared" si="65"/>
        <v>-2510.2436188664797</v>
      </c>
      <c r="BD66" s="438">
        <f t="shared" si="24"/>
        <v>35567.101749352354</v>
      </c>
      <c r="BE66" s="438">
        <f t="shared" si="25"/>
        <v>3003.1751325072255</v>
      </c>
      <c r="BF66" s="438">
        <f t="shared" si="26"/>
        <v>2042.1613658115384</v>
      </c>
      <c r="BG66" s="438">
        <f t="shared" si="27"/>
        <v>20967.748027016551</v>
      </c>
      <c r="BH66" s="438">
        <f t="shared" si="28"/>
        <v>-281927.17837393162</v>
      </c>
      <c r="BI66" s="438">
        <f t="shared" si="29"/>
        <v>-55221.25</v>
      </c>
      <c r="BL66" s="438">
        <f t="shared" si="66"/>
        <v>642932.44102421158</v>
      </c>
      <c r="BM66" s="438">
        <f t="shared" si="67"/>
        <v>-8011.9333044686864</v>
      </c>
      <c r="BN66" s="438">
        <f t="shared" si="68"/>
        <v>115.43684163288708</v>
      </c>
      <c r="BO66" s="438">
        <f t="shared" si="69"/>
        <v>54666.469911888416</v>
      </c>
      <c r="BP66" s="438">
        <f t="shared" si="70"/>
        <v>20576.041322110046</v>
      </c>
      <c r="BQ66" s="438">
        <f t="shared" si="71"/>
        <v>15375.029758499819</v>
      </c>
      <c r="BR66" s="438">
        <f t="shared" si="72"/>
        <v>21845.31502584655</v>
      </c>
      <c r="BS66" s="438">
        <f t="shared" si="44"/>
        <v>-281927.17837393162</v>
      </c>
      <c r="BT66" s="438">
        <f t="shared" si="45"/>
        <v>-55221.25</v>
      </c>
      <c r="BW66" s="565">
        <f>Breakout!$G$15/12</f>
        <v>3665032.1925163274</v>
      </c>
      <c r="BX66" s="565">
        <f>Breakout!$G$26/12</f>
        <v>129848.55251363186</v>
      </c>
      <c r="BY66" s="565">
        <f>Breakout!$G$37/12</f>
        <v>65361.18255733289</v>
      </c>
      <c r="BZ66" s="565">
        <f>Breakout!$G$48/12</f>
        <v>475441.43622252438</v>
      </c>
      <c r="CA66" s="565">
        <f>Breakout!$G$59/12</f>
        <v>437442.15351161361</v>
      </c>
      <c r="CB66" s="565">
        <f>Breakout!$G$70/12</f>
        <v>331895.6964251665</v>
      </c>
      <c r="CC66" s="565">
        <f>Breakout!$G$81/12</f>
        <v>21845.31502584655</v>
      </c>
      <c r="CE66" s="634">
        <f t="shared" si="30"/>
        <v>3664376.0645714803</v>
      </c>
      <c r="CF66" s="634">
        <f t="shared" si="31"/>
        <v>129825.30653394412</v>
      </c>
      <c r="CG66" s="634">
        <f t="shared" si="32"/>
        <v>65349.481350868256</v>
      </c>
      <c r="CI66" s="634">
        <f t="shared" si="33"/>
        <v>-715341.08333333337</v>
      </c>
      <c r="CJ66" s="634">
        <f t="shared" si="34"/>
        <v>-705333.33333333337</v>
      </c>
      <c r="CL66" s="438">
        <f>'account mgt'!$G$23/12</f>
        <v>-53309.783880000003</v>
      </c>
      <c r="CN66" s="438">
        <v>0</v>
      </c>
      <c r="CT66" s="438">
        <f t="shared" si="51"/>
        <v>12667167.627528416</v>
      </c>
      <c r="CU66" s="438">
        <f t="shared" si="46"/>
        <v>99965.064527245078</v>
      </c>
      <c r="CV66" s="438">
        <f>IF(CT66&lt;0.1,0,PPMT($L$3,A66-14,unwinds!$B$8*12,$K$5))</f>
        <v>667593.81297535344</v>
      </c>
      <c r="CW66" s="438">
        <f t="shared" si="47"/>
        <v>11999573.814553063</v>
      </c>
      <c r="CX66" s="438">
        <f t="shared" si="48"/>
        <v>11999573.814553063</v>
      </c>
      <c r="DA66" s="438">
        <f t="shared" si="53"/>
        <v>25409301.454130083</v>
      </c>
      <c r="DB66" s="438">
        <f t="shared" si="54"/>
        <v>200521.73730884324</v>
      </c>
      <c r="DC66" s="438">
        <f t="shared" si="55"/>
        <v>294876.3343627727</v>
      </c>
      <c r="DD66" s="438">
        <f t="shared" si="56"/>
        <v>25114425.119767312</v>
      </c>
      <c r="DE66" s="438">
        <f t="shared" si="73"/>
        <v>25114425.119767312</v>
      </c>
      <c r="DH66" s="944">
        <v>-715341.08333333337</v>
      </c>
      <c r="DI66" s="944">
        <v>-705333.33333333337</v>
      </c>
      <c r="DJ66" s="944"/>
      <c r="DL66" s="381">
        <f t="shared" si="52"/>
        <v>474832.92700924521</v>
      </c>
      <c r="DN66" s="944">
        <f t="shared" si="18"/>
        <v>-715341.08333333337</v>
      </c>
      <c r="DO66" s="944">
        <f t="shared" si="19"/>
        <v>474832.92700924521</v>
      </c>
      <c r="DQ66" s="438">
        <f t="shared" si="20"/>
        <v>414449.69251632784</v>
      </c>
      <c r="DR66" s="438">
        <f t="shared" si="21"/>
        <v>-20037.341120673096</v>
      </c>
      <c r="DS66" s="438"/>
      <c r="DT66" s="438"/>
      <c r="DU66" s="438"/>
      <c r="DV66" s="438"/>
      <c r="DW66" s="438"/>
      <c r="DX66" s="438"/>
    </row>
    <row r="67" spans="1:128" x14ac:dyDescent="0.2">
      <c r="A67" s="383">
        <v>56</v>
      </c>
      <c r="B67" s="631">
        <v>38200</v>
      </c>
      <c r="C67" s="381">
        <v>0</v>
      </c>
      <c r="D67" s="381">
        <v>0</v>
      </c>
      <c r="E67" s="381">
        <v>0</v>
      </c>
      <c r="F67" s="381">
        <v>196642.83188851055</v>
      </c>
      <c r="G67" s="381">
        <v>294876.33436277293</v>
      </c>
      <c r="H67" s="381">
        <v>0</v>
      </c>
      <c r="I67" s="381">
        <v>491519.16625128349</v>
      </c>
      <c r="J67" s="381"/>
      <c r="K67" s="381"/>
      <c r="L67" s="381">
        <f t="shared" si="50"/>
        <v>491519.16625128326</v>
      </c>
      <c r="M67" s="381"/>
      <c r="N67" s="679">
        <f t="shared" si="22"/>
        <v>-715341.08333333337</v>
      </c>
      <c r="O67" s="679">
        <f t="shared" si="23"/>
        <v>-705333.33333333337</v>
      </c>
      <c r="P67" s="565">
        <f>Breakout!$G$16/12</f>
        <v>3517801.021988621</v>
      </c>
      <c r="Q67" s="557">
        <f>'wholesale services'!$D$110*'wholesale services'!$H$111/12</f>
        <v>3250582.4999999995</v>
      </c>
      <c r="R67" s="557">
        <v>3320487.5</v>
      </c>
      <c r="S67" s="565">
        <f>Breakout!$G$27/12</f>
        <v>124632.29427258635</v>
      </c>
      <c r="T67" s="557">
        <f>'wholesale services'!$D$113*'wholesale services'!$H$114/12</f>
        <v>149885.89363430496</v>
      </c>
      <c r="U67" s="557">
        <v>152944.78942276016</v>
      </c>
      <c r="V67" s="565">
        <f>Breakout!$G$38/12</f>
        <v>62735.502096833523</v>
      </c>
      <c r="W67" s="496">
        <f>Breakout!$G$39/12</f>
        <v>65245.745715700003</v>
      </c>
      <c r="X67" s="496">
        <v>65947.312873933333</v>
      </c>
      <c r="Y67" s="565">
        <f>Breakout!$G$49/12</f>
        <v>456342.06805998832</v>
      </c>
      <c r="Z67" s="566">
        <f>Breakout!$G$50/12</f>
        <v>420774.96631063597</v>
      </c>
      <c r="AA67" s="566">
        <v>441994.8600606189</v>
      </c>
      <c r="AB67" s="565">
        <f>Breakout!$G$60/12</f>
        <v>419869.28732201079</v>
      </c>
      <c r="AC67" s="566">
        <f>Breakout!$G$61/12</f>
        <v>416866.11218950356</v>
      </c>
      <c r="AD67" s="566">
        <v>429864.16468539002</v>
      </c>
      <c r="AE67" s="565">
        <f>Breakout!$G$71/12</f>
        <v>318562.82803247822</v>
      </c>
      <c r="AF67" s="566">
        <f>Breakout!$G$72/12</f>
        <v>316520.66666666669</v>
      </c>
      <c r="AG67" s="566">
        <v>316520.66666666669</v>
      </c>
      <c r="AH67" s="565">
        <f>Breakout!$G$82/12</f>
        <v>20967.748027016551</v>
      </c>
      <c r="AI67" s="566">
        <f>Breakout!$G$83/12</f>
        <v>0</v>
      </c>
      <c r="AJ67" s="566">
        <v>0</v>
      </c>
      <c r="AK67" s="571">
        <f>Breakout!$G$91/12</f>
        <v>281927.17837393162</v>
      </c>
      <c r="AL67" s="571">
        <v>281927.17837393162</v>
      </c>
      <c r="AM67" s="567">
        <f>(Breakout!$G$107/12)*-1</f>
        <v>55221.25</v>
      </c>
      <c r="AN67" s="567">
        <v>55221.25</v>
      </c>
      <c r="AO67" s="578">
        <f t="shared" si="57"/>
        <v>4920910.7497995337</v>
      </c>
      <c r="AP67" s="578">
        <f t="shared" si="58"/>
        <v>4991242.2591366125</v>
      </c>
      <c r="AQ67" s="548">
        <f t="shared" si="59"/>
        <v>204394.59323287959</v>
      </c>
      <c r="AR67" s="496"/>
      <c r="AS67" s="553">
        <f t="shared" si="60"/>
        <v>69817.194798283163</v>
      </c>
      <c r="AT67" s="496"/>
      <c r="AU67" s="557">
        <f>'wholesale services'!$H$110/12</f>
        <v>39106610.706018515</v>
      </c>
      <c r="AV67" s="557">
        <f>'wholesale services'!$H$113/12</f>
        <v>17613.255833333333</v>
      </c>
      <c r="AW67" s="496"/>
      <c r="AX67" s="552">
        <f t="shared" si="61"/>
        <v>-715341.08333333337</v>
      </c>
      <c r="AY67" s="381">
        <f t="shared" si="62"/>
        <v>-705333.33333333337</v>
      </c>
      <c r="AZ67" s="496"/>
      <c r="BA67" s="438">
        <f t="shared" si="63"/>
        <v>495701.2704965052</v>
      </c>
      <c r="BB67" s="438">
        <f t="shared" si="64"/>
        <v>-13228.191545514193</v>
      </c>
      <c r="BC67" s="438">
        <f t="shared" si="65"/>
        <v>-2510.2436188664797</v>
      </c>
      <c r="BD67" s="438">
        <f t="shared" si="24"/>
        <v>35567.101749352354</v>
      </c>
      <c r="BE67" s="438">
        <f t="shared" si="25"/>
        <v>3003.1751325072255</v>
      </c>
      <c r="BF67" s="438">
        <f t="shared" si="26"/>
        <v>2042.1613658115384</v>
      </c>
      <c r="BG67" s="438">
        <f t="shared" si="27"/>
        <v>20967.748027016551</v>
      </c>
      <c r="BH67" s="438">
        <f t="shared" si="28"/>
        <v>-281927.17837393162</v>
      </c>
      <c r="BI67" s="438">
        <f t="shared" si="29"/>
        <v>-55221.25</v>
      </c>
      <c r="BL67" s="438">
        <f t="shared" si="66"/>
        <v>642932.44102421158</v>
      </c>
      <c r="BM67" s="438">
        <f t="shared" si="67"/>
        <v>-8011.9333044686864</v>
      </c>
      <c r="BN67" s="438">
        <f t="shared" si="68"/>
        <v>115.43684163288708</v>
      </c>
      <c r="BO67" s="438">
        <f t="shared" si="69"/>
        <v>54666.469911888416</v>
      </c>
      <c r="BP67" s="438">
        <f t="shared" si="70"/>
        <v>20576.041322110046</v>
      </c>
      <c r="BQ67" s="438">
        <f t="shared" si="71"/>
        <v>15375.029758499819</v>
      </c>
      <c r="BR67" s="438">
        <f t="shared" si="72"/>
        <v>21845.31502584655</v>
      </c>
      <c r="BS67" s="438">
        <f t="shared" si="44"/>
        <v>-281927.17837393162</v>
      </c>
      <c r="BT67" s="438">
        <f t="shared" si="45"/>
        <v>-55221.25</v>
      </c>
      <c r="BW67" s="565">
        <f>Breakout!$G$15/12</f>
        <v>3665032.1925163274</v>
      </c>
      <c r="BX67" s="565">
        <f>Breakout!$G$26/12</f>
        <v>129848.55251363186</v>
      </c>
      <c r="BY67" s="565">
        <f>Breakout!$G$37/12</f>
        <v>65361.18255733289</v>
      </c>
      <c r="BZ67" s="565">
        <f>Breakout!$G$48/12</f>
        <v>475441.43622252438</v>
      </c>
      <c r="CA67" s="565">
        <f>Breakout!$G$59/12</f>
        <v>437442.15351161361</v>
      </c>
      <c r="CB67" s="565">
        <f>Breakout!$G$70/12</f>
        <v>331895.6964251665</v>
      </c>
      <c r="CC67" s="565">
        <f>Breakout!$G$81/12</f>
        <v>21845.31502584655</v>
      </c>
      <c r="CE67" s="634">
        <f t="shared" si="30"/>
        <v>3664376.0645714803</v>
      </c>
      <c r="CF67" s="634">
        <f t="shared" si="31"/>
        <v>129825.30653394412</v>
      </c>
      <c r="CG67" s="634">
        <f t="shared" si="32"/>
        <v>65349.481350868256</v>
      </c>
      <c r="CI67" s="634">
        <f t="shared" si="33"/>
        <v>-715341.08333333337</v>
      </c>
      <c r="CJ67" s="634">
        <f t="shared" si="34"/>
        <v>-705333.33333333337</v>
      </c>
      <c r="CL67" s="438">
        <f>'account mgt'!$G$23/12</f>
        <v>-53309.783880000003</v>
      </c>
      <c r="CN67" s="438">
        <v>0</v>
      </c>
      <c r="CT67" s="438">
        <f t="shared" si="51"/>
        <v>11999573.814553063</v>
      </c>
      <c r="CU67" s="438">
        <f t="shared" si="46"/>
        <v>94696.636686514597</v>
      </c>
      <c r="CV67" s="438">
        <f>IF(CT67&lt;0.1,0,PPMT($L$3,A67-14,unwinds!$B$8*12,$K$5))</f>
        <v>672862.24081608409</v>
      </c>
      <c r="CW67" s="438">
        <f t="shared" si="47"/>
        <v>11326711.573736979</v>
      </c>
      <c r="CX67" s="438">
        <f t="shared" si="48"/>
        <v>11326711.573736979</v>
      </c>
      <c r="DA67" s="438">
        <f t="shared" si="53"/>
        <v>25114425.119767312</v>
      </c>
      <c r="DB67" s="438">
        <f t="shared" si="54"/>
        <v>198194.67157016371</v>
      </c>
      <c r="DC67" s="438">
        <f t="shared" si="55"/>
        <v>297203.40010145225</v>
      </c>
      <c r="DD67" s="438">
        <f t="shared" si="56"/>
        <v>24817221.719665859</v>
      </c>
      <c r="DE67" s="438">
        <f t="shared" si="73"/>
        <v>24817221.719665859</v>
      </c>
      <c r="DH67" s="944">
        <v>-715341.08333333337</v>
      </c>
      <c r="DI67" s="944">
        <v>-705333.33333333337</v>
      </c>
      <c r="DJ67" s="944"/>
      <c r="DL67" s="381">
        <f t="shared" si="52"/>
        <v>474832.92700924521</v>
      </c>
      <c r="DN67" s="944">
        <f t="shared" si="18"/>
        <v>-715341.08333333337</v>
      </c>
      <c r="DO67" s="944">
        <f t="shared" si="19"/>
        <v>474832.92700924521</v>
      </c>
      <c r="DQ67" s="438">
        <f t="shared" si="20"/>
        <v>414449.69251632784</v>
      </c>
      <c r="DR67" s="438">
        <f t="shared" si="21"/>
        <v>-20037.341120673096</v>
      </c>
      <c r="DS67" s="438"/>
      <c r="DT67" s="438"/>
      <c r="DU67" s="438"/>
      <c r="DV67" s="438"/>
      <c r="DW67" s="438"/>
      <c r="DX67" s="438"/>
    </row>
    <row r="68" spans="1:128" x14ac:dyDescent="0.2">
      <c r="A68" s="383">
        <v>57</v>
      </c>
      <c r="B68" s="631">
        <v>38231</v>
      </c>
      <c r="C68" s="381">
        <v>0</v>
      </c>
      <c r="D68" s="381">
        <v>0</v>
      </c>
      <c r="E68" s="381">
        <v>0</v>
      </c>
      <c r="F68" s="381">
        <v>194315.766149831</v>
      </c>
      <c r="G68" s="381">
        <v>297203.40010145248</v>
      </c>
      <c r="H68" s="381">
        <v>0</v>
      </c>
      <c r="I68" s="381">
        <v>491519.16625128349</v>
      </c>
      <c r="J68" s="381"/>
      <c r="K68" s="381"/>
      <c r="L68" s="381">
        <f t="shared" si="50"/>
        <v>491519.16625128326</v>
      </c>
      <c r="M68" s="381"/>
      <c r="N68" s="679">
        <f t="shared" si="22"/>
        <v>-715341.08333333337</v>
      </c>
      <c r="O68" s="679">
        <f t="shared" si="23"/>
        <v>-705333.33333333337</v>
      </c>
      <c r="P68" s="565">
        <f>Breakout!$G$16/12</f>
        <v>3517801.021988621</v>
      </c>
      <c r="Q68" s="557">
        <f>'wholesale services'!$D$110*'wholesale services'!$H$111/12</f>
        <v>3250582.4999999995</v>
      </c>
      <c r="R68" s="557">
        <v>3320487.5</v>
      </c>
      <c r="S68" s="565">
        <f>Breakout!$G$27/12</f>
        <v>124632.29427258635</v>
      </c>
      <c r="T68" s="557">
        <f>'wholesale services'!$D$113*'wholesale services'!$H$114/12</f>
        <v>149885.89363430496</v>
      </c>
      <c r="U68" s="557">
        <v>152944.78942276016</v>
      </c>
      <c r="V68" s="565">
        <f>Breakout!$G$38/12</f>
        <v>62735.502096833523</v>
      </c>
      <c r="W68" s="496">
        <f>Breakout!$G$39/12</f>
        <v>65245.745715700003</v>
      </c>
      <c r="X68" s="496">
        <v>65947.312873933333</v>
      </c>
      <c r="Y68" s="565">
        <f>Breakout!$G$49/12</f>
        <v>456342.06805998832</v>
      </c>
      <c r="Z68" s="566">
        <f>Breakout!$G$50/12</f>
        <v>420774.96631063597</v>
      </c>
      <c r="AA68" s="566">
        <v>441994.8600606189</v>
      </c>
      <c r="AB68" s="565">
        <f>Breakout!$G$60/12</f>
        <v>419869.28732201079</v>
      </c>
      <c r="AC68" s="566">
        <f>Breakout!$G$61/12</f>
        <v>416866.11218950356</v>
      </c>
      <c r="AD68" s="566">
        <v>429864.16468539002</v>
      </c>
      <c r="AE68" s="565">
        <f>Breakout!$G$71/12</f>
        <v>318562.82803247822</v>
      </c>
      <c r="AF68" s="566">
        <f>Breakout!$G$72/12</f>
        <v>316520.66666666669</v>
      </c>
      <c r="AG68" s="566">
        <v>316520.66666666669</v>
      </c>
      <c r="AH68" s="565">
        <f>Breakout!$G$82/12</f>
        <v>20967.748027016551</v>
      </c>
      <c r="AI68" s="566">
        <f>Breakout!$G$83/12</f>
        <v>0</v>
      </c>
      <c r="AJ68" s="566">
        <v>0</v>
      </c>
      <c r="AK68" s="571">
        <f>Breakout!$G$91/12</f>
        <v>281927.17837393162</v>
      </c>
      <c r="AL68" s="571">
        <v>281927.17837393162</v>
      </c>
      <c r="AM68" s="567">
        <f>(Breakout!$G$107/12)*-1</f>
        <v>55221.25</v>
      </c>
      <c r="AN68" s="567">
        <v>55221.25</v>
      </c>
      <c r="AO68" s="578">
        <f t="shared" si="57"/>
        <v>4920910.7497995337</v>
      </c>
      <c r="AP68" s="578">
        <f t="shared" si="58"/>
        <v>4991242.2591366125</v>
      </c>
      <c r="AQ68" s="548">
        <f t="shared" si="59"/>
        <v>204394.59323287959</v>
      </c>
      <c r="AR68" s="496"/>
      <c r="AS68" s="553">
        <f t="shared" si="60"/>
        <v>69817.194798283163</v>
      </c>
      <c r="AT68" s="496"/>
      <c r="AU68" s="557">
        <f>'wholesale services'!$H$110/12</f>
        <v>39106610.706018515</v>
      </c>
      <c r="AV68" s="557">
        <f>'wholesale services'!$H$113/12</f>
        <v>17613.255833333333</v>
      </c>
      <c r="AW68" s="496"/>
      <c r="AX68" s="552">
        <f t="shared" si="61"/>
        <v>-715341.08333333337</v>
      </c>
      <c r="AY68" s="381">
        <f t="shared" si="62"/>
        <v>-705333.33333333337</v>
      </c>
      <c r="AZ68" s="496"/>
      <c r="BA68" s="438">
        <f t="shared" si="63"/>
        <v>495701.2704965052</v>
      </c>
      <c r="BB68" s="438">
        <f t="shared" si="64"/>
        <v>-13228.191545514193</v>
      </c>
      <c r="BC68" s="438">
        <f t="shared" si="65"/>
        <v>-2510.2436188664797</v>
      </c>
      <c r="BD68" s="438">
        <f t="shared" si="24"/>
        <v>35567.101749352354</v>
      </c>
      <c r="BE68" s="438">
        <f t="shared" si="25"/>
        <v>3003.1751325072255</v>
      </c>
      <c r="BF68" s="438">
        <f t="shared" si="26"/>
        <v>2042.1613658115384</v>
      </c>
      <c r="BG68" s="438">
        <f t="shared" si="27"/>
        <v>20967.748027016551</v>
      </c>
      <c r="BH68" s="438">
        <f t="shared" si="28"/>
        <v>-281927.17837393162</v>
      </c>
      <c r="BI68" s="438">
        <f t="shared" si="29"/>
        <v>-55221.25</v>
      </c>
      <c r="BL68" s="438">
        <f t="shared" si="66"/>
        <v>642932.44102421158</v>
      </c>
      <c r="BM68" s="438">
        <f t="shared" si="67"/>
        <v>-8011.9333044686864</v>
      </c>
      <c r="BN68" s="438">
        <f t="shared" si="68"/>
        <v>115.43684163288708</v>
      </c>
      <c r="BO68" s="438">
        <f t="shared" si="69"/>
        <v>54666.469911888416</v>
      </c>
      <c r="BP68" s="438">
        <f t="shared" si="70"/>
        <v>20576.041322110046</v>
      </c>
      <c r="BQ68" s="438">
        <f t="shared" si="71"/>
        <v>15375.029758499819</v>
      </c>
      <c r="BR68" s="438">
        <f t="shared" si="72"/>
        <v>21845.31502584655</v>
      </c>
      <c r="BS68" s="438">
        <f t="shared" si="44"/>
        <v>-281927.17837393162</v>
      </c>
      <c r="BT68" s="438">
        <f t="shared" si="45"/>
        <v>-55221.25</v>
      </c>
      <c r="BW68" s="565">
        <f>Breakout!$G$15/12</f>
        <v>3665032.1925163274</v>
      </c>
      <c r="BX68" s="565">
        <f>Breakout!$G$26/12</f>
        <v>129848.55251363186</v>
      </c>
      <c r="BY68" s="565">
        <f>Breakout!$G$37/12</f>
        <v>65361.18255733289</v>
      </c>
      <c r="BZ68" s="565">
        <f>Breakout!$G$48/12</f>
        <v>475441.43622252438</v>
      </c>
      <c r="CA68" s="565">
        <f>Breakout!$G$59/12</f>
        <v>437442.15351161361</v>
      </c>
      <c r="CB68" s="565">
        <f>Breakout!$G$70/12</f>
        <v>331895.6964251665</v>
      </c>
      <c r="CC68" s="565">
        <f>Breakout!$G$81/12</f>
        <v>21845.31502584655</v>
      </c>
      <c r="CE68" s="634">
        <f t="shared" si="30"/>
        <v>3664376.0645714803</v>
      </c>
      <c r="CF68" s="634">
        <f t="shared" si="31"/>
        <v>129825.30653394412</v>
      </c>
      <c r="CG68" s="634">
        <f t="shared" si="32"/>
        <v>65349.481350868256</v>
      </c>
      <c r="CI68" s="634">
        <f t="shared" si="33"/>
        <v>-715341.08333333337</v>
      </c>
      <c r="CJ68" s="634">
        <f t="shared" si="34"/>
        <v>-705333.33333333337</v>
      </c>
      <c r="CL68" s="438">
        <f>'account mgt'!$G$23/12</f>
        <v>-53309.783880000003</v>
      </c>
      <c r="CN68" s="438">
        <v>0</v>
      </c>
      <c r="CT68" s="438">
        <f t="shared" si="51"/>
        <v>11326711.573736979</v>
      </c>
      <c r="CU68" s="438">
        <f t="shared" si="46"/>
        <v>89386.632169407661</v>
      </c>
      <c r="CV68" s="438">
        <f>IF(CT68&lt;0.1,0,PPMT($L$3,A68-14,unwinds!$B$8*12,$K$5))</f>
        <v>678172.24533319077</v>
      </c>
      <c r="CW68" s="438">
        <f t="shared" si="47"/>
        <v>10648539.328403788</v>
      </c>
      <c r="CX68" s="438">
        <f t="shared" si="48"/>
        <v>10648539.328403788</v>
      </c>
      <c r="DA68" s="438">
        <f t="shared" si="53"/>
        <v>24817221.719665859</v>
      </c>
      <c r="DB68" s="438">
        <f t="shared" si="54"/>
        <v>195849.24140436307</v>
      </c>
      <c r="DC68" s="438">
        <f t="shared" si="55"/>
        <v>299548.83026725281</v>
      </c>
      <c r="DD68" s="438">
        <f t="shared" si="56"/>
        <v>24517672.889398605</v>
      </c>
      <c r="DE68" s="438">
        <f t="shared" si="73"/>
        <v>24517672.889398605</v>
      </c>
      <c r="DH68" s="944">
        <v>-715341.08333333337</v>
      </c>
      <c r="DI68" s="944">
        <v>-705333.33333333337</v>
      </c>
      <c r="DJ68" s="944"/>
      <c r="DL68" s="381">
        <f t="shared" si="52"/>
        <v>474832.92700924521</v>
      </c>
      <c r="DN68" s="944">
        <f t="shared" si="18"/>
        <v>-715341.08333333337</v>
      </c>
      <c r="DO68" s="944">
        <f t="shared" si="19"/>
        <v>474832.92700924521</v>
      </c>
      <c r="DQ68" s="438">
        <f t="shared" si="20"/>
        <v>414449.69251632784</v>
      </c>
      <c r="DR68" s="438">
        <f t="shared" si="21"/>
        <v>-20037.341120673096</v>
      </c>
      <c r="DS68" s="438"/>
      <c r="DT68" s="438"/>
      <c r="DU68" s="438"/>
      <c r="DV68" s="438"/>
      <c r="DW68" s="438"/>
      <c r="DX68" s="438"/>
    </row>
    <row r="69" spans="1:128" x14ac:dyDescent="0.2">
      <c r="A69" s="383">
        <v>58</v>
      </c>
      <c r="B69" s="631">
        <v>38261</v>
      </c>
      <c r="C69" s="381">
        <v>0</v>
      </c>
      <c r="D69" s="381">
        <v>0</v>
      </c>
      <c r="E69" s="381">
        <v>0</v>
      </c>
      <c r="F69" s="381">
        <v>191970.33598403045</v>
      </c>
      <c r="G69" s="381">
        <v>299548.83026725304</v>
      </c>
      <c r="H69" s="381">
        <v>0</v>
      </c>
      <c r="I69" s="381">
        <v>491519.16625128349</v>
      </c>
      <c r="J69" s="381"/>
      <c r="K69" s="381"/>
      <c r="L69" s="381">
        <f t="shared" si="50"/>
        <v>491519.16625128326</v>
      </c>
      <c r="M69" s="381"/>
      <c r="N69" s="679">
        <f t="shared" si="22"/>
        <v>-715341.08333333337</v>
      </c>
      <c r="O69" s="679">
        <f t="shared" si="23"/>
        <v>-705333.33333333337</v>
      </c>
      <c r="P69" s="565">
        <f>Breakout!$G$16/12</f>
        <v>3517801.021988621</v>
      </c>
      <c r="Q69" s="557">
        <f>'wholesale services'!$D$110*'wholesale services'!$H$111/12</f>
        <v>3250582.4999999995</v>
      </c>
      <c r="R69" s="557">
        <v>3320487.5</v>
      </c>
      <c r="S69" s="565">
        <f>Breakout!$G$27/12</f>
        <v>124632.29427258635</v>
      </c>
      <c r="T69" s="557">
        <f>'wholesale services'!$D$113*'wholesale services'!$H$114/12</f>
        <v>149885.89363430496</v>
      </c>
      <c r="U69" s="557">
        <v>152944.78942276016</v>
      </c>
      <c r="V69" s="565">
        <f>Breakout!$G$38/12</f>
        <v>62735.502096833523</v>
      </c>
      <c r="W69" s="496">
        <f>Breakout!$G$39/12</f>
        <v>65245.745715700003</v>
      </c>
      <c r="X69" s="496">
        <v>65947.312873933333</v>
      </c>
      <c r="Y69" s="565">
        <f>Breakout!$G$49/12</f>
        <v>456342.06805998832</v>
      </c>
      <c r="Z69" s="566">
        <f>Breakout!$G$50/12</f>
        <v>420774.96631063597</v>
      </c>
      <c r="AA69" s="566">
        <v>441994.8600606189</v>
      </c>
      <c r="AB69" s="565">
        <f>Breakout!$G$60/12</f>
        <v>419869.28732201079</v>
      </c>
      <c r="AC69" s="566">
        <f>Breakout!$G$61/12</f>
        <v>416866.11218950356</v>
      </c>
      <c r="AD69" s="566">
        <v>429864.16468539002</v>
      </c>
      <c r="AE69" s="565">
        <f>Breakout!$G$71/12</f>
        <v>318562.82803247822</v>
      </c>
      <c r="AF69" s="566">
        <f>Breakout!$G$72/12</f>
        <v>316520.66666666669</v>
      </c>
      <c r="AG69" s="566">
        <v>316520.66666666669</v>
      </c>
      <c r="AH69" s="565">
        <f>Breakout!$G$82/12</f>
        <v>20967.748027016551</v>
      </c>
      <c r="AI69" s="566">
        <f>Breakout!$G$83/12</f>
        <v>0</v>
      </c>
      <c r="AJ69" s="566">
        <v>0</v>
      </c>
      <c r="AK69" s="571">
        <f>Breakout!$G$91/12</f>
        <v>281927.17837393162</v>
      </c>
      <c r="AL69" s="571">
        <v>281927.17837393162</v>
      </c>
      <c r="AM69" s="567">
        <f>(Breakout!$G$107/12)*-1</f>
        <v>55221.25</v>
      </c>
      <c r="AN69" s="567">
        <v>55221.25</v>
      </c>
      <c r="AO69" s="578">
        <f t="shared" si="57"/>
        <v>4920910.7497995337</v>
      </c>
      <c r="AP69" s="578">
        <f t="shared" si="58"/>
        <v>4991242.2591366125</v>
      </c>
      <c r="AQ69" s="548">
        <f t="shared" si="59"/>
        <v>204394.59323287959</v>
      </c>
      <c r="AR69" s="496"/>
      <c r="AS69" s="553">
        <f t="shared" si="60"/>
        <v>69817.194798283163</v>
      </c>
      <c r="AT69" s="496"/>
      <c r="AU69" s="557">
        <f>'wholesale services'!$H$110/12</f>
        <v>39106610.706018515</v>
      </c>
      <c r="AV69" s="557">
        <f>'wholesale services'!$H$113/12</f>
        <v>17613.255833333333</v>
      </c>
      <c r="AW69" s="496"/>
      <c r="AX69" s="552">
        <f t="shared" si="61"/>
        <v>-715341.08333333337</v>
      </c>
      <c r="AY69" s="381">
        <f t="shared" si="62"/>
        <v>-705333.33333333337</v>
      </c>
      <c r="AZ69" s="496"/>
      <c r="BA69" s="438">
        <f t="shared" si="63"/>
        <v>495701.2704965052</v>
      </c>
      <c r="BB69" s="438">
        <f t="shared" si="64"/>
        <v>-13228.191545514193</v>
      </c>
      <c r="BC69" s="438">
        <f t="shared" si="65"/>
        <v>-2510.2436188664797</v>
      </c>
      <c r="BD69" s="438">
        <f t="shared" si="24"/>
        <v>35567.101749352354</v>
      </c>
      <c r="BE69" s="438">
        <f t="shared" si="25"/>
        <v>3003.1751325072255</v>
      </c>
      <c r="BF69" s="438">
        <f t="shared" si="26"/>
        <v>2042.1613658115384</v>
      </c>
      <c r="BG69" s="438">
        <f t="shared" si="27"/>
        <v>20967.748027016551</v>
      </c>
      <c r="BH69" s="438">
        <f t="shared" si="28"/>
        <v>-281927.17837393162</v>
      </c>
      <c r="BI69" s="438">
        <f t="shared" si="29"/>
        <v>-55221.25</v>
      </c>
      <c r="BL69" s="438">
        <f t="shared" si="66"/>
        <v>642932.44102421158</v>
      </c>
      <c r="BM69" s="438">
        <f t="shared" si="67"/>
        <v>-8011.9333044686864</v>
      </c>
      <c r="BN69" s="438">
        <f t="shared" si="68"/>
        <v>115.43684163288708</v>
      </c>
      <c r="BO69" s="438">
        <f t="shared" si="69"/>
        <v>54666.469911888416</v>
      </c>
      <c r="BP69" s="438">
        <f t="shared" si="70"/>
        <v>20576.041322110046</v>
      </c>
      <c r="BQ69" s="438">
        <f t="shared" si="71"/>
        <v>15375.029758499819</v>
      </c>
      <c r="BR69" s="438">
        <f t="shared" si="72"/>
        <v>21845.31502584655</v>
      </c>
      <c r="BS69" s="438">
        <f t="shared" si="44"/>
        <v>-281927.17837393162</v>
      </c>
      <c r="BT69" s="438">
        <f t="shared" si="45"/>
        <v>-55221.25</v>
      </c>
      <c r="BW69" s="565">
        <f>Breakout!$G$15/12</f>
        <v>3665032.1925163274</v>
      </c>
      <c r="BX69" s="565">
        <f>Breakout!$G$26/12</f>
        <v>129848.55251363186</v>
      </c>
      <c r="BY69" s="565">
        <f>Breakout!$G$37/12</f>
        <v>65361.18255733289</v>
      </c>
      <c r="BZ69" s="565">
        <f>Breakout!$G$48/12</f>
        <v>475441.43622252438</v>
      </c>
      <c r="CA69" s="565">
        <f>Breakout!$G$59/12</f>
        <v>437442.15351161361</v>
      </c>
      <c r="CB69" s="565">
        <f>Breakout!$G$70/12</f>
        <v>331895.6964251665</v>
      </c>
      <c r="CC69" s="565">
        <f>Breakout!$G$81/12</f>
        <v>21845.31502584655</v>
      </c>
      <c r="CE69" s="634">
        <f t="shared" si="30"/>
        <v>3664376.0645714803</v>
      </c>
      <c r="CF69" s="634">
        <f t="shared" si="31"/>
        <v>129825.30653394412</v>
      </c>
      <c r="CG69" s="634">
        <f t="shared" si="32"/>
        <v>65349.481350868256</v>
      </c>
      <c r="CI69" s="634">
        <f t="shared" si="33"/>
        <v>-715341.08333333337</v>
      </c>
      <c r="CJ69" s="634">
        <f t="shared" si="34"/>
        <v>-705333.33333333337</v>
      </c>
      <c r="CL69" s="438">
        <f>'account mgt'!$G$23/12</f>
        <v>-53309.783880000003</v>
      </c>
      <c r="CN69" s="438">
        <v>0</v>
      </c>
      <c r="CT69" s="438">
        <f t="shared" si="51"/>
        <v>10648539.328403788</v>
      </c>
      <c r="CU69" s="438">
        <f t="shared" si="46"/>
        <v>84034.722866653217</v>
      </c>
      <c r="CV69" s="438">
        <f>IF(CT69&lt;0.1,0,PPMT($L$3,A69-14,unwinds!$B$8*12,$K$5))</f>
        <v>683524.15463594522</v>
      </c>
      <c r="CW69" s="438">
        <f t="shared" si="47"/>
        <v>9965015.1737678424</v>
      </c>
      <c r="CX69" s="438">
        <f t="shared" si="48"/>
        <v>9965015.1737678424</v>
      </c>
      <c r="DA69" s="438">
        <f t="shared" si="53"/>
        <v>24517672.889398605</v>
      </c>
      <c r="DB69" s="438">
        <f t="shared" si="54"/>
        <v>193485.30188550398</v>
      </c>
      <c r="DC69" s="438">
        <f t="shared" si="55"/>
        <v>301912.76978611189</v>
      </c>
      <c r="DD69" s="438">
        <f t="shared" si="56"/>
        <v>24215760.119612493</v>
      </c>
      <c r="DE69" s="438">
        <f t="shared" si="73"/>
        <v>24215760.119612493</v>
      </c>
      <c r="DH69" s="944">
        <v>-715341.08333333337</v>
      </c>
      <c r="DI69" s="944">
        <v>-705333.33333333337</v>
      </c>
      <c r="DJ69" s="944"/>
      <c r="DL69" s="381">
        <f t="shared" si="52"/>
        <v>474832.92700924521</v>
      </c>
      <c r="DN69" s="944">
        <f t="shared" si="18"/>
        <v>-715341.08333333337</v>
      </c>
      <c r="DO69" s="944">
        <f t="shared" si="19"/>
        <v>474832.92700924521</v>
      </c>
      <c r="DQ69" s="438">
        <f t="shared" si="20"/>
        <v>414449.69251632784</v>
      </c>
      <c r="DR69" s="438">
        <f t="shared" si="21"/>
        <v>-20037.341120673096</v>
      </c>
      <c r="DS69" s="438"/>
      <c r="DT69" s="438"/>
      <c r="DU69" s="438"/>
      <c r="DV69" s="438"/>
      <c r="DW69" s="438"/>
      <c r="DX69" s="438"/>
    </row>
    <row r="70" spans="1:128" x14ac:dyDescent="0.2">
      <c r="A70" s="383">
        <v>59</v>
      </c>
      <c r="B70" s="631">
        <v>38292</v>
      </c>
      <c r="C70" s="381">
        <v>0</v>
      </c>
      <c r="D70" s="381">
        <v>0</v>
      </c>
      <c r="E70" s="381">
        <v>0</v>
      </c>
      <c r="F70" s="381">
        <v>189606.39646517139</v>
      </c>
      <c r="G70" s="381">
        <v>301912.76978611213</v>
      </c>
      <c r="H70" s="381">
        <v>0</v>
      </c>
      <c r="I70" s="381">
        <v>491519.16625128349</v>
      </c>
      <c r="J70" s="381"/>
      <c r="K70" s="381"/>
      <c r="L70" s="381">
        <f t="shared" si="50"/>
        <v>491519.16625128326</v>
      </c>
      <c r="M70" s="381"/>
      <c r="N70" s="679">
        <f t="shared" si="22"/>
        <v>-715341.08333333337</v>
      </c>
      <c r="O70" s="679">
        <f t="shared" si="23"/>
        <v>-705333.33333333337</v>
      </c>
      <c r="P70" s="565">
        <f>Breakout!$G$16/12</f>
        <v>3517801.021988621</v>
      </c>
      <c r="Q70" s="557">
        <f>'wholesale services'!$D$110*'wholesale services'!$H$111/12</f>
        <v>3250582.4999999995</v>
      </c>
      <c r="R70" s="557">
        <v>3320487.5</v>
      </c>
      <c r="S70" s="565">
        <f>Breakout!$G$27/12</f>
        <v>124632.29427258635</v>
      </c>
      <c r="T70" s="557">
        <f>'wholesale services'!$D$113*'wholesale services'!$H$114/12</f>
        <v>149885.89363430496</v>
      </c>
      <c r="U70" s="557">
        <v>152944.78942276016</v>
      </c>
      <c r="V70" s="565">
        <f>Breakout!$G$38/12</f>
        <v>62735.502096833523</v>
      </c>
      <c r="W70" s="496">
        <f>Breakout!$G$39/12</f>
        <v>65245.745715700003</v>
      </c>
      <c r="X70" s="496">
        <v>65947.312873933333</v>
      </c>
      <c r="Y70" s="565">
        <f>Breakout!$G$49/12</f>
        <v>456342.06805998832</v>
      </c>
      <c r="Z70" s="566">
        <f>Breakout!$G$50/12</f>
        <v>420774.96631063597</v>
      </c>
      <c r="AA70" s="566">
        <v>441994.8600606189</v>
      </c>
      <c r="AB70" s="565">
        <f>Breakout!$G$60/12</f>
        <v>419869.28732201079</v>
      </c>
      <c r="AC70" s="566">
        <f>Breakout!$G$61/12</f>
        <v>416866.11218950356</v>
      </c>
      <c r="AD70" s="566">
        <v>429864.16468539002</v>
      </c>
      <c r="AE70" s="565">
        <f>Breakout!$G$71/12</f>
        <v>318562.82803247822</v>
      </c>
      <c r="AF70" s="566">
        <f>Breakout!$G$72/12</f>
        <v>316520.66666666669</v>
      </c>
      <c r="AG70" s="566">
        <v>316520.66666666669</v>
      </c>
      <c r="AH70" s="565">
        <f>Breakout!$G$82/12</f>
        <v>20967.748027016551</v>
      </c>
      <c r="AI70" s="566">
        <f>Breakout!$G$83/12</f>
        <v>0</v>
      </c>
      <c r="AJ70" s="566">
        <v>0</v>
      </c>
      <c r="AK70" s="571">
        <f>Breakout!$G$91/12</f>
        <v>281927.17837393162</v>
      </c>
      <c r="AL70" s="571">
        <v>281927.17837393162</v>
      </c>
      <c r="AM70" s="567">
        <f>(Breakout!$G$107/12)*-1</f>
        <v>55221.25</v>
      </c>
      <c r="AN70" s="567">
        <v>55221.25</v>
      </c>
      <c r="AO70" s="578">
        <f t="shared" si="57"/>
        <v>4920910.7497995337</v>
      </c>
      <c r="AP70" s="578">
        <f t="shared" si="58"/>
        <v>4991242.2591366125</v>
      </c>
      <c r="AQ70" s="548">
        <f t="shared" si="59"/>
        <v>204394.59323287959</v>
      </c>
      <c r="AR70" s="496"/>
      <c r="AS70" s="553">
        <f t="shared" si="60"/>
        <v>69817.194798283163</v>
      </c>
      <c r="AT70" s="496"/>
      <c r="AU70" s="557">
        <f>'wholesale services'!$H$110/12</f>
        <v>39106610.706018515</v>
      </c>
      <c r="AV70" s="557">
        <f>'wholesale services'!$H$113/12</f>
        <v>17613.255833333333</v>
      </c>
      <c r="AW70" s="496"/>
      <c r="AX70" s="552">
        <f t="shared" si="61"/>
        <v>-715341.08333333337</v>
      </c>
      <c r="AY70" s="381">
        <f t="shared" si="62"/>
        <v>-705333.33333333337</v>
      </c>
      <c r="AZ70" s="496"/>
      <c r="BA70" s="438">
        <f t="shared" si="63"/>
        <v>495701.2704965052</v>
      </c>
      <c r="BB70" s="438">
        <f t="shared" si="64"/>
        <v>-13228.191545514193</v>
      </c>
      <c r="BC70" s="438">
        <f t="shared" si="65"/>
        <v>-2510.2436188664797</v>
      </c>
      <c r="BD70" s="438">
        <f t="shared" si="24"/>
        <v>35567.101749352354</v>
      </c>
      <c r="BE70" s="438">
        <f t="shared" si="25"/>
        <v>3003.1751325072255</v>
      </c>
      <c r="BF70" s="438">
        <f t="shared" si="26"/>
        <v>2042.1613658115384</v>
      </c>
      <c r="BG70" s="438">
        <f t="shared" si="27"/>
        <v>20967.748027016551</v>
      </c>
      <c r="BH70" s="438">
        <f t="shared" si="28"/>
        <v>-281927.17837393162</v>
      </c>
      <c r="BI70" s="438">
        <f t="shared" si="29"/>
        <v>-55221.25</v>
      </c>
      <c r="BL70" s="438">
        <f t="shared" si="66"/>
        <v>642932.44102421158</v>
      </c>
      <c r="BM70" s="438">
        <f t="shared" si="67"/>
        <v>-8011.9333044686864</v>
      </c>
      <c r="BN70" s="438">
        <f t="shared" si="68"/>
        <v>115.43684163288708</v>
      </c>
      <c r="BO70" s="438">
        <f t="shared" si="69"/>
        <v>54666.469911888416</v>
      </c>
      <c r="BP70" s="438">
        <f t="shared" si="70"/>
        <v>20576.041322110046</v>
      </c>
      <c r="BQ70" s="438">
        <f t="shared" si="71"/>
        <v>15375.029758499819</v>
      </c>
      <c r="BR70" s="438">
        <f t="shared" si="72"/>
        <v>21845.31502584655</v>
      </c>
      <c r="BS70" s="438">
        <f t="shared" si="44"/>
        <v>-281927.17837393162</v>
      </c>
      <c r="BT70" s="438">
        <f t="shared" si="45"/>
        <v>-55221.25</v>
      </c>
      <c r="BW70" s="565">
        <f>Breakout!$G$15/12</f>
        <v>3665032.1925163274</v>
      </c>
      <c r="BX70" s="565">
        <f>Breakout!$G$26/12</f>
        <v>129848.55251363186</v>
      </c>
      <c r="BY70" s="565">
        <f>Breakout!$G$37/12</f>
        <v>65361.18255733289</v>
      </c>
      <c r="BZ70" s="565">
        <f>Breakout!$G$48/12</f>
        <v>475441.43622252438</v>
      </c>
      <c r="CA70" s="565">
        <f>Breakout!$G$59/12</f>
        <v>437442.15351161361</v>
      </c>
      <c r="CB70" s="565">
        <f>Breakout!$G$70/12</f>
        <v>331895.6964251665</v>
      </c>
      <c r="CC70" s="565">
        <f>Breakout!$G$81/12</f>
        <v>21845.31502584655</v>
      </c>
      <c r="CE70" s="634">
        <f t="shared" si="30"/>
        <v>3664376.0645714803</v>
      </c>
      <c r="CF70" s="634">
        <f t="shared" si="31"/>
        <v>129825.30653394412</v>
      </c>
      <c r="CG70" s="634">
        <f t="shared" si="32"/>
        <v>65349.481350868256</v>
      </c>
      <c r="CI70" s="634">
        <f t="shared" si="33"/>
        <v>-715341.08333333337</v>
      </c>
      <c r="CJ70" s="634">
        <f t="shared" si="34"/>
        <v>-705333.33333333337</v>
      </c>
      <c r="CL70" s="438">
        <f>'account mgt'!$G$23/12</f>
        <v>-53309.783880000003</v>
      </c>
      <c r="CN70" s="438">
        <v>0</v>
      </c>
      <c r="CT70" s="438">
        <f t="shared" si="51"/>
        <v>9965015.1737678424</v>
      </c>
      <c r="CU70" s="438">
        <f t="shared" si="46"/>
        <v>78640.578079651226</v>
      </c>
      <c r="CV70" s="438">
        <f>IF(CT70&lt;0.1,0,PPMT($L$3,A70-14,unwinds!$B$8*12,$K$5))</f>
        <v>688918.29942294722</v>
      </c>
      <c r="CW70" s="438">
        <f t="shared" si="47"/>
        <v>9276096.8743448947</v>
      </c>
      <c r="CX70" s="438">
        <f t="shared" si="48"/>
        <v>9276096.8743448947</v>
      </c>
      <c r="DA70" s="438">
        <f t="shared" si="53"/>
        <v>24215760.119612493</v>
      </c>
      <c r="DB70" s="438">
        <f t="shared" si="54"/>
        <v>191102.70694394191</v>
      </c>
      <c r="DC70" s="438">
        <f t="shared" si="55"/>
        <v>304295.36472767394</v>
      </c>
      <c r="DD70" s="438">
        <f t="shared" si="56"/>
        <v>23911464.75488482</v>
      </c>
      <c r="DE70" s="438">
        <f t="shared" si="73"/>
        <v>23911464.75488482</v>
      </c>
      <c r="DH70" s="944">
        <v>-715341.08333333337</v>
      </c>
      <c r="DI70" s="944">
        <v>-705333.33333333337</v>
      </c>
      <c r="DJ70" s="944"/>
      <c r="DL70" s="381">
        <f t="shared" si="52"/>
        <v>474832.92700924521</v>
      </c>
      <c r="DN70" s="944">
        <f t="shared" si="18"/>
        <v>-715341.08333333337</v>
      </c>
      <c r="DO70" s="944">
        <f t="shared" si="19"/>
        <v>474832.92700924521</v>
      </c>
      <c r="DQ70" s="438">
        <f t="shared" si="20"/>
        <v>414449.69251632784</v>
      </c>
      <c r="DR70" s="438">
        <f t="shared" si="21"/>
        <v>-20037.341120673096</v>
      </c>
      <c r="DS70" s="438"/>
      <c r="DT70" s="438"/>
      <c r="DU70" s="438"/>
      <c r="DV70" s="438"/>
      <c r="DW70" s="438"/>
      <c r="DX70" s="438"/>
    </row>
    <row r="71" spans="1:128" s="676" customFormat="1" x14ac:dyDescent="0.2">
      <c r="A71" s="667">
        <v>60</v>
      </c>
      <c r="B71" s="668">
        <v>38322</v>
      </c>
      <c r="C71" s="669">
        <v>0</v>
      </c>
      <c r="D71" s="669">
        <v>0</v>
      </c>
      <c r="E71" s="669">
        <v>0</v>
      </c>
      <c r="F71" s="381">
        <v>187223.80152360935</v>
      </c>
      <c r="G71" s="381">
        <v>304295.36472767417</v>
      </c>
      <c r="H71" s="381">
        <v>0</v>
      </c>
      <c r="I71" s="381">
        <v>491519.16625128349</v>
      </c>
      <c r="J71" s="669"/>
      <c r="K71" s="669"/>
      <c r="L71" s="381">
        <f t="shared" si="50"/>
        <v>491519.16625128326</v>
      </c>
      <c r="M71" s="669"/>
      <c r="N71" s="679">
        <f t="shared" si="22"/>
        <v>-715341.08333333337</v>
      </c>
      <c r="O71" s="679">
        <f t="shared" si="23"/>
        <v>-705333.33333333337</v>
      </c>
      <c r="P71" s="670">
        <f>Breakout!$G$16/12</f>
        <v>3517801.021988621</v>
      </c>
      <c r="Q71" s="671">
        <f>'wholesale services'!$D$110*'wholesale services'!$H$111/12</f>
        <v>3250582.4999999995</v>
      </c>
      <c r="R71" s="671">
        <v>3320487.5</v>
      </c>
      <c r="S71" s="670">
        <f>Breakout!$G$27/12</f>
        <v>124632.29427258635</v>
      </c>
      <c r="T71" s="671">
        <f>'wholesale services'!$D$113*'wholesale services'!$H$114/12</f>
        <v>149885.89363430496</v>
      </c>
      <c r="U71" s="671">
        <v>152944.78942276016</v>
      </c>
      <c r="V71" s="670">
        <f>Breakout!$G$38/12</f>
        <v>62735.502096833523</v>
      </c>
      <c r="W71" s="672">
        <f>Breakout!$G$39/12</f>
        <v>65245.745715700003</v>
      </c>
      <c r="X71" s="672">
        <v>65947.312873933333</v>
      </c>
      <c r="Y71" s="670">
        <f>Breakout!$G$49/12</f>
        <v>456342.06805998832</v>
      </c>
      <c r="Z71" s="671">
        <f>Breakout!$G$50/12</f>
        <v>420774.96631063597</v>
      </c>
      <c r="AA71" s="671">
        <v>441994.8600606189</v>
      </c>
      <c r="AB71" s="670">
        <f>Breakout!$G$60/12</f>
        <v>419869.28732201079</v>
      </c>
      <c r="AC71" s="671">
        <f>Breakout!$G$61/12</f>
        <v>416866.11218950356</v>
      </c>
      <c r="AD71" s="671">
        <v>429864.16468539002</v>
      </c>
      <c r="AE71" s="670">
        <f>Breakout!$G$71/12</f>
        <v>318562.82803247822</v>
      </c>
      <c r="AF71" s="671">
        <f>Breakout!$G$72/12</f>
        <v>316520.66666666669</v>
      </c>
      <c r="AG71" s="671">
        <v>316520.66666666669</v>
      </c>
      <c r="AH71" s="670">
        <f>Breakout!$G$82/12</f>
        <v>20967.748027016551</v>
      </c>
      <c r="AI71" s="671">
        <f>Breakout!$G$83/12</f>
        <v>0</v>
      </c>
      <c r="AJ71" s="671">
        <v>0</v>
      </c>
      <c r="AK71" s="673">
        <f>Breakout!$G$91/12</f>
        <v>281927.17837393162</v>
      </c>
      <c r="AL71" s="673">
        <v>281927.17837393162</v>
      </c>
      <c r="AM71" s="673">
        <f>(Breakout!$G$107/12)*-1</f>
        <v>55221.25</v>
      </c>
      <c r="AN71" s="673">
        <v>55221.25</v>
      </c>
      <c r="AO71" s="674">
        <f t="shared" si="57"/>
        <v>4920910.7497995337</v>
      </c>
      <c r="AP71" s="674">
        <f t="shared" si="58"/>
        <v>4991242.2591366125</v>
      </c>
      <c r="AQ71" s="548">
        <f t="shared" si="59"/>
        <v>204394.59323287959</v>
      </c>
      <c r="AR71" s="672">
        <f>SUM(AQ60:AQ71)</f>
        <v>2452735.1187945553</v>
      </c>
      <c r="AS71" s="553">
        <f t="shared" si="60"/>
        <v>69817.194798283163</v>
      </c>
      <c r="AT71" s="672">
        <f>SUM(AS60:AS71)</f>
        <v>837806.33757939795</v>
      </c>
      <c r="AU71" s="671">
        <f>'wholesale services'!$H$110/12</f>
        <v>39106610.706018515</v>
      </c>
      <c r="AV71" s="671">
        <f>'wholesale services'!$H$113/12</f>
        <v>17613.255833333333</v>
      </c>
      <c r="AW71" s="672"/>
      <c r="AX71" s="552">
        <f t="shared" si="61"/>
        <v>-715341.08333333337</v>
      </c>
      <c r="AY71" s="381">
        <f t="shared" si="62"/>
        <v>-705333.33333333337</v>
      </c>
      <c r="AZ71" s="672"/>
      <c r="BA71" s="438">
        <f t="shared" si="63"/>
        <v>495701.2704965052</v>
      </c>
      <c r="BB71" s="438">
        <f t="shared" si="64"/>
        <v>-13228.191545514193</v>
      </c>
      <c r="BC71" s="438">
        <f t="shared" si="65"/>
        <v>-2510.2436188664797</v>
      </c>
      <c r="BD71" s="438">
        <f t="shared" si="24"/>
        <v>35567.101749352354</v>
      </c>
      <c r="BE71" s="438">
        <f t="shared" si="25"/>
        <v>3003.1751325072255</v>
      </c>
      <c r="BF71" s="438">
        <f t="shared" si="26"/>
        <v>2042.1613658115384</v>
      </c>
      <c r="BG71" s="438">
        <f t="shared" si="27"/>
        <v>20967.748027016551</v>
      </c>
      <c r="BH71" s="438">
        <f t="shared" si="28"/>
        <v>-281927.17837393162</v>
      </c>
      <c r="BI71" s="438">
        <f t="shared" si="29"/>
        <v>-55221.25</v>
      </c>
      <c r="BJ71" s="672"/>
      <c r="BK71" s="496"/>
      <c r="BL71" s="438">
        <f t="shared" si="66"/>
        <v>642932.44102421158</v>
      </c>
      <c r="BM71" s="438">
        <f t="shared" si="67"/>
        <v>-8011.9333044686864</v>
      </c>
      <c r="BN71" s="438">
        <f t="shared" si="68"/>
        <v>115.43684163288708</v>
      </c>
      <c r="BO71" s="438">
        <f t="shared" si="69"/>
        <v>54666.469911888416</v>
      </c>
      <c r="BP71" s="438">
        <f t="shared" si="70"/>
        <v>20576.041322110046</v>
      </c>
      <c r="BQ71" s="438">
        <f t="shared" si="71"/>
        <v>15375.029758499819</v>
      </c>
      <c r="BR71" s="438">
        <f t="shared" si="72"/>
        <v>21845.31502584655</v>
      </c>
      <c r="BS71" s="438">
        <f t="shared" si="44"/>
        <v>-281927.17837393162</v>
      </c>
      <c r="BT71" s="438">
        <f t="shared" si="45"/>
        <v>-55221.25</v>
      </c>
      <c r="BU71" s="672"/>
      <c r="BV71" s="672"/>
      <c r="BW71" s="670">
        <f>Breakout!$G$15/12</f>
        <v>3665032.1925163274</v>
      </c>
      <c r="BX71" s="670">
        <f>Breakout!$G$26/12</f>
        <v>129848.55251363186</v>
      </c>
      <c r="BY71" s="670">
        <f>Breakout!$G$37/12</f>
        <v>65361.18255733289</v>
      </c>
      <c r="BZ71" s="670">
        <f>Breakout!$G$48/12</f>
        <v>475441.43622252438</v>
      </c>
      <c r="CA71" s="670">
        <f>Breakout!$G$59/12</f>
        <v>437442.15351161361</v>
      </c>
      <c r="CB71" s="670">
        <f>Breakout!$G$70/12</f>
        <v>331895.6964251665</v>
      </c>
      <c r="CC71" s="670">
        <f>Breakout!$G$81/12</f>
        <v>21845.31502584655</v>
      </c>
      <c r="CD71" s="672"/>
      <c r="CE71" s="675">
        <f t="shared" si="30"/>
        <v>3664376.0645714803</v>
      </c>
      <c r="CF71" s="675">
        <f t="shared" si="31"/>
        <v>129825.30653394412</v>
      </c>
      <c r="CG71" s="675">
        <f t="shared" si="32"/>
        <v>65349.481350868256</v>
      </c>
      <c r="CH71" s="672"/>
      <c r="CI71" s="675">
        <f t="shared" si="33"/>
        <v>-715341.08333333337</v>
      </c>
      <c r="CJ71" s="675">
        <f t="shared" si="34"/>
        <v>-705333.33333333337</v>
      </c>
      <c r="CK71" s="672"/>
      <c r="CL71" s="672">
        <f>'account mgt'!$G$23/12</f>
        <v>-53309.783880000003</v>
      </c>
      <c r="CM71" s="672"/>
      <c r="CN71" s="438">
        <v>0</v>
      </c>
      <c r="CO71" s="672"/>
      <c r="CP71" s="672"/>
      <c r="CQ71" s="496"/>
      <c r="CR71" s="496"/>
      <c r="CS71" s="496"/>
      <c r="CT71" s="438">
        <f t="shared" si="51"/>
        <v>9276096.8743448947</v>
      </c>
      <c r="CU71" s="438">
        <f t="shared" si="46"/>
        <v>73203.864500038457</v>
      </c>
      <c r="CV71" s="438">
        <f>IF(CT71&lt;0.1,0,PPMT($L$3,A71-14,unwinds!$B$8*12,$K$5))</f>
        <v>694355.01300256001</v>
      </c>
      <c r="CW71" s="438">
        <f t="shared" si="47"/>
        <v>8581741.8613423351</v>
      </c>
      <c r="CX71" s="438">
        <f t="shared" si="48"/>
        <v>8581741.8613423351</v>
      </c>
      <c r="CY71" s="672">
        <f>CX71</f>
        <v>8581741.8613423351</v>
      </c>
      <c r="CZ71" s="438"/>
      <c r="DA71" s="438">
        <f t="shared" si="53"/>
        <v>23911464.75488482</v>
      </c>
      <c r="DB71" s="438">
        <f t="shared" si="54"/>
        <v>188701.30935729938</v>
      </c>
      <c r="DC71" s="438">
        <f t="shared" si="55"/>
        <v>306696.76231431647</v>
      </c>
      <c r="DD71" s="438">
        <f t="shared" si="56"/>
        <v>23604767.992570505</v>
      </c>
      <c r="DE71" s="438">
        <f t="shared" si="73"/>
        <v>23604767.992570505</v>
      </c>
      <c r="DF71" s="672">
        <f>DE71</f>
        <v>23604767.992570505</v>
      </c>
      <c r="DG71" s="672"/>
      <c r="DH71" s="944">
        <v>-715341.08333333337</v>
      </c>
      <c r="DI71" s="944">
        <v>-705333.33333333337</v>
      </c>
      <c r="DJ71" s="944"/>
      <c r="DK71" s="672"/>
      <c r="DL71" s="381">
        <f t="shared" si="52"/>
        <v>474832.92700924521</v>
      </c>
      <c r="DM71" s="672"/>
      <c r="DN71" s="944">
        <f t="shared" si="18"/>
        <v>-715341.08333333337</v>
      </c>
      <c r="DO71" s="944">
        <f t="shared" si="19"/>
        <v>474832.92700924521</v>
      </c>
      <c r="DP71" s="672"/>
      <c r="DQ71" s="438">
        <f t="shared" si="20"/>
        <v>414449.69251632784</v>
      </c>
      <c r="DR71" s="438">
        <f t="shared" si="21"/>
        <v>-20037.341120673096</v>
      </c>
      <c r="DS71" s="672"/>
      <c r="DT71" s="672"/>
      <c r="DU71" s="672"/>
      <c r="DV71" s="672"/>
      <c r="DW71" s="672"/>
      <c r="DX71" s="672"/>
    </row>
    <row r="72" spans="1:128" s="532" customFormat="1" x14ac:dyDescent="0.2">
      <c r="A72" s="528">
        <v>61</v>
      </c>
      <c r="B72" s="631">
        <v>38353</v>
      </c>
      <c r="C72" s="381">
        <v>0</v>
      </c>
      <c r="D72" s="381">
        <v>0</v>
      </c>
      <c r="E72" s="381">
        <v>0</v>
      </c>
      <c r="F72" s="381">
        <v>184822.40393696673</v>
      </c>
      <c r="G72" s="381">
        <v>306696.76231431676</v>
      </c>
      <c r="H72" s="381">
        <v>0</v>
      </c>
      <c r="I72" s="381">
        <v>491519.16625128349</v>
      </c>
      <c r="J72" s="381"/>
      <c r="K72" s="381"/>
      <c r="L72" s="381">
        <f t="shared" si="50"/>
        <v>491519.16625128326</v>
      </c>
      <c r="M72" s="381"/>
      <c r="N72" s="679">
        <f t="shared" si="22"/>
        <v>-715341.08333333337</v>
      </c>
      <c r="O72" s="679">
        <f t="shared" si="23"/>
        <v>-705333.33333333337</v>
      </c>
      <c r="P72" s="564">
        <f>Breakout!$H$16/12</f>
        <v>3554214.9642167599</v>
      </c>
      <c r="Q72" s="557">
        <f>'wholesale services'!$D$110*'wholesale services'!$I$111/12</f>
        <v>3250582.4999999995</v>
      </c>
      <c r="R72" s="557">
        <v>3320487.5</v>
      </c>
      <c r="S72" s="564">
        <f>Breakout!$H$27/12</f>
        <v>125922.40509324807</v>
      </c>
      <c r="T72" s="557">
        <f>'wholesale services'!$D$113*'wholesale services'!$I$114/12</f>
        <v>153434.07919560399</v>
      </c>
      <c r="U72" s="557">
        <v>156565.3869342898</v>
      </c>
      <c r="V72" s="564">
        <f>Breakout!$H$38/12</f>
        <v>63384.898391486939</v>
      </c>
      <c r="W72" s="531">
        <f>Breakout!$H$39/12</f>
        <v>67203.118087171009</v>
      </c>
      <c r="X72" s="531">
        <v>67925.732260151344</v>
      </c>
      <c r="Y72" s="564">
        <f>Breakout!$H$49/12</f>
        <v>461065.8183797868</v>
      </c>
      <c r="Z72" s="560">
        <f>Breakout!$H$50/12</f>
        <v>428643.45818064484</v>
      </c>
      <c r="AA72" s="560">
        <v>450260.16394375247</v>
      </c>
      <c r="AB72" s="564">
        <f>Breakout!$H$60/12</f>
        <v>424215.49561416445</v>
      </c>
      <c r="AC72" s="560">
        <f>Breakout!$H$61/12</f>
        <v>424661.50848744734</v>
      </c>
      <c r="AD72" s="560">
        <v>437902.62456500687</v>
      </c>
      <c r="AE72" s="564">
        <f>Breakout!$H$71/12</f>
        <v>321860.37907174928</v>
      </c>
      <c r="AF72" s="560">
        <f>Breakout!$H$72/12</f>
        <v>316520.66666666669</v>
      </c>
      <c r="AG72" s="560">
        <v>316520.66666666669</v>
      </c>
      <c r="AH72" s="564">
        <f>Breakout!$H$82/12</f>
        <v>21184.792243144027</v>
      </c>
      <c r="AI72" s="560">
        <f>Breakout!$H$83/12</f>
        <v>0</v>
      </c>
      <c r="AJ72" s="560">
        <v>0</v>
      </c>
      <c r="AK72" s="570">
        <f>Breakout!$H$91/12</f>
        <v>284845.50147455069</v>
      </c>
      <c r="AL72" s="570">
        <v>284845.50147455069</v>
      </c>
      <c r="AM72" s="567">
        <f>(Breakout!$H$107/12)*-1</f>
        <v>55221.25</v>
      </c>
      <c r="AN72" s="567">
        <v>55221.25</v>
      </c>
      <c r="AO72" s="578">
        <f t="shared" si="57"/>
        <v>4971848.7530103391</v>
      </c>
      <c r="AP72" s="578">
        <f t="shared" si="58"/>
        <v>5015969.9039327521</v>
      </c>
      <c r="AQ72" s="548">
        <f t="shared" si="59"/>
        <v>231244.82724234316</v>
      </c>
      <c r="AR72" s="531"/>
      <c r="AS72" s="553">
        <f t="shared" si="60"/>
        <v>95934.094247971545</v>
      </c>
      <c r="AT72" s="531"/>
      <c r="AU72" s="557">
        <f>'wholesale services'!$I$110/12</f>
        <v>39106610.706018515</v>
      </c>
      <c r="AV72" s="557">
        <f>'wholesale services'!$I$113/12</f>
        <v>17613.255833333333</v>
      </c>
      <c r="AW72" s="531"/>
      <c r="AX72" s="552">
        <f t="shared" si="61"/>
        <v>-715341.08333333337</v>
      </c>
      <c r="AY72" s="381">
        <f t="shared" si="62"/>
        <v>-705333.33333333337</v>
      </c>
      <c r="AZ72" s="496"/>
      <c r="BA72" s="438">
        <f t="shared" si="63"/>
        <v>532115.21272464411</v>
      </c>
      <c r="BB72" s="438">
        <f t="shared" si="64"/>
        <v>-15486.266286151505</v>
      </c>
      <c r="BC72" s="438">
        <f t="shared" si="65"/>
        <v>-3818.2196956840708</v>
      </c>
      <c r="BD72" s="438">
        <f t="shared" si="24"/>
        <v>32422.360199141956</v>
      </c>
      <c r="BE72" s="438">
        <f t="shared" si="25"/>
        <v>-446.0128732828889</v>
      </c>
      <c r="BF72" s="438">
        <f t="shared" si="26"/>
        <v>5339.7124050825951</v>
      </c>
      <c r="BG72" s="438">
        <f t="shared" si="27"/>
        <v>21184.792243144027</v>
      </c>
      <c r="BH72" s="438">
        <f t="shared" si="28"/>
        <v>-284845.50147455069</v>
      </c>
      <c r="BI72" s="438">
        <f t="shared" si="29"/>
        <v>-55221.25</v>
      </c>
      <c r="BJ72" s="531"/>
      <c r="BK72" s="496"/>
      <c r="BL72" s="438">
        <f t="shared" si="66"/>
        <v>681039.54171341972</v>
      </c>
      <c r="BM72" s="438">
        <f t="shared" si="67"/>
        <v>-10210.021075333971</v>
      </c>
      <c r="BN72" s="438">
        <f t="shared" si="68"/>
        <v>-1162.3439098889648</v>
      </c>
      <c r="BO72" s="438">
        <f t="shared" si="69"/>
        <v>51741.371095547162</v>
      </c>
      <c r="BP72" s="438">
        <f t="shared" si="70"/>
        <v>17328.941277500358</v>
      </c>
      <c r="BQ72" s="438">
        <f t="shared" si="71"/>
        <v>18825.908784286818</v>
      </c>
      <c r="BR72" s="438">
        <f t="shared" si="72"/>
        <v>22072.45126246057</v>
      </c>
      <c r="BS72" s="438">
        <f t="shared" si="44"/>
        <v>-284845.50147455069</v>
      </c>
      <c r="BT72" s="438">
        <f t="shared" si="45"/>
        <v>-55221.25</v>
      </c>
      <c r="BU72" s="531"/>
      <c r="BV72" s="531"/>
      <c r="BW72" s="564">
        <f>Breakout!$H$15/12</f>
        <v>3703139.2932055355</v>
      </c>
      <c r="BX72" s="564">
        <f>Breakout!$H$26/12</f>
        <v>131198.65030406561</v>
      </c>
      <c r="BY72" s="564">
        <f>Breakout!$H$37/12</f>
        <v>66040.774177282045</v>
      </c>
      <c r="BZ72" s="564">
        <f>Breakout!$H$48/12</f>
        <v>480384.829276192</v>
      </c>
      <c r="CA72" s="564">
        <f>Breakout!$H$59/12</f>
        <v>441990.4497649477</v>
      </c>
      <c r="CB72" s="564">
        <f>Breakout!$H$70/12</f>
        <v>335346.5754509535</v>
      </c>
      <c r="CC72" s="564">
        <f>Breakout!$H$81/12</f>
        <v>22072.45126246057</v>
      </c>
      <c r="CD72" s="531"/>
      <c r="CE72" s="634">
        <f t="shared" si="30"/>
        <v>3702307.2543924586</v>
      </c>
      <c r="CF72" s="634">
        <f t="shared" si="31"/>
        <v>131169.17197213342</v>
      </c>
      <c r="CG72" s="634">
        <f t="shared" si="32"/>
        <v>66025.93582446556</v>
      </c>
      <c r="CH72" s="531"/>
      <c r="CI72" s="634">
        <f t="shared" si="33"/>
        <v>-715341.08333333337</v>
      </c>
      <c r="CJ72" s="634">
        <f t="shared" si="34"/>
        <v>-705333.33333333337</v>
      </c>
      <c r="CK72" s="531"/>
      <c r="CL72" s="438">
        <f>'account mgt'!$H$23/12</f>
        <v>-54375.979557599996</v>
      </c>
      <c r="CM72" s="531"/>
      <c r="CN72" s="438">
        <v>0</v>
      </c>
      <c r="CO72" s="531"/>
      <c r="CP72" s="531"/>
      <c r="CQ72" s="496"/>
      <c r="CR72" s="496"/>
      <c r="CS72" s="496"/>
      <c r="CT72" s="438">
        <f t="shared" si="51"/>
        <v>8581741.8613423351</v>
      </c>
      <c r="CU72" s="438">
        <f t="shared" si="46"/>
        <v>67724.246189093261</v>
      </c>
      <c r="CV72" s="438">
        <f>IF(CT72&lt;0.1,0,PPMT($L$3,A72-14,unwinds!$B$8*12,$K$5))</f>
        <v>699834.63131350512</v>
      </c>
      <c r="CW72" s="438">
        <f t="shared" si="47"/>
        <v>7881907.2300288305</v>
      </c>
      <c r="CX72" s="438">
        <f t="shared" si="48"/>
        <v>7881907.2300288305</v>
      </c>
      <c r="CY72" s="531"/>
      <c r="CZ72" s="438"/>
      <c r="DA72" s="438">
        <f t="shared" si="53"/>
        <v>23604767.992570505</v>
      </c>
      <c r="DB72" s="438">
        <f t="shared" si="54"/>
        <v>186280.96074136891</v>
      </c>
      <c r="DC72" s="438">
        <f t="shared" si="55"/>
        <v>309117.11093024694</v>
      </c>
      <c r="DD72" s="438">
        <f t="shared" si="56"/>
        <v>23295650.881640259</v>
      </c>
      <c r="DE72" s="438">
        <f t="shared" si="73"/>
        <v>23295650.881640259</v>
      </c>
      <c r="DF72" s="531"/>
      <c r="DG72" s="531"/>
      <c r="DH72" s="944">
        <v>-715341.08333333337</v>
      </c>
      <c r="DI72" s="944">
        <v>-705333.33333333337</v>
      </c>
      <c r="DJ72" s="944"/>
      <c r="DK72" s="531"/>
      <c r="DL72" s="381">
        <f t="shared" si="52"/>
        <v>474832.92700924521</v>
      </c>
      <c r="DM72" s="531"/>
      <c r="DN72" s="944">
        <f t="shared" si="18"/>
        <v>-715341.08333333337</v>
      </c>
      <c r="DO72" s="944">
        <f t="shared" si="19"/>
        <v>474832.92700924521</v>
      </c>
      <c r="DP72" s="531"/>
      <c r="DQ72" s="438">
        <f t="shared" si="20"/>
        <v>452556.79320553597</v>
      </c>
      <c r="DR72" s="438">
        <f t="shared" si="21"/>
        <v>-22235.42889153838</v>
      </c>
      <c r="DS72" s="531"/>
      <c r="DT72" s="531"/>
      <c r="DU72" s="531"/>
      <c r="DV72" s="531"/>
      <c r="DW72" s="531"/>
      <c r="DX72" s="531"/>
    </row>
    <row r="73" spans="1:128" x14ac:dyDescent="0.2">
      <c r="A73" s="383">
        <v>62</v>
      </c>
      <c r="B73" s="632">
        <v>38384</v>
      </c>
      <c r="C73" s="381">
        <v>0</v>
      </c>
      <c r="D73" s="381">
        <v>0</v>
      </c>
      <c r="E73" s="381">
        <v>0</v>
      </c>
      <c r="F73" s="381">
        <v>182402.05532103631</v>
      </c>
      <c r="G73" s="381">
        <v>309117.11093024717</v>
      </c>
      <c r="H73" s="381">
        <v>0</v>
      </c>
      <c r="I73" s="381">
        <v>491519.16625128349</v>
      </c>
      <c r="J73" s="381"/>
      <c r="K73" s="381"/>
      <c r="L73" s="381">
        <f t="shared" si="50"/>
        <v>491519.16625128326</v>
      </c>
      <c r="M73" s="381"/>
      <c r="N73" s="679">
        <f t="shared" si="22"/>
        <v>-715341.08333333337</v>
      </c>
      <c r="O73" s="679">
        <f t="shared" si="23"/>
        <v>-705333.33333333337</v>
      </c>
      <c r="P73" s="565">
        <f>Breakout!$H$16/12</f>
        <v>3554214.9642167599</v>
      </c>
      <c r="Q73" s="557">
        <f>'wholesale services'!$D$110*'wholesale services'!$I$111/12</f>
        <v>3250582.4999999995</v>
      </c>
      <c r="R73" s="557">
        <v>3320487.5</v>
      </c>
      <c r="S73" s="565">
        <f>Breakout!$H$27/12</f>
        <v>125922.40509324807</v>
      </c>
      <c r="T73" s="557">
        <f>'wholesale services'!$D$113*'wholesale services'!$I$114/12</f>
        <v>153434.07919560399</v>
      </c>
      <c r="U73" s="557">
        <v>156565.3869342898</v>
      </c>
      <c r="V73" s="565">
        <f>Breakout!$H$38/12</f>
        <v>63384.898391486939</v>
      </c>
      <c r="W73" s="496">
        <f>Breakout!$H$39/12</f>
        <v>67203.118087171009</v>
      </c>
      <c r="X73" s="496">
        <v>67925.732260151344</v>
      </c>
      <c r="Y73" s="565">
        <f>Breakout!$H$49/12</f>
        <v>461065.8183797868</v>
      </c>
      <c r="Z73" s="566">
        <f>Breakout!$H$50/12</f>
        <v>428643.45818064484</v>
      </c>
      <c r="AA73" s="566">
        <v>450260.16394375247</v>
      </c>
      <c r="AB73" s="565">
        <f>Breakout!$H$60/12</f>
        <v>424215.49561416445</v>
      </c>
      <c r="AC73" s="566">
        <f>Breakout!$H$61/12</f>
        <v>424661.50848744734</v>
      </c>
      <c r="AD73" s="566">
        <v>437902.62456500687</v>
      </c>
      <c r="AE73" s="565">
        <f>Breakout!$H$71/12</f>
        <v>321860.37907174928</v>
      </c>
      <c r="AF73" s="566">
        <f>Breakout!$H$72/12</f>
        <v>316520.66666666669</v>
      </c>
      <c r="AG73" s="566">
        <v>316520.66666666669</v>
      </c>
      <c r="AH73" s="565">
        <f>Breakout!$H$82/12</f>
        <v>21184.792243144027</v>
      </c>
      <c r="AI73" s="566">
        <f>Breakout!$H$83/12</f>
        <v>0</v>
      </c>
      <c r="AJ73" s="566">
        <v>0</v>
      </c>
      <c r="AK73" s="571">
        <f>Breakout!$H$91/12</f>
        <v>284845.50147455069</v>
      </c>
      <c r="AL73" s="571">
        <v>284845.50147455069</v>
      </c>
      <c r="AM73" s="567">
        <f>(Breakout!$H$107/12)*-1</f>
        <v>55221.25</v>
      </c>
      <c r="AN73" s="567">
        <v>55221.25</v>
      </c>
      <c r="AO73" s="578">
        <f t="shared" si="57"/>
        <v>4971848.7530103391</v>
      </c>
      <c r="AP73" s="578">
        <f t="shared" si="58"/>
        <v>5015969.9039327521</v>
      </c>
      <c r="AQ73" s="548">
        <f t="shared" si="59"/>
        <v>231244.82724234316</v>
      </c>
      <c r="AR73" s="496"/>
      <c r="AS73" s="553">
        <f t="shared" si="60"/>
        <v>95934.094247971545</v>
      </c>
      <c r="AT73" s="496"/>
      <c r="AU73" s="557">
        <f>'wholesale services'!$I$110/12</f>
        <v>39106610.706018515</v>
      </c>
      <c r="AV73" s="557">
        <f>'wholesale services'!$I$113/12</f>
        <v>17613.255833333333</v>
      </c>
      <c r="AW73" s="496"/>
      <c r="AX73" s="552">
        <f t="shared" si="61"/>
        <v>-715341.08333333337</v>
      </c>
      <c r="AY73" s="381">
        <f t="shared" si="62"/>
        <v>-705333.33333333337</v>
      </c>
      <c r="AZ73" s="496"/>
      <c r="BA73" s="438">
        <f t="shared" si="63"/>
        <v>532115.21272464411</v>
      </c>
      <c r="BB73" s="438">
        <f t="shared" si="64"/>
        <v>-15486.266286151505</v>
      </c>
      <c r="BC73" s="438">
        <f t="shared" si="65"/>
        <v>-3818.2196956840708</v>
      </c>
      <c r="BD73" s="438">
        <f t="shared" si="24"/>
        <v>32422.360199141956</v>
      </c>
      <c r="BE73" s="438">
        <f t="shared" si="25"/>
        <v>-446.0128732828889</v>
      </c>
      <c r="BF73" s="438">
        <f t="shared" si="26"/>
        <v>5339.7124050825951</v>
      </c>
      <c r="BG73" s="438">
        <f t="shared" si="27"/>
        <v>21184.792243144027</v>
      </c>
      <c r="BH73" s="438">
        <f t="shared" si="28"/>
        <v>-284845.50147455069</v>
      </c>
      <c r="BI73" s="438">
        <f t="shared" si="29"/>
        <v>-55221.25</v>
      </c>
      <c r="BL73" s="438">
        <f t="shared" si="66"/>
        <v>681039.54171341972</v>
      </c>
      <c r="BM73" s="438">
        <f t="shared" si="67"/>
        <v>-10210.021075333971</v>
      </c>
      <c r="BN73" s="438">
        <f t="shared" si="68"/>
        <v>-1162.3439098889648</v>
      </c>
      <c r="BO73" s="438">
        <f t="shared" si="69"/>
        <v>51741.371095547162</v>
      </c>
      <c r="BP73" s="438">
        <f t="shared" si="70"/>
        <v>17328.941277500358</v>
      </c>
      <c r="BQ73" s="438">
        <f t="shared" si="71"/>
        <v>18825.908784286818</v>
      </c>
      <c r="BR73" s="438">
        <f t="shared" si="72"/>
        <v>22072.45126246057</v>
      </c>
      <c r="BS73" s="438">
        <f t="shared" si="44"/>
        <v>-284845.50147455069</v>
      </c>
      <c r="BT73" s="438">
        <f t="shared" si="45"/>
        <v>-55221.25</v>
      </c>
      <c r="BW73" s="565">
        <f>Breakout!$H$15/12</f>
        <v>3703139.2932055355</v>
      </c>
      <c r="BX73" s="565">
        <f>Breakout!$H$26/12</f>
        <v>131198.65030406561</v>
      </c>
      <c r="BY73" s="565">
        <f>Breakout!$H$37/12</f>
        <v>66040.774177282045</v>
      </c>
      <c r="BZ73" s="565">
        <f>Breakout!$H$48/12</f>
        <v>480384.829276192</v>
      </c>
      <c r="CA73" s="565">
        <f>Breakout!$H$59/12</f>
        <v>441990.4497649477</v>
      </c>
      <c r="CB73" s="565">
        <f>Breakout!$H$70/12</f>
        <v>335346.5754509535</v>
      </c>
      <c r="CC73" s="565">
        <f>Breakout!$H$81/12</f>
        <v>22072.45126246057</v>
      </c>
      <c r="CE73" s="634">
        <f t="shared" si="30"/>
        <v>3702307.2543924586</v>
      </c>
      <c r="CF73" s="634">
        <f t="shared" si="31"/>
        <v>131169.17197213342</v>
      </c>
      <c r="CG73" s="634">
        <f t="shared" si="32"/>
        <v>66025.93582446556</v>
      </c>
      <c r="CI73" s="634">
        <f t="shared" si="33"/>
        <v>-715341.08333333337</v>
      </c>
      <c r="CJ73" s="634">
        <f t="shared" si="34"/>
        <v>-705333.33333333337</v>
      </c>
      <c r="CL73" s="438">
        <f>'account mgt'!$H$23/12</f>
        <v>-54375.979557599996</v>
      </c>
      <c r="CN73" s="438">
        <v>0</v>
      </c>
      <c r="CT73" s="438">
        <f t="shared" si="51"/>
        <v>7881907.2300288305</v>
      </c>
      <c r="CU73" s="438">
        <f t="shared" si="46"/>
        <v>62201.384556977522</v>
      </c>
      <c r="CV73" s="438">
        <f>IF(CT73&lt;0.1,0,PPMT($L$3,A73-14,unwinds!$B$8*12,$K$5))</f>
        <v>705357.49294562091</v>
      </c>
      <c r="CW73" s="438">
        <f t="shared" si="47"/>
        <v>7176549.7370832097</v>
      </c>
      <c r="CX73" s="438">
        <f t="shared" si="48"/>
        <v>7176549.7370832097</v>
      </c>
      <c r="DA73" s="438">
        <f t="shared" si="53"/>
        <v>23295650.881640259</v>
      </c>
      <c r="DB73" s="438">
        <f t="shared" si="54"/>
        <v>183841.51154094437</v>
      </c>
      <c r="DC73" s="438">
        <f t="shared" si="55"/>
        <v>311556.56013067154</v>
      </c>
      <c r="DD73" s="438">
        <f t="shared" si="56"/>
        <v>22984094.321509589</v>
      </c>
      <c r="DE73" s="438">
        <f t="shared" si="73"/>
        <v>22984094.321509589</v>
      </c>
      <c r="DH73" s="944">
        <v>-715341.08333333337</v>
      </c>
      <c r="DI73" s="944">
        <v>-705333.33333333337</v>
      </c>
      <c r="DJ73" s="944"/>
      <c r="DL73" s="381">
        <f t="shared" si="52"/>
        <v>474832.92700924521</v>
      </c>
      <c r="DN73" s="944">
        <f t="shared" si="18"/>
        <v>-715341.08333333337</v>
      </c>
      <c r="DO73" s="944">
        <f t="shared" si="19"/>
        <v>474832.92700924521</v>
      </c>
      <c r="DQ73" s="438">
        <f t="shared" si="20"/>
        <v>452556.79320553597</v>
      </c>
      <c r="DR73" s="438">
        <f t="shared" si="21"/>
        <v>-22235.42889153838</v>
      </c>
      <c r="DS73" s="438"/>
      <c r="DT73" s="438"/>
      <c r="DU73" s="438"/>
      <c r="DV73" s="438"/>
      <c r="DW73" s="438"/>
      <c r="DX73" s="438"/>
    </row>
    <row r="74" spans="1:128" x14ac:dyDescent="0.2">
      <c r="A74" s="383">
        <v>63</v>
      </c>
      <c r="B74" s="631">
        <v>38412</v>
      </c>
      <c r="C74" s="381">
        <v>0</v>
      </c>
      <c r="D74" s="381">
        <v>0</v>
      </c>
      <c r="E74" s="381">
        <v>0</v>
      </c>
      <c r="F74" s="381">
        <v>179962.60612061174</v>
      </c>
      <c r="G74" s="381">
        <v>311556.56013067171</v>
      </c>
      <c r="H74" s="381">
        <v>0</v>
      </c>
      <c r="I74" s="381">
        <v>491519.16625128349</v>
      </c>
      <c r="J74" s="381"/>
      <c r="K74" s="381"/>
      <c r="L74" s="381">
        <f t="shared" si="50"/>
        <v>491519.16625128326</v>
      </c>
      <c r="M74" s="381"/>
      <c r="N74" s="679">
        <f t="shared" si="22"/>
        <v>-715341.08333333337</v>
      </c>
      <c r="O74" s="679">
        <f t="shared" si="23"/>
        <v>-705333.33333333337</v>
      </c>
      <c r="P74" s="565">
        <f>Breakout!$H$16/12</f>
        <v>3554214.9642167599</v>
      </c>
      <c r="Q74" s="557">
        <f>'wholesale services'!$D$110*'wholesale services'!$I$111/12</f>
        <v>3250582.4999999995</v>
      </c>
      <c r="R74" s="557">
        <v>3320487.5</v>
      </c>
      <c r="S74" s="565">
        <f>Breakout!$H$27/12</f>
        <v>125922.40509324807</v>
      </c>
      <c r="T74" s="557">
        <f>'wholesale services'!$D$113*'wholesale services'!$I$114/12</f>
        <v>153434.07919560399</v>
      </c>
      <c r="U74" s="557">
        <v>156565.3869342898</v>
      </c>
      <c r="V74" s="565">
        <f>Breakout!$H$38/12</f>
        <v>63384.898391486939</v>
      </c>
      <c r="W74" s="496">
        <f>Breakout!$H$39/12</f>
        <v>67203.118087171009</v>
      </c>
      <c r="X74" s="496">
        <v>67925.732260151344</v>
      </c>
      <c r="Y74" s="565">
        <f>Breakout!$H$49/12</f>
        <v>461065.8183797868</v>
      </c>
      <c r="Z74" s="566">
        <f>Breakout!$H$50/12</f>
        <v>428643.45818064484</v>
      </c>
      <c r="AA74" s="566">
        <v>450260.16394375247</v>
      </c>
      <c r="AB74" s="565">
        <f>Breakout!$H$60/12</f>
        <v>424215.49561416445</v>
      </c>
      <c r="AC74" s="566">
        <f>Breakout!$H$61/12</f>
        <v>424661.50848744734</v>
      </c>
      <c r="AD74" s="566">
        <v>437902.62456500687</v>
      </c>
      <c r="AE74" s="565">
        <f>Breakout!$H$71/12</f>
        <v>321860.37907174928</v>
      </c>
      <c r="AF74" s="566">
        <f>Breakout!$H$72/12</f>
        <v>316520.66666666669</v>
      </c>
      <c r="AG74" s="566">
        <v>316520.66666666669</v>
      </c>
      <c r="AH74" s="565">
        <f>Breakout!$H$82/12</f>
        <v>21184.792243144027</v>
      </c>
      <c r="AI74" s="566">
        <f>Breakout!$H$83/12</f>
        <v>0</v>
      </c>
      <c r="AJ74" s="566">
        <v>0</v>
      </c>
      <c r="AK74" s="571">
        <f>Breakout!$H$91/12</f>
        <v>284845.50147455069</v>
      </c>
      <c r="AL74" s="571">
        <v>284845.50147455069</v>
      </c>
      <c r="AM74" s="567">
        <f>(Breakout!$H$107/12)*-1</f>
        <v>55221.25</v>
      </c>
      <c r="AN74" s="567">
        <v>55221.25</v>
      </c>
      <c r="AO74" s="578">
        <f t="shared" si="57"/>
        <v>4971848.7530103391</v>
      </c>
      <c r="AP74" s="578">
        <f t="shared" si="58"/>
        <v>5015969.9039327521</v>
      </c>
      <c r="AQ74" s="548">
        <f t="shared" si="59"/>
        <v>231244.82724234316</v>
      </c>
      <c r="AR74" s="496"/>
      <c r="AS74" s="553">
        <f t="shared" si="60"/>
        <v>95934.094247971545</v>
      </c>
      <c r="AT74" s="496"/>
      <c r="AU74" s="557">
        <f>'wholesale services'!$I$110/12</f>
        <v>39106610.706018515</v>
      </c>
      <c r="AV74" s="557">
        <f>'wholesale services'!$I$113/12</f>
        <v>17613.255833333333</v>
      </c>
      <c r="AW74" s="496"/>
      <c r="AX74" s="552">
        <f t="shared" si="61"/>
        <v>-715341.08333333337</v>
      </c>
      <c r="AY74" s="381">
        <f t="shared" si="62"/>
        <v>-705333.33333333337</v>
      </c>
      <c r="AZ74" s="496"/>
      <c r="BA74" s="438">
        <f t="shared" si="63"/>
        <v>532115.21272464411</v>
      </c>
      <c r="BB74" s="438">
        <f t="shared" si="64"/>
        <v>-15486.266286151505</v>
      </c>
      <c r="BC74" s="438">
        <f t="shared" si="65"/>
        <v>-3818.2196956840708</v>
      </c>
      <c r="BD74" s="438">
        <f t="shared" si="24"/>
        <v>32422.360199141956</v>
      </c>
      <c r="BE74" s="438">
        <f t="shared" si="25"/>
        <v>-446.0128732828889</v>
      </c>
      <c r="BF74" s="438">
        <f t="shared" si="26"/>
        <v>5339.7124050825951</v>
      </c>
      <c r="BG74" s="438">
        <f t="shared" si="27"/>
        <v>21184.792243144027</v>
      </c>
      <c r="BH74" s="438">
        <f t="shared" si="28"/>
        <v>-284845.50147455069</v>
      </c>
      <c r="BI74" s="438">
        <f t="shared" si="29"/>
        <v>-55221.25</v>
      </c>
      <c r="BL74" s="438">
        <f t="shared" si="66"/>
        <v>681039.54171341972</v>
      </c>
      <c r="BM74" s="438">
        <f t="shared" si="67"/>
        <v>-10210.021075333971</v>
      </c>
      <c r="BN74" s="438">
        <f t="shared" si="68"/>
        <v>-1162.3439098889648</v>
      </c>
      <c r="BO74" s="438">
        <f t="shared" si="69"/>
        <v>51741.371095547162</v>
      </c>
      <c r="BP74" s="438">
        <f t="shared" si="70"/>
        <v>17328.941277500358</v>
      </c>
      <c r="BQ74" s="438">
        <f t="shared" si="71"/>
        <v>18825.908784286818</v>
      </c>
      <c r="BR74" s="438">
        <f t="shared" si="72"/>
        <v>22072.45126246057</v>
      </c>
      <c r="BS74" s="438">
        <f t="shared" si="44"/>
        <v>-284845.50147455069</v>
      </c>
      <c r="BT74" s="438">
        <f t="shared" si="45"/>
        <v>-55221.25</v>
      </c>
      <c r="BW74" s="565">
        <f>Breakout!$H$15/12</f>
        <v>3703139.2932055355</v>
      </c>
      <c r="BX74" s="565">
        <f>Breakout!$H$26/12</f>
        <v>131198.65030406561</v>
      </c>
      <c r="BY74" s="565">
        <f>Breakout!$H$37/12</f>
        <v>66040.774177282045</v>
      </c>
      <c r="BZ74" s="565">
        <f>Breakout!$H$48/12</f>
        <v>480384.829276192</v>
      </c>
      <c r="CA74" s="565">
        <f>Breakout!$H$59/12</f>
        <v>441990.4497649477</v>
      </c>
      <c r="CB74" s="565">
        <f>Breakout!$H$70/12</f>
        <v>335346.5754509535</v>
      </c>
      <c r="CC74" s="565">
        <f>Breakout!$H$81/12</f>
        <v>22072.45126246057</v>
      </c>
      <c r="CE74" s="634">
        <f t="shared" si="30"/>
        <v>3702307.2543924586</v>
      </c>
      <c r="CF74" s="634">
        <f t="shared" si="31"/>
        <v>131169.17197213342</v>
      </c>
      <c r="CG74" s="634">
        <f t="shared" si="32"/>
        <v>66025.93582446556</v>
      </c>
      <c r="CI74" s="634">
        <f t="shared" si="33"/>
        <v>-715341.08333333337</v>
      </c>
      <c r="CJ74" s="634">
        <f t="shared" si="34"/>
        <v>-705333.33333333337</v>
      </c>
      <c r="CL74" s="438">
        <f>'account mgt'!$H$23/12</f>
        <v>-54375.979557599996</v>
      </c>
      <c r="CN74" s="438">
        <v>0</v>
      </c>
      <c r="CT74" s="438">
        <f t="shared" si="51"/>
        <v>7176549.7370832097</v>
      </c>
      <c r="CU74" s="438">
        <f t="shared" si="46"/>
        <v>56634.938341814996</v>
      </c>
      <c r="CV74" s="438">
        <f>IF(CT74&lt;0.1,0,PPMT($L$3,A74-14,unwinds!$B$8*12,$K$5))</f>
        <v>710923.93916078331</v>
      </c>
      <c r="CW74" s="438">
        <f t="shared" si="47"/>
        <v>6465625.7979224268</v>
      </c>
      <c r="CX74" s="438">
        <f t="shared" si="48"/>
        <v>6465625.7979224268</v>
      </c>
      <c r="DA74" s="438">
        <f t="shared" si="53"/>
        <v>22984094.321509589</v>
      </c>
      <c r="DB74" s="438">
        <f t="shared" si="54"/>
        <v>181382.81102057983</v>
      </c>
      <c r="DC74" s="438">
        <f t="shared" si="55"/>
        <v>314015.26065103599</v>
      </c>
      <c r="DD74" s="438">
        <f t="shared" si="56"/>
        <v>22670079.060858551</v>
      </c>
      <c r="DE74" s="438">
        <f t="shared" si="73"/>
        <v>22670079.060858551</v>
      </c>
      <c r="DH74" s="944">
        <v>-715341.08333333337</v>
      </c>
      <c r="DI74" s="944">
        <v>-705333.33333333337</v>
      </c>
      <c r="DJ74" s="944"/>
      <c r="DL74" s="381">
        <f t="shared" si="52"/>
        <v>474832.92700924521</v>
      </c>
      <c r="DN74" s="944">
        <f t="shared" si="18"/>
        <v>-715341.08333333337</v>
      </c>
      <c r="DO74" s="944">
        <f t="shared" si="19"/>
        <v>474832.92700924521</v>
      </c>
      <c r="DQ74" s="438">
        <f t="shared" si="20"/>
        <v>452556.79320553597</v>
      </c>
      <c r="DR74" s="438">
        <f t="shared" si="21"/>
        <v>-22235.42889153838</v>
      </c>
      <c r="DS74" s="438"/>
      <c r="DT74" s="438"/>
      <c r="DU74" s="438"/>
      <c r="DV74" s="438"/>
      <c r="DW74" s="438"/>
      <c r="DX74" s="438"/>
    </row>
    <row r="75" spans="1:128" x14ac:dyDescent="0.2">
      <c r="A75" s="383">
        <v>64</v>
      </c>
      <c r="B75" s="631">
        <v>38443</v>
      </c>
      <c r="C75" s="381">
        <v>0</v>
      </c>
      <c r="D75" s="381">
        <v>0</v>
      </c>
      <c r="E75" s="381">
        <v>0</v>
      </c>
      <c r="F75" s="381">
        <v>177503.90560024726</v>
      </c>
      <c r="G75" s="381">
        <v>314015.26065103622</v>
      </c>
      <c r="H75" s="381">
        <v>0</v>
      </c>
      <c r="I75" s="381">
        <v>491519.16625128349</v>
      </c>
      <c r="J75" s="381"/>
      <c r="K75" s="381"/>
      <c r="L75" s="381">
        <f t="shared" si="50"/>
        <v>491519.16625128326</v>
      </c>
      <c r="M75" s="381"/>
      <c r="N75" s="679">
        <f t="shared" si="22"/>
        <v>-715341.08333333337</v>
      </c>
      <c r="O75" s="679">
        <f t="shared" si="23"/>
        <v>-705333.33333333337</v>
      </c>
      <c r="P75" s="565">
        <f>Breakout!$H$16/12</f>
        <v>3554214.9642167599</v>
      </c>
      <c r="Q75" s="557">
        <f>'wholesale services'!$D$110*'wholesale services'!$I$111/12</f>
        <v>3250582.4999999995</v>
      </c>
      <c r="R75" s="557">
        <v>3320487.5</v>
      </c>
      <c r="S75" s="565">
        <f>Breakout!$H$27/12</f>
        <v>125922.40509324807</v>
      </c>
      <c r="T75" s="557">
        <f>'wholesale services'!$D$113*'wholesale services'!$I$114/12</f>
        <v>153434.07919560399</v>
      </c>
      <c r="U75" s="557">
        <v>156565.3869342898</v>
      </c>
      <c r="V75" s="565">
        <f>Breakout!$H$38/12</f>
        <v>63384.898391486939</v>
      </c>
      <c r="W75" s="496">
        <f>Breakout!$H$39/12</f>
        <v>67203.118087171009</v>
      </c>
      <c r="X75" s="496">
        <v>67925.732260151344</v>
      </c>
      <c r="Y75" s="565">
        <f>Breakout!$H$49/12</f>
        <v>461065.8183797868</v>
      </c>
      <c r="Z75" s="566">
        <f>Breakout!$H$50/12</f>
        <v>428643.45818064484</v>
      </c>
      <c r="AA75" s="566">
        <v>450260.16394375247</v>
      </c>
      <c r="AB75" s="565">
        <f>Breakout!$H$60/12</f>
        <v>424215.49561416445</v>
      </c>
      <c r="AC75" s="566">
        <f>Breakout!$H$61/12</f>
        <v>424661.50848744734</v>
      </c>
      <c r="AD75" s="566">
        <v>437902.62456500687</v>
      </c>
      <c r="AE75" s="565">
        <f>Breakout!$H$71/12</f>
        <v>321860.37907174928</v>
      </c>
      <c r="AF75" s="566">
        <f>Breakout!$H$72/12</f>
        <v>316520.66666666669</v>
      </c>
      <c r="AG75" s="566">
        <v>316520.66666666669</v>
      </c>
      <c r="AH75" s="565">
        <f>Breakout!$H$82/12</f>
        <v>21184.792243144027</v>
      </c>
      <c r="AI75" s="566">
        <f>Breakout!$H$83/12</f>
        <v>0</v>
      </c>
      <c r="AJ75" s="566">
        <v>0</v>
      </c>
      <c r="AK75" s="571">
        <f>Breakout!$H$91/12</f>
        <v>284845.50147455069</v>
      </c>
      <c r="AL75" s="571">
        <v>284845.50147455069</v>
      </c>
      <c r="AM75" s="567">
        <f>(Breakout!$H$107/12)*-1</f>
        <v>55221.25</v>
      </c>
      <c r="AN75" s="567">
        <v>55221.25</v>
      </c>
      <c r="AO75" s="578">
        <f t="shared" ref="AO75:AO106" si="74">(P75+S75+V75)+Y75+AB75+AE75+AH75</f>
        <v>4971848.7530103391</v>
      </c>
      <c r="AP75" s="578">
        <f t="shared" ref="AP75:AP106" si="75">Q75+T75+W75+AA75+AD75+AG75+AJ75+AL75+AN75</f>
        <v>5015969.9039327521</v>
      </c>
      <c r="AQ75" s="548">
        <f t="shared" ref="AQ75:AQ106" si="76">P75+S75+V75+Y75+AB75+AE75+AH75-Q75-T75-W75-Z75-AC75-AF75-AI75-AK75-AM75-DH75-DL75-CN75</f>
        <v>231244.82724234316</v>
      </c>
      <c r="AR75" s="496"/>
      <c r="AS75" s="553">
        <f t="shared" ref="AS75:AS106" si="77">P75+S75+V75+Y75+AB75+AE75+AH75-R75-U75-X75-AA75-AD75-AG75-AJ75-AL75-AN75-O75-L75-CN75</f>
        <v>95934.094247971545</v>
      </c>
      <c r="AT75" s="496"/>
      <c r="AU75" s="557">
        <f>'wholesale services'!$I$110/12</f>
        <v>39106610.706018515</v>
      </c>
      <c r="AV75" s="557">
        <f>'wholesale services'!$I$113/12</f>
        <v>17613.255833333333</v>
      </c>
      <c r="AW75" s="496"/>
      <c r="AX75" s="552">
        <f t="shared" ref="AX75:AX106" si="78">IF(A75&lt;$AX$6,0,-$R$5/12)</f>
        <v>-715341.08333333337</v>
      </c>
      <c r="AY75" s="381">
        <f t="shared" ref="AY75:AY106" si="79">IF(A75&lt;$AX$6,0,-$S$5/12)</f>
        <v>-705333.33333333337</v>
      </c>
      <c r="AZ75" s="496"/>
      <c r="BA75" s="438">
        <f t="shared" ref="BA75:BA106" si="80">P75-IF($BL$4="mid",Q75,R75)-$BL$9*(IF($BL$4="mid",N75,O75)+IF($BL$4="mid",DL75,L75))</f>
        <v>532115.21272464411</v>
      </c>
      <c r="BB75" s="438">
        <f t="shared" ref="BB75:BB106" si="81">S75-IF($BL$4="mid",T75,U75)-$BM$9*(IF($BL$4="mid",N75,O75)+IF($BL$4="mid",DL75,L75))</f>
        <v>-15486.266286151505</v>
      </c>
      <c r="BC75" s="438">
        <f t="shared" ref="BC75:BC106" si="82">V75-IF($BL$4="mid",W75,X75)-$BN$9*(IF($BL$4="mid",N75,O75)+IF($BL$4="mid",DL75,L75))</f>
        <v>-3818.2196956840708</v>
      </c>
      <c r="BD75" s="438">
        <f t="shared" si="24"/>
        <v>32422.360199141956</v>
      </c>
      <c r="BE75" s="438">
        <f t="shared" si="25"/>
        <v>-446.0128732828889</v>
      </c>
      <c r="BF75" s="438">
        <f t="shared" si="26"/>
        <v>5339.7124050825951</v>
      </c>
      <c r="BG75" s="438">
        <f t="shared" si="27"/>
        <v>21184.792243144027</v>
      </c>
      <c r="BH75" s="438">
        <f t="shared" si="28"/>
        <v>-284845.50147455069</v>
      </c>
      <c r="BI75" s="438">
        <f t="shared" si="29"/>
        <v>-55221.25</v>
      </c>
      <c r="BL75" s="438">
        <f t="shared" ref="BL75:BL106" si="83">BW75-IF($BL$4="mid",Q75,R75)-$BL$9*(IF($BL$4="mid",N75,O75)+IF($BL$4="mid",DL75,L75))</f>
        <v>681039.54171341972</v>
      </c>
      <c r="BM75" s="438">
        <f t="shared" ref="BM75:BM106" si="84">BX75-IF($BL$4="mid",T75,U75)-$BM$9*(IF($BL$4="mid",N75,O75)+IF($BL$4="mid",DL75,L75))</f>
        <v>-10210.021075333971</v>
      </c>
      <c r="BN75" s="438">
        <f t="shared" ref="BN75:BN106" si="85">BY75-IF($BL$4="mid",W75,X75)-$BN$9*(IF($BL$4="mid",N75,O75)+IF($BL$4="mid",DL75,L75))</f>
        <v>-1162.3439098889648</v>
      </c>
      <c r="BO75" s="438">
        <f t="shared" ref="BO75:BO106" si="86">BZ75-IF($BL$4="mid",Z75,AA75)</f>
        <v>51741.371095547162</v>
      </c>
      <c r="BP75" s="438">
        <f t="shared" ref="BP75:BP106" si="87">CA75-IF($BL$4="mid",AC75,AD75)</f>
        <v>17328.941277500358</v>
      </c>
      <c r="BQ75" s="438">
        <f t="shared" ref="BQ75:BQ106" si="88">CB75-IF($BL$4="mid",AF75,AG75)</f>
        <v>18825.908784286818</v>
      </c>
      <c r="BR75" s="438">
        <f t="shared" ref="BR75:BR106" si="89">CC75-IF($BL$4="mid",AI75,AJ75)</f>
        <v>22072.45126246057</v>
      </c>
      <c r="BS75" s="438">
        <f t="shared" si="44"/>
        <v>-284845.50147455069</v>
      </c>
      <c r="BT75" s="438">
        <f t="shared" si="45"/>
        <v>-55221.25</v>
      </c>
      <c r="BW75" s="565">
        <f>Breakout!$H$15/12</f>
        <v>3703139.2932055355</v>
      </c>
      <c r="BX75" s="565">
        <f>Breakout!$H$26/12</f>
        <v>131198.65030406561</v>
      </c>
      <c r="BY75" s="565">
        <f>Breakout!$H$37/12</f>
        <v>66040.774177282045</v>
      </c>
      <c r="BZ75" s="565">
        <f>Breakout!$H$48/12</f>
        <v>480384.829276192</v>
      </c>
      <c r="CA75" s="565">
        <f>Breakout!$H$59/12</f>
        <v>441990.4497649477</v>
      </c>
      <c r="CB75" s="565">
        <f>Breakout!$H$70/12</f>
        <v>335346.5754509535</v>
      </c>
      <c r="CC75" s="565">
        <f>Breakout!$H$81/12</f>
        <v>22072.45126246057</v>
      </c>
      <c r="CE75" s="634">
        <f t="shared" si="30"/>
        <v>3702307.2543924586</v>
      </c>
      <c r="CF75" s="634">
        <f t="shared" si="31"/>
        <v>131169.17197213342</v>
      </c>
      <c r="CG75" s="634">
        <f t="shared" si="32"/>
        <v>66025.93582446556</v>
      </c>
      <c r="CI75" s="634">
        <f t="shared" si="33"/>
        <v>-715341.08333333337</v>
      </c>
      <c r="CJ75" s="634">
        <f t="shared" si="34"/>
        <v>-705333.33333333337</v>
      </c>
      <c r="CL75" s="438">
        <f>'account mgt'!$H$23/12</f>
        <v>-54375.979557599996</v>
      </c>
      <c r="CN75" s="438">
        <v>0</v>
      </c>
      <c r="CT75" s="438">
        <f t="shared" si="51"/>
        <v>6465625.7979224268</v>
      </c>
      <c r="CU75" s="438">
        <f t="shared" si="46"/>
        <v>51024.563588604484</v>
      </c>
      <c r="CV75" s="438">
        <f>IF(CT75&lt;0.1,0,PPMT($L$3,A75-14,unwinds!$B$8*12,$K$5))</f>
        <v>716534.31391399377</v>
      </c>
      <c r="CW75" s="438">
        <f t="shared" si="47"/>
        <v>5749091.4840084333</v>
      </c>
      <c r="CX75" s="438">
        <f t="shared" si="48"/>
        <v>5749091.4840084333</v>
      </c>
      <c r="DA75" s="438">
        <f t="shared" si="53"/>
        <v>22670079.060858551</v>
      </c>
      <c r="DB75" s="438">
        <f t="shared" si="54"/>
        <v>178904.7072552754</v>
      </c>
      <c r="DC75" s="438">
        <f t="shared" si="55"/>
        <v>316493.36441634037</v>
      </c>
      <c r="DD75" s="438">
        <f t="shared" si="56"/>
        <v>22353585.696442209</v>
      </c>
      <c r="DE75" s="438">
        <f t="shared" si="73"/>
        <v>22353585.696442209</v>
      </c>
      <c r="DH75" s="944">
        <v>-715341.08333333337</v>
      </c>
      <c r="DI75" s="944">
        <v>-705333.33333333337</v>
      </c>
      <c r="DJ75" s="944"/>
      <c r="DL75" s="381">
        <f t="shared" si="52"/>
        <v>474832.92700924521</v>
      </c>
      <c r="DN75" s="944">
        <f t="shared" si="18"/>
        <v>-715341.08333333337</v>
      </c>
      <c r="DO75" s="944">
        <f t="shared" si="19"/>
        <v>474832.92700924521</v>
      </c>
      <c r="DQ75" s="438">
        <f t="shared" si="20"/>
        <v>452556.79320553597</v>
      </c>
      <c r="DR75" s="438">
        <f t="shared" si="21"/>
        <v>-22235.42889153838</v>
      </c>
      <c r="DS75" s="438"/>
      <c r="DT75" s="438"/>
      <c r="DU75" s="438"/>
      <c r="DV75" s="438"/>
      <c r="DW75" s="438"/>
      <c r="DX75" s="438"/>
    </row>
    <row r="76" spans="1:128" x14ac:dyDescent="0.2">
      <c r="A76" s="383">
        <v>65</v>
      </c>
      <c r="B76" s="631">
        <v>38473</v>
      </c>
      <c r="C76" s="381">
        <v>0</v>
      </c>
      <c r="D76" s="381">
        <v>0</v>
      </c>
      <c r="E76" s="381">
        <v>0</v>
      </c>
      <c r="F76" s="381">
        <v>175025.80183494283</v>
      </c>
      <c r="G76" s="381">
        <v>316493.36441634066</v>
      </c>
      <c r="H76" s="381">
        <v>0</v>
      </c>
      <c r="I76" s="381">
        <v>491519.16625128349</v>
      </c>
      <c r="J76" s="381"/>
      <c r="K76" s="381"/>
      <c r="L76" s="381">
        <f t="shared" si="50"/>
        <v>491519.16625128326</v>
      </c>
      <c r="M76" s="381"/>
      <c r="N76" s="679">
        <f t="shared" si="22"/>
        <v>-715341.08333333337</v>
      </c>
      <c r="O76" s="679">
        <f t="shared" si="23"/>
        <v>-705333.33333333337</v>
      </c>
      <c r="P76" s="565">
        <f>Breakout!$H$16/12</f>
        <v>3554214.9642167599</v>
      </c>
      <c r="Q76" s="557">
        <f>'wholesale services'!$D$110*'wholesale services'!$I$111/12</f>
        <v>3250582.4999999995</v>
      </c>
      <c r="R76" s="557">
        <v>3320487.5</v>
      </c>
      <c r="S76" s="565">
        <f>Breakout!$H$27/12</f>
        <v>125922.40509324807</v>
      </c>
      <c r="T76" s="557">
        <f>'wholesale services'!$D$113*'wholesale services'!$I$114/12</f>
        <v>153434.07919560399</v>
      </c>
      <c r="U76" s="557">
        <v>156565.3869342898</v>
      </c>
      <c r="V76" s="565">
        <f>Breakout!$H$38/12</f>
        <v>63384.898391486939</v>
      </c>
      <c r="W76" s="496">
        <f>Breakout!$H$39/12</f>
        <v>67203.118087171009</v>
      </c>
      <c r="X76" s="496">
        <v>67925.732260151344</v>
      </c>
      <c r="Y76" s="565">
        <f>Breakout!$H$49/12</f>
        <v>461065.8183797868</v>
      </c>
      <c r="Z76" s="566">
        <f>Breakout!$H$50/12</f>
        <v>428643.45818064484</v>
      </c>
      <c r="AA76" s="566">
        <v>450260.16394375247</v>
      </c>
      <c r="AB76" s="565">
        <f>Breakout!$H$60/12</f>
        <v>424215.49561416445</v>
      </c>
      <c r="AC76" s="566">
        <f>Breakout!$H$61/12</f>
        <v>424661.50848744734</v>
      </c>
      <c r="AD76" s="566">
        <v>437902.62456500687</v>
      </c>
      <c r="AE76" s="565">
        <f>Breakout!$H$71/12</f>
        <v>321860.37907174928</v>
      </c>
      <c r="AF76" s="566">
        <f>Breakout!$H$72/12</f>
        <v>316520.66666666669</v>
      </c>
      <c r="AG76" s="566">
        <v>316520.66666666669</v>
      </c>
      <c r="AH76" s="565">
        <f>Breakout!$H$82/12</f>
        <v>21184.792243144027</v>
      </c>
      <c r="AI76" s="566">
        <f>Breakout!$H$83/12</f>
        <v>0</v>
      </c>
      <c r="AJ76" s="566">
        <v>0</v>
      </c>
      <c r="AK76" s="571">
        <f>Breakout!$H$91/12</f>
        <v>284845.50147455069</v>
      </c>
      <c r="AL76" s="571">
        <v>284845.50147455069</v>
      </c>
      <c r="AM76" s="567">
        <f>(Breakout!$H$107/12)*-1</f>
        <v>55221.25</v>
      </c>
      <c r="AN76" s="567">
        <v>55221.25</v>
      </c>
      <c r="AO76" s="578">
        <f t="shared" si="74"/>
        <v>4971848.7530103391</v>
      </c>
      <c r="AP76" s="578">
        <f t="shared" si="75"/>
        <v>5015969.9039327521</v>
      </c>
      <c r="AQ76" s="548">
        <f t="shared" si="76"/>
        <v>231244.82724234316</v>
      </c>
      <c r="AR76" s="496"/>
      <c r="AS76" s="553">
        <f t="shared" si="77"/>
        <v>95934.094247971545</v>
      </c>
      <c r="AT76" s="496"/>
      <c r="AU76" s="557">
        <f>'wholesale services'!$I$110/12</f>
        <v>39106610.706018515</v>
      </c>
      <c r="AV76" s="557">
        <f>'wholesale services'!$I$113/12</f>
        <v>17613.255833333333</v>
      </c>
      <c r="AW76" s="496"/>
      <c r="AX76" s="552">
        <f t="shared" si="78"/>
        <v>-715341.08333333337</v>
      </c>
      <c r="AY76" s="381">
        <f t="shared" si="79"/>
        <v>-705333.33333333337</v>
      </c>
      <c r="AZ76" s="496"/>
      <c r="BA76" s="438">
        <f t="shared" si="80"/>
        <v>532115.21272464411</v>
      </c>
      <c r="BB76" s="438">
        <f t="shared" si="81"/>
        <v>-15486.266286151505</v>
      </c>
      <c r="BC76" s="438">
        <f t="shared" si="82"/>
        <v>-3818.2196956840708</v>
      </c>
      <c r="BD76" s="438">
        <f t="shared" si="24"/>
        <v>32422.360199141956</v>
      </c>
      <c r="BE76" s="438">
        <f t="shared" si="25"/>
        <v>-446.0128732828889</v>
      </c>
      <c r="BF76" s="438">
        <f t="shared" si="26"/>
        <v>5339.7124050825951</v>
      </c>
      <c r="BG76" s="438">
        <f t="shared" si="27"/>
        <v>21184.792243144027</v>
      </c>
      <c r="BH76" s="438">
        <f t="shared" si="28"/>
        <v>-284845.50147455069</v>
      </c>
      <c r="BI76" s="438">
        <f t="shared" si="29"/>
        <v>-55221.25</v>
      </c>
      <c r="BL76" s="438">
        <f t="shared" si="83"/>
        <v>681039.54171341972</v>
      </c>
      <c r="BM76" s="438">
        <f t="shared" si="84"/>
        <v>-10210.021075333971</v>
      </c>
      <c r="BN76" s="438">
        <f t="shared" si="85"/>
        <v>-1162.3439098889648</v>
      </c>
      <c r="BO76" s="438">
        <f t="shared" si="86"/>
        <v>51741.371095547162</v>
      </c>
      <c r="BP76" s="438">
        <f t="shared" si="87"/>
        <v>17328.941277500358</v>
      </c>
      <c r="BQ76" s="438">
        <f t="shared" si="88"/>
        <v>18825.908784286818</v>
      </c>
      <c r="BR76" s="438">
        <f t="shared" si="89"/>
        <v>22072.45126246057</v>
      </c>
      <c r="BS76" s="438">
        <f t="shared" si="44"/>
        <v>-284845.50147455069</v>
      </c>
      <c r="BT76" s="438">
        <f t="shared" si="45"/>
        <v>-55221.25</v>
      </c>
      <c r="BW76" s="565">
        <f>Breakout!$H$15/12</f>
        <v>3703139.2932055355</v>
      </c>
      <c r="BX76" s="565">
        <f>Breakout!$H$26/12</f>
        <v>131198.65030406561</v>
      </c>
      <c r="BY76" s="565">
        <f>Breakout!$H$37/12</f>
        <v>66040.774177282045</v>
      </c>
      <c r="BZ76" s="565">
        <f>Breakout!$H$48/12</f>
        <v>480384.829276192</v>
      </c>
      <c r="CA76" s="565">
        <f>Breakout!$H$59/12</f>
        <v>441990.4497649477</v>
      </c>
      <c r="CB76" s="565">
        <f>Breakout!$H$70/12</f>
        <v>335346.5754509535</v>
      </c>
      <c r="CC76" s="565">
        <f>Breakout!$H$81/12</f>
        <v>22072.45126246057</v>
      </c>
      <c r="CE76" s="634">
        <f t="shared" ref="CE76:CE131" si="90">P76/0.96</f>
        <v>3702307.2543924586</v>
      </c>
      <c r="CF76" s="634">
        <f t="shared" ref="CF76:CF131" si="91">S76/0.96</f>
        <v>131169.17197213342</v>
      </c>
      <c r="CG76" s="634">
        <f t="shared" ref="CG76:CG131" si="92">V76/0.96</f>
        <v>66025.93582446556</v>
      </c>
      <c r="CI76" s="634">
        <f t="shared" ref="CI76:CI131" si="93">N76</f>
        <v>-715341.08333333337</v>
      </c>
      <c r="CJ76" s="634">
        <f t="shared" ref="CJ76:CJ131" si="94">O76</f>
        <v>-705333.33333333337</v>
      </c>
      <c r="CL76" s="438">
        <f>'account mgt'!$H$23/12</f>
        <v>-54375.979557599996</v>
      </c>
      <c r="CN76" s="438">
        <v>0</v>
      </c>
      <c r="CT76" s="438">
        <f t="shared" si="51"/>
        <v>5749091.4840084333</v>
      </c>
      <c r="CU76" s="438">
        <f t="shared" si="46"/>
        <v>45369.913627966554</v>
      </c>
      <c r="CV76" s="438">
        <f>IF(CT76&lt;0.1,0,PPMT($L$3,A76-14,unwinds!$B$8*12,$K$5))</f>
        <v>722188.96387463168</v>
      </c>
      <c r="CW76" s="438">
        <f t="shared" si="47"/>
        <v>5026902.5201338017</v>
      </c>
      <c r="CX76" s="438">
        <f t="shared" si="48"/>
        <v>5026902.5201338017</v>
      </c>
      <c r="DA76" s="438">
        <f t="shared" si="53"/>
        <v>22353585.696442209</v>
      </c>
      <c r="DB76" s="438">
        <f t="shared" si="54"/>
        <v>176407.04712108977</v>
      </c>
      <c r="DC76" s="438">
        <f t="shared" si="55"/>
        <v>318991.02455052605</v>
      </c>
      <c r="DD76" s="438">
        <f t="shared" si="56"/>
        <v>22034594.671891682</v>
      </c>
      <c r="DE76" s="438">
        <f t="shared" si="73"/>
        <v>22034594.671891682</v>
      </c>
      <c r="DH76" s="944">
        <v>-715341.08333333337</v>
      </c>
      <c r="DI76" s="944">
        <v>-705333.33333333337</v>
      </c>
      <c r="DJ76" s="944"/>
      <c r="DL76" s="381">
        <f t="shared" si="52"/>
        <v>474832.92700924521</v>
      </c>
      <c r="DN76" s="944">
        <f t="shared" ref="DN76:DN131" si="95">IF($BL$4="mid",DH76,DI76)</f>
        <v>-715341.08333333337</v>
      </c>
      <c r="DO76" s="944">
        <f t="shared" ref="DO76:DO131" si="96">IF($BL$4="mid",DL76,L76)</f>
        <v>474832.92700924521</v>
      </c>
      <c r="DQ76" s="438">
        <f t="shared" ref="DQ76:DQ131" si="97">BW76-IF($BL$4="mid",Q76,R76)</f>
        <v>452556.79320553597</v>
      </c>
      <c r="DR76" s="438">
        <f t="shared" ref="DR76:DR131" si="98">BX76-IF($BL$4="mid",T76,U76)</f>
        <v>-22235.42889153838</v>
      </c>
      <c r="DS76" s="438"/>
      <c r="DT76" s="438"/>
      <c r="DU76" s="438"/>
      <c r="DV76" s="438"/>
      <c r="DW76" s="438"/>
      <c r="DX76" s="438"/>
    </row>
    <row r="77" spans="1:128" x14ac:dyDescent="0.2">
      <c r="A77" s="383">
        <v>66</v>
      </c>
      <c r="B77" s="631">
        <v>38504</v>
      </c>
      <c r="C77" s="381">
        <v>0</v>
      </c>
      <c r="D77" s="381">
        <v>0</v>
      </c>
      <c r="E77" s="381">
        <v>0</v>
      </c>
      <c r="F77" s="381">
        <v>172528.14170075723</v>
      </c>
      <c r="G77" s="381">
        <v>318991.02455052629</v>
      </c>
      <c r="H77" s="381">
        <v>0</v>
      </c>
      <c r="I77" s="381">
        <v>491519.16625128349</v>
      </c>
      <c r="J77" s="381"/>
      <c r="K77" s="381"/>
      <c r="L77" s="381">
        <f t="shared" si="50"/>
        <v>491519.16625128326</v>
      </c>
      <c r="M77" s="381"/>
      <c r="N77" s="679">
        <f t="shared" ref="N77:N131" si="99">IF(A77&lt;$B$8,0,-$R$5/12)</f>
        <v>-715341.08333333337</v>
      </c>
      <c r="O77" s="679">
        <f t="shared" ref="O77:O131" si="100">IF(A77&lt;$B$8,0,-$S$5/12)</f>
        <v>-705333.33333333337</v>
      </c>
      <c r="P77" s="565">
        <f>Breakout!$H$16/12</f>
        <v>3554214.9642167599</v>
      </c>
      <c r="Q77" s="557">
        <f>'wholesale services'!$D$110*'wholesale services'!$I$111/12</f>
        <v>3250582.4999999995</v>
      </c>
      <c r="R77" s="557">
        <v>3320487.5</v>
      </c>
      <c r="S77" s="565">
        <f>Breakout!$H$27/12</f>
        <v>125922.40509324807</v>
      </c>
      <c r="T77" s="557">
        <f>'wholesale services'!$D$113*'wholesale services'!$I$114/12</f>
        <v>153434.07919560399</v>
      </c>
      <c r="U77" s="557">
        <v>156565.3869342898</v>
      </c>
      <c r="V77" s="565">
        <f>Breakout!$H$38/12</f>
        <v>63384.898391486939</v>
      </c>
      <c r="W77" s="496">
        <f>Breakout!$H$39/12</f>
        <v>67203.118087171009</v>
      </c>
      <c r="X77" s="496">
        <v>67925.732260151344</v>
      </c>
      <c r="Y77" s="565">
        <f>Breakout!$H$49/12</f>
        <v>461065.8183797868</v>
      </c>
      <c r="Z77" s="566">
        <f>Breakout!$H$50/12</f>
        <v>428643.45818064484</v>
      </c>
      <c r="AA77" s="566">
        <v>450260.16394375247</v>
      </c>
      <c r="AB77" s="565">
        <f>Breakout!$H$60/12</f>
        <v>424215.49561416445</v>
      </c>
      <c r="AC77" s="566">
        <f>Breakout!$H$61/12</f>
        <v>424661.50848744734</v>
      </c>
      <c r="AD77" s="566">
        <v>437902.62456500687</v>
      </c>
      <c r="AE77" s="565">
        <f>Breakout!$H$71/12</f>
        <v>321860.37907174928</v>
      </c>
      <c r="AF77" s="566">
        <f>Breakout!$H$72/12</f>
        <v>316520.66666666669</v>
      </c>
      <c r="AG77" s="566">
        <v>316520.66666666669</v>
      </c>
      <c r="AH77" s="565">
        <f>Breakout!$H$82/12</f>
        <v>21184.792243144027</v>
      </c>
      <c r="AI77" s="566">
        <f>Breakout!$H$83/12</f>
        <v>0</v>
      </c>
      <c r="AJ77" s="566">
        <v>0</v>
      </c>
      <c r="AK77" s="571">
        <f>Breakout!$H$91/12</f>
        <v>284845.50147455069</v>
      </c>
      <c r="AL77" s="571">
        <v>284845.50147455069</v>
      </c>
      <c r="AM77" s="567">
        <f>(Breakout!$H$107/12)*-1</f>
        <v>55221.25</v>
      </c>
      <c r="AN77" s="567">
        <v>55221.25</v>
      </c>
      <c r="AO77" s="578">
        <f t="shared" si="74"/>
        <v>4971848.7530103391</v>
      </c>
      <c r="AP77" s="578">
        <f t="shared" si="75"/>
        <v>5015969.9039327521</v>
      </c>
      <c r="AQ77" s="548">
        <f t="shared" si="76"/>
        <v>231244.82724234316</v>
      </c>
      <c r="AR77" s="496"/>
      <c r="AS77" s="553">
        <f t="shared" si="77"/>
        <v>95934.094247971545</v>
      </c>
      <c r="AT77" s="496"/>
      <c r="AU77" s="557">
        <f>'wholesale services'!$I$110/12</f>
        <v>39106610.706018515</v>
      </c>
      <c r="AV77" s="557">
        <f>'wholesale services'!$I$113/12</f>
        <v>17613.255833333333</v>
      </c>
      <c r="AW77" s="496"/>
      <c r="AX77" s="552">
        <f t="shared" si="78"/>
        <v>-715341.08333333337</v>
      </c>
      <c r="AY77" s="381">
        <f t="shared" si="79"/>
        <v>-705333.33333333337</v>
      </c>
      <c r="AZ77" s="496"/>
      <c r="BA77" s="438">
        <f t="shared" si="80"/>
        <v>532115.21272464411</v>
      </c>
      <c r="BB77" s="438">
        <f t="shared" si="81"/>
        <v>-15486.266286151505</v>
      </c>
      <c r="BC77" s="438">
        <f t="shared" si="82"/>
        <v>-3818.2196956840708</v>
      </c>
      <c r="BD77" s="438">
        <f t="shared" ref="BD77:BD131" si="101">Y77-IF($BL$4="mid",Z77,AA77)</f>
        <v>32422.360199141956</v>
      </c>
      <c r="BE77" s="438">
        <f t="shared" ref="BE77:BE131" si="102">AB77-IF($BL$4="mid",AC77,AD77)</f>
        <v>-446.0128732828889</v>
      </c>
      <c r="BF77" s="438">
        <f t="shared" ref="BF77:BF131" si="103">AE77-IF($BL$4="mid",AF77,AG77)</f>
        <v>5339.7124050825951</v>
      </c>
      <c r="BG77" s="438">
        <f t="shared" ref="BG77:BG131" si="104">AH77-IF($BL$4="mid",AI77,AJ77)</f>
        <v>21184.792243144027</v>
      </c>
      <c r="BH77" s="438">
        <f t="shared" ref="BH77:BH131" si="105">-IF($BL$4="mid",AK77,AL77)</f>
        <v>-284845.50147455069</v>
      </c>
      <c r="BI77" s="438">
        <f t="shared" ref="BI77:BI131" si="106">-IF($BL$4="mid",AM77,AN77)</f>
        <v>-55221.25</v>
      </c>
      <c r="BL77" s="438">
        <f t="shared" si="83"/>
        <v>681039.54171341972</v>
      </c>
      <c r="BM77" s="438">
        <f t="shared" si="84"/>
        <v>-10210.021075333971</v>
      </c>
      <c r="BN77" s="438">
        <f t="shared" si="85"/>
        <v>-1162.3439098889648</v>
      </c>
      <c r="BO77" s="438">
        <f t="shared" si="86"/>
        <v>51741.371095547162</v>
      </c>
      <c r="BP77" s="438">
        <f t="shared" si="87"/>
        <v>17328.941277500358</v>
      </c>
      <c r="BQ77" s="438">
        <f t="shared" si="88"/>
        <v>18825.908784286818</v>
      </c>
      <c r="BR77" s="438">
        <f t="shared" si="89"/>
        <v>22072.45126246057</v>
      </c>
      <c r="BS77" s="438">
        <f t="shared" si="44"/>
        <v>-284845.50147455069</v>
      </c>
      <c r="BT77" s="438">
        <f t="shared" si="45"/>
        <v>-55221.25</v>
      </c>
      <c r="BW77" s="565">
        <f>Breakout!$H$15/12</f>
        <v>3703139.2932055355</v>
      </c>
      <c r="BX77" s="565">
        <f>Breakout!$H$26/12</f>
        <v>131198.65030406561</v>
      </c>
      <c r="BY77" s="565">
        <f>Breakout!$H$37/12</f>
        <v>66040.774177282045</v>
      </c>
      <c r="BZ77" s="565">
        <f>Breakout!$H$48/12</f>
        <v>480384.829276192</v>
      </c>
      <c r="CA77" s="565">
        <f>Breakout!$H$59/12</f>
        <v>441990.4497649477</v>
      </c>
      <c r="CB77" s="565">
        <f>Breakout!$H$70/12</f>
        <v>335346.5754509535</v>
      </c>
      <c r="CC77" s="565">
        <f>Breakout!$H$81/12</f>
        <v>22072.45126246057</v>
      </c>
      <c r="CE77" s="634">
        <f t="shared" si="90"/>
        <v>3702307.2543924586</v>
      </c>
      <c r="CF77" s="634">
        <f t="shared" si="91"/>
        <v>131169.17197213342</v>
      </c>
      <c r="CG77" s="634">
        <f t="shared" si="92"/>
        <v>66025.93582446556</v>
      </c>
      <c r="CI77" s="634">
        <f t="shared" si="93"/>
        <v>-715341.08333333337</v>
      </c>
      <c r="CJ77" s="634">
        <f t="shared" si="94"/>
        <v>-705333.33333333337</v>
      </c>
      <c r="CL77" s="438">
        <f>'account mgt'!$H$23/12</f>
        <v>-54375.979557599996</v>
      </c>
      <c r="CN77" s="438">
        <v>0</v>
      </c>
      <c r="CT77" s="438">
        <f t="shared" si="51"/>
        <v>5026902.5201338017</v>
      </c>
      <c r="CU77" s="438">
        <f t="shared" si="46"/>
        <v>39670.639054722582</v>
      </c>
      <c r="CV77" s="438">
        <f>IF(CT77&lt;0.1,0,PPMT($L$3,A77-14,unwinds!$B$8*12,$K$5))</f>
        <v>727888.2384478756</v>
      </c>
      <c r="CW77" s="438">
        <f t="shared" si="47"/>
        <v>4299014.281685926</v>
      </c>
      <c r="CX77" s="438">
        <f t="shared" si="48"/>
        <v>4299014.281685926</v>
      </c>
      <c r="DA77" s="438">
        <f t="shared" si="53"/>
        <v>22034594.671891682</v>
      </c>
      <c r="DB77" s="438">
        <f t="shared" si="54"/>
        <v>173889.67628567852</v>
      </c>
      <c r="DC77" s="438">
        <f t="shared" si="55"/>
        <v>321508.39538593718</v>
      </c>
      <c r="DD77" s="438">
        <f t="shared" si="56"/>
        <v>21713086.276505746</v>
      </c>
      <c r="DE77" s="438">
        <f t="shared" si="73"/>
        <v>21713086.276505746</v>
      </c>
      <c r="DH77" s="944">
        <v>-715341.08333333337</v>
      </c>
      <c r="DI77" s="944">
        <v>-705333.33333333337</v>
      </c>
      <c r="DJ77" s="944"/>
      <c r="DL77" s="381">
        <f t="shared" si="52"/>
        <v>474832.92700924521</v>
      </c>
      <c r="DN77" s="944">
        <f t="shared" si="95"/>
        <v>-715341.08333333337</v>
      </c>
      <c r="DO77" s="944">
        <f t="shared" si="96"/>
        <v>474832.92700924521</v>
      </c>
      <c r="DQ77" s="438">
        <f t="shared" si="97"/>
        <v>452556.79320553597</v>
      </c>
      <c r="DR77" s="438">
        <f t="shared" si="98"/>
        <v>-22235.42889153838</v>
      </c>
      <c r="DS77" s="438"/>
      <c r="DT77" s="438"/>
      <c r="DU77" s="438"/>
      <c r="DV77" s="438"/>
      <c r="DW77" s="438"/>
      <c r="DX77" s="438"/>
    </row>
    <row r="78" spans="1:128" x14ac:dyDescent="0.2">
      <c r="A78" s="383">
        <v>67</v>
      </c>
      <c r="B78" s="631">
        <v>38534</v>
      </c>
      <c r="C78" s="381">
        <v>0</v>
      </c>
      <c r="D78" s="381">
        <v>0</v>
      </c>
      <c r="E78" s="381">
        <v>0</v>
      </c>
      <c r="F78" s="381">
        <v>170010.77086534601</v>
      </c>
      <c r="G78" s="381">
        <v>321508.39538593747</v>
      </c>
      <c r="H78" s="381">
        <v>0</v>
      </c>
      <c r="I78" s="381">
        <v>491519.16625128349</v>
      </c>
      <c r="J78" s="381"/>
      <c r="K78" s="381"/>
      <c r="L78" s="381">
        <f t="shared" si="50"/>
        <v>491519.16625128326</v>
      </c>
      <c r="M78" s="381"/>
      <c r="N78" s="679">
        <f t="shared" si="99"/>
        <v>-715341.08333333337</v>
      </c>
      <c r="O78" s="679">
        <f t="shared" si="100"/>
        <v>-705333.33333333337</v>
      </c>
      <c r="P78" s="565">
        <f>Breakout!$H$16/12</f>
        <v>3554214.9642167599</v>
      </c>
      <c r="Q78" s="557">
        <f>'wholesale services'!$D$110*'wholesale services'!$I$111/12</f>
        <v>3250582.4999999995</v>
      </c>
      <c r="R78" s="557">
        <v>3320487.5</v>
      </c>
      <c r="S78" s="565">
        <f>Breakout!$H$27/12</f>
        <v>125922.40509324807</v>
      </c>
      <c r="T78" s="557">
        <f>'wholesale services'!$D$113*'wholesale services'!$I$114/12</f>
        <v>153434.07919560399</v>
      </c>
      <c r="U78" s="557">
        <v>156565.3869342898</v>
      </c>
      <c r="V78" s="565">
        <f>Breakout!$H$38/12</f>
        <v>63384.898391486939</v>
      </c>
      <c r="W78" s="496">
        <f>Breakout!$H$39/12</f>
        <v>67203.118087171009</v>
      </c>
      <c r="X78" s="496">
        <v>67925.732260151344</v>
      </c>
      <c r="Y78" s="565">
        <f>Breakout!$H$49/12</f>
        <v>461065.8183797868</v>
      </c>
      <c r="Z78" s="566">
        <f>Breakout!$H$50/12</f>
        <v>428643.45818064484</v>
      </c>
      <c r="AA78" s="566">
        <v>450260.16394375247</v>
      </c>
      <c r="AB78" s="565">
        <f>Breakout!$H$60/12</f>
        <v>424215.49561416445</v>
      </c>
      <c r="AC78" s="566">
        <f>Breakout!$H$61/12</f>
        <v>424661.50848744734</v>
      </c>
      <c r="AD78" s="566">
        <v>437902.62456500687</v>
      </c>
      <c r="AE78" s="565">
        <f>Breakout!$H$71/12</f>
        <v>321860.37907174928</v>
      </c>
      <c r="AF78" s="566">
        <f>Breakout!$H$72/12</f>
        <v>316520.66666666669</v>
      </c>
      <c r="AG78" s="566">
        <v>316520.66666666669</v>
      </c>
      <c r="AH78" s="565">
        <f>Breakout!$H$82/12</f>
        <v>21184.792243144027</v>
      </c>
      <c r="AI78" s="566">
        <f>Breakout!$H$83/12</f>
        <v>0</v>
      </c>
      <c r="AJ78" s="566">
        <v>0</v>
      </c>
      <c r="AK78" s="571">
        <f>Breakout!$H$91/12</f>
        <v>284845.50147455069</v>
      </c>
      <c r="AL78" s="571">
        <v>284845.50147455069</v>
      </c>
      <c r="AM78" s="567">
        <f>(Breakout!$H$107/12)*-1</f>
        <v>55221.25</v>
      </c>
      <c r="AN78" s="567">
        <v>55221.25</v>
      </c>
      <c r="AO78" s="578">
        <f t="shared" si="74"/>
        <v>4971848.7530103391</v>
      </c>
      <c r="AP78" s="578">
        <f t="shared" si="75"/>
        <v>5015969.9039327521</v>
      </c>
      <c r="AQ78" s="548">
        <f t="shared" si="76"/>
        <v>231244.82724234316</v>
      </c>
      <c r="AR78" s="496"/>
      <c r="AS78" s="553">
        <f t="shared" si="77"/>
        <v>95934.094247971545</v>
      </c>
      <c r="AT78" s="496"/>
      <c r="AU78" s="557">
        <f>'wholesale services'!$I$110/12</f>
        <v>39106610.706018515</v>
      </c>
      <c r="AV78" s="557">
        <f>'wholesale services'!$I$113/12</f>
        <v>17613.255833333333</v>
      </c>
      <c r="AW78" s="496"/>
      <c r="AX78" s="552">
        <f t="shared" si="78"/>
        <v>-715341.08333333337</v>
      </c>
      <c r="AY78" s="381">
        <f t="shared" si="79"/>
        <v>-705333.33333333337</v>
      </c>
      <c r="AZ78" s="496"/>
      <c r="BA78" s="438">
        <f t="shared" si="80"/>
        <v>532115.21272464411</v>
      </c>
      <c r="BB78" s="438">
        <f t="shared" si="81"/>
        <v>-15486.266286151505</v>
      </c>
      <c r="BC78" s="438">
        <f t="shared" si="82"/>
        <v>-3818.2196956840708</v>
      </c>
      <c r="BD78" s="438">
        <f t="shared" si="101"/>
        <v>32422.360199141956</v>
      </c>
      <c r="BE78" s="438">
        <f t="shared" si="102"/>
        <v>-446.0128732828889</v>
      </c>
      <c r="BF78" s="438">
        <f t="shared" si="103"/>
        <v>5339.7124050825951</v>
      </c>
      <c r="BG78" s="438">
        <f t="shared" si="104"/>
        <v>21184.792243144027</v>
      </c>
      <c r="BH78" s="438">
        <f t="shared" si="105"/>
        <v>-284845.50147455069</v>
      </c>
      <c r="BI78" s="438">
        <f t="shared" si="106"/>
        <v>-55221.25</v>
      </c>
      <c r="BL78" s="438">
        <f t="shared" si="83"/>
        <v>681039.54171341972</v>
      </c>
      <c r="BM78" s="438">
        <f t="shared" si="84"/>
        <v>-10210.021075333971</v>
      </c>
      <c r="BN78" s="438">
        <f t="shared" si="85"/>
        <v>-1162.3439098889648</v>
      </c>
      <c r="BO78" s="438">
        <f t="shared" si="86"/>
        <v>51741.371095547162</v>
      </c>
      <c r="BP78" s="438">
        <f t="shared" si="87"/>
        <v>17328.941277500358</v>
      </c>
      <c r="BQ78" s="438">
        <f t="shared" si="88"/>
        <v>18825.908784286818</v>
      </c>
      <c r="BR78" s="438">
        <f t="shared" si="89"/>
        <v>22072.45126246057</v>
      </c>
      <c r="BS78" s="438">
        <f t="shared" si="44"/>
        <v>-284845.50147455069</v>
      </c>
      <c r="BT78" s="438">
        <f t="shared" si="45"/>
        <v>-55221.25</v>
      </c>
      <c r="BW78" s="565">
        <f>Breakout!$H$15/12</f>
        <v>3703139.2932055355</v>
      </c>
      <c r="BX78" s="565">
        <f>Breakout!$H$26/12</f>
        <v>131198.65030406561</v>
      </c>
      <c r="BY78" s="565">
        <f>Breakout!$H$37/12</f>
        <v>66040.774177282045</v>
      </c>
      <c r="BZ78" s="565">
        <f>Breakout!$H$48/12</f>
        <v>480384.829276192</v>
      </c>
      <c r="CA78" s="565">
        <f>Breakout!$H$59/12</f>
        <v>441990.4497649477</v>
      </c>
      <c r="CB78" s="565">
        <f>Breakout!$H$70/12</f>
        <v>335346.5754509535</v>
      </c>
      <c r="CC78" s="565">
        <f>Breakout!$H$81/12</f>
        <v>22072.45126246057</v>
      </c>
      <c r="CE78" s="634">
        <f t="shared" si="90"/>
        <v>3702307.2543924586</v>
      </c>
      <c r="CF78" s="634">
        <f t="shared" si="91"/>
        <v>131169.17197213342</v>
      </c>
      <c r="CG78" s="634">
        <f t="shared" si="92"/>
        <v>66025.93582446556</v>
      </c>
      <c r="CI78" s="634">
        <f t="shared" si="93"/>
        <v>-715341.08333333337</v>
      </c>
      <c r="CJ78" s="634">
        <f t="shared" si="94"/>
        <v>-705333.33333333337</v>
      </c>
      <c r="CL78" s="438">
        <f>'account mgt'!$H$23/12</f>
        <v>-54375.979557599996</v>
      </c>
      <c r="CN78" s="438">
        <v>0</v>
      </c>
      <c r="CT78" s="438">
        <f t="shared" si="51"/>
        <v>4299014.281685926</v>
      </c>
      <c r="CU78" s="438">
        <f t="shared" si="46"/>
        <v>33926.387706304769</v>
      </c>
      <c r="CV78" s="438">
        <f>IF(CT78&lt;0.1,0,PPMT($L$3,A78-14,unwinds!$B$8*12,$K$5))</f>
        <v>733632.48979629355</v>
      </c>
      <c r="CW78" s="438">
        <f t="shared" si="47"/>
        <v>3565381.7918896326</v>
      </c>
      <c r="CX78" s="438">
        <f t="shared" si="48"/>
        <v>3565381.7918896326</v>
      </c>
      <c r="DA78" s="438">
        <f t="shared" si="53"/>
        <v>21713086.276505746</v>
      </c>
      <c r="DB78" s="438">
        <f t="shared" si="54"/>
        <v>171352.43919875784</v>
      </c>
      <c r="DC78" s="438">
        <f t="shared" si="55"/>
        <v>324045.63247285795</v>
      </c>
      <c r="DD78" s="438">
        <f t="shared" si="56"/>
        <v>21389040.644032888</v>
      </c>
      <c r="DE78" s="438">
        <f t="shared" si="73"/>
        <v>21389040.644032888</v>
      </c>
      <c r="DH78" s="944">
        <v>-715341.08333333337</v>
      </c>
      <c r="DI78" s="944">
        <v>-705333.33333333337</v>
      </c>
      <c r="DJ78" s="944"/>
      <c r="DL78" s="381">
        <f t="shared" si="52"/>
        <v>474832.92700924521</v>
      </c>
      <c r="DN78" s="944">
        <f t="shared" si="95"/>
        <v>-715341.08333333337</v>
      </c>
      <c r="DO78" s="944">
        <f t="shared" si="96"/>
        <v>474832.92700924521</v>
      </c>
      <c r="DQ78" s="438">
        <f t="shared" si="97"/>
        <v>452556.79320553597</v>
      </c>
      <c r="DR78" s="438">
        <f t="shared" si="98"/>
        <v>-22235.42889153838</v>
      </c>
      <c r="DS78" s="438"/>
      <c r="DT78" s="438"/>
      <c r="DU78" s="438"/>
      <c r="DV78" s="438"/>
      <c r="DW78" s="438"/>
      <c r="DX78" s="438"/>
    </row>
    <row r="79" spans="1:128" x14ac:dyDescent="0.2">
      <c r="A79" s="383">
        <v>68</v>
      </c>
      <c r="B79" s="631">
        <v>38565</v>
      </c>
      <c r="C79" s="381">
        <v>0</v>
      </c>
      <c r="D79" s="381">
        <v>0</v>
      </c>
      <c r="E79" s="381">
        <v>0</v>
      </c>
      <c r="F79" s="381">
        <v>167473.53377842531</v>
      </c>
      <c r="G79" s="381">
        <v>324045.63247285818</v>
      </c>
      <c r="H79" s="381">
        <v>0</v>
      </c>
      <c r="I79" s="381">
        <v>491519.16625128349</v>
      </c>
      <c r="J79" s="381"/>
      <c r="K79" s="381"/>
      <c r="L79" s="381">
        <f t="shared" si="50"/>
        <v>491519.16625128326</v>
      </c>
      <c r="M79" s="381"/>
      <c r="N79" s="679">
        <f t="shared" si="99"/>
        <v>-715341.08333333337</v>
      </c>
      <c r="O79" s="679">
        <f t="shared" si="100"/>
        <v>-705333.33333333337</v>
      </c>
      <c r="P79" s="565">
        <f>Breakout!$H$16/12</f>
        <v>3554214.9642167599</v>
      </c>
      <c r="Q79" s="557">
        <f>'wholesale services'!$D$110*'wholesale services'!$I$111/12</f>
        <v>3250582.4999999995</v>
      </c>
      <c r="R79" s="557">
        <v>3320487.5</v>
      </c>
      <c r="S79" s="565">
        <f>Breakout!$H$27/12</f>
        <v>125922.40509324807</v>
      </c>
      <c r="T79" s="557">
        <f>'wholesale services'!$D$113*'wholesale services'!$I$114/12</f>
        <v>153434.07919560399</v>
      </c>
      <c r="U79" s="557">
        <v>156565.3869342898</v>
      </c>
      <c r="V79" s="565">
        <f>Breakout!$H$38/12</f>
        <v>63384.898391486939</v>
      </c>
      <c r="W79" s="496">
        <f>Breakout!$H$39/12</f>
        <v>67203.118087171009</v>
      </c>
      <c r="X79" s="496">
        <v>67925.732260151344</v>
      </c>
      <c r="Y79" s="565">
        <f>Breakout!$H$49/12</f>
        <v>461065.8183797868</v>
      </c>
      <c r="Z79" s="566">
        <f>Breakout!$H$50/12</f>
        <v>428643.45818064484</v>
      </c>
      <c r="AA79" s="566">
        <v>450260.16394375247</v>
      </c>
      <c r="AB79" s="565">
        <f>Breakout!$H$60/12</f>
        <v>424215.49561416445</v>
      </c>
      <c r="AC79" s="566">
        <f>Breakout!$H$61/12</f>
        <v>424661.50848744734</v>
      </c>
      <c r="AD79" s="566">
        <v>437902.62456500687</v>
      </c>
      <c r="AE79" s="565">
        <f>Breakout!$H$71/12</f>
        <v>321860.37907174928</v>
      </c>
      <c r="AF79" s="566">
        <f>Breakout!$H$72/12</f>
        <v>316520.66666666669</v>
      </c>
      <c r="AG79" s="566">
        <v>316520.66666666669</v>
      </c>
      <c r="AH79" s="565">
        <f>Breakout!$H$82/12</f>
        <v>21184.792243144027</v>
      </c>
      <c r="AI79" s="566">
        <f>Breakout!$H$83/12</f>
        <v>0</v>
      </c>
      <c r="AJ79" s="566">
        <v>0</v>
      </c>
      <c r="AK79" s="571">
        <f>Breakout!$H$91/12</f>
        <v>284845.50147455069</v>
      </c>
      <c r="AL79" s="571">
        <v>284845.50147455069</v>
      </c>
      <c r="AM79" s="567">
        <f>(Breakout!$H$107/12)*-1</f>
        <v>55221.25</v>
      </c>
      <c r="AN79" s="567">
        <v>55221.25</v>
      </c>
      <c r="AO79" s="578">
        <f t="shared" si="74"/>
        <v>4971848.7530103391</v>
      </c>
      <c r="AP79" s="578">
        <f t="shared" si="75"/>
        <v>5015969.9039327521</v>
      </c>
      <c r="AQ79" s="548">
        <f t="shared" si="76"/>
        <v>231244.82724234316</v>
      </c>
      <c r="AR79" s="496"/>
      <c r="AS79" s="553">
        <f t="shared" si="77"/>
        <v>95934.094247971545</v>
      </c>
      <c r="AT79" s="496"/>
      <c r="AU79" s="557">
        <f>'wholesale services'!$I$110/12</f>
        <v>39106610.706018515</v>
      </c>
      <c r="AV79" s="557">
        <f>'wholesale services'!$I$113/12</f>
        <v>17613.255833333333</v>
      </c>
      <c r="AW79" s="496"/>
      <c r="AX79" s="552">
        <f t="shared" si="78"/>
        <v>-715341.08333333337</v>
      </c>
      <c r="AY79" s="381">
        <f t="shared" si="79"/>
        <v>-705333.33333333337</v>
      </c>
      <c r="AZ79" s="496"/>
      <c r="BA79" s="438">
        <f t="shared" si="80"/>
        <v>532115.21272464411</v>
      </c>
      <c r="BB79" s="438">
        <f t="shared" si="81"/>
        <v>-15486.266286151505</v>
      </c>
      <c r="BC79" s="438">
        <f t="shared" si="82"/>
        <v>-3818.2196956840708</v>
      </c>
      <c r="BD79" s="438">
        <f t="shared" si="101"/>
        <v>32422.360199141956</v>
      </c>
      <c r="BE79" s="438">
        <f t="shared" si="102"/>
        <v>-446.0128732828889</v>
      </c>
      <c r="BF79" s="438">
        <f t="shared" si="103"/>
        <v>5339.7124050825951</v>
      </c>
      <c r="BG79" s="438">
        <f t="shared" si="104"/>
        <v>21184.792243144027</v>
      </c>
      <c r="BH79" s="438">
        <f t="shared" si="105"/>
        <v>-284845.50147455069</v>
      </c>
      <c r="BI79" s="438">
        <f t="shared" si="106"/>
        <v>-55221.25</v>
      </c>
      <c r="BL79" s="438">
        <f t="shared" si="83"/>
        <v>681039.54171341972</v>
      </c>
      <c r="BM79" s="438">
        <f t="shared" si="84"/>
        <v>-10210.021075333971</v>
      </c>
      <c r="BN79" s="438">
        <f t="shared" si="85"/>
        <v>-1162.3439098889648</v>
      </c>
      <c r="BO79" s="438">
        <f t="shared" si="86"/>
        <v>51741.371095547162</v>
      </c>
      <c r="BP79" s="438">
        <f t="shared" si="87"/>
        <v>17328.941277500358</v>
      </c>
      <c r="BQ79" s="438">
        <f t="shared" si="88"/>
        <v>18825.908784286818</v>
      </c>
      <c r="BR79" s="438">
        <f t="shared" si="89"/>
        <v>22072.45126246057</v>
      </c>
      <c r="BS79" s="438">
        <f t="shared" si="44"/>
        <v>-284845.50147455069</v>
      </c>
      <c r="BT79" s="438">
        <f t="shared" si="45"/>
        <v>-55221.25</v>
      </c>
      <c r="BW79" s="565">
        <f>Breakout!$H$15/12</f>
        <v>3703139.2932055355</v>
      </c>
      <c r="BX79" s="565">
        <f>Breakout!$H$26/12</f>
        <v>131198.65030406561</v>
      </c>
      <c r="BY79" s="565">
        <f>Breakout!$H$37/12</f>
        <v>66040.774177282045</v>
      </c>
      <c r="BZ79" s="565">
        <f>Breakout!$H$48/12</f>
        <v>480384.829276192</v>
      </c>
      <c r="CA79" s="565">
        <f>Breakout!$H$59/12</f>
        <v>441990.4497649477</v>
      </c>
      <c r="CB79" s="565">
        <f>Breakout!$H$70/12</f>
        <v>335346.5754509535</v>
      </c>
      <c r="CC79" s="565">
        <f>Breakout!$H$81/12</f>
        <v>22072.45126246057</v>
      </c>
      <c r="CE79" s="634">
        <f t="shared" si="90"/>
        <v>3702307.2543924586</v>
      </c>
      <c r="CF79" s="634">
        <f t="shared" si="91"/>
        <v>131169.17197213342</v>
      </c>
      <c r="CG79" s="634">
        <f t="shared" si="92"/>
        <v>66025.93582446556</v>
      </c>
      <c r="CI79" s="634">
        <f t="shared" si="93"/>
        <v>-715341.08333333337</v>
      </c>
      <c r="CJ79" s="634">
        <f t="shared" si="94"/>
        <v>-705333.33333333337</v>
      </c>
      <c r="CL79" s="438">
        <f>'account mgt'!$H$23/12</f>
        <v>-54375.979557599996</v>
      </c>
      <c r="CN79" s="438">
        <v>0</v>
      </c>
      <c r="CT79" s="438">
        <f t="shared" si="51"/>
        <v>3565381.7918896326</v>
      </c>
      <c r="CU79" s="438">
        <f t="shared" si="46"/>
        <v>28136.804640995684</v>
      </c>
      <c r="CV79" s="438">
        <f>IF(CT79&lt;0.1,0,PPMT($L$3,A79-14,unwinds!$B$8*12,$K$5))</f>
        <v>739422.07286160253</v>
      </c>
      <c r="CW79" s="438">
        <f t="shared" si="47"/>
        <v>2825959.7190280301</v>
      </c>
      <c r="CX79" s="438">
        <f t="shared" si="48"/>
        <v>2825959.7190280301</v>
      </c>
      <c r="DA79" s="438">
        <f t="shared" si="53"/>
        <v>21389040.644032888</v>
      </c>
      <c r="DB79" s="438">
        <f t="shared" si="54"/>
        <v>168795.17908249286</v>
      </c>
      <c r="DC79" s="438">
        <f t="shared" si="55"/>
        <v>326602.89258912287</v>
      </c>
      <c r="DD79" s="438">
        <f t="shared" si="56"/>
        <v>21062437.751443766</v>
      </c>
      <c r="DE79" s="438">
        <f t="shared" si="73"/>
        <v>21062437.751443766</v>
      </c>
      <c r="DH79" s="944">
        <v>-715341.08333333337</v>
      </c>
      <c r="DI79" s="944">
        <v>-705333.33333333337</v>
      </c>
      <c r="DJ79" s="944"/>
      <c r="DL79" s="381">
        <f t="shared" si="52"/>
        <v>474832.92700924521</v>
      </c>
      <c r="DN79" s="944">
        <f t="shared" si="95"/>
        <v>-715341.08333333337</v>
      </c>
      <c r="DO79" s="944">
        <f t="shared" si="96"/>
        <v>474832.92700924521</v>
      </c>
      <c r="DQ79" s="438">
        <f t="shared" si="97"/>
        <v>452556.79320553597</v>
      </c>
      <c r="DR79" s="438">
        <f t="shared" si="98"/>
        <v>-22235.42889153838</v>
      </c>
      <c r="DS79" s="438"/>
      <c r="DT79" s="438"/>
      <c r="DU79" s="438"/>
      <c r="DV79" s="438"/>
      <c r="DW79" s="438"/>
      <c r="DX79" s="438"/>
    </row>
    <row r="80" spans="1:128" x14ac:dyDescent="0.2">
      <c r="A80" s="383">
        <v>69</v>
      </c>
      <c r="B80" s="631">
        <v>38596</v>
      </c>
      <c r="C80" s="381">
        <v>0</v>
      </c>
      <c r="D80" s="381">
        <v>0</v>
      </c>
      <c r="E80" s="381">
        <v>0</v>
      </c>
      <c r="F80" s="381">
        <v>164916.27366216033</v>
      </c>
      <c r="G80" s="381">
        <v>326602.89258912316</v>
      </c>
      <c r="H80" s="381">
        <v>0</v>
      </c>
      <c r="I80" s="381">
        <v>491519.16625128349</v>
      </c>
      <c r="J80" s="381"/>
      <c r="K80" s="381"/>
      <c r="L80" s="381">
        <f t="shared" si="50"/>
        <v>491519.16625128326</v>
      </c>
      <c r="M80" s="381"/>
      <c r="N80" s="679">
        <f t="shared" si="99"/>
        <v>-715341.08333333337</v>
      </c>
      <c r="O80" s="679">
        <f t="shared" si="100"/>
        <v>-705333.33333333337</v>
      </c>
      <c r="P80" s="565">
        <f>Breakout!$H$16/12</f>
        <v>3554214.9642167599</v>
      </c>
      <c r="Q80" s="557">
        <f>'wholesale services'!$D$110*'wholesale services'!$I$111/12</f>
        <v>3250582.4999999995</v>
      </c>
      <c r="R80" s="557">
        <v>3320487.5</v>
      </c>
      <c r="S80" s="565">
        <f>Breakout!$H$27/12</f>
        <v>125922.40509324807</v>
      </c>
      <c r="T80" s="557">
        <f>'wholesale services'!$D$113*'wholesale services'!$I$114/12</f>
        <v>153434.07919560399</v>
      </c>
      <c r="U80" s="557">
        <v>156565.3869342898</v>
      </c>
      <c r="V80" s="565">
        <f>Breakout!$H$38/12</f>
        <v>63384.898391486939</v>
      </c>
      <c r="W80" s="496">
        <f>Breakout!$H$39/12</f>
        <v>67203.118087171009</v>
      </c>
      <c r="X80" s="496">
        <v>67925.732260151344</v>
      </c>
      <c r="Y80" s="565">
        <f>Breakout!$H$49/12</f>
        <v>461065.8183797868</v>
      </c>
      <c r="Z80" s="566">
        <f>Breakout!$H$50/12</f>
        <v>428643.45818064484</v>
      </c>
      <c r="AA80" s="566">
        <v>450260.16394375247</v>
      </c>
      <c r="AB80" s="565">
        <f>Breakout!$H$60/12</f>
        <v>424215.49561416445</v>
      </c>
      <c r="AC80" s="566">
        <f>Breakout!$H$61/12</f>
        <v>424661.50848744734</v>
      </c>
      <c r="AD80" s="566">
        <v>437902.62456500687</v>
      </c>
      <c r="AE80" s="565">
        <f>Breakout!$H$71/12</f>
        <v>321860.37907174928</v>
      </c>
      <c r="AF80" s="566">
        <f>Breakout!$H$72/12</f>
        <v>316520.66666666669</v>
      </c>
      <c r="AG80" s="566">
        <v>316520.66666666669</v>
      </c>
      <c r="AH80" s="565">
        <f>Breakout!$H$82/12</f>
        <v>21184.792243144027</v>
      </c>
      <c r="AI80" s="566">
        <f>Breakout!$H$83/12</f>
        <v>0</v>
      </c>
      <c r="AJ80" s="566">
        <v>0</v>
      </c>
      <c r="AK80" s="571">
        <f>Breakout!$H$91/12</f>
        <v>284845.50147455069</v>
      </c>
      <c r="AL80" s="571">
        <v>284845.50147455069</v>
      </c>
      <c r="AM80" s="567">
        <f>(Breakout!$H$107/12)*-1</f>
        <v>55221.25</v>
      </c>
      <c r="AN80" s="567">
        <v>55221.25</v>
      </c>
      <c r="AO80" s="578">
        <f t="shared" si="74"/>
        <v>4971848.7530103391</v>
      </c>
      <c r="AP80" s="578">
        <f t="shared" si="75"/>
        <v>5015969.9039327521</v>
      </c>
      <c r="AQ80" s="548">
        <f t="shared" si="76"/>
        <v>231244.82724234316</v>
      </c>
      <c r="AR80" s="496"/>
      <c r="AS80" s="553">
        <f t="shared" si="77"/>
        <v>95934.094247971545</v>
      </c>
      <c r="AT80" s="496"/>
      <c r="AU80" s="557">
        <f>'wholesale services'!$I$110/12</f>
        <v>39106610.706018515</v>
      </c>
      <c r="AV80" s="557">
        <f>'wholesale services'!$I$113/12</f>
        <v>17613.255833333333</v>
      </c>
      <c r="AW80" s="496"/>
      <c r="AX80" s="552">
        <f t="shared" si="78"/>
        <v>-715341.08333333337</v>
      </c>
      <c r="AY80" s="381">
        <f t="shared" si="79"/>
        <v>-705333.33333333337</v>
      </c>
      <c r="AZ80" s="496"/>
      <c r="BA80" s="438">
        <f t="shared" si="80"/>
        <v>532115.21272464411</v>
      </c>
      <c r="BB80" s="438">
        <f t="shared" si="81"/>
        <v>-15486.266286151505</v>
      </c>
      <c r="BC80" s="438">
        <f t="shared" si="82"/>
        <v>-3818.2196956840708</v>
      </c>
      <c r="BD80" s="438">
        <f t="shared" si="101"/>
        <v>32422.360199141956</v>
      </c>
      <c r="BE80" s="438">
        <f t="shared" si="102"/>
        <v>-446.0128732828889</v>
      </c>
      <c r="BF80" s="438">
        <f t="shared" si="103"/>
        <v>5339.7124050825951</v>
      </c>
      <c r="BG80" s="438">
        <f t="shared" si="104"/>
        <v>21184.792243144027</v>
      </c>
      <c r="BH80" s="438">
        <f t="shared" si="105"/>
        <v>-284845.50147455069</v>
      </c>
      <c r="BI80" s="438">
        <f t="shared" si="106"/>
        <v>-55221.25</v>
      </c>
      <c r="BL80" s="438">
        <f t="shared" si="83"/>
        <v>681039.54171341972</v>
      </c>
      <c r="BM80" s="438">
        <f t="shared" si="84"/>
        <v>-10210.021075333971</v>
      </c>
      <c r="BN80" s="438">
        <f t="shared" si="85"/>
        <v>-1162.3439098889648</v>
      </c>
      <c r="BO80" s="438">
        <f t="shared" si="86"/>
        <v>51741.371095547162</v>
      </c>
      <c r="BP80" s="438">
        <f t="shared" si="87"/>
        <v>17328.941277500358</v>
      </c>
      <c r="BQ80" s="438">
        <f t="shared" si="88"/>
        <v>18825.908784286818</v>
      </c>
      <c r="BR80" s="438">
        <f t="shared" si="89"/>
        <v>22072.45126246057</v>
      </c>
      <c r="BS80" s="438">
        <f t="shared" ref="BS80:BS131" si="107">-IF($BL$4="mid",AK80,AL80)</f>
        <v>-284845.50147455069</v>
      </c>
      <c r="BT80" s="438">
        <f t="shared" ref="BT80:BT131" si="108">-IF($BL$4="mid",AM80,AN80)</f>
        <v>-55221.25</v>
      </c>
      <c r="BW80" s="565">
        <f>Breakout!$H$15/12</f>
        <v>3703139.2932055355</v>
      </c>
      <c r="BX80" s="565">
        <f>Breakout!$H$26/12</f>
        <v>131198.65030406561</v>
      </c>
      <c r="BY80" s="565">
        <f>Breakout!$H$37/12</f>
        <v>66040.774177282045</v>
      </c>
      <c r="BZ80" s="565">
        <f>Breakout!$H$48/12</f>
        <v>480384.829276192</v>
      </c>
      <c r="CA80" s="565">
        <f>Breakout!$H$59/12</f>
        <v>441990.4497649477</v>
      </c>
      <c r="CB80" s="565">
        <f>Breakout!$H$70/12</f>
        <v>335346.5754509535</v>
      </c>
      <c r="CC80" s="565">
        <f>Breakout!$H$81/12</f>
        <v>22072.45126246057</v>
      </c>
      <c r="CE80" s="634">
        <f t="shared" si="90"/>
        <v>3702307.2543924586</v>
      </c>
      <c r="CF80" s="634">
        <f t="shared" si="91"/>
        <v>131169.17197213342</v>
      </c>
      <c r="CG80" s="634">
        <f t="shared" si="92"/>
        <v>66025.93582446556</v>
      </c>
      <c r="CI80" s="634">
        <f t="shared" si="93"/>
        <v>-715341.08333333337</v>
      </c>
      <c r="CJ80" s="634">
        <f t="shared" si="94"/>
        <v>-705333.33333333337</v>
      </c>
      <c r="CL80" s="438">
        <f>'account mgt'!$H$23/12</f>
        <v>-54375.979557599996</v>
      </c>
      <c r="CN80" s="438">
        <v>0</v>
      </c>
      <c r="CT80" s="438">
        <f t="shared" si="51"/>
        <v>2825959.7190280301</v>
      </c>
      <c r="CU80" s="438">
        <f t="shared" si="46"/>
        <v>22301.532115996204</v>
      </c>
      <c r="CV80" s="438">
        <f>IF(CT80&lt;0.1,0,PPMT($L$3,A80-14,unwinds!$B$8*12,$K$5))</f>
        <v>745257.34538660198</v>
      </c>
      <c r="CW80" s="438">
        <f t="shared" si="47"/>
        <v>2080702.3736414281</v>
      </c>
      <c r="CX80" s="438">
        <f t="shared" si="48"/>
        <v>2080702.3736414281</v>
      </c>
      <c r="DA80" s="438">
        <f t="shared" si="53"/>
        <v>21062437.751443766</v>
      </c>
      <c r="DB80" s="438">
        <f t="shared" si="54"/>
        <v>166217.73792181039</v>
      </c>
      <c r="DC80" s="438">
        <f t="shared" si="55"/>
        <v>329180.33374980534</v>
      </c>
      <c r="DD80" s="438">
        <f t="shared" si="56"/>
        <v>20733257.417693961</v>
      </c>
      <c r="DE80" s="438">
        <f t="shared" si="73"/>
        <v>20733257.417693961</v>
      </c>
      <c r="DH80" s="944">
        <v>-715341.08333333337</v>
      </c>
      <c r="DI80" s="944">
        <v>-705333.33333333337</v>
      </c>
      <c r="DJ80" s="944"/>
      <c r="DL80" s="381">
        <f t="shared" si="52"/>
        <v>474832.92700924521</v>
      </c>
      <c r="DN80" s="944">
        <f t="shared" si="95"/>
        <v>-715341.08333333337</v>
      </c>
      <c r="DO80" s="944">
        <f t="shared" si="96"/>
        <v>474832.92700924521</v>
      </c>
      <c r="DQ80" s="438">
        <f t="shared" si="97"/>
        <v>452556.79320553597</v>
      </c>
      <c r="DR80" s="438">
        <f t="shared" si="98"/>
        <v>-22235.42889153838</v>
      </c>
      <c r="DS80" s="438"/>
      <c r="DT80" s="438"/>
      <c r="DU80" s="438"/>
      <c r="DV80" s="438"/>
      <c r="DW80" s="438"/>
      <c r="DX80" s="438"/>
    </row>
    <row r="81" spans="1:128" x14ac:dyDescent="0.2">
      <c r="A81" s="383">
        <v>70</v>
      </c>
      <c r="B81" s="631">
        <v>38626</v>
      </c>
      <c r="C81" s="381">
        <v>0</v>
      </c>
      <c r="D81" s="381">
        <v>0</v>
      </c>
      <c r="E81" s="381">
        <v>0</v>
      </c>
      <c r="F81" s="381">
        <v>162338.83250147788</v>
      </c>
      <c r="G81" s="381">
        <v>329180.33374980558</v>
      </c>
      <c r="H81" s="381">
        <v>0</v>
      </c>
      <c r="I81" s="381">
        <v>491519.16625128349</v>
      </c>
      <c r="J81" s="381"/>
      <c r="K81" s="381"/>
      <c r="L81" s="381">
        <f t="shared" si="50"/>
        <v>491519.16625128326</v>
      </c>
      <c r="M81" s="381"/>
      <c r="N81" s="679">
        <f t="shared" si="99"/>
        <v>-715341.08333333337</v>
      </c>
      <c r="O81" s="679">
        <f t="shared" si="100"/>
        <v>-705333.33333333337</v>
      </c>
      <c r="P81" s="565">
        <f>Breakout!$H$16/12</f>
        <v>3554214.9642167599</v>
      </c>
      <c r="Q81" s="557">
        <f>'wholesale services'!$D$110*'wholesale services'!$I$111/12</f>
        <v>3250582.4999999995</v>
      </c>
      <c r="R81" s="557">
        <v>3320487.5</v>
      </c>
      <c r="S81" s="565">
        <f>Breakout!$H$27/12</f>
        <v>125922.40509324807</v>
      </c>
      <c r="T81" s="557">
        <f>'wholesale services'!$D$113*'wholesale services'!$I$114/12</f>
        <v>153434.07919560399</v>
      </c>
      <c r="U81" s="557">
        <v>156565.3869342898</v>
      </c>
      <c r="V81" s="565">
        <f>Breakout!$H$38/12</f>
        <v>63384.898391486939</v>
      </c>
      <c r="W81" s="496">
        <f>Breakout!$H$39/12</f>
        <v>67203.118087171009</v>
      </c>
      <c r="X81" s="496">
        <v>67925.732260151344</v>
      </c>
      <c r="Y81" s="565">
        <f>Breakout!$H$49/12</f>
        <v>461065.8183797868</v>
      </c>
      <c r="Z81" s="566">
        <f>Breakout!$H$50/12</f>
        <v>428643.45818064484</v>
      </c>
      <c r="AA81" s="566">
        <v>450260.16394375247</v>
      </c>
      <c r="AB81" s="565">
        <f>Breakout!$H$60/12</f>
        <v>424215.49561416445</v>
      </c>
      <c r="AC81" s="566">
        <f>Breakout!$H$61/12</f>
        <v>424661.50848744734</v>
      </c>
      <c r="AD81" s="566">
        <v>437902.62456500687</v>
      </c>
      <c r="AE81" s="565">
        <f>Breakout!$H$71/12</f>
        <v>321860.37907174928</v>
      </c>
      <c r="AF81" s="566">
        <f>Breakout!$H$72/12</f>
        <v>316520.66666666669</v>
      </c>
      <c r="AG81" s="566">
        <v>316520.66666666669</v>
      </c>
      <c r="AH81" s="565">
        <f>Breakout!$H$82/12</f>
        <v>21184.792243144027</v>
      </c>
      <c r="AI81" s="566">
        <f>Breakout!$H$83/12</f>
        <v>0</v>
      </c>
      <c r="AJ81" s="566">
        <v>0</v>
      </c>
      <c r="AK81" s="571">
        <f>Breakout!$H$91/12</f>
        <v>284845.50147455069</v>
      </c>
      <c r="AL81" s="571">
        <v>284845.50147455069</v>
      </c>
      <c r="AM81" s="567">
        <f>(Breakout!$H$107/12)*-1</f>
        <v>55221.25</v>
      </c>
      <c r="AN81" s="567">
        <v>55221.25</v>
      </c>
      <c r="AO81" s="578">
        <f t="shared" si="74"/>
        <v>4971848.7530103391</v>
      </c>
      <c r="AP81" s="578">
        <f t="shared" si="75"/>
        <v>5015969.9039327521</v>
      </c>
      <c r="AQ81" s="548">
        <f t="shared" si="76"/>
        <v>231244.82724234316</v>
      </c>
      <c r="AR81" s="496"/>
      <c r="AS81" s="553">
        <f t="shared" si="77"/>
        <v>95934.094247971545</v>
      </c>
      <c r="AT81" s="496"/>
      <c r="AU81" s="557">
        <f>'wholesale services'!$I$110/12</f>
        <v>39106610.706018515</v>
      </c>
      <c r="AV81" s="557">
        <f>'wholesale services'!$I$113/12</f>
        <v>17613.255833333333</v>
      </c>
      <c r="AW81" s="496"/>
      <c r="AX81" s="552">
        <f t="shared" si="78"/>
        <v>-715341.08333333337</v>
      </c>
      <c r="AY81" s="381">
        <f t="shared" si="79"/>
        <v>-705333.33333333337</v>
      </c>
      <c r="AZ81" s="496"/>
      <c r="BA81" s="438">
        <f t="shared" si="80"/>
        <v>532115.21272464411</v>
      </c>
      <c r="BB81" s="438">
        <f t="shared" si="81"/>
        <v>-15486.266286151505</v>
      </c>
      <c r="BC81" s="438">
        <f t="shared" si="82"/>
        <v>-3818.2196956840708</v>
      </c>
      <c r="BD81" s="438">
        <f t="shared" si="101"/>
        <v>32422.360199141956</v>
      </c>
      <c r="BE81" s="438">
        <f t="shared" si="102"/>
        <v>-446.0128732828889</v>
      </c>
      <c r="BF81" s="438">
        <f t="shared" si="103"/>
        <v>5339.7124050825951</v>
      </c>
      <c r="BG81" s="438">
        <f t="shared" si="104"/>
        <v>21184.792243144027</v>
      </c>
      <c r="BH81" s="438">
        <f t="shared" si="105"/>
        <v>-284845.50147455069</v>
      </c>
      <c r="BI81" s="438">
        <f t="shared" si="106"/>
        <v>-55221.25</v>
      </c>
      <c r="BL81" s="438">
        <f t="shared" si="83"/>
        <v>681039.54171341972</v>
      </c>
      <c r="BM81" s="438">
        <f t="shared" si="84"/>
        <v>-10210.021075333971</v>
      </c>
      <c r="BN81" s="438">
        <f t="shared" si="85"/>
        <v>-1162.3439098889648</v>
      </c>
      <c r="BO81" s="438">
        <f t="shared" si="86"/>
        <v>51741.371095547162</v>
      </c>
      <c r="BP81" s="438">
        <f t="shared" si="87"/>
        <v>17328.941277500358</v>
      </c>
      <c r="BQ81" s="438">
        <f t="shared" si="88"/>
        <v>18825.908784286818</v>
      </c>
      <c r="BR81" s="438">
        <f t="shared" si="89"/>
        <v>22072.45126246057</v>
      </c>
      <c r="BS81" s="438">
        <f t="shared" si="107"/>
        <v>-284845.50147455069</v>
      </c>
      <c r="BT81" s="438">
        <f t="shared" si="108"/>
        <v>-55221.25</v>
      </c>
      <c r="BW81" s="565">
        <f>Breakout!$H$15/12</f>
        <v>3703139.2932055355</v>
      </c>
      <c r="BX81" s="565">
        <f>Breakout!$H$26/12</f>
        <v>131198.65030406561</v>
      </c>
      <c r="BY81" s="565">
        <f>Breakout!$H$37/12</f>
        <v>66040.774177282045</v>
      </c>
      <c r="BZ81" s="565">
        <f>Breakout!$H$48/12</f>
        <v>480384.829276192</v>
      </c>
      <c r="CA81" s="565">
        <f>Breakout!$H$59/12</f>
        <v>441990.4497649477</v>
      </c>
      <c r="CB81" s="565">
        <f>Breakout!$H$70/12</f>
        <v>335346.5754509535</v>
      </c>
      <c r="CC81" s="565">
        <f>Breakout!$H$81/12</f>
        <v>22072.45126246057</v>
      </c>
      <c r="CE81" s="634">
        <f t="shared" si="90"/>
        <v>3702307.2543924586</v>
      </c>
      <c r="CF81" s="634">
        <f t="shared" si="91"/>
        <v>131169.17197213342</v>
      </c>
      <c r="CG81" s="634">
        <f t="shared" si="92"/>
        <v>66025.93582446556</v>
      </c>
      <c r="CI81" s="634">
        <f t="shared" si="93"/>
        <v>-715341.08333333337</v>
      </c>
      <c r="CJ81" s="634">
        <f t="shared" si="94"/>
        <v>-705333.33333333337</v>
      </c>
      <c r="CL81" s="438">
        <f>'account mgt'!$H$23/12</f>
        <v>-54375.979557599996</v>
      </c>
      <c r="CN81" s="438">
        <v>0</v>
      </c>
      <c r="CT81" s="438">
        <f t="shared" si="51"/>
        <v>2080702.3736414281</v>
      </c>
      <c r="CU81" s="438">
        <f t="shared" si="46"/>
        <v>16420.20956532027</v>
      </c>
      <c r="CV81" s="438">
        <f>IF(CT81&lt;0.1,0,PPMT($L$3,A81-14,unwinds!$B$8*12,$K$5))</f>
        <v>751138.66793727782</v>
      </c>
      <c r="CW81" s="438">
        <f t="shared" si="47"/>
        <v>1329563.7057041503</v>
      </c>
      <c r="CX81" s="438">
        <f t="shared" si="48"/>
        <v>1329563.7057041503</v>
      </c>
      <c r="DA81" s="438">
        <f t="shared" si="53"/>
        <v>20733257.417693961</v>
      </c>
      <c r="DB81" s="438">
        <f t="shared" si="54"/>
        <v>163619.95645463484</v>
      </c>
      <c r="DC81" s="438">
        <f t="shared" si="55"/>
        <v>331778.11521698092</v>
      </c>
      <c r="DD81" s="438">
        <f t="shared" si="56"/>
        <v>20401479.30247698</v>
      </c>
      <c r="DE81" s="438">
        <f t="shared" si="73"/>
        <v>20401479.30247698</v>
      </c>
      <c r="DH81" s="944">
        <v>-715341.08333333337</v>
      </c>
      <c r="DI81" s="944">
        <v>-705333.33333333337</v>
      </c>
      <c r="DJ81" s="944"/>
      <c r="DL81" s="381">
        <f t="shared" si="52"/>
        <v>474832.92700924521</v>
      </c>
      <c r="DN81" s="944">
        <f t="shared" si="95"/>
        <v>-715341.08333333337</v>
      </c>
      <c r="DO81" s="944">
        <f t="shared" si="96"/>
        <v>474832.92700924521</v>
      </c>
      <c r="DQ81" s="438">
        <f t="shared" si="97"/>
        <v>452556.79320553597</v>
      </c>
      <c r="DR81" s="438">
        <f t="shared" si="98"/>
        <v>-22235.42889153838</v>
      </c>
      <c r="DS81" s="438"/>
      <c r="DT81" s="438"/>
      <c r="DU81" s="438"/>
      <c r="DV81" s="438"/>
      <c r="DW81" s="438"/>
      <c r="DX81" s="438"/>
    </row>
    <row r="82" spans="1:128" x14ac:dyDescent="0.2">
      <c r="A82" s="383">
        <v>71</v>
      </c>
      <c r="B82" s="631">
        <v>38657</v>
      </c>
      <c r="C82" s="381">
        <v>0</v>
      </c>
      <c r="D82" s="381">
        <v>0</v>
      </c>
      <c r="E82" s="381">
        <v>0</v>
      </c>
      <c r="F82" s="381">
        <v>159741.05103430239</v>
      </c>
      <c r="G82" s="381">
        <v>331778.1152169811</v>
      </c>
      <c r="H82" s="381">
        <v>0</v>
      </c>
      <c r="I82" s="381">
        <v>491519.16625128349</v>
      </c>
      <c r="J82" s="381"/>
      <c r="K82" s="381"/>
      <c r="L82" s="381">
        <f t="shared" si="50"/>
        <v>491519.16625128326</v>
      </c>
      <c r="M82" s="381"/>
      <c r="N82" s="679">
        <f t="shared" si="99"/>
        <v>-715341.08333333337</v>
      </c>
      <c r="O82" s="679">
        <f t="shared" si="100"/>
        <v>-705333.33333333337</v>
      </c>
      <c r="P82" s="565">
        <f>Breakout!$H$16/12</f>
        <v>3554214.9642167599</v>
      </c>
      <c r="Q82" s="557">
        <f>'wholesale services'!$D$110*'wholesale services'!$I$111/12</f>
        <v>3250582.4999999995</v>
      </c>
      <c r="R82" s="557">
        <v>3320487.5</v>
      </c>
      <c r="S82" s="565">
        <f>Breakout!$H$27/12</f>
        <v>125922.40509324807</v>
      </c>
      <c r="T82" s="557">
        <f>'wholesale services'!$D$113*'wholesale services'!$I$114/12</f>
        <v>153434.07919560399</v>
      </c>
      <c r="U82" s="557">
        <v>156565.3869342898</v>
      </c>
      <c r="V82" s="565">
        <f>Breakout!$H$38/12</f>
        <v>63384.898391486939</v>
      </c>
      <c r="W82" s="496">
        <f>Breakout!$H$39/12</f>
        <v>67203.118087171009</v>
      </c>
      <c r="X82" s="496">
        <v>67925.732260151344</v>
      </c>
      <c r="Y82" s="565">
        <f>Breakout!$H$49/12</f>
        <v>461065.8183797868</v>
      </c>
      <c r="Z82" s="566">
        <f>Breakout!$H$50/12</f>
        <v>428643.45818064484</v>
      </c>
      <c r="AA82" s="566">
        <v>450260.16394375247</v>
      </c>
      <c r="AB82" s="565">
        <f>Breakout!$H$60/12</f>
        <v>424215.49561416445</v>
      </c>
      <c r="AC82" s="566">
        <f>Breakout!$H$61/12</f>
        <v>424661.50848744734</v>
      </c>
      <c r="AD82" s="566">
        <v>437902.62456500687</v>
      </c>
      <c r="AE82" s="565">
        <f>Breakout!$H$71/12</f>
        <v>321860.37907174928</v>
      </c>
      <c r="AF82" s="566">
        <f>Breakout!$H$72/12</f>
        <v>316520.66666666669</v>
      </c>
      <c r="AG82" s="566">
        <v>316520.66666666669</v>
      </c>
      <c r="AH82" s="565">
        <f>Breakout!$H$82/12</f>
        <v>21184.792243144027</v>
      </c>
      <c r="AI82" s="566">
        <f>Breakout!$H$83/12</f>
        <v>0</v>
      </c>
      <c r="AJ82" s="566">
        <v>0</v>
      </c>
      <c r="AK82" s="571">
        <f>Breakout!$H$91/12</f>
        <v>284845.50147455069</v>
      </c>
      <c r="AL82" s="571">
        <v>284845.50147455069</v>
      </c>
      <c r="AM82" s="567">
        <f>(Breakout!$H$107/12)*-1</f>
        <v>55221.25</v>
      </c>
      <c r="AN82" s="567">
        <v>55221.25</v>
      </c>
      <c r="AO82" s="578">
        <f t="shared" si="74"/>
        <v>4971848.7530103391</v>
      </c>
      <c r="AP82" s="578">
        <f t="shared" si="75"/>
        <v>5015969.9039327521</v>
      </c>
      <c r="AQ82" s="548">
        <f t="shared" si="76"/>
        <v>231244.82724234316</v>
      </c>
      <c r="AR82" s="496"/>
      <c r="AS82" s="553">
        <f t="shared" si="77"/>
        <v>95934.094247971545</v>
      </c>
      <c r="AT82" s="496"/>
      <c r="AU82" s="557">
        <f>'wholesale services'!$I$110/12</f>
        <v>39106610.706018515</v>
      </c>
      <c r="AV82" s="557">
        <f>'wholesale services'!$I$113/12</f>
        <v>17613.255833333333</v>
      </c>
      <c r="AW82" s="496"/>
      <c r="AX82" s="552">
        <f t="shared" si="78"/>
        <v>-715341.08333333337</v>
      </c>
      <c r="AY82" s="381">
        <f t="shared" si="79"/>
        <v>-705333.33333333337</v>
      </c>
      <c r="AZ82" s="496"/>
      <c r="BA82" s="438">
        <f t="shared" si="80"/>
        <v>532115.21272464411</v>
      </c>
      <c r="BB82" s="438">
        <f t="shared" si="81"/>
        <v>-15486.266286151505</v>
      </c>
      <c r="BC82" s="438">
        <f t="shared" si="82"/>
        <v>-3818.2196956840708</v>
      </c>
      <c r="BD82" s="438">
        <f t="shared" si="101"/>
        <v>32422.360199141956</v>
      </c>
      <c r="BE82" s="438">
        <f t="shared" si="102"/>
        <v>-446.0128732828889</v>
      </c>
      <c r="BF82" s="438">
        <f t="shared" si="103"/>
        <v>5339.7124050825951</v>
      </c>
      <c r="BG82" s="438">
        <f t="shared" si="104"/>
        <v>21184.792243144027</v>
      </c>
      <c r="BH82" s="438">
        <f t="shared" si="105"/>
        <v>-284845.50147455069</v>
      </c>
      <c r="BI82" s="438">
        <f t="shared" si="106"/>
        <v>-55221.25</v>
      </c>
      <c r="BL82" s="438">
        <f t="shared" si="83"/>
        <v>681039.54171341972</v>
      </c>
      <c r="BM82" s="438">
        <f t="shared" si="84"/>
        <v>-10210.021075333971</v>
      </c>
      <c r="BN82" s="438">
        <f t="shared" si="85"/>
        <v>-1162.3439098889648</v>
      </c>
      <c r="BO82" s="438">
        <f t="shared" si="86"/>
        <v>51741.371095547162</v>
      </c>
      <c r="BP82" s="438">
        <f t="shared" si="87"/>
        <v>17328.941277500358</v>
      </c>
      <c r="BQ82" s="438">
        <f t="shared" si="88"/>
        <v>18825.908784286818</v>
      </c>
      <c r="BR82" s="438">
        <f t="shared" si="89"/>
        <v>22072.45126246057</v>
      </c>
      <c r="BS82" s="438">
        <f t="shared" si="107"/>
        <v>-284845.50147455069</v>
      </c>
      <c r="BT82" s="438">
        <f t="shared" si="108"/>
        <v>-55221.25</v>
      </c>
      <c r="BW82" s="565">
        <f>Breakout!$H$15/12</f>
        <v>3703139.2932055355</v>
      </c>
      <c r="BX82" s="565">
        <f>Breakout!$H$26/12</f>
        <v>131198.65030406561</v>
      </c>
      <c r="BY82" s="565">
        <f>Breakout!$H$37/12</f>
        <v>66040.774177282045</v>
      </c>
      <c r="BZ82" s="565">
        <f>Breakout!$H$48/12</f>
        <v>480384.829276192</v>
      </c>
      <c r="CA82" s="565">
        <f>Breakout!$H$59/12</f>
        <v>441990.4497649477</v>
      </c>
      <c r="CB82" s="565">
        <f>Breakout!$H$70/12</f>
        <v>335346.5754509535</v>
      </c>
      <c r="CC82" s="565">
        <f>Breakout!$H$81/12</f>
        <v>22072.45126246057</v>
      </c>
      <c r="CE82" s="634">
        <f t="shared" si="90"/>
        <v>3702307.2543924586</v>
      </c>
      <c r="CF82" s="634">
        <f t="shared" si="91"/>
        <v>131169.17197213342</v>
      </c>
      <c r="CG82" s="634">
        <f t="shared" si="92"/>
        <v>66025.93582446556</v>
      </c>
      <c r="CI82" s="634">
        <f t="shared" si="93"/>
        <v>-715341.08333333337</v>
      </c>
      <c r="CJ82" s="634">
        <f t="shared" si="94"/>
        <v>-705333.33333333337</v>
      </c>
      <c r="CL82" s="438">
        <f>'account mgt'!$H$23/12</f>
        <v>-54375.979557599996</v>
      </c>
      <c r="CN82" s="438">
        <v>0</v>
      </c>
      <c r="CT82" s="438">
        <f t="shared" si="51"/>
        <v>1329563.7057041503</v>
      </c>
      <c r="CU82" s="438">
        <f t="shared" si="46"/>
        <v>10492.473577515253</v>
      </c>
      <c r="CV82" s="438">
        <f>IF(CT82&lt;0.1,0,PPMT($L$3,A82-14,unwinds!$B$8*12,$K$5))</f>
        <v>757066.40392508276</v>
      </c>
      <c r="CW82" s="438">
        <f t="shared" si="47"/>
        <v>572497.30177906749</v>
      </c>
      <c r="CX82" s="438">
        <f t="shared" si="48"/>
        <v>572497.30177906749</v>
      </c>
      <c r="DA82" s="438">
        <f t="shared" si="53"/>
        <v>20401479.30247698</v>
      </c>
      <c r="DB82" s="438">
        <f t="shared" si="54"/>
        <v>161001.67416204751</v>
      </c>
      <c r="DC82" s="438">
        <f t="shared" si="55"/>
        <v>334396.3975095682</v>
      </c>
      <c r="DD82" s="438">
        <f t="shared" si="56"/>
        <v>20067082.904967412</v>
      </c>
      <c r="DE82" s="438">
        <f t="shared" si="73"/>
        <v>20067082.904967412</v>
      </c>
      <c r="DH82" s="944">
        <v>-715341.08333333337</v>
      </c>
      <c r="DI82" s="944">
        <v>-705333.33333333337</v>
      </c>
      <c r="DJ82" s="944"/>
      <c r="DL82" s="381">
        <f t="shared" si="52"/>
        <v>474832.92700924521</v>
      </c>
      <c r="DN82" s="944">
        <f t="shared" si="95"/>
        <v>-715341.08333333337</v>
      </c>
      <c r="DO82" s="944">
        <f t="shared" si="96"/>
        <v>474832.92700924521</v>
      </c>
      <c r="DQ82" s="438">
        <f t="shared" si="97"/>
        <v>452556.79320553597</v>
      </c>
      <c r="DR82" s="438">
        <f t="shared" si="98"/>
        <v>-22235.42889153838</v>
      </c>
      <c r="DS82" s="438"/>
      <c r="DT82" s="438"/>
      <c r="DU82" s="438"/>
      <c r="DV82" s="438"/>
      <c r="DW82" s="438"/>
      <c r="DX82" s="438"/>
    </row>
    <row r="83" spans="1:128" s="676" customFormat="1" x14ac:dyDescent="0.2">
      <c r="A83" s="667">
        <v>72</v>
      </c>
      <c r="B83" s="668">
        <v>38687</v>
      </c>
      <c r="C83" s="669">
        <v>0</v>
      </c>
      <c r="D83" s="669">
        <v>0</v>
      </c>
      <c r="E83" s="669">
        <v>0</v>
      </c>
      <c r="F83" s="381">
        <v>157122.76874171506</v>
      </c>
      <c r="G83" s="381">
        <v>334396.39750956843</v>
      </c>
      <c r="H83" s="381">
        <v>0</v>
      </c>
      <c r="I83" s="381">
        <v>491519.16625128349</v>
      </c>
      <c r="J83" s="669"/>
      <c r="K83" s="669"/>
      <c r="L83" s="381">
        <f t="shared" si="50"/>
        <v>491519.16625128326</v>
      </c>
      <c r="M83" s="669"/>
      <c r="N83" s="679">
        <f t="shared" si="99"/>
        <v>-715341.08333333337</v>
      </c>
      <c r="O83" s="679">
        <f t="shared" si="100"/>
        <v>-705333.33333333337</v>
      </c>
      <c r="P83" s="670">
        <f>Breakout!$H$16/12</f>
        <v>3554214.9642167599</v>
      </c>
      <c r="Q83" s="671">
        <f>'wholesale services'!$D$110*'wholesale services'!$I$111/12</f>
        <v>3250582.4999999995</v>
      </c>
      <c r="R83" s="671">
        <v>3320487.5</v>
      </c>
      <c r="S83" s="670">
        <f>Breakout!$H$27/12</f>
        <v>125922.40509324807</v>
      </c>
      <c r="T83" s="671">
        <f>'wholesale services'!$D$113*'wholesale services'!$I$114/12</f>
        <v>153434.07919560399</v>
      </c>
      <c r="U83" s="671">
        <v>156565.3869342898</v>
      </c>
      <c r="V83" s="670">
        <f>Breakout!$H$38/12</f>
        <v>63384.898391486939</v>
      </c>
      <c r="W83" s="672">
        <f>Breakout!$H$39/12</f>
        <v>67203.118087171009</v>
      </c>
      <c r="X83" s="672">
        <v>67925.732260151344</v>
      </c>
      <c r="Y83" s="670">
        <f>Breakout!$H$49/12</f>
        <v>461065.8183797868</v>
      </c>
      <c r="Z83" s="671">
        <f>Breakout!$H$50/12</f>
        <v>428643.45818064484</v>
      </c>
      <c r="AA83" s="671">
        <v>450260.16394375247</v>
      </c>
      <c r="AB83" s="670">
        <f>Breakout!$H$60/12</f>
        <v>424215.49561416445</v>
      </c>
      <c r="AC83" s="671">
        <f>Breakout!$H$61/12</f>
        <v>424661.50848744734</v>
      </c>
      <c r="AD83" s="671">
        <v>437902.62456500687</v>
      </c>
      <c r="AE83" s="670">
        <f>Breakout!$H$71/12</f>
        <v>321860.37907174928</v>
      </c>
      <c r="AF83" s="671">
        <f>Breakout!$H$72/12</f>
        <v>316520.66666666669</v>
      </c>
      <c r="AG83" s="671">
        <v>316520.66666666669</v>
      </c>
      <c r="AH83" s="670">
        <f>Breakout!$H$82/12</f>
        <v>21184.792243144027</v>
      </c>
      <c r="AI83" s="671">
        <f>Breakout!$H$83/12</f>
        <v>0</v>
      </c>
      <c r="AJ83" s="671">
        <v>0</v>
      </c>
      <c r="AK83" s="673">
        <f>Breakout!$H$91/12</f>
        <v>284845.50147455069</v>
      </c>
      <c r="AL83" s="673">
        <v>284845.50147455069</v>
      </c>
      <c r="AM83" s="673">
        <f>(Breakout!$H$107/12)*-1</f>
        <v>55221.25</v>
      </c>
      <c r="AN83" s="673">
        <v>55221.25</v>
      </c>
      <c r="AO83" s="674">
        <f t="shared" si="74"/>
        <v>4971848.7530103391</v>
      </c>
      <c r="AP83" s="674">
        <f t="shared" si="75"/>
        <v>5015969.9039327521</v>
      </c>
      <c r="AQ83" s="548">
        <f t="shared" si="76"/>
        <v>231244.82724234316</v>
      </c>
      <c r="AR83" s="672">
        <f>SUM(AQ72:AQ83)</f>
        <v>2774937.9269081182</v>
      </c>
      <c r="AS83" s="553">
        <f t="shared" si="77"/>
        <v>95934.094247971545</v>
      </c>
      <c r="AT83" s="672">
        <f>SUM(AS72:AS83)</f>
        <v>1151209.1309756585</v>
      </c>
      <c r="AU83" s="671">
        <f>'wholesale services'!$I$110/12</f>
        <v>39106610.706018515</v>
      </c>
      <c r="AV83" s="671">
        <f>'wholesale services'!$I$113/12</f>
        <v>17613.255833333333</v>
      </c>
      <c r="AW83" s="672"/>
      <c r="AX83" s="552">
        <f t="shared" si="78"/>
        <v>-715341.08333333337</v>
      </c>
      <c r="AY83" s="381">
        <f t="shared" si="79"/>
        <v>-705333.33333333337</v>
      </c>
      <c r="AZ83" s="672"/>
      <c r="BA83" s="438">
        <f t="shared" si="80"/>
        <v>532115.21272464411</v>
      </c>
      <c r="BB83" s="438">
        <f t="shared" si="81"/>
        <v>-15486.266286151505</v>
      </c>
      <c r="BC83" s="438">
        <f t="shared" si="82"/>
        <v>-3818.2196956840708</v>
      </c>
      <c r="BD83" s="438">
        <f t="shared" si="101"/>
        <v>32422.360199141956</v>
      </c>
      <c r="BE83" s="438">
        <f t="shared" si="102"/>
        <v>-446.0128732828889</v>
      </c>
      <c r="BF83" s="438">
        <f t="shared" si="103"/>
        <v>5339.7124050825951</v>
      </c>
      <c r="BG83" s="438">
        <f t="shared" si="104"/>
        <v>21184.792243144027</v>
      </c>
      <c r="BH83" s="438">
        <f t="shared" si="105"/>
        <v>-284845.50147455069</v>
      </c>
      <c r="BI83" s="438">
        <f t="shared" si="106"/>
        <v>-55221.25</v>
      </c>
      <c r="BJ83" s="672"/>
      <c r="BK83" s="496"/>
      <c r="BL83" s="438">
        <f t="shared" si="83"/>
        <v>681039.54171341972</v>
      </c>
      <c r="BM83" s="438">
        <f t="shared" si="84"/>
        <v>-10210.021075333971</v>
      </c>
      <c r="BN83" s="438">
        <f t="shared" si="85"/>
        <v>-1162.3439098889648</v>
      </c>
      <c r="BO83" s="438">
        <f t="shared" si="86"/>
        <v>51741.371095547162</v>
      </c>
      <c r="BP83" s="438">
        <f t="shared" si="87"/>
        <v>17328.941277500358</v>
      </c>
      <c r="BQ83" s="438">
        <f t="shared" si="88"/>
        <v>18825.908784286818</v>
      </c>
      <c r="BR83" s="438">
        <f t="shared" si="89"/>
        <v>22072.45126246057</v>
      </c>
      <c r="BS83" s="438">
        <f t="shared" si="107"/>
        <v>-284845.50147455069</v>
      </c>
      <c r="BT83" s="438">
        <f t="shared" si="108"/>
        <v>-55221.25</v>
      </c>
      <c r="BU83" s="672"/>
      <c r="BV83" s="672"/>
      <c r="BW83" s="670">
        <f>Breakout!$H$15/12</f>
        <v>3703139.2932055355</v>
      </c>
      <c r="BX83" s="670">
        <f>Breakout!$H$26/12</f>
        <v>131198.65030406561</v>
      </c>
      <c r="BY83" s="670">
        <f>Breakout!$H$37/12</f>
        <v>66040.774177282045</v>
      </c>
      <c r="BZ83" s="670">
        <f>Breakout!$H$48/12</f>
        <v>480384.829276192</v>
      </c>
      <c r="CA83" s="670">
        <f>Breakout!$H$59/12</f>
        <v>441990.4497649477</v>
      </c>
      <c r="CB83" s="670">
        <f>Breakout!$H$70/12</f>
        <v>335346.5754509535</v>
      </c>
      <c r="CC83" s="670">
        <f>Breakout!$H$81/12</f>
        <v>22072.45126246057</v>
      </c>
      <c r="CD83" s="672"/>
      <c r="CE83" s="675">
        <f t="shared" si="90"/>
        <v>3702307.2543924586</v>
      </c>
      <c r="CF83" s="675">
        <f t="shared" si="91"/>
        <v>131169.17197213342</v>
      </c>
      <c r="CG83" s="675">
        <f t="shared" si="92"/>
        <v>66025.93582446556</v>
      </c>
      <c r="CH83" s="672"/>
      <c r="CI83" s="675">
        <f t="shared" si="93"/>
        <v>-715341.08333333337</v>
      </c>
      <c r="CJ83" s="675">
        <f t="shared" si="94"/>
        <v>-705333.33333333337</v>
      </c>
      <c r="CK83" s="672"/>
      <c r="CL83" s="672">
        <f>'account mgt'!$H$23/12</f>
        <v>-54375.979557599996</v>
      </c>
      <c r="CM83" s="672"/>
      <c r="CN83" s="438">
        <v>0</v>
      </c>
      <c r="CO83" s="672"/>
      <c r="CP83" s="672"/>
      <c r="CQ83" s="496"/>
      <c r="CR83" s="496"/>
      <c r="CS83" s="496"/>
      <c r="CT83" s="438">
        <f t="shared" si="51"/>
        <v>572497.30177906749</v>
      </c>
      <c r="CU83" s="438">
        <f t="shared" si="46"/>
        <v>4517.9578732064747</v>
      </c>
      <c r="CV83" s="438">
        <f>IF(CT83&lt;0.1,0,PPMT($L$3,A83-14,unwinds!$B$8*12,$K$5))</f>
        <v>763040.91962939152</v>
      </c>
      <c r="CW83" s="438">
        <f>IF(CT83-CV83&lt;0,0,CT83-CV83)</f>
        <v>0</v>
      </c>
      <c r="CX83" s="438">
        <f>IF(CX82-CV83&lt;0,0,CX82-CV83)</f>
        <v>0</v>
      </c>
      <c r="CY83" s="672">
        <f>CX83</f>
        <v>0</v>
      </c>
      <c r="CZ83" s="438"/>
      <c r="DA83" s="438">
        <f t="shared" si="53"/>
        <v>20067082.904967412</v>
      </c>
      <c r="DB83" s="438">
        <f t="shared" si="54"/>
        <v>158362.72925836782</v>
      </c>
      <c r="DC83" s="438">
        <f t="shared" si="55"/>
        <v>337035.34241324791</v>
      </c>
      <c r="DD83" s="438">
        <f t="shared" si="56"/>
        <v>19730047.562554166</v>
      </c>
      <c r="DE83" s="438">
        <f t="shared" si="73"/>
        <v>19730047.562554166</v>
      </c>
      <c r="DF83" s="672">
        <f>DE83</f>
        <v>19730047.562554166</v>
      </c>
      <c r="DG83" s="672"/>
      <c r="DH83" s="944">
        <v>-715341.08333333337</v>
      </c>
      <c r="DI83" s="944">
        <v>-705333.33333333337</v>
      </c>
      <c r="DJ83" s="944"/>
      <c r="DK83" s="672"/>
      <c r="DL83" s="381">
        <f t="shared" si="52"/>
        <v>474832.92700924521</v>
      </c>
      <c r="DM83" s="672"/>
      <c r="DN83" s="944">
        <f t="shared" si="95"/>
        <v>-715341.08333333337</v>
      </c>
      <c r="DO83" s="944">
        <f t="shared" si="96"/>
        <v>474832.92700924521</v>
      </c>
      <c r="DP83" s="672"/>
      <c r="DQ83" s="438">
        <f t="shared" si="97"/>
        <v>452556.79320553597</v>
      </c>
      <c r="DR83" s="438">
        <f t="shared" si="98"/>
        <v>-22235.42889153838</v>
      </c>
      <c r="DS83" s="672"/>
      <c r="DT83" s="672"/>
      <c r="DU83" s="672"/>
      <c r="DV83" s="672"/>
      <c r="DW83" s="672"/>
      <c r="DX83" s="672"/>
    </row>
    <row r="84" spans="1:128" s="532" customFormat="1" x14ac:dyDescent="0.2">
      <c r="A84" s="528">
        <v>73</v>
      </c>
      <c r="B84" s="631">
        <v>38718</v>
      </c>
      <c r="C84" s="381">
        <v>0</v>
      </c>
      <c r="D84" s="381">
        <v>0</v>
      </c>
      <c r="E84" s="381">
        <v>0</v>
      </c>
      <c r="F84" s="381">
        <v>154483.82383803534</v>
      </c>
      <c r="G84" s="381">
        <v>337035.34241324815</v>
      </c>
      <c r="H84" s="381">
        <v>0</v>
      </c>
      <c r="I84" s="381">
        <v>491519.16625128349</v>
      </c>
      <c r="J84" s="381"/>
      <c r="K84" s="381"/>
      <c r="L84" s="381">
        <f t="shared" si="50"/>
        <v>491519.16625128326</v>
      </c>
      <c r="M84" s="381"/>
      <c r="N84" s="679">
        <f t="shared" si="99"/>
        <v>-715341.08333333337</v>
      </c>
      <c r="O84" s="679">
        <f t="shared" si="100"/>
        <v>-705333.33333333337</v>
      </c>
      <c r="P84" s="564">
        <f>Breakout!$I$16/12</f>
        <v>3591047.6667805226</v>
      </c>
      <c r="Q84" s="557">
        <f>'wholesale services'!$D$110*'wholesale services'!$J$111/12</f>
        <v>3250582.4999999995</v>
      </c>
      <c r="R84" s="557">
        <v>3320487.5</v>
      </c>
      <c r="S84" s="564">
        <f>Breakout!$I$27/12</f>
        <v>127227.35218834742</v>
      </c>
      <c r="T84" s="557">
        <f>'wholesale services'!$D$113*'wholesale services'!$J$114/12</f>
        <v>157513.62559584022</v>
      </c>
      <c r="U84" s="557">
        <v>160728.18938351041</v>
      </c>
      <c r="V84" s="564">
        <f>Breakout!$I$38/12</f>
        <v>64041.762743528874</v>
      </c>
      <c r="W84" s="531">
        <f>Breakout!$I$39/12</f>
        <v>69219.211629786136</v>
      </c>
      <c r="X84" s="531">
        <v>69963.504227955884</v>
      </c>
      <c r="Y84" s="564">
        <f>Breakout!$I$49/12</f>
        <v>465843.89182826295</v>
      </c>
      <c r="Z84" s="560">
        <f>Breakout!$I$50/12</f>
        <v>436359.04042789649</v>
      </c>
      <c r="AA84" s="560">
        <v>458364.84689473995</v>
      </c>
      <c r="AB84" s="564">
        <f>Breakout!$I$60/12</f>
        <v>428611.68530167785</v>
      </c>
      <c r="AC84" s="560">
        <f>Breakout!$I$61/12</f>
        <v>432305.41564022127</v>
      </c>
      <c r="AD84" s="560">
        <v>445784.87180717703</v>
      </c>
      <c r="AE84" s="564">
        <f>Breakout!$I$71/12</f>
        <v>325195.85194797197</v>
      </c>
      <c r="AF84" s="560">
        <f>Breakout!$I$72/12</f>
        <v>316520.66666666669</v>
      </c>
      <c r="AG84" s="560">
        <v>316520.66666666669</v>
      </c>
      <c r="AH84" s="564">
        <f>Breakout!$I$82/12</f>
        <v>21404.332467756973</v>
      </c>
      <c r="AI84" s="560">
        <f>Breakout!$I$83/12</f>
        <v>0</v>
      </c>
      <c r="AJ84" s="560">
        <v>0</v>
      </c>
      <c r="AK84" s="570">
        <f>Breakout!$I$91/12</f>
        <v>287797.38529082685</v>
      </c>
      <c r="AL84" s="570">
        <v>287797.38529082685</v>
      </c>
      <c r="AM84" s="567">
        <f>(Breakout!$I$107/12)*-1</f>
        <v>55221.25</v>
      </c>
      <c r="AN84" s="567">
        <v>55221.25</v>
      </c>
      <c r="AO84" s="578">
        <f t="shared" si="74"/>
        <v>5023372.5432580691</v>
      </c>
      <c r="AP84" s="578">
        <f t="shared" si="75"/>
        <v>5041004.3578850366</v>
      </c>
      <c r="AQ84" s="548">
        <f t="shared" si="76"/>
        <v>258361.60433092032</v>
      </c>
      <c r="AR84" s="531"/>
      <c r="AS84" s="553">
        <f t="shared" si="77"/>
        <v>122318.49606924236</v>
      </c>
      <c r="AT84" s="531"/>
      <c r="AU84" s="557">
        <f>'wholesale services'!$J$110/12</f>
        <v>39106610.706018515</v>
      </c>
      <c r="AV84" s="557">
        <f>'wholesale services'!$J$113/12</f>
        <v>17613.255833333333</v>
      </c>
      <c r="AW84" s="531"/>
      <c r="AX84" s="552">
        <f t="shared" si="78"/>
        <v>-715341.08333333337</v>
      </c>
      <c r="AY84" s="381">
        <f t="shared" si="79"/>
        <v>-705333.33333333337</v>
      </c>
      <c r="AZ84" s="496"/>
      <c r="BA84" s="438">
        <f t="shared" si="80"/>
        <v>568947.91528840677</v>
      </c>
      <c r="BB84" s="438">
        <f t="shared" si="81"/>
        <v>-18260.865591288391</v>
      </c>
      <c r="BC84" s="438">
        <f t="shared" si="82"/>
        <v>-5177.4488862572616</v>
      </c>
      <c r="BD84" s="438">
        <f t="shared" si="101"/>
        <v>29484.85140036646</v>
      </c>
      <c r="BE84" s="438">
        <f t="shared" si="102"/>
        <v>-3693.7303385434207</v>
      </c>
      <c r="BF84" s="438">
        <f t="shared" si="103"/>
        <v>8675.1852813052828</v>
      </c>
      <c r="BG84" s="438">
        <f t="shared" si="104"/>
        <v>21404.332467756973</v>
      </c>
      <c r="BH84" s="438">
        <f t="shared" si="105"/>
        <v>-287797.38529082685</v>
      </c>
      <c r="BI84" s="438">
        <f t="shared" si="106"/>
        <v>-55221.25</v>
      </c>
      <c r="BJ84" s="531"/>
      <c r="BK84" s="496"/>
      <c r="BL84" s="438">
        <f t="shared" si="83"/>
        <v>719584.87406055338</v>
      </c>
      <c r="BM84" s="438">
        <f t="shared" si="84"/>
        <v>-12923.943560546475</v>
      </c>
      <c r="BN84" s="438">
        <f t="shared" si="85"/>
        <v>-2491.0305289255048</v>
      </c>
      <c r="BO84" s="438">
        <f t="shared" si="86"/>
        <v>49026.030922080332</v>
      </c>
      <c r="BP84" s="438">
        <f t="shared" si="87"/>
        <v>14285.635784973856</v>
      </c>
      <c r="BQ84" s="438">
        <f t="shared" si="88"/>
        <v>22316.472918870335</v>
      </c>
      <c r="BR84" s="438">
        <f t="shared" si="89"/>
        <v>22302.199565795654</v>
      </c>
      <c r="BS84" s="438">
        <f t="shared" si="107"/>
        <v>-287797.38529082685</v>
      </c>
      <c r="BT84" s="438">
        <f t="shared" si="108"/>
        <v>-55221.25</v>
      </c>
      <c r="BU84" s="531"/>
      <c r="BV84" s="531"/>
      <c r="BW84" s="564">
        <f>Breakout!$I$15/12</f>
        <v>3741684.6255526692</v>
      </c>
      <c r="BX84" s="564">
        <f>Breakout!$I$26/12</f>
        <v>132564.27421908933</v>
      </c>
      <c r="BY84" s="564">
        <f>Breakout!$I$37/12</f>
        <v>66728.181100860631</v>
      </c>
      <c r="BZ84" s="564">
        <f>Breakout!$I$48/12</f>
        <v>485385.07134997682</v>
      </c>
      <c r="CA84" s="564">
        <f>Breakout!$I$59/12</f>
        <v>446591.05142519512</v>
      </c>
      <c r="CB84" s="564">
        <f>Breakout!$I$70/12</f>
        <v>338837.13958553702</v>
      </c>
      <c r="CC84" s="564">
        <f>Breakout!$I$81/12</f>
        <v>22302.199565795654</v>
      </c>
      <c r="CD84" s="531"/>
      <c r="CE84" s="634">
        <f t="shared" si="90"/>
        <v>3740674.6528963777</v>
      </c>
      <c r="CF84" s="634">
        <f t="shared" si="91"/>
        <v>132528.49186286191</v>
      </c>
      <c r="CG84" s="634">
        <f t="shared" si="92"/>
        <v>66710.169524509241</v>
      </c>
      <c r="CH84" s="531"/>
      <c r="CI84" s="634">
        <f t="shared" si="93"/>
        <v>-715341.08333333337</v>
      </c>
      <c r="CJ84" s="634">
        <f t="shared" si="94"/>
        <v>-705333.33333333337</v>
      </c>
      <c r="CK84" s="531"/>
      <c r="CL84" s="438">
        <f>'account mgt'!$I$23/12</f>
        <v>-55463.499148751995</v>
      </c>
      <c r="CM84" s="531"/>
      <c r="CN84" s="438">
        <v>0</v>
      </c>
      <c r="CO84" s="531"/>
      <c r="CP84" s="531"/>
      <c r="CQ84" s="496"/>
      <c r="CR84" s="496"/>
      <c r="CS84" s="496"/>
      <c r="CT84" s="438">
        <f t="shared" si="51"/>
        <v>0</v>
      </c>
      <c r="CU84" s="438">
        <f t="shared" si="46"/>
        <v>0</v>
      </c>
      <c r="CV84" s="438">
        <f>IF(CT84&lt;0.1,0,PPMT($L$3,A84-14,unwinds!$B$8*12,$K$5))</f>
        <v>0</v>
      </c>
      <c r="CW84" s="438">
        <f t="shared" ref="CW84:CW131" si="109">IF(CT84-CV84&lt;0,0,CT84-CV84)</f>
        <v>0</v>
      </c>
      <c r="CX84" s="438">
        <f t="shared" ref="CX84:CX131" si="110">IF(CX83-CV84&lt;0,0,CX83-CV84)</f>
        <v>0</v>
      </c>
      <c r="CY84" s="531"/>
      <c r="CZ84" s="438"/>
      <c r="DA84" s="438">
        <f t="shared" si="53"/>
        <v>19730047.562554166</v>
      </c>
      <c r="DB84" s="438">
        <f t="shared" si="54"/>
        <v>155702.95868115663</v>
      </c>
      <c r="DC84" s="438">
        <f t="shared" si="55"/>
        <v>339695.11299045902</v>
      </c>
      <c r="DD84" s="438">
        <f t="shared" si="56"/>
        <v>19390352.449563708</v>
      </c>
      <c r="DE84" s="438">
        <f t="shared" si="73"/>
        <v>19390352.449563708</v>
      </c>
      <c r="DF84" s="531"/>
      <c r="DG84" s="531"/>
      <c r="DH84" s="944">
        <v>-715341.08333333337</v>
      </c>
      <c r="DI84" s="944">
        <v>-705333.33333333337</v>
      </c>
      <c r="DJ84" s="944"/>
      <c r="DK84" s="531"/>
      <c r="DL84" s="381">
        <f t="shared" si="52"/>
        <v>474832.92700924521</v>
      </c>
      <c r="DM84" s="531"/>
      <c r="DN84" s="944">
        <f t="shared" si="95"/>
        <v>-715341.08333333337</v>
      </c>
      <c r="DO84" s="944">
        <f t="shared" si="96"/>
        <v>474832.92700924521</v>
      </c>
      <c r="DP84" s="531"/>
      <c r="DQ84" s="438">
        <f t="shared" si="97"/>
        <v>491102.12555266963</v>
      </c>
      <c r="DR84" s="438">
        <f t="shared" si="98"/>
        <v>-24949.351376750885</v>
      </c>
      <c r="DS84" s="531"/>
      <c r="DT84" s="531"/>
      <c r="DU84" s="531"/>
      <c r="DV84" s="531"/>
      <c r="DW84" s="531"/>
      <c r="DX84" s="531"/>
    </row>
    <row r="85" spans="1:128" x14ac:dyDescent="0.2">
      <c r="A85" s="383">
        <v>74</v>
      </c>
      <c r="B85" s="631">
        <v>38749</v>
      </c>
      <c r="C85" s="381">
        <v>0</v>
      </c>
      <c r="D85" s="381">
        <v>0</v>
      </c>
      <c r="E85" s="381">
        <v>0</v>
      </c>
      <c r="F85" s="381">
        <v>151824.05326082421</v>
      </c>
      <c r="G85" s="381">
        <v>339695.11299045931</v>
      </c>
      <c r="H85" s="381">
        <v>0</v>
      </c>
      <c r="I85" s="381">
        <v>491519.16625128349</v>
      </c>
      <c r="J85" s="381"/>
      <c r="K85" s="381"/>
      <c r="L85" s="381">
        <f t="shared" si="50"/>
        <v>491519.16625128326</v>
      </c>
      <c r="M85" s="381"/>
      <c r="N85" s="679">
        <f t="shared" si="99"/>
        <v>-715341.08333333337</v>
      </c>
      <c r="O85" s="679">
        <f t="shared" si="100"/>
        <v>-705333.33333333337</v>
      </c>
      <c r="P85" s="565">
        <f>Breakout!$I$16/12</f>
        <v>3591047.6667805226</v>
      </c>
      <c r="Q85" s="557">
        <f>'wholesale services'!$D$110*'wholesale services'!$J$111/12</f>
        <v>3250582.4999999995</v>
      </c>
      <c r="R85" s="557">
        <v>3320487.5</v>
      </c>
      <c r="S85" s="565">
        <f>Breakout!$I$27/12</f>
        <v>127227.35218834742</v>
      </c>
      <c r="T85" s="557">
        <f>'wholesale services'!$D$113*'wholesale services'!$J$114/12</f>
        <v>157513.62559584022</v>
      </c>
      <c r="U85" s="557">
        <v>160728.18938351041</v>
      </c>
      <c r="V85" s="565">
        <f>Breakout!$I$38/12</f>
        <v>64041.762743528874</v>
      </c>
      <c r="W85" s="496">
        <f>Breakout!$I$39/12</f>
        <v>69219.211629786136</v>
      </c>
      <c r="X85" s="496">
        <v>69963.504227955884</v>
      </c>
      <c r="Y85" s="565">
        <f>Breakout!$I$49/12</f>
        <v>465843.89182826295</v>
      </c>
      <c r="Z85" s="566">
        <f>Breakout!$I$50/12</f>
        <v>436359.04042789649</v>
      </c>
      <c r="AA85" s="566">
        <v>458364.84689473995</v>
      </c>
      <c r="AB85" s="565">
        <f>Breakout!$I$60/12</f>
        <v>428611.68530167785</v>
      </c>
      <c r="AC85" s="566">
        <f>Breakout!$I$61/12</f>
        <v>432305.41564022127</v>
      </c>
      <c r="AD85" s="566">
        <v>445784.87180717703</v>
      </c>
      <c r="AE85" s="565">
        <f>Breakout!$I$71/12</f>
        <v>325195.85194797197</v>
      </c>
      <c r="AF85" s="566">
        <f>Breakout!$I$72/12</f>
        <v>316520.66666666669</v>
      </c>
      <c r="AG85" s="566">
        <v>316520.66666666669</v>
      </c>
      <c r="AH85" s="565">
        <f>Breakout!$I$82/12</f>
        <v>21404.332467756973</v>
      </c>
      <c r="AI85" s="566">
        <f>Breakout!$I$83/12</f>
        <v>0</v>
      </c>
      <c r="AJ85" s="566">
        <v>0</v>
      </c>
      <c r="AK85" s="571">
        <f>Breakout!$I$91/12</f>
        <v>287797.38529082685</v>
      </c>
      <c r="AL85" s="571">
        <v>287797.38529082685</v>
      </c>
      <c r="AM85" s="567">
        <f>(Breakout!$I$107/12)*-1</f>
        <v>55221.25</v>
      </c>
      <c r="AN85" s="567">
        <v>55221.25</v>
      </c>
      <c r="AO85" s="578">
        <f t="shared" si="74"/>
        <v>5023372.5432580691</v>
      </c>
      <c r="AP85" s="578">
        <f t="shared" si="75"/>
        <v>5041004.3578850366</v>
      </c>
      <c r="AQ85" s="548">
        <f t="shared" si="76"/>
        <v>258361.60433092032</v>
      </c>
      <c r="AR85" s="496"/>
      <c r="AS85" s="553">
        <f t="shared" si="77"/>
        <v>122318.49606924236</v>
      </c>
      <c r="AT85" s="496"/>
      <c r="AU85" s="557">
        <f>'wholesale services'!$J$110/12</f>
        <v>39106610.706018515</v>
      </c>
      <c r="AV85" s="557">
        <f>'wholesale services'!$J$113/12</f>
        <v>17613.255833333333</v>
      </c>
      <c r="AW85" s="496"/>
      <c r="AX85" s="552">
        <f t="shared" si="78"/>
        <v>-715341.08333333337</v>
      </c>
      <c r="AY85" s="381">
        <f t="shared" si="79"/>
        <v>-705333.33333333337</v>
      </c>
      <c r="AZ85" s="496"/>
      <c r="BA85" s="438">
        <f t="shared" si="80"/>
        <v>568947.91528840677</v>
      </c>
      <c r="BB85" s="438">
        <f t="shared" si="81"/>
        <v>-18260.865591288391</v>
      </c>
      <c r="BC85" s="438">
        <f t="shared" si="82"/>
        <v>-5177.4488862572616</v>
      </c>
      <c r="BD85" s="438">
        <f t="shared" si="101"/>
        <v>29484.85140036646</v>
      </c>
      <c r="BE85" s="438">
        <f t="shared" si="102"/>
        <v>-3693.7303385434207</v>
      </c>
      <c r="BF85" s="438">
        <f t="shared" si="103"/>
        <v>8675.1852813052828</v>
      </c>
      <c r="BG85" s="438">
        <f t="shared" si="104"/>
        <v>21404.332467756973</v>
      </c>
      <c r="BH85" s="438">
        <f t="shared" si="105"/>
        <v>-287797.38529082685</v>
      </c>
      <c r="BI85" s="438">
        <f t="shared" si="106"/>
        <v>-55221.25</v>
      </c>
      <c r="BL85" s="438">
        <f t="shared" si="83"/>
        <v>719584.87406055338</v>
      </c>
      <c r="BM85" s="438">
        <f t="shared" si="84"/>
        <v>-12923.943560546475</v>
      </c>
      <c r="BN85" s="438">
        <f t="shared" si="85"/>
        <v>-2491.0305289255048</v>
      </c>
      <c r="BO85" s="438">
        <f t="shared" si="86"/>
        <v>49026.030922080332</v>
      </c>
      <c r="BP85" s="438">
        <f t="shared" si="87"/>
        <v>14285.635784973856</v>
      </c>
      <c r="BQ85" s="438">
        <f t="shared" si="88"/>
        <v>22316.472918870335</v>
      </c>
      <c r="BR85" s="438">
        <f t="shared" si="89"/>
        <v>22302.199565795654</v>
      </c>
      <c r="BS85" s="438">
        <f t="shared" si="107"/>
        <v>-287797.38529082685</v>
      </c>
      <c r="BT85" s="438">
        <f t="shared" si="108"/>
        <v>-55221.25</v>
      </c>
      <c r="BW85" s="565">
        <f>Breakout!$I$15/12</f>
        <v>3741684.6255526692</v>
      </c>
      <c r="BX85" s="565">
        <f>Breakout!$I$26/12</f>
        <v>132564.27421908933</v>
      </c>
      <c r="BY85" s="565">
        <f>Breakout!$I$37/12</f>
        <v>66728.181100860631</v>
      </c>
      <c r="BZ85" s="565">
        <f>Breakout!$I$48/12</f>
        <v>485385.07134997682</v>
      </c>
      <c r="CA85" s="565">
        <f>Breakout!$I$59/12</f>
        <v>446591.05142519512</v>
      </c>
      <c r="CB85" s="565">
        <f>Breakout!$I$70/12</f>
        <v>338837.13958553702</v>
      </c>
      <c r="CC85" s="565">
        <f>Breakout!$I$81/12</f>
        <v>22302.199565795654</v>
      </c>
      <c r="CE85" s="634">
        <f t="shared" si="90"/>
        <v>3740674.6528963777</v>
      </c>
      <c r="CF85" s="634">
        <f t="shared" si="91"/>
        <v>132528.49186286191</v>
      </c>
      <c r="CG85" s="634">
        <f t="shared" si="92"/>
        <v>66710.169524509241</v>
      </c>
      <c r="CI85" s="634">
        <f t="shared" si="93"/>
        <v>-715341.08333333337</v>
      </c>
      <c r="CJ85" s="634">
        <f t="shared" si="94"/>
        <v>-705333.33333333337</v>
      </c>
      <c r="CL85" s="438">
        <f>'account mgt'!$I$23/12</f>
        <v>-55463.499148751995</v>
      </c>
      <c r="CN85" s="438">
        <v>0</v>
      </c>
      <c r="CT85" s="438">
        <f t="shared" si="51"/>
        <v>0</v>
      </c>
      <c r="CU85" s="438">
        <f t="shared" si="46"/>
        <v>0</v>
      </c>
      <c r="CV85" s="438">
        <f>IF(CT85&lt;0.1,0,PPMT($L$3,A85-14,unwinds!$B$8*12,$K$5))</f>
        <v>0</v>
      </c>
      <c r="CW85" s="438">
        <f t="shared" si="109"/>
        <v>0</v>
      </c>
      <c r="CX85" s="438">
        <f t="shared" si="110"/>
        <v>0</v>
      </c>
      <c r="DA85" s="438">
        <f t="shared" si="53"/>
        <v>19390352.449563708</v>
      </c>
      <c r="DB85" s="438">
        <f t="shared" si="54"/>
        <v>153022.19808114026</v>
      </c>
      <c r="DC85" s="438">
        <f t="shared" si="55"/>
        <v>342375.87359047541</v>
      </c>
      <c r="DD85" s="438">
        <f t="shared" si="56"/>
        <v>19047976.575973231</v>
      </c>
      <c r="DE85" s="438">
        <f t="shared" si="73"/>
        <v>19047976.575973231</v>
      </c>
      <c r="DH85" s="944">
        <v>-715341.08333333337</v>
      </c>
      <c r="DI85" s="944">
        <v>-705333.33333333337</v>
      </c>
      <c r="DJ85" s="944"/>
      <c r="DL85" s="381">
        <f t="shared" si="52"/>
        <v>474832.92700924521</v>
      </c>
      <c r="DN85" s="944">
        <f t="shared" si="95"/>
        <v>-715341.08333333337</v>
      </c>
      <c r="DO85" s="944">
        <f t="shared" si="96"/>
        <v>474832.92700924521</v>
      </c>
      <c r="DQ85" s="438">
        <f t="shared" si="97"/>
        <v>491102.12555266963</v>
      </c>
      <c r="DR85" s="438">
        <f t="shared" si="98"/>
        <v>-24949.351376750885</v>
      </c>
      <c r="DS85" s="438"/>
      <c r="DT85" s="438"/>
      <c r="DU85" s="438"/>
      <c r="DV85" s="438"/>
      <c r="DW85" s="438"/>
      <c r="DX85" s="438"/>
    </row>
    <row r="86" spans="1:128" x14ac:dyDescent="0.2">
      <c r="A86" s="383">
        <v>75</v>
      </c>
      <c r="B86" s="631">
        <v>38777</v>
      </c>
      <c r="C86" s="381">
        <v>0</v>
      </c>
      <c r="D86" s="381">
        <v>0</v>
      </c>
      <c r="E86" s="381">
        <v>0</v>
      </c>
      <c r="F86" s="381">
        <v>149143.29266080787</v>
      </c>
      <c r="G86" s="381">
        <v>342375.87359047565</v>
      </c>
      <c r="H86" s="381">
        <v>0</v>
      </c>
      <c r="I86" s="381">
        <v>491519.16625128349</v>
      </c>
      <c r="J86" s="381"/>
      <c r="K86" s="381"/>
      <c r="L86" s="381">
        <f t="shared" si="50"/>
        <v>491519.16625128326</v>
      </c>
      <c r="M86" s="381"/>
      <c r="N86" s="679">
        <f t="shared" si="99"/>
        <v>-715341.08333333337</v>
      </c>
      <c r="O86" s="679">
        <f t="shared" si="100"/>
        <v>-705333.33333333337</v>
      </c>
      <c r="P86" s="565">
        <f>Breakout!$I$16/12</f>
        <v>3591047.6667805226</v>
      </c>
      <c r="Q86" s="557">
        <f>'wholesale services'!$D$110*'wholesale services'!$J$111/12</f>
        <v>3250582.4999999995</v>
      </c>
      <c r="R86" s="557">
        <v>3320487.5</v>
      </c>
      <c r="S86" s="565">
        <f>Breakout!$I$27/12</f>
        <v>127227.35218834742</v>
      </c>
      <c r="T86" s="557">
        <f>'wholesale services'!$D$113*'wholesale services'!$J$114/12</f>
        <v>157513.62559584022</v>
      </c>
      <c r="U86" s="557">
        <v>160728.18938351041</v>
      </c>
      <c r="V86" s="565">
        <f>Breakout!$I$38/12</f>
        <v>64041.762743528874</v>
      </c>
      <c r="W86" s="496">
        <f>Breakout!$I$39/12</f>
        <v>69219.211629786136</v>
      </c>
      <c r="X86" s="496">
        <v>69963.504227955884</v>
      </c>
      <c r="Y86" s="565">
        <f>Breakout!$I$49/12</f>
        <v>465843.89182826295</v>
      </c>
      <c r="Z86" s="566">
        <f>Breakout!$I$50/12</f>
        <v>436359.04042789649</v>
      </c>
      <c r="AA86" s="566">
        <v>458364.84689473995</v>
      </c>
      <c r="AB86" s="565">
        <f>Breakout!$I$60/12</f>
        <v>428611.68530167785</v>
      </c>
      <c r="AC86" s="566">
        <f>Breakout!$I$61/12</f>
        <v>432305.41564022127</v>
      </c>
      <c r="AD86" s="566">
        <v>445784.87180717703</v>
      </c>
      <c r="AE86" s="565">
        <f>Breakout!$I$71/12</f>
        <v>325195.85194797197</v>
      </c>
      <c r="AF86" s="566">
        <f>Breakout!$I$72/12</f>
        <v>316520.66666666669</v>
      </c>
      <c r="AG86" s="566">
        <v>316520.66666666669</v>
      </c>
      <c r="AH86" s="565">
        <f>Breakout!$I$82/12</f>
        <v>21404.332467756973</v>
      </c>
      <c r="AI86" s="566">
        <f>Breakout!$I$83/12</f>
        <v>0</v>
      </c>
      <c r="AJ86" s="566">
        <v>0</v>
      </c>
      <c r="AK86" s="571">
        <f>Breakout!$I$91/12</f>
        <v>287797.38529082685</v>
      </c>
      <c r="AL86" s="571">
        <v>287797.38529082685</v>
      </c>
      <c r="AM86" s="567">
        <f>(Breakout!$I$107/12)*-1</f>
        <v>55221.25</v>
      </c>
      <c r="AN86" s="567">
        <v>55221.25</v>
      </c>
      <c r="AO86" s="578">
        <f t="shared" si="74"/>
        <v>5023372.5432580691</v>
      </c>
      <c r="AP86" s="578">
        <f t="shared" si="75"/>
        <v>5041004.3578850366</v>
      </c>
      <c r="AQ86" s="548">
        <f t="shared" si="76"/>
        <v>258361.60433092032</v>
      </c>
      <c r="AR86" s="496"/>
      <c r="AS86" s="553">
        <f t="shared" si="77"/>
        <v>122318.49606924236</v>
      </c>
      <c r="AT86" s="496"/>
      <c r="AU86" s="557">
        <f>'wholesale services'!$J$110/12</f>
        <v>39106610.706018515</v>
      </c>
      <c r="AV86" s="557">
        <f>'wholesale services'!$J$113/12</f>
        <v>17613.255833333333</v>
      </c>
      <c r="AW86" s="496"/>
      <c r="AX86" s="552">
        <f t="shared" si="78"/>
        <v>-715341.08333333337</v>
      </c>
      <c r="AY86" s="381">
        <f t="shared" si="79"/>
        <v>-705333.33333333337</v>
      </c>
      <c r="AZ86" s="496"/>
      <c r="BA86" s="438">
        <f t="shared" si="80"/>
        <v>568947.91528840677</v>
      </c>
      <c r="BB86" s="438">
        <f t="shared" si="81"/>
        <v>-18260.865591288391</v>
      </c>
      <c r="BC86" s="438">
        <f t="shared" si="82"/>
        <v>-5177.4488862572616</v>
      </c>
      <c r="BD86" s="438">
        <f t="shared" si="101"/>
        <v>29484.85140036646</v>
      </c>
      <c r="BE86" s="438">
        <f t="shared" si="102"/>
        <v>-3693.7303385434207</v>
      </c>
      <c r="BF86" s="438">
        <f t="shared" si="103"/>
        <v>8675.1852813052828</v>
      </c>
      <c r="BG86" s="438">
        <f t="shared" si="104"/>
        <v>21404.332467756973</v>
      </c>
      <c r="BH86" s="438">
        <f t="shared" si="105"/>
        <v>-287797.38529082685</v>
      </c>
      <c r="BI86" s="438">
        <f t="shared" si="106"/>
        <v>-55221.25</v>
      </c>
      <c r="BL86" s="438">
        <f t="shared" si="83"/>
        <v>719584.87406055338</v>
      </c>
      <c r="BM86" s="438">
        <f t="shared" si="84"/>
        <v>-12923.943560546475</v>
      </c>
      <c r="BN86" s="438">
        <f t="shared" si="85"/>
        <v>-2491.0305289255048</v>
      </c>
      <c r="BO86" s="438">
        <f t="shared" si="86"/>
        <v>49026.030922080332</v>
      </c>
      <c r="BP86" s="438">
        <f t="shared" si="87"/>
        <v>14285.635784973856</v>
      </c>
      <c r="BQ86" s="438">
        <f t="shared" si="88"/>
        <v>22316.472918870335</v>
      </c>
      <c r="BR86" s="438">
        <f t="shared" si="89"/>
        <v>22302.199565795654</v>
      </c>
      <c r="BS86" s="438">
        <f t="shared" si="107"/>
        <v>-287797.38529082685</v>
      </c>
      <c r="BT86" s="438">
        <f t="shared" si="108"/>
        <v>-55221.25</v>
      </c>
      <c r="BW86" s="565">
        <f>Breakout!$I$15/12</f>
        <v>3741684.6255526692</v>
      </c>
      <c r="BX86" s="565">
        <f>Breakout!$I$26/12</f>
        <v>132564.27421908933</v>
      </c>
      <c r="BY86" s="565">
        <f>Breakout!$I$37/12</f>
        <v>66728.181100860631</v>
      </c>
      <c r="BZ86" s="565">
        <f>Breakout!$I$48/12</f>
        <v>485385.07134997682</v>
      </c>
      <c r="CA86" s="565">
        <f>Breakout!$I$59/12</f>
        <v>446591.05142519512</v>
      </c>
      <c r="CB86" s="565">
        <f>Breakout!$I$70/12</f>
        <v>338837.13958553702</v>
      </c>
      <c r="CC86" s="565">
        <f>Breakout!$I$81/12</f>
        <v>22302.199565795654</v>
      </c>
      <c r="CE86" s="634">
        <f t="shared" si="90"/>
        <v>3740674.6528963777</v>
      </c>
      <c r="CF86" s="634">
        <f t="shared" si="91"/>
        <v>132528.49186286191</v>
      </c>
      <c r="CG86" s="634">
        <f t="shared" si="92"/>
        <v>66710.169524509241</v>
      </c>
      <c r="CI86" s="634">
        <f t="shared" si="93"/>
        <v>-715341.08333333337</v>
      </c>
      <c r="CJ86" s="634">
        <f t="shared" si="94"/>
        <v>-705333.33333333337</v>
      </c>
      <c r="CL86" s="438">
        <f>'account mgt'!$I$23/12</f>
        <v>-55463.499148751995</v>
      </c>
      <c r="CN86" s="438">
        <v>0</v>
      </c>
      <c r="CT86" s="438">
        <f t="shared" ref="CT86:CT131" si="111">CW85</f>
        <v>0</v>
      </c>
      <c r="CU86" s="438">
        <f t="shared" si="46"/>
        <v>0</v>
      </c>
      <c r="CV86" s="438">
        <f>IF(CT86&lt;0.1,0,PPMT($L$3,A86-14,unwinds!$B$8*12,$K$5))</f>
        <v>0</v>
      </c>
      <c r="CW86" s="438">
        <f t="shared" si="109"/>
        <v>0</v>
      </c>
      <c r="CX86" s="438">
        <f t="shared" si="110"/>
        <v>0</v>
      </c>
      <c r="DA86" s="438">
        <f t="shared" si="53"/>
        <v>19047976.575973231</v>
      </c>
      <c r="DB86" s="438">
        <f t="shared" si="54"/>
        <v>150320.28181205541</v>
      </c>
      <c r="DC86" s="438">
        <f t="shared" si="55"/>
        <v>345077.7898595602</v>
      </c>
      <c r="DD86" s="438">
        <f t="shared" si="56"/>
        <v>18702898.786113672</v>
      </c>
      <c r="DE86" s="438">
        <f t="shared" si="73"/>
        <v>18702898.786113672</v>
      </c>
      <c r="DH86" s="944">
        <v>-715341.08333333337</v>
      </c>
      <c r="DI86" s="944">
        <v>-705333.33333333337</v>
      </c>
      <c r="DJ86" s="944"/>
      <c r="DL86" s="381">
        <f t="shared" si="52"/>
        <v>474832.92700924521</v>
      </c>
      <c r="DN86" s="944">
        <f t="shared" si="95"/>
        <v>-715341.08333333337</v>
      </c>
      <c r="DO86" s="944">
        <f t="shared" si="96"/>
        <v>474832.92700924521</v>
      </c>
      <c r="DQ86" s="438">
        <f t="shared" si="97"/>
        <v>491102.12555266963</v>
      </c>
      <c r="DR86" s="438">
        <f t="shared" si="98"/>
        <v>-24949.351376750885</v>
      </c>
      <c r="DS86" s="438"/>
      <c r="DT86" s="438"/>
      <c r="DU86" s="438"/>
      <c r="DV86" s="438"/>
      <c r="DW86" s="438"/>
      <c r="DX86" s="438"/>
    </row>
    <row r="87" spans="1:128" x14ac:dyDescent="0.2">
      <c r="A87" s="383">
        <v>76</v>
      </c>
      <c r="B87" s="631">
        <v>38808</v>
      </c>
      <c r="C87" s="381">
        <v>0</v>
      </c>
      <c r="D87" s="381">
        <v>0</v>
      </c>
      <c r="E87" s="381">
        <v>0</v>
      </c>
      <c r="F87" s="381">
        <v>146441.37639172302</v>
      </c>
      <c r="G87" s="381">
        <v>345077.78985956043</v>
      </c>
      <c r="H87" s="381">
        <v>0</v>
      </c>
      <c r="I87" s="381">
        <v>491519.16625128349</v>
      </c>
      <c r="J87" s="381"/>
      <c r="K87" s="381"/>
      <c r="L87" s="381">
        <f t="shared" si="50"/>
        <v>491519.16625128326</v>
      </c>
      <c r="M87" s="381"/>
      <c r="N87" s="679">
        <f t="shared" si="99"/>
        <v>-715341.08333333337</v>
      </c>
      <c r="O87" s="679">
        <f t="shared" si="100"/>
        <v>-705333.33333333337</v>
      </c>
      <c r="P87" s="565">
        <f>Breakout!$I$16/12</f>
        <v>3591047.6667805226</v>
      </c>
      <c r="Q87" s="557">
        <f>'wholesale services'!$D$110*'wholesale services'!$J$111/12</f>
        <v>3250582.4999999995</v>
      </c>
      <c r="R87" s="557">
        <v>3320487.5</v>
      </c>
      <c r="S87" s="565">
        <f>Breakout!$I$27/12</f>
        <v>127227.35218834742</v>
      </c>
      <c r="T87" s="557">
        <f>'wholesale services'!$D$113*'wholesale services'!$J$114/12</f>
        <v>157513.62559584022</v>
      </c>
      <c r="U87" s="557">
        <v>160728.18938351041</v>
      </c>
      <c r="V87" s="565">
        <f>Breakout!$I$38/12</f>
        <v>64041.762743528874</v>
      </c>
      <c r="W87" s="496">
        <f>Breakout!$I$39/12</f>
        <v>69219.211629786136</v>
      </c>
      <c r="X87" s="496">
        <v>69963.504227955884</v>
      </c>
      <c r="Y87" s="565">
        <f>Breakout!$I$49/12</f>
        <v>465843.89182826295</v>
      </c>
      <c r="Z87" s="566">
        <f>Breakout!$I$50/12</f>
        <v>436359.04042789649</v>
      </c>
      <c r="AA87" s="566">
        <v>458364.84689473995</v>
      </c>
      <c r="AB87" s="565">
        <f>Breakout!$I$60/12</f>
        <v>428611.68530167785</v>
      </c>
      <c r="AC87" s="566">
        <f>Breakout!$I$61/12</f>
        <v>432305.41564022127</v>
      </c>
      <c r="AD87" s="566">
        <v>445784.87180717703</v>
      </c>
      <c r="AE87" s="565">
        <f>Breakout!$I$71/12</f>
        <v>325195.85194797197</v>
      </c>
      <c r="AF87" s="566">
        <f>Breakout!$I$72/12</f>
        <v>316520.66666666669</v>
      </c>
      <c r="AG87" s="566">
        <v>316520.66666666669</v>
      </c>
      <c r="AH87" s="565">
        <f>Breakout!$I$82/12</f>
        <v>21404.332467756973</v>
      </c>
      <c r="AI87" s="566">
        <f>Breakout!$I$83/12</f>
        <v>0</v>
      </c>
      <c r="AJ87" s="566">
        <v>0</v>
      </c>
      <c r="AK87" s="571">
        <f>Breakout!$I$91/12</f>
        <v>287797.38529082685</v>
      </c>
      <c r="AL87" s="571">
        <v>287797.38529082685</v>
      </c>
      <c r="AM87" s="567">
        <f>(Breakout!$I$107/12)*-1</f>
        <v>55221.25</v>
      </c>
      <c r="AN87" s="567">
        <v>55221.25</v>
      </c>
      <c r="AO87" s="578">
        <f t="shared" si="74"/>
        <v>5023372.5432580691</v>
      </c>
      <c r="AP87" s="578">
        <f t="shared" si="75"/>
        <v>5041004.3578850366</v>
      </c>
      <c r="AQ87" s="548">
        <f t="shared" si="76"/>
        <v>258361.60433092032</v>
      </c>
      <c r="AR87" s="496"/>
      <c r="AS87" s="553">
        <f t="shared" si="77"/>
        <v>122318.49606924236</v>
      </c>
      <c r="AT87" s="496"/>
      <c r="AU87" s="557">
        <f>'wholesale services'!$J$110/12</f>
        <v>39106610.706018515</v>
      </c>
      <c r="AV87" s="557">
        <f>'wholesale services'!$J$113/12</f>
        <v>17613.255833333333</v>
      </c>
      <c r="AW87" s="496"/>
      <c r="AX87" s="552">
        <f t="shared" si="78"/>
        <v>-715341.08333333337</v>
      </c>
      <c r="AY87" s="381">
        <f t="shared" si="79"/>
        <v>-705333.33333333337</v>
      </c>
      <c r="AZ87" s="496"/>
      <c r="BA87" s="438">
        <f t="shared" si="80"/>
        <v>568947.91528840677</v>
      </c>
      <c r="BB87" s="438">
        <f t="shared" si="81"/>
        <v>-18260.865591288391</v>
      </c>
      <c r="BC87" s="438">
        <f t="shared" si="82"/>
        <v>-5177.4488862572616</v>
      </c>
      <c r="BD87" s="438">
        <f t="shared" si="101"/>
        <v>29484.85140036646</v>
      </c>
      <c r="BE87" s="438">
        <f t="shared" si="102"/>
        <v>-3693.7303385434207</v>
      </c>
      <c r="BF87" s="438">
        <f t="shared" si="103"/>
        <v>8675.1852813052828</v>
      </c>
      <c r="BG87" s="438">
        <f t="shared" si="104"/>
        <v>21404.332467756973</v>
      </c>
      <c r="BH87" s="438">
        <f t="shared" si="105"/>
        <v>-287797.38529082685</v>
      </c>
      <c r="BI87" s="438">
        <f t="shared" si="106"/>
        <v>-55221.25</v>
      </c>
      <c r="BL87" s="438">
        <f t="shared" si="83"/>
        <v>719584.87406055338</v>
      </c>
      <c r="BM87" s="438">
        <f t="shared" si="84"/>
        <v>-12923.943560546475</v>
      </c>
      <c r="BN87" s="438">
        <f t="shared" si="85"/>
        <v>-2491.0305289255048</v>
      </c>
      <c r="BO87" s="438">
        <f t="shared" si="86"/>
        <v>49026.030922080332</v>
      </c>
      <c r="BP87" s="438">
        <f t="shared" si="87"/>
        <v>14285.635784973856</v>
      </c>
      <c r="BQ87" s="438">
        <f t="shared" si="88"/>
        <v>22316.472918870335</v>
      </c>
      <c r="BR87" s="438">
        <f t="shared" si="89"/>
        <v>22302.199565795654</v>
      </c>
      <c r="BS87" s="438">
        <f t="shared" si="107"/>
        <v>-287797.38529082685</v>
      </c>
      <c r="BT87" s="438">
        <f t="shared" si="108"/>
        <v>-55221.25</v>
      </c>
      <c r="BW87" s="565">
        <f>Breakout!$I$15/12</f>
        <v>3741684.6255526692</v>
      </c>
      <c r="BX87" s="565">
        <f>Breakout!$I$26/12</f>
        <v>132564.27421908933</v>
      </c>
      <c r="BY87" s="565">
        <f>Breakout!$I$37/12</f>
        <v>66728.181100860631</v>
      </c>
      <c r="BZ87" s="565">
        <f>Breakout!$I$48/12</f>
        <v>485385.07134997682</v>
      </c>
      <c r="CA87" s="565">
        <f>Breakout!$I$59/12</f>
        <v>446591.05142519512</v>
      </c>
      <c r="CB87" s="565">
        <f>Breakout!$I$70/12</f>
        <v>338837.13958553702</v>
      </c>
      <c r="CC87" s="565">
        <f>Breakout!$I$81/12</f>
        <v>22302.199565795654</v>
      </c>
      <c r="CE87" s="634">
        <f t="shared" si="90"/>
        <v>3740674.6528963777</v>
      </c>
      <c r="CF87" s="634">
        <f t="shared" si="91"/>
        <v>132528.49186286191</v>
      </c>
      <c r="CG87" s="634">
        <f t="shared" si="92"/>
        <v>66710.169524509241</v>
      </c>
      <c r="CI87" s="634">
        <f t="shared" si="93"/>
        <v>-715341.08333333337</v>
      </c>
      <c r="CJ87" s="634">
        <f t="shared" si="94"/>
        <v>-705333.33333333337</v>
      </c>
      <c r="CL87" s="438">
        <f>'account mgt'!$I$23/12</f>
        <v>-55463.499148751995</v>
      </c>
      <c r="CN87" s="438">
        <v>0</v>
      </c>
      <c r="CT87" s="438">
        <f t="shared" si="111"/>
        <v>0</v>
      </c>
      <c r="CU87" s="438">
        <f t="shared" si="46"/>
        <v>0</v>
      </c>
      <c r="CV87" s="438">
        <f>IF(CT87&lt;0.1,0,PPMT($L$3,A87-14,unwinds!$B$8*12,$K$5))</f>
        <v>0</v>
      </c>
      <c r="CW87" s="438">
        <f t="shared" si="109"/>
        <v>0</v>
      </c>
      <c r="CX87" s="438">
        <f t="shared" si="110"/>
        <v>0</v>
      </c>
      <c r="DA87" s="438">
        <f t="shared" si="53"/>
        <v>18702898.786113672</v>
      </c>
      <c r="DB87" s="438">
        <f t="shared" si="54"/>
        <v>147597.04292041372</v>
      </c>
      <c r="DC87" s="438">
        <f t="shared" si="55"/>
        <v>347801.02875120193</v>
      </c>
      <c r="DD87" s="438">
        <f t="shared" si="56"/>
        <v>18355097.75736247</v>
      </c>
      <c r="DE87" s="438">
        <f t="shared" si="73"/>
        <v>18355097.75736247</v>
      </c>
      <c r="DH87" s="944">
        <v>-715341.08333333337</v>
      </c>
      <c r="DI87" s="944">
        <v>-705333.33333333337</v>
      </c>
      <c r="DJ87" s="944"/>
      <c r="DL87" s="381">
        <f t="shared" si="52"/>
        <v>474832.92700924521</v>
      </c>
      <c r="DN87" s="944">
        <f t="shared" si="95"/>
        <v>-715341.08333333337</v>
      </c>
      <c r="DO87" s="944">
        <f t="shared" si="96"/>
        <v>474832.92700924521</v>
      </c>
      <c r="DQ87" s="438">
        <f t="shared" si="97"/>
        <v>491102.12555266963</v>
      </c>
      <c r="DR87" s="438">
        <f t="shared" si="98"/>
        <v>-24949.351376750885</v>
      </c>
      <c r="DS87" s="438"/>
      <c r="DT87" s="438"/>
      <c r="DU87" s="438"/>
      <c r="DV87" s="438"/>
      <c r="DW87" s="438"/>
      <c r="DX87" s="438"/>
    </row>
    <row r="88" spans="1:128" x14ac:dyDescent="0.2">
      <c r="A88" s="383">
        <v>77</v>
      </c>
      <c r="B88" s="631">
        <v>38838</v>
      </c>
      <c r="C88" s="381">
        <v>0</v>
      </c>
      <c r="D88" s="381">
        <v>0</v>
      </c>
      <c r="E88" s="381">
        <v>0</v>
      </c>
      <c r="F88" s="381">
        <v>143718.1375000813</v>
      </c>
      <c r="G88" s="381">
        <v>347801.02875120216</v>
      </c>
      <c r="H88" s="381">
        <v>0</v>
      </c>
      <c r="I88" s="381">
        <v>491519.16625128349</v>
      </c>
      <c r="J88" s="381"/>
      <c r="K88" s="381"/>
      <c r="L88" s="381">
        <f t="shared" si="50"/>
        <v>491519.16625128326</v>
      </c>
      <c r="M88" s="381"/>
      <c r="N88" s="679">
        <f t="shared" si="99"/>
        <v>-715341.08333333337</v>
      </c>
      <c r="O88" s="679">
        <f t="shared" si="100"/>
        <v>-705333.33333333337</v>
      </c>
      <c r="P88" s="565">
        <f>Breakout!$I$16/12</f>
        <v>3591047.6667805226</v>
      </c>
      <c r="Q88" s="557">
        <f>'wholesale services'!$D$110*'wholesale services'!$J$111/12</f>
        <v>3250582.4999999995</v>
      </c>
      <c r="R88" s="557">
        <v>3320487.5</v>
      </c>
      <c r="S88" s="565">
        <f>Breakout!$I$27/12</f>
        <v>127227.35218834742</v>
      </c>
      <c r="T88" s="557">
        <f>'wholesale services'!$D$113*'wholesale services'!$J$114/12</f>
        <v>157513.62559584022</v>
      </c>
      <c r="U88" s="557">
        <v>160728.18938351041</v>
      </c>
      <c r="V88" s="565">
        <f>Breakout!$I$38/12</f>
        <v>64041.762743528874</v>
      </c>
      <c r="W88" s="496">
        <f>Breakout!$I$39/12</f>
        <v>69219.211629786136</v>
      </c>
      <c r="X88" s="496">
        <v>69963.504227955884</v>
      </c>
      <c r="Y88" s="565">
        <f>Breakout!$I$49/12</f>
        <v>465843.89182826295</v>
      </c>
      <c r="Z88" s="566">
        <f>Breakout!$I$50/12</f>
        <v>436359.04042789649</v>
      </c>
      <c r="AA88" s="566">
        <v>458364.84689473995</v>
      </c>
      <c r="AB88" s="565">
        <f>Breakout!$I$60/12</f>
        <v>428611.68530167785</v>
      </c>
      <c r="AC88" s="566">
        <f>Breakout!$I$61/12</f>
        <v>432305.41564022127</v>
      </c>
      <c r="AD88" s="566">
        <v>445784.87180717703</v>
      </c>
      <c r="AE88" s="565">
        <f>Breakout!$I$71/12</f>
        <v>325195.85194797197</v>
      </c>
      <c r="AF88" s="566">
        <f>Breakout!$I$72/12</f>
        <v>316520.66666666669</v>
      </c>
      <c r="AG88" s="566">
        <v>316520.66666666669</v>
      </c>
      <c r="AH88" s="565">
        <f>Breakout!$I$82/12</f>
        <v>21404.332467756973</v>
      </c>
      <c r="AI88" s="566">
        <f>Breakout!$I$83/12</f>
        <v>0</v>
      </c>
      <c r="AJ88" s="566">
        <v>0</v>
      </c>
      <c r="AK88" s="571">
        <f>Breakout!$I$91/12</f>
        <v>287797.38529082685</v>
      </c>
      <c r="AL88" s="571">
        <v>287797.38529082685</v>
      </c>
      <c r="AM88" s="567">
        <f>(Breakout!$I$107/12)*-1</f>
        <v>55221.25</v>
      </c>
      <c r="AN88" s="567">
        <v>55221.25</v>
      </c>
      <c r="AO88" s="578">
        <f t="shared" si="74"/>
        <v>5023372.5432580691</v>
      </c>
      <c r="AP88" s="578">
        <f t="shared" si="75"/>
        <v>5041004.3578850366</v>
      </c>
      <c r="AQ88" s="548">
        <f t="shared" si="76"/>
        <v>258361.60433092032</v>
      </c>
      <c r="AR88" s="496"/>
      <c r="AS88" s="553">
        <f t="shared" si="77"/>
        <v>122318.49606924236</v>
      </c>
      <c r="AT88" s="496"/>
      <c r="AU88" s="557">
        <f>'wholesale services'!$J$110/12</f>
        <v>39106610.706018515</v>
      </c>
      <c r="AV88" s="557">
        <f>'wholesale services'!$J$113/12</f>
        <v>17613.255833333333</v>
      </c>
      <c r="AW88" s="496"/>
      <c r="AX88" s="552">
        <f t="shared" si="78"/>
        <v>-715341.08333333337</v>
      </c>
      <c r="AY88" s="381">
        <f t="shared" si="79"/>
        <v>-705333.33333333337</v>
      </c>
      <c r="AZ88" s="496"/>
      <c r="BA88" s="438">
        <f t="shared" si="80"/>
        <v>568947.91528840677</v>
      </c>
      <c r="BB88" s="438">
        <f t="shared" si="81"/>
        <v>-18260.865591288391</v>
      </c>
      <c r="BC88" s="438">
        <f t="shared" si="82"/>
        <v>-5177.4488862572616</v>
      </c>
      <c r="BD88" s="438">
        <f t="shared" si="101"/>
        <v>29484.85140036646</v>
      </c>
      <c r="BE88" s="438">
        <f t="shared" si="102"/>
        <v>-3693.7303385434207</v>
      </c>
      <c r="BF88" s="438">
        <f t="shared" si="103"/>
        <v>8675.1852813052828</v>
      </c>
      <c r="BG88" s="438">
        <f t="shared" si="104"/>
        <v>21404.332467756973</v>
      </c>
      <c r="BH88" s="438">
        <f t="shared" si="105"/>
        <v>-287797.38529082685</v>
      </c>
      <c r="BI88" s="438">
        <f t="shared" si="106"/>
        <v>-55221.25</v>
      </c>
      <c r="BL88" s="438">
        <f t="shared" si="83"/>
        <v>719584.87406055338</v>
      </c>
      <c r="BM88" s="438">
        <f t="shared" si="84"/>
        <v>-12923.943560546475</v>
      </c>
      <c r="BN88" s="438">
        <f t="shared" si="85"/>
        <v>-2491.0305289255048</v>
      </c>
      <c r="BO88" s="438">
        <f t="shared" si="86"/>
        <v>49026.030922080332</v>
      </c>
      <c r="BP88" s="438">
        <f t="shared" si="87"/>
        <v>14285.635784973856</v>
      </c>
      <c r="BQ88" s="438">
        <f t="shared" si="88"/>
        <v>22316.472918870335</v>
      </c>
      <c r="BR88" s="438">
        <f t="shared" si="89"/>
        <v>22302.199565795654</v>
      </c>
      <c r="BS88" s="438">
        <f t="shared" si="107"/>
        <v>-287797.38529082685</v>
      </c>
      <c r="BT88" s="438">
        <f t="shared" si="108"/>
        <v>-55221.25</v>
      </c>
      <c r="BW88" s="565">
        <f>Breakout!$I$15/12</f>
        <v>3741684.6255526692</v>
      </c>
      <c r="BX88" s="565">
        <f>Breakout!$I$26/12</f>
        <v>132564.27421908933</v>
      </c>
      <c r="BY88" s="565">
        <f>Breakout!$I$37/12</f>
        <v>66728.181100860631</v>
      </c>
      <c r="BZ88" s="565">
        <f>Breakout!$I$48/12</f>
        <v>485385.07134997682</v>
      </c>
      <c r="CA88" s="565">
        <f>Breakout!$I$59/12</f>
        <v>446591.05142519512</v>
      </c>
      <c r="CB88" s="565">
        <f>Breakout!$I$70/12</f>
        <v>338837.13958553702</v>
      </c>
      <c r="CC88" s="565">
        <f>Breakout!$I$81/12</f>
        <v>22302.199565795654</v>
      </c>
      <c r="CE88" s="634">
        <f t="shared" si="90"/>
        <v>3740674.6528963777</v>
      </c>
      <c r="CF88" s="634">
        <f t="shared" si="91"/>
        <v>132528.49186286191</v>
      </c>
      <c r="CG88" s="634">
        <f t="shared" si="92"/>
        <v>66710.169524509241</v>
      </c>
      <c r="CI88" s="634">
        <f t="shared" si="93"/>
        <v>-715341.08333333337</v>
      </c>
      <c r="CJ88" s="634">
        <f t="shared" si="94"/>
        <v>-705333.33333333337</v>
      </c>
      <c r="CL88" s="438">
        <f>'account mgt'!$I$23/12</f>
        <v>-55463.499148751995</v>
      </c>
      <c r="CN88" s="438">
        <v>0</v>
      </c>
      <c r="CT88" s="438">
        <f t="shared" si="111"/>
        <v>0</v>
      </c>
      <c r="CU88" s="438">
        <f t="shared" si="46"/>
        <v>0</v>
      </c>
      <c r="CV88" s="438">
        <f>IF(CT88&lt;0.1,0,PPMT($L$3,A88-14,unwinds!$B$8*12,$K$5))</f>
        <v>0</v>
      </c>
      <c r="CW88" s="438">
        <f t="shared" si="109"/>
        <v>0</v>
      </c>
      <c r="CX88" s="438">
        <f t="shared" si="110"/>
        <v>0</v>
      </c>
      <c r="DA88" s="438">
        <f t="shared" si="53"/>
        <v>18355097.75736247</v>
      </c>
      <c r="DB88" s="438">
        <f t="shared" si="54"/>
        <v>144852.31313518548</v>
      </c>
      <c r="DC88" s="438">
        <f t="shared" si="55"/>
        <v>350545.75853643013</v>
      </c>
      <c r="DD88" s="438">
        <f t="shared" si="56"/>
        <v>18004551.998826038</v>
      </c>
      <c r="DE88" s="438">
        <f t="shared" si="73"/>
        <v>18004551.998826038</v>
      </c>
      <c r="DH88" s="944">
        <v>-715341.08333333337</v>
      </c>
      <c r="DI88" s="944">
        <v>-705333.33333333337</v>
      </c>
      <c r="DJ88" s="944"/>
      <c r="DL88" s="381">
        <f t="shared" si="52"/>
        <v>474832.92700924521</v>
      </c>
      <c r="DN88" s="944">
        <f t="shared" si="95"/>
        <v>-715341.08333333337</v>
      </c>
      <c r="DO88" s="944">
        <f t="shared" si="96"/>
        <v>474832.92700924521</v>
      </c>
      <c r="DQ88" s="438">
        <f t="shared" si="97"/>
        <v>491102.12555266963</v>
      </c>
      <c r="DR88" s="438">
        <f t="shared" si="98"/>
        <v>-24949.351376750885</v>
      </c>
      <c r="DS88" s="438"/>
      <c r="DT88" s="438"/>
      <c r="DU88" s="438"/>
      <c r="DV88" s="438"/>
      <c r="DW88" s="438"/>
      <c r="DX88" s="438"/>
    </row>
    <row r="89" spans="1:128" x14ac:dyDescent="0.2">
      <c r="A89" s="383">
        <v>78</v>
      </c>
      <c r="B89" s="631">
        <v>38869</v>
      </c>
      <c r="C89" s="381">
        <v>0</v>
      </c>
      <c r="D89" s="381">
        <v>0</v>
      </c>
      <c r="E89" s="381">
        <v>0</v>
      </c>
      <c r="F89" s="381">
        <v>140973.40771485306</v>
      </c>
      <c r="G89" s="381">
        <v>350545.75853643043</v>
      </c>
      <c r="H89" s="381">
        <v>0</v>
      </c>
      <c r="I89" s="381">
        <v>491519.16625128349</v>
      </c>
      <c r="J89" s="381"/>
      <c r="K89" s="381"/>
      <c r="L89" s="381">
        <f t="shared" si="50"/>
        <v>491519.16625128326</v>
      </c>
      <c r="M89" s="381"/>
      <c r="N89" s="679">
        <f t="shared" si="99"/>
        <v>-715341.08333333337</v>
      </c>
      <c r="O89" s="679">
        <f t="shared" si="100"/>
        <v>-705333.33333333337</v>
      </c>
      <c r="P89" s="565">
        <f>Breakout!$I$16/12</f>
        <v>3591047.6667805226</v>
      </c>
      <c r="Q89" s="557">
        <f>'wholesale services'!$D$110*'wholesale services'!$J$111/12</f>
        <v>3250582.4999999995</v>
      </c>
      <c r="R89" s="557">
        <v>3320487.5</v>
      </c>
      <c r="S89" s="565">
        <f>Breakout!$I$27/12</f>
        <v>127227.35218834742</v>
      </c>
      <c r="T89" s="557">
        <f>'wholesale services'!$D$113*'wholesale services'!$J$114/12</f>
        <v>157513.62559584022</v>
      </c>
      <c r="U89" s="557">
        <v>160728.18938351041</v>
      </c>
      <c r="V89" s="565">
        <f>Breakout!$I$38/12</f>
        <v>64041.762743528874</v>
      </c>
      <c r="W89" s="496">
        <f>Breakout!$I$39/12</f>
        <v>69219.211629786136</v>
      </c>
      <c r="X89" s="496">
        <v>69963.504227955884</v>
      </c>
      <c r="Y89" s="565">
        <f>Breakout!$I$49/12</f>
        <v>465843.89182826295</v>
      </c>
      <c r="Z89" s="566">
        <f>Breakout!$I$50/12</f>
        <v>436359.04042789649</v>
      </c>
      <c r="AA89" s="566">
        <v>458364.84689473995</v>
      </c>
      <c r="AB89" s="565">
        <f>Breakout!$I$60/12</f>
        <v>428611.68530167785</v>
      </c>
      <c r="AC89" s="566">
        <f>Breakout!$I$61/12</f>
        <v>432305.41564022127</v>
      </c>
      <c r="AD89" s="566">
        <v>445784.87180717703</v>
      </c>
      <c r="AE89" s="565">
        <f>Breakout!$I$71/12</f>
        <v>325195.85194797197</v>
      </c>
      <c r="AF89" s="566">
        <f>Breakout!$I$72/12</f>
        <v>316520.66666666669</v>
      </c>
      <c r="AG89" s="566">
        <v>316520.66666666669</v>
      </c>
      <c r="AH89" s="565">
        <f>Breakout!$I$82/12</f>
        <v>21404.332467756973</v>
      </c>
      <c r="AI89" s="566">
        <f>Breakout!$I$83/12</f>
        <v>0</v>
      </c>
      <c r="AJ89" s="566">
        <v>0</v>
      </c>
      <c r="AK89" s="571">
        <f>Breakout!$I$91/12</f>
        <v>287797.38529082685</v>
      </c>
      <c r="AL89" s="571">
        <v>287797.38529082685</v>
      </c>
      <c r="AM89" s="567">
        <f>(Breakout!$I$107/12)*-1</f>
        <v>55221.25</v>
      </c>
      <c r="AN89" s="567">
        <v>55221.25</v>
      </c>
      <c r="AO89" s="578">
        <f t="shared" si="74"/>
        <v>5023372.5432580691</v>
      </c>
      <c r="AP89" s="578">
        <f t="shared" si="75"/>
        <v>5041004.3578850366</v>
      </c>
      <c r="AQ89" s="548">
        <f t="shared" si="76"/>
        <v>258361.60433092032</v>
      </c>
      <c r="AR89" s="496"/>
      <c r="AS89" s="553">
        <f t="shared" si="77"/>
        <v>122318.49606924236</v>
      </c>
      <c r="AT89" s="496"/>
      <c r="AU89" s="557">
        <f>'wholesale services'!$J$110/12</f>
        <v>39106610.706018515</v>
      </c>
      <c r="AV89" s="557">
        <f>'wholesale services'!$J$113/12</f>
        <v>17613.255833333333</v>
      </c>
      <c r="AW89" s="496"/>
      <c r="AX89" s="552">
        <f t="shared" si="78"/>
        <v>-715341.08333333337</v>
      </c>
      <c r="AY89" s="381">
        <f t="shared" si="79"/>
        <v>-705333.33333333337</v>
      </c>
      <c r="AZ89" s="496"/>
      <c r="BA89" s="438">
        <f t="shared" si="80"/>
        <v>568947.91528840677</v>
      </c>
      <c r="BB89" s="438">
        <f t="shared" si="81"/>
        <v>-18260.865591288391</v>
      </c>
      <c r="BC89" s="438">
        <f t="shared" si="82"/>
        <v>-5177.4488862572616</v>
      </c>
      <c r="BD89" s="438">
        <f t="shared" si="101"/>
        <v>29484.85140036646</v>
      </c>
      <c r="BE89" s="438">
        <f t="shared" si="102"/>
        <v>-3693.7303385434207</v>
      </c>
      <c r="BF89" s="438">
        <f t="shared" si="103"/>
        <v>8675.1852813052828</v>
      </c>
      <c r="BG89" s="438">
        <f t="shared" si="104"/>
        <v>21404.332467756973</v>
      </c>
      <c r="BH89" s="438">
        <f t="shared" si="105"/>
        <v>-287797.38529082685</v>
      </c>
      <c r="BI89" s="438">
        <f t="shared" si="106"/>
        <v>-55221.25</v>
      </c>
      <c r="BL89" s="438">
        <f t="shared" si="83"/>
        <v>719584.87406055338</v>
      </c>
      <c r="BM89" s="438">
        <f t="shared" si="84"/>
        <v>-12923.943560546475</v>
      </c>
      <c r="BN89" s="438">
        <f t="shared" si="85"/>
        <v>-2491.0305289255048</v>
      </c>
      <c r="BO89" s="438">
        <f t="shared" si="86"/>
        <v>49026.030922080332</v>
      </c>
      <c r="BP89" s="438">
        <f t="shared" si="87"/>
        <v>14285.635784973856</v>
      </c>
      <c r="BQ89" s="438">
        <f t="shared" si="88"/>
        <v>22316.472918870335</v>
      </c>
      <c r="BR89" s="438">
        <f t="shared" si="89"/>
        <v>22302.199565795654</v>
      </c>
      <c r="BS89" s="438">
        <f t="shared" si="107"/>
        <v>-287797.38529082685</v>
      </c>
      <c r="BT89" s="438">
        <f t="shared" si="108"/>
        <v>-55221.25</v>
      </c>
      <c r="BW89" s="565">
        <f>Breakout!$I$15/12</f>
        <v>3741684.6255526692</v>
      </c>
      <c r="BX89" s="565">
        <f>Breakout!$I$26/12</f>
        <v>132564.27421908933</v>
      </c>
      <c r="BY89" s="565">
        <f>Breakout!$I$37/12</f>
        <v>66728.181100860631</v>
      </c>
      <c r="BZ89" s="565">
        <f>Breakout!$I$48/12</f>
        <v>485385.07134997682</v>
      </c>
      <c r="CA89" s="565">
        <f>Breakout!$I$59/12</f>
        <v>446591.05142519512</v>
      </c>
      <c r="CB89" s="565">
        <f>Breakout!$I$70/12</f>
        <v>338837.13958553702</v>
      </c>
      <c r="CC89" s="565">
        <f>Breakout!$I$81/12</f>
        <v>22302.199565795654</v>
      </c>
      <c r="CE89" s="634">
        <f t="shared" si="90"/>
        <v>3740674.6528963777</v>
      </c>
      <c r="CF89" s="634">
        <f t="shared" si="91"/>
        <v>132528.49186286191</v>
      </c>
      <c r="CG89" s="634">
        <f t="shared" si="92"/>
        <v>66710.169524509241</v>
      </c>
      <c r="CI89" s="634">
        <f t="shared" si="93"/>
        <v>-715341.08333333337</v>
      </c>
      <c r="CJ89" s="634">
        <f t="shared" si="94"/>
        <v>-705333.33333333337</v>
      </c>
      <c r="CL89" s="438">
        <f>'account mgt'!$I$23/12</f>
        <v>-55463.499148751995</v>
      </c>
      <c r="CN89" s="438">
        <v>0</v>
      </c>
      <c r="CT89" s="438">
        <f t="shared" si="111"/>
        <v>0</v>
      </c>
      <c r="CU89" s="438">
        <f t="shared" si="46"/>
        <v>0</v>
      </c>
      <c r="CV89" s="438">
        <f>IF(CT89&lt;0.1,0,PPMT($L$3,A89-14,unwinds!$B$8*12,$K$5))</f>
        <v>0</v>
      </c>
      <c r="CW89" s="438">
        <f t="shared" si="109"/>
        <v>0</v>
      </c>
      <c r="CX89" s="438">
        <f t="shared" si="110"/>
        <v>0</v>
      </c>
      <c r="DA89" s="438">
        <f t="shared" si="53"/>
        <v>18004551.998826038</v>
      </c>
      <c r="DB89" s="438">
        <f t="shared" si="54"/>
        <v>142085.92285740215</v>
      </c>
      <c r="DC89" s="438">
        <f t="shared" si="55"/>
        <v>353312.14881421346</v>
      </c>
      <c r="DD89" s="438">
        <f t="shared" si="56"/>
        <v>17651239.850011826</v>
      </c>
      <c r="DE89" s="438">
        <f t="shared" si="73"/>
        <v>17651239.850011826</v>
      </c>
      <c r="DH89" s="944">
        <v>-715341.08333333337</v>
      </c>
      <c r="DI89" s="944">
        <v>-705333.33333333337</v>
      </c>
      <c r="DJ89" s="944"/>
      <c r="DL89" s="381">
        <f t="shared" si="52"/>
        <v>474832.92700924521</v>
      </c>
      <c r="DN89" s="944">
        <f t="shared" si="95"/>
        <v>-715341.08333333337</v>
      </c>
      <c r="DO89" s="944">
        <f t="shared" si="96"/>
        <v>474832.92700924521</v>
      </c>
      <c r="DQ89" s="438">
        <f t="shared" si="97"/>
        <v>491102.12555266963</v>
      </c>
      <c r="DR89" s="438">
        <f t="shared" si="98"/>
        <v>-24949.351376750885</v>
      </c>
      <c r="DS89" s="438"/>
      <c r="DT89" s="438"/>
      <c r="DU89" s="438"/>
      <c r="DV89" s="438"/>
      <c r="DW89" s="438"/>
      <c r="DX89" s="438"/>
    </row>
    <row r="90" spans="1:128" x14ac:dyDescent="0.2">
      <c r="A90" s="383">
        <v>79</v>
      </c>
      <c r="B90" s="631">
        <v>38899</v>
      </c>
      <c r="C90" s="381">
        <v>0</v>
      </c>
      <c r="D90" s="381">
        <v>0</v>
      </c>
      <c r="E90" s="381">
        <v>0</v>
      </c>
      <c r="F90" s="381">
        <v>138207.01743706976</v>
      </c>
      <c r="G90" s="381">
        <v>353312.1488142137</v>
      </c>
      <c r="H90" s="381">
        <v>0</v>
      </c>
      <c r="I90" s="381">
        <v>491519.16625128349</v>
      </c>
      <c r="J90" s="381"/>
      <c r="K90" s="381"/>
      <c r="L90" s="381">
        <f t="shared" si="50"/>
        <v>491519.16625128326</v>
      </c>
      <c r="M90" s="381"/>
      <c r="N90" s="679">
        <f t="shared" si="99"/>
        <v>-715341.08333333337</v>
      </c>
      <c r="O90" s="679">
        <f t="shared" si="100"/>
        <v>-705333.33333333337</v>
      </c>
      <c r="P90" s="565">
        <f>Breakout!$I$16/12</f>
        <v>3591047.6667805226</v>
      </c>
      <c r="Q90" s="557">
        <f>'wholesale services'!$D$110*'wholesale services'!$J$111/12</f>
        <v>3250582.4999999995</v>
      </c>
      <c r="R90" s="557">
        <v>3320487.5</v>
      </c>
      <c r="S90" s="565">
        <f>Breakout!$I$27/12</f>
        <v>127227.35218834742</v>
      </c>
      <c r="T90" s="557">
        <f>'wholesale services'!$D$113*'wholesale services'!$J$114/12</f>
        <v>157513.62559584022</v>
      </c>
      <c r="U90" s="557">
        <v>160728.18938351041</v>
      </c>
      <c r="V90" s="565">
        <f>Breakout!$I$38/12</f>
        <v>64041.762743528874</v>
      </c>
      <c r="W90" s="496">
        <f>Breakout!$I$39/12</f>
        <v>69219.211629786136</v>
      </c>
      <c r="X90" s="496">
        <v>69963.504227955884</v>
      </c>
      <c r="Y90" s="565">
        <f>Breakout!$I$49/12</f>
        <v>465843.89182826295</v>
      </c>
      <c r="Z90" s="566">
        <f>Breakout!$I$50/12</f>
        <v>436359.04042789649</v>
      </c>
      <c r="AA90" s="566">
        <v>458364.84689473995</v>
      </c>
      <c r="AB90" s="565">
        <f>Breakout!$I$60/12</f>
        <v>428611.68530167785</v>
      </c>
      <c r="AC90" s="566">
        <f>Breakout!$I$61/12</f>
        <v>432305.41564022127</v>
      </c>
      <c r="AD90" s="566">
        <v>445784.87180717703</v>
      </c>
      <c r="AE90" s="565">
        <f>Breakout!$I$71/12</f>
        <v>325195.85194797197</v>
      </c>
      <c r="AF90" s="566">
        <f>Breakout!$I$72/12</f>
        <v>316520.66666666669</v>
      </c>
      <c r="AG90" s="566">
        <v>316520.66666666669</v>
      </c>
      <c r="AH90" s="565">
        <f>Breakout!$I$82/12</f>
        <v>21404.332467756973</v>
      </c>
      <c r="AI90" s="566">
        <f>Breakout!$I$83/12</f>
        <v>0</v>
      </c>
      <c r="AJ90" s="566">
        <v>0</v>
      </c>
      <c r="AK90" s="571">
        <f>Breakout!$I$91/12</f>
        <v>287797.38529082685</v>
      </c>
      <c r="AL90" s="571">
        <v>287797.38529082685</v>
      </c>
      <c r="AM90" s="567">
        <f>(Breakout!$I$107/12)*-1</f>
        <v>55221.25</v>
      </c>
      <c r="AN90" s="567">
        <v>55221.25</v>
      </c>
      <c r="AO90" s="578">
        <f t="shared" si="74"/>
        <v>5023372.5432580691</v>
      </c>
      <c r="AP90" s="578">
        <f t="shared" si="75"/>
        <v>5041004.3578850366</v>
      </c>
      <c r="AQ90" s="548">
        <f t="shared" si="76"/>
        <v>258361.60433092032</v>
      </c>
      <c r="AR90" s="496"/>
      <c r="AS90" s="553">
        <f t="shared" si="77"/>
        <v>122318.49606924236</v>
      </c>
      <c r="AT90" s="496"/>
      <c r="AU90" s="557">
        <f>'wholesale services'!$J$110/12</f>
        <v>39106610.706018515</v>
      </c>
      <c r="AV90" s="557">
        <f>'wholesale services'!$J$113/12</f>
        <v>17613.255833333333</v>
      </c>
      <c r="AW90" s="496"/>
      <c r="AX90" s="552">
        <f t="shared" si="78"/>
        <v>-715341.08333333337</v>
      </c>
      <c r="AY90" s="381">
        <f t="shared" si="79"/>
        <v>-705333.33333333337</v>
      </c>
      <c r="AZ90" s="496"/>
      <c r="BA90" s="438">
        <f t="shared" si="80"/>
        <v>568947.91528840677</v>
      </c>
      <c r="BB90" s="438">
        <f t="shared" si="81"/>
        <v>-18260.865591288391</v>
      </c>
      <c r="BC90" s="438">
        <f t="shared" si="82"/>
        <v>-5177.4488862572616</v>
      </c>
      <c r="BD90" s="438">
        <f t="shared" si="101"/>
        <v>29484.85140036646</v>
      </c>
      <c r="BE90" s="438">
        <f t="shared" si="102"/>
        <v>-3693.7303385434207</v>
      </c>
      <c r="BF90" s="438">
        <f t="shared" si="103"/>
        <v>8675.1852813052828</v>
      </c>
      <c r="BG90" s="438">
        <f t="shared" si="104"/>
        <v>21404.332467756973</v>
      </c>
      <c r="BH90" s="438">
        <f t="shared" si="105"/>
        <v>-287797.38529082685</v>
      </c>
      <c r="BI90" s="438">
        <f t="shared" si="106"/>
        <v>-55221.25</v>
      </c>
      <c r="BL90" s="438">
        <f t="shared" si="83"/>
        <v>719584.87406055338</v>
      </c>
      <c r="BM90" s="438">
        <f t="shared" si="84"/>
        <v>-12923.943560546475</v>
      </c>
      <c r="BN90" s="438">
        <f t="shared" si="85"/>
        <v>-2491.0305289255048</v>
      </c>
      <c r="BO90" s="438">
        <f t="shared" si="86"/>
        <v>49026.030922080332</v>
      </c>
      <c r="BP90" s="438">
        <f t="shared" si="87"/>
        <v>14285.635784973856</v>
      </c>
      <c r="BQ90" s="438">
        <f t="shared" si="88"/>
        <v>22316.472918870335</v>
      </c>
      <c r="BR90" s="438">
        <f t="shared" si="89"/>
        <v>22302.199565795654</v>
      </c>
      <c r="BS90" s="438">
        <f t="shared" si="107"/>
        <v>-287797.38529082685</v>
      </c>
      <c r="BT90" s="438">
        <f t="shared" si="108"/>
        <v>-55221.25</v>
      </c>
      <c r="BW90" s="565">
        <f>Breakout!$I$15/12</f>
        <v>3741684.6255526692</v>
      </c>
      <c r="BX90" s="565">
        <f>Breakout!$I$26/12</f>
        <v>132564.27421908933</v>
      </c>
      <c r="BY90" s="565">
        <f>Breakout!$I$37/12</f>
        <v>66728.181100860631</v>
      </c>
      <c r="BZ90" s="565">
        <f>Breakout!$I$48/12</f>
        <v>485385.07134997682</v>
      </c>
      <c r="CA90" s="565">
        <f>Breakout!$I$59/12</f>
        <v>446591.05142519512</v>
      </c>
      <c r="CB90" s="565">
        <f>Breakout!$I$70/12</f>
        <v>338837.13958553702</v>
      </c>
      <c r="CC90" s="565">
        <f>Breakout!$I$81/12</f>
        <v>22302.199565795654</v>
      </c>
      <c r="CE90" s="634">
        <f t="shared" si="90"/>
        <v>3740674.6528963777</v>
      </c>
      <c r="CF90" s="634">
        <f t="shared" si="91"/>
        <v>132528.49186286191</v>
      </c>
      <c r="CG90" s="634">
        <f t="shared" si="92"/>
        <v>66710.169524509241</v>
      </c>
      <c r="CI90" s="634">
        <f t="shared" si="93"/>
        <v>-715341.08333333337</v>
      </c>
      <c r="CJ90" s="634">
        <f t="shared" si="94"/>
        <v>-705333.33333333337</v>
      </c>
      <c r="CL90" s="438">
        <f>'account mgt'!$I$23/12</f>
        <v>-55463.499148751995</v>
      </c>
      <c r="CN90" s="438">
        <v>0</v>
      </c>
      <c r="CT90" s="438">
        <f t="shared" si="111"/>
        <v>0</v>
      </c>
      <c r="CU90" s="438">
        <f t="shared" ref="CU90:CU131" si="112">IF(CT90&lt;0.1,0,CT90*$L$3)</f>
        <v>0</v>
      </c>
      <c r="CV90" s="438">
        <f>IF(CT90&lt;0.1,0,PPMT($L$3,A90-14,unwinds!$B$8*12,$K$5))</f>
        <v>0</v>
      </c>
      <c r="CW90" s="438">
        <f t="shared" si="109"/>
        <v>0</v>
      </c>
      <c r="CX90" s="438">
        <f t="shared" si="110"/>
        <v>0</v>
      </c>
      <c r="DA90" s="438">
        <f t="shared" si="53"/>
        <v>17651239.850011826</v>
      </c>
      <c r="DB90" s="438">
        <f t="shared" si="54"/>
        <v>139297.70114967666</v>
      </c>
      <c r="DC90" s="438">
        <f t="shared" si="55"/>
        <v>356100.37052193889</v>
      </c>
      <c r="DD90" s="438">
        <f t="shared" si="56"/>
        <v>17295139.479489885</v>
      </c>
      <c r="DE90" s="438">
        <f t="shared" ref="DE90:DE121" si="113">DE89-DC90</f>
        <v>17295139.479489885</v>
      </c>
      <c r="DH90" s="944">
        <v>-715341.08333333337</v>
      </c>
      <c r="DI90" s="944">
        <v>-705333.33333333337</v>
      </c>
      <c r="DJ90" s="944"/>
      <c r="DL90" s="381">
        <f t="shared" si="52"/>
        <v>474832.92700924521</v>
      </c>
      <c r="DN90" s="944">
        <f t="shared" si="95"/>
        <v>-715341.08333333337</v>
      </c>
      <c r="DO90" s="944">
        <f t="shared" si="96"/>
        <v>474832.92700924521</v>
      </c>
      <c r="DQ90" s="438">
        <f t="shared" si="97"/>
        <v>491102.12555266963</v>
      </c>
      <c r="DR90" s="438">
        <f t="shared" si="98"/>
        <v>-24949.351376750885</v>
      </c>
      <c r="DS90" s="438"/>
      <c r="DT90" s="438"/>
      <c r="DU90" s="438"/>
      <c r="DV90" s="438"/>
      <c r="DW90" s="438"/>
      <c r="DX90" s="438"/>
    </row>
    <row r="91" spans="1:128" x14ac:dyDescent="0.2">
      <c r="A91" s="383">
        <v>80</v>
      </c>
      <c r="B91" s="631">
        <v>38930</v>
      </c>
      <c r="C91" s="381">
        <v>0</v>
      </c>
      <c r="D91" s="381">
        <v>0</v>
      </c>
      <c r="E91" s="381">
        <v>0</v>
      </c>
      <c r="F91" s="381">
        <v>135418.7957293443</v>
      </c>
      <c r="G91" s="381">
        <v>356100.37052193918</v>
      </c>
      <c r="H91" s="381">
        <v>0</v>
      </c>
      <c r="I91" s="381">
        <v>491519.16625128349</v>
      </c>
      <c r="J91" s="381"/>
      <c r="K91" s="381"/>
      <c r="L91" s="381">
        <f t="shared" ref="L91:L131" si="114">PMT($L$3,106,$K$5,,1)</f>
        <v>491519.16625128326</v>
      </c>
      <c r="M91" s="381"/>
      <c r="N91" s="679">
        <f t="shared" si="99"/>
        <v>-715341.08333333337</v>
      </c>
      <c r="O91" s="679">
        <f t="shared" si="100"/>
        <v>-705333.33333333337</v>
      </c>
      <c r="P91" s="565">
        <f>Breakout!$I$16/12</f>
        <v>3591047.6667805226</v>
      </c>
      <c r="Q91" s="557">
        <f>'wholesale services'!$D$110*'wholesale services'!$J$111/12</f>
        <v>3250582.4999999995</v>
      </c>
      <c r="R91" s="557">
        <v>3320487.5</v>
      </c>
      <c r="S91" s="565">
        <f>Breakout!$I$27/12</f>
        <v>127227.35218834742</v>
      </c>
      <c r="T91" s="557">
        <f>'wholesale services'!$D$113*'wholesale services'!$J$114/12</f>
        <v>157513.62559584022</v>
      </c>
      <c r="U91" s="557">
        <v>160728.18938351041</v>
      </c>
      <c r="V91" s="565">
        <f>Breakout!$I$38/12</f>
        <v>64041.762743528874</v>
      </c>
      <c r="W91" s="496">
        <f>Breakout!$I$39/12</f>
        <v>69219.211629786136</v>
      </c>
      <c r="X91" s="496">
        <v>69963.504227955884</v>
      </c>
      <c r="Y91" s="565">
        <f>Breakout!$I$49/12</f>
        <v>465843.89182826295</v>
      </c>
      <c r="Z91" s="566">
        <f>Breakout!$I$50/12</f>
        <v>436359.04042789649</v>
      </c>
      <c r="AA91" s="566">
        <v>458364.84689473995</v>
      </c>
      <c r="AB91" s="565">
        <f>Breakout!$I$60/12</f>
        <v>428611.68530167785</v>
      </c>
      <c r="AC91" s="566">
        <f>Breakout!$I$61/12</f>
        <v>432305.41564022127</v>
      </c>
      <c r="AD91" s="566">
        <v>445784.87180717703</v>
      </c>
      <c r="AE91" s="565">
        <f>Breakout!$I$71/12</f>
        <v>325195.85194797197</v>
      </c>
      <c r="AF91" s="566">
        <f>Breakout!$I$72/12</f>
        <v>316520.66666666669</v>
      </c>
      <c r="AG91" s="566">
        <v>316520.66666666669</v>
      </c>
      <c r="AH91" s="565">
        <f>Breakout!$I$82/12</f>
        <v>21404.332467756973</v>
      </c>
      <c r="AI91" s="566">
        <f>Breakout!$I$83/12</f>
        <v>0</v>
      </c>
      <c r="AJ91" s="566">
        <v>0</v>
      </c>
      <c r="AK91" s="571">
        <f>Breakout!$I$91/12</f>
        <v>287797.38529082685</v>
      </c>
      <c r="AL91" s="571">
        <v>287797.38529082685</v>
      </c>
      <c r="AM91" s="567">
        <f>(Breakout!$I$107/12)*-1</f>
        <v>55221.25</v>
      </c>
      <c r="AN91" s="567">
        <v>55221.25</v>
      </c>
      <c r="AO91" s="578">
        <f t="shared" si="74"/>
        <v>5023372.5432580691</v>
      </c>
      <c r="AP91" s="578">
        <f t="shared" si="75"/>
        <v>5041004.3578850366</v>
      </c>
      <c r="AQ91" s="548">
        <f t="shared" si="76"/>
        <v>258361.60433092032</v>
      </c>
      <c r="AR91" s="496"/>
      <c r="AS91" s="553">
        <f t="shared" si="77"/>
        <v>122318.49606924236</v>
      </c>
      <c r="AT91" s="496"/>
      <c r="AU91" s="557">
        <f>'wholesale services'!$J$110/12</f>
        <v>39106610.706018515</v>
      </c>
      <c r="AV91" s="557">
        <f>'wholesale services'!$J$113/12</f>
        <v>17613.255833333333</v>
      </c>
      <c r="AW91" s="496"/>
      <c r="AX91" s="552">
        <f t="shared" si="78"/>
        <v>-715341.08333333337</v>
      </c>
      <c r="AY91" s="381">
        <f t="shared" si="79"/>
        <v>-705333.33333333337</v>
      </c>
      <c r="AZ91" s="496"/>
      <c r="BA91" s="438">
        <f t="shared" si="80"/>
        <v>568947.91528840677</v>
      </c>
      <c r="BB91" s="438">
        <f t="shared" si="81"/>
        <v>-18260.865591288391</v>
      </c>
      <c r="BC91" s="438">
        <f t="shared" si="82"/>
        <v>-5177.4488862572616</v>
      </c>
      <c r="BD91" s="438">
        <f t="shared" si="101"/>
        <v>29484.85140036646</v>
      </c>
      <c r="BE91" s="438">
        <f t="shared" si="102"/>
        <v>-3693.7303385434207</v>
      </c>
      <c r="BF91" s="438">
        <f t="shared" si="103"/>
        <v>8675.1852813052828</v>
      </c>
      <c r="BG91" s="438">
        <f t="shared" si="104"/>
        <v>21404.332467756973</v>
      </c>
      <c r="BH91" s="438">
        <f t="shared" si="105"/>
        <v>-287797.38529082685</v>
      </c>
      <c r="BI91" s="438">
        <f t="shared" si="106"/>
        <v>-55221.25</v>
      </c>
      <c r="BL91" s="438">
        <f t="shared" si="83"/>
        <v>719584.87406055338</v>
      </c>
      <c r="BM91" s="438">
        <f t="shared" si="84"/>
        <v>-12923.943560546475</v>
      </c>
      <c r="BN91" s="438">
        <f t="shared" si="85"/>
        <v>-2491.0305289255048</v>
      </c>
      <c r="BO91" s="438">
        <f t="shared" si="86"/>
        <v>49026.030922080332</v>
      </c>
      <c r="BP91" s="438">
        <f t="shared" si="87"/>
        <v>14285.635784973856</v>
      </c>
      <c r="BQ91" s="438">
        <f t="shared" si="88"/>
        <v>22316.472918870335</v>
      </c>
      <c r="BR91" s="438">
        <f t="shared" si="89"/>
        <v>22302.199565795654</v>
      </c>
      <c r="BS91" s="438">
        <f t="shared" si="107"/>
        <v>-287797.38529082685</v>
      </c>
      <c r="BT91" s="438">
        <f t="shared" si="108"/>
        <v>-55221.25</v>
      </c>
      <c r="BW91" s="565">
        <f>Breakout!$I$15/12</f>
        <v>3741684.6255526692</v>
      </c>
      <c r="BX91" s="565">
        <f>Breakout!$I$26/12</f>
        <v>132564.27421908933</v>
      </c>
      <c r="BY91" s="565">
        <f>Breakout!$I$37/12</f>
        <v>66728.181100860631</v>
      </c>
      <c r="BZ91" s="565">
        <f>Breakout!$I$48/12</f>
        <v>485385.07134997682</v>
      </c>
      <c r="CA91" s="565">
        <f>Breakout!$I$59/12</f>
        <v>446591.05142519512</v>
      </c>
      <c r="CB91" s="565">
        <f>Breakout!$I$70/12</f>
        <v>338837.13958553702</v>
      </c>
      <c r="CC91" s="565">
        <f>Breakout!$I$81/12</f>
        <v>22302.199565795654</v>
      </c>
      <c r="CE91" s="634">
        <f t="shared" si="90"/>
        <v>3740674.6528963777</v>
      </c>
      <c r="CF91" s="634">
        <f t="shared" si="91"/>
        <v>132528.49186286191</v>
      </c>
      <c r="CG91" s="634">
        <f t="shared" si="92"/>
        <v>66710.169524509241</v>
      </c>
      <c r="CI91" s="634">
        <f t="shared" si="93"/>
        <v>-715341.08333333337</v>
      </c>
      <c r="CJ91" s="634">
        <f t="shared" si="94"/>
        <v>-705333.33333333337</v>
      </c>
      <c r="CL91" s="438">
        <f>'account mgt'!$I$23/12</f>
        <v>-55463.499148751995</v>
      </c>
      <c r="CN91" s="438">
        <v>0</v>
      </c>
      <c r="CT91" s="438">
        <f t="shared" si="111"/>
        <v>0</v>
      </c>
      <c r="CU91" s="438">
        <f t="shared" si="112"/>
        <v>0</v>
      </c>
      <c r="CV91" s="438">
        <f>IF(CT91&lt;0.1,0,PPMT($L$3,A91-14,unwinds!$B$8*12,$K$5))</f>
        <v>0</v>
      </c>
      <c r="CW91" s="438">
        <f t="shared" si="109"/>
        <v>0</v>
      </c>
      <c r="CX91" s="438">
        <f t="shared" si="110"/>
        <v>0</v>
      </c>
      <c r="DA91" s="438">
        <f t="shared" si="53"/>
        <v>17295139.479489885</v>
      </c>
      <c r="DB91" s="438">
        <f t="shared" si="54"/>
        <v>136487.47572564101</v>
      </c>
      <c r="DC91" s="438">
        <f t="shared" si="55"/>
        <v>358910.59594597452</v>
      </c>
      <c r="DD91" s="438">
        <f t="shared" si="56"/>
        <v>16936228.883543912</v>
      </c>
      <c r="DE91" s="438">
        <f t="shared" si="113"/>
        <v>16936228.883543912</v>
      </c>
      <c r="DH91" s="944">
        <v>-715341.08333333337</v>
      </c>
      <c r="DI91" s="944">
        <v>-705333.33333333337</v>
      </c>
      <c r="DJ91" s="944"/>
      <c r="DL91" s="381">
        <f t="shared" ref="DL91:DL131" si="115">PMT($J$3,106,$I$5,,1)</f>
        <v>474832.92700924521</v>
      </c>
      <c r="DN91" s="944">
        <f t="shared" si="95"/>
        <v>-715341.08333333337</v>
      </c>
      <c r="DO91" s="944">
        <f t="shared" si="96"/>
        <v>474832.92700924521</v>
      </c>
      <c r="DQ91" s="438">
        <f t="shared" si="97"/>
        <v>491102.12555266963</v>
      </c>
      <c r="DR91" s="438">
        <f t="shared" si="98"/>
        <v>-24949.351376750885</v>
      </c>
      <c r="DS91" s="438"/>
      <c r="DT91" s="438"/>
      <c r="DU91" s="438"/>
      <c r="DV91" s="438"/>
      <c r="DW91" s="438"/>
      <c r="DX91" s="438"/>
    </row>
    <row r="92" spans="1:128" x14ac:dyDescent="0.2">
      <c r="A92" s="383">
        <v>81</v>
      </c>
      <c r="B92" s="631">
        <v>38961</v>
      </c>
      <c r="C92" s="381">
        <v>0</v>
      </c>
      <c r="D92" s="381">
        <v>0</v>
      </c>
      <c r="E92" s="381">
        <v>0</v>
      </c>
      <c r="F92" s="381">
        <v>132608.57030530865</v>
      </c>
      <c r="G92" s="381">
        <v>358910.59594597481</v>
      </c>
      <c r="H92" s="381">
        <v>0</v>
      </c>
      <c r="I92" s="381">
        <v>491519.16625128349</v>
      </c>
      <c r="J92" s="381"/>
      <c r="K92" s="381"/>
      <c r="L92" s="381">
        <f t="shared" si="114"/>
        <v>491519.16625128326</v>
      </c>
      <c r="M92" s="381"/>
      <c r="N92" s="679">
        <f t="shared" si="99"/>
        <v>-715341.08333333337</v>
      </c>
      <c r="O92" s="679">
        <f t="shared" si="100"/>
        <v>-705333.33333333337</v>
      </c>
      <c r="P92" s="565">
        <f>Breakout!$I$16/12</f>
        <v>3591047.6667805226</v>
      </c>
      <c r="Q92" s="557">
        <f>'wholesale services'!$D$110*'wholesale services'!$J$111/12</f>
        <v>3250582.4999999995</v>
      </c>
      <c r="R92" s="557">
        <v>3320487.5</v>
      </c>
      <c r="S92" s="565">
        <f>Breakout!$I$27/12</f>
        <v>127227.35218834742</v>
      </c>
      <c r="T92" s="557">
        <f>'wholesale services'!$D$113*'wholesale services'!$J$114/12</f>
        <v>157513.62559584022</v>
      </c>
      <c r="U92" s="557">
        <v>160728.18938351041</v>
      </c>
      <c r="V92" s="565">
        <f>Breakout!$I$38/12</f>
        <v>64041.762743528874</v>
      </c>
      <c r="W92" s="496">
        <f>Breakout!$I$39/12</f>
        <v>69219.211629786136</v>
      </c>
      <c r="X92" s="496">
        <v>69963.504227955884</v>
      </c>
      <c r="Y92" s="565">
        <f>Breakout!$I$49/12</f>
        <v>465843.89182826295</v>
      </c>
      <c r="Z92" s="566">
        <f>Breakout!$I$50/12</f>
        <v>436359.04042789649</v>
      </c>
      <c r="AA92" s="566">
        <v>458364.84689473995</v>
      </c>
      <c r="AB92" s="565">
        <f>Breakout!$I$60/12</f>
        <v>428611.68530167785</v>
      </c>
      <c r="AC92" s="566">
        <f>Breakout!$I$61/12</f>
        <v>432305.41564022127</v>
      </c>
      <c r="AD92" s="566">
        <v>445784.87180717703</v>
      </c>
      <c r="AE92" s="565">
        <f>Breakout!$I$71/12</f>
        <v>325195.85194797197</v>
      </c>
      <c r="AF92" s="566">
        <f>Breakout!$I$72/12</f>
        <v>316520.66666666669</v>
      </c>
      <c r="AG92" s="566">
        <v>316520.66666666669</v>
      </c>
      <c r="AH92" s="565">
        <f>Breakout!$I$82/12</f>
        <v>21404.332467756973</v>
      </c>
      <c r="AI92" s="566">
        <f>Breakout!$I$83/12</f>
        <v>0</v>
      </c>
      <c r="AJ92" s="566">
        <v>0</v>
      </c>
      <c r="AK92" s="571">
        <f>Breakout!$I$91/12</f>
        <v>287797.38529082685</v>
      </c>
      <c r="AL92" s="571">
        <v>287797.38529082685</v>
      </c>
      <c r="AM92" s="567">
        <f>(Breakout!$I$107/12)*-1</f>
        <v>55221.25</v>
      </c>
      <c r="AN92" s="567">
        <v>55221.25</v>
      </c>
      <c r="AO92" s="578">
        <f t="shared" si="74"/>
        <v>5023372.5432580691</v>
      </c>
      <c r="AP92" s="578">
        <f t="shared" si="75"/>
        <v>5041004.3578850366</v>
      </c>
      <c r="AQ92" s="548">
        <f t="shared" si="76"/>
        <v>258361.60433092032</v>
      </c>
      <c r="AR92" s="496"/>
      <c r="AS92" s="553">
        <f t="shared" si="77"/>
        <v>122318.49606924236</v>
      </c>
      <c r="AT92" s="496"/>
      <c r="AU92" s="557">
        <f>'wholesale services'!$J$110/12</f>
        <v>39106610.706018515</v>
      </c>
      <c r="AV92" s="557">
        <f>'wholesale services'!$J$113/12</f>
        <v>17613.255833333333</v>
      </c>
      <c r="AW92" s="496"/>
      <c r="AX92" s="552">
        <f t="shared" si="78"/>
        <v>-715341.08333333337</v>
      </c>
      <c r="AY92" s="381">
        <f t="shared" si="79"/>
        <v>-705333.33333333337</v>
      </c>
      <c r="AZ92" s="496"/>
      <c r="BA92" s="438">
        <f t="shared" si="80"/>
        <v>568947.91528840677</v>
      </c>
      <c r="BB92" s="438">
        <f t="shared" si="81"/>
        <v>-18260.865591288391</v>
      </c>
      <c r="BC92" s="438">
        <f t="shared" si="82"/>
        <v>-5177.4488862572616</v>
      </c>
      <c r="BD92" s="438">
        <f t="shared" si="101"/>
        <v>29484.85140036646</v>
      </c>
      <c r="BE92" s="438">
        <f t="shared" si="102"/>
        <v>-3693.7303385434207</v>
      </c>
      <c r="BF92" s="438">
        <f t="shared" si="103"/>
        <v>8675.1852813052828</v>
      </c>
      <c r="BG92" s="438">
        <f t="shared" si="104"/>
        <v>21404.332467756973</v>
      </c>
      <c r="BH92" s="438">
        <f t="shared" si="105"/>
        <v>-287797.38529082685</v>
      </c>
      <c r="BI92" s="438">
        <f t="shared" si="106"/>
        <v>-55221.25</v>
      </c>
      <c r="BL92" s="438">
        <f t="shared" si="83"/>
        <v>719584.87406055338</v>
      </c>
      <c r="BM92" s="438">
        <f t="shared" si="84"/>
        <v>-12923.943560546475</v>
      </c>
      <c r="BN92" s="438">
        <f t="shared" si="85"/>
        <v>-2491.0305289255048</v>
      </c>
      <c r="BO92" s="438">
        <f t="shared" si="86"/>
        <v>49026.030922080332</v>
      </c>
      <c r="BP92" s="438">
        <f t="shared" si="87"/>
        <v>14285.635784973856</v>
      </c>
      <c r="BQ92" s="438">
        <f t="shared" si="88"/>
        <v>22316.472918870335</v>
      </c>
      <c r="BR92" s="438">
        <f t="shared" si="89"/>
        <v>22302.199565795654</v>
      </c>
      <c r="BS92" s="438">
        <f t="shared" si="107"/>
        <v>-287797.38529082685</v>
      </c>
      <c r="BT92" s="438">
        <f t="shared" si="108"/>
        <v>-55221.25</v>
      </c>
      <c r="BW92" s="565">
        <f>Breakout!$I$15/12</f>
        <v>3741684.6255526692</v>
      </c>
      <c r="BX92" s="565">
        <f>Breakout!$I$26/12</f>
        <v>132564.27421908933</v>
      </c>
      <c r="BY92" s="565">
        <f>Breakout!$I$37/12</f>
        <v>66728.181100860631</v>
      </c>
      <c r="BZ92" s="565">
        <f>Breakout!$I$48/12</f>
        <v>485385.07134997682</v>
      </c>
      <c r="CA92" s="565">
        <f>Breakout!$I$59/12</f>
        <v>446591.05142519512</v>
      </c>
      <c r="CB92" s="565">
        <f>Breakout!$I$70/12</f>
        <v>338837.13958553702</v>
      </c>
      <c r="CC92" s="565">
        <f>Breakout!$I$81/12</f>
        <v>22302.199565795654</v>
      </c>
      <c r="CE92" s="634">
        <f t="shared" si="90"/>
        <v>3740674.6528963777</v>
      </c>
      <c r="CF92" s="634">
        <f t="shared" si="91"/>
        <v>132528.49186286191</v>
      </c>
      <c r="CG92" s="634">
        <f t="shared" si="92"/>
        <v>66710.169524509241</v>
      </c>
      <c r="CI92" s="634">
        <f t="shared" si="93"/>
        <v>-715341.08333333337</v>
      </c>
      <c r="CJ92" s="634">
        <f t="shared" si="94"/>
        <v>-705333.33333333337</v>
      </c>
      <c r="CL92" s="438">
        <f>'account mgt'!$I$23/12</f>
        <v>-55463.499148751995</v>
      </c>
      <c r="CN92" s="438">
        <v>0</v>
      </c>
      <c r="CT92" s="438">
        <f t="shared" si="111"/>
        <v>0</v>
      </c>
      <c r="CU92" s="438">
        <f t="shared" si="112"/>
        <v>0</v>
      </c>
      <c r="CV92" s="438">
        <f>IF(CT92&lt;0.1,0,PPMT($L$3,A92-14,unwinds!$B$8*12,$K$5))</f>
        <v>0</v>
      </c>
      <c r="CW92" s="438">
        <f t="shared" si="109"/>
        <v>0</v>
      </c>
      <c r="CX92" s="438">
        <f t="shared" si="110"/>
        <v>0</v>
      </c>
      <c r="DA92" s="438">
        <f t="shared" ref="DA92:DA131" si="116">DD91</f>
        <v>16936228.883543912</v>
      </c>
      <c r="DB92" s="438">
        <f t="shared" ref="DB92:DB131" si="117">DA92*$L$3</f>
        <v>133655.07293930071</v>
      </c>
      <c r="DC92" s="438">
        <f t="shared" ref="DC92:DC131" si="118">PPMT($L$3,A92-14,106,$K$5)</f>
        <v>361742.99873231485</v>
      </c>
      <c r="DD92" s="438">
        <f t="shared" ref="DD92:DD131" si="119">DA92-DC92</f>
        <v>16574485.884811597</v>
      </c>
      <c r="DE92" s="438">
        <f t="shared" si="113"/>
        <v>16574485.884811597</v>
      </c>
      <c r="DH92" s="944">
        <v>-715341.08333333337</v>
      </c>
      <c r="DI92" s="944">
        <v>-705333.33333333337</v>
      </c>
      <c r="DJ92" s="944"/>
      <c r="DL92" s="381">
        <f t="shared" si="115"/>
        <v>474832.92700924521</v>
      </c>
      <c r="DN92" s="944">
        <f t="shared" si="95"/>
        <v>-715341.08333333337</v>
      </c>
      <c r="DO92" s="944">
        <f t="shared" si="96"/>
        <v>474832.92700924521</v>
      </c>
      <c r="DQ92" s="438">
        <f t="shared" si="97"/>
        <v>491102.12555266963</v>
      </c>
      <c r="DR92" s="438">
        <f t="shared" si="98"/>
        <v>-24949.351376750885</v>
      </c>
      <c r="DS92" s="438"/>
      <c r="DT92" s="438"/>
      <c r="DU92" s="438"/>
      <c r="DV92" s="438"/>
      <c r="DW92" s="438"/>
      <c r="DX92" s="438"/>
    </row>
    <row r="93" spans="1:128" x14ac:dyDescent="0.2">
      <c r="A93" s="383">
        <v>82</v>
      </c>
      <c r="B93" s="631">
        <v>38991</v>
      </c>
      <c r="C93" s="381">
        <v>0</v>
      </c>
      <c r="D93" s="381">
        <v>0</v>
      </c>
      <c r="E93" s="381">
        <v>0</v>
      </c>
      <c r="F93" s="381">
        <v>129776.16751896837</v>
      </c>
      <c r="G93" s="381">
        <v>361742.99873231514</v>
      </c>
      <c r="H93" s="381">
        <v>0</v>
      </c>
      <c r="I93" s="381">
        <v>491519.16625128349</v>
      </c>
      <c r="J93" s="381"/>
      <c r="K93" s="381"/>
      <c r="L93" s="381">
        <f t="shared" si="114"/>
        <v>491519.16625128326</v>
      </c>
      <c r="M93" s="381"/>
      <c r="N93" s="679">
        <f t="shared" si="99"/>
        <v>-715341.08333333337</v>
      </c>
      <c r="O93" s="679">
        <f t="shared" si="100"/>
        <v>-705333.33333333337</v>
      </c>
      <c r="P93" s="565">
        <f>Breakout!$I$16/12</f>
        <v>3591047.6667805226</v>
      </c>
      <c r="Q93" s="557">
        <f>'wholesale services'!$D$110*'wholesale services'!$J$111/12</f>
        <v>3250582.4999999995</v>
      </c>
      <c r="R93" s="557">
        <v>3320487.5</v>
      </c>
      <c r="S93" s="565">
        <f>Breakout!$I$27/12</f>
        <v>127227.35218834742</v>
      </c>
      <c r="T93" s="557">
        <f>'wholesale services'!$D$113*'wholesale services'!$J$114/12</f>
        <v>157513.62559584022</v>
      </c>
      <c r="U93" s="557">
        <v>160728.18938351041</v>
      </c>
      <c r="V93" s="565">
        <f>Breakout!$I$38/12</f>
        <v>64041.762743528874</v>
      </c>
      <c r="W93" s="496">
        <f>Breakout!$I$39/12</f>
        <v>69219.211629786136</v>
      </c>
      <c r="X93" s="496">
        <v>69963.504227955884</v>
      </c>
      <c r="Y93" s="565">
        <f>Breakout!$I$49/12</f>
        <v>465843.89182826295</v>
      </c>
      <c r="Z93" s="566">
        <f>Breakout!$I$50/12</f>
        <v>436359.04042789649</v>
      </c>
      <c r="AA93" s="566">
        <v>458364.84689473995</v>
      </c>
      <c r="AB93" s="565">
        <f>Breakout!$I$60/12</f>
        <v>428611.68530167785</v>
      </c>
      <c r="AC93" s="566">
        <f>Breakout!$I$61/12</f>
        <v>432305.41564022127</v>
      </c>
      <c r="AD93" s="566">
        <v>445784.87180717703</v>
      </c>
      <c r="AE93" s="565">
        <f>Breakout!$I$71/12</f>
        <v>325195.85194797197</v>
      </c>
      <c r="AF93" s="566">
        <f>Breakout!$I$72/12</f>
        <v>316520.66666666669</v>
      </c>
      <c r="AG93" s="566">
        <v>316520.66666666669</v>
      </c>
      <c r="AH93" s="565">
        <f>Breakout!$I$82/12</f>
        <v>21404.332467756973</v>
      </c>
      <c r="AI93" s="566">
        <f>Breakout!$I$83/12</f>
        <v>0</v>
      </c>
      <c r="AJ93" s="566">
        <v>0</v>
      </c>
      <c r="AK93" s="571">
        <f>Breakout!$I$91/12</f>
        <v>287797.38529082685</v>
      </c>
      <c r="AL93" s="571">
        <v>287797.38529082685</v>
      </c>
      <c r="AM93" s="567">
        <f>(Breakout!$I$107/12)*-1</f>
        <v>55221.25</v>
      </c>
      <c r="AN93" s="567">
        <v>55221.25</v>
      </c>
      <c r="AO93" s="578">
        <f t="shared" si="74"/>
        <v>5023372.5432580691</v>
      </c>
      <c r="AP93" s="578">
        <f t="shared" si="75"/>
        <v>5041004.3578850366</v>
      </c>
      <c r="AQ93" s="548">
        <f t="shared" si="76"/>
        <v>258361.60433092032</v>
      </c>
      <c r="AR93" s="496"/>
      <c r="AS93" s="553">
        <f t="shared" si="77"/>
        <v>122318.49606924236</v>
      </c>
      <c r="AT93" s="496"/>
      <c r="AU93" s="557">
        <f>'wholesale services'!$J$110/12</f>
        <v>39106610.706018515</v>
      </c>
      <c r="AV93" s="557">
        <f>'wholesale services'!$J$113/12</f>
        <v>17613.255833333333</v>
      </c>
      <c r="AW93" s="496"/>
      <c r="AX93" s="552">
        <f t="shared" si="78"/>
        <v>-715341.08333333337</v>
      </c>
      <c r="AY93" s="381">
        <f t="shared" si="79"/>
        <v>-705333.33333333337</v>
      </c>
      <c r="AZ93" s="496"/>
      <c r="BA93" s="438">
        <f t="shared" si="80"/>
        <v>568947.91528840677</v>
      </c>
      <c r="BB93" s="438">
        <f t="shared" si="81"/>
        <v>-18260.865591288391</v>
      </c>
      <c r="BC93" s="438">
        <f t="shared" si="82"/>
        <v>-5177.4488862572616</v>
      </c>
      <c r="BD93" s="438">
        <f t="shared" si="101"/>
        <v>29484.85140036646</v>
      </c>
      <c r="BE93" s="438">
        <f t="shared" si="102"/>
        <v>-3693.7303385434207</v>
      </c>
      <c r="BF93" s="438">
        <f t="shared" si="103"/>
        <v>8675.1852813052828</v>
      </c>
      <c r="BG93" s="438">
        <f t="shared" si="104"/>
        <v>21404.332467756973</v>
      </c>
      <c r="BH93" s="438">
        <f t="shared" si="105"/>
        <v>-287797.38529082685</v>
      </c>
      <c r="BI93" s="438">
        <f t="shared" si="106"/>
        <v>-55221.25</v>
      </c>
      <c r="BL93" s="438">
        <f t="shared" si="83"/>
        <v>719584.87406055338</v>
      </c>
      <c r="BM93" s="438">
        <f t="shared" si="84"/>
        <v>-12923.943560546475</v>
      </c>
      <c r="BN93" s="438">
        <f t="shared" si="85"/>
        <v>-2491.0305289255048</v>
      </c>
      <c r="BO93" s="438">
        <f t="shared" si="86"/>
        <v>49026.030922080332</v>
      </c>
      <c r="BP93" s="438">
        <f t="shared" si="87"/>
        <v>14285.635784973856</v>
      </c>
      <c r="BQ93" s="438">
        <f t="shared" si="88"/>
        <v>22316.472918870335</v>
      </c>
      <c r="BR93" s="438">
        <f t="shared" si="89"/>
        <v>22302.199565795654</v>
      </c>
      <c r="BS93" s="438">
        <f t="shared" si="107"/>
        <v>-287797.38529082685</v>
      </c>
      <c r="BT93" s="438">
        <f t="shared" si="108"/>
        <v>-55221.25</v>
      </c>
      <c r="BW93" s="565">
        <f>Breakout!$I$15/12</f>
        <v>3741684.6255526692</v>
      </c>
      <c r="BX93" s="565">
        <f>Breakout!$I$26/12</f>
        <v>132564.27421908933</v>
      </c>
      <c r="BY93" s="565">
        <f>Breakout!$I$37/12</f>
        <v>66728.181100860631</v>
      </c>
      <c r="BZ93" s="565">
        <f>Breakout!$I$48/12</f>
        <v>485385.07134997682</v>
      </c>
      <c r="CA93" s="565">
        <f>Breakout!$I$59/12</f>
        <v>446591.05142519512</v>
      </c>
      <c r="CB93" s="565">
        <f>Breakout!$I$70/12</f>
        <v>338837.13958553702</v>
      </c>
      <c r="CC93" s="565">
        <f>Breakout!$I$81/12</f>
        <v>22302.199565795654</v>
      </c>
      <c r="CE93" s="634">
        <f t="shared" si="90"/>
        <v>3740674.6528963777</v>
      </c>
      <c r="CF93" s="634">
        <f t="shared" si="91"/>
        <v>132528.49186286191</v>
      </c>
      <c r="CG93" s="634">
        <f t="shared" si="92"/>
        <v>66710.169524509241</v>
      </c>
      <c r="CI93" s="634">
        <f t="shared" si="93"/>
        <v>-715341.08333333337</v>
      </c>
      <c r="CJ93" s="634">
        <f t="shared" si="94"/>
        <v>-705333.33333333337</v>
      </c>
      <c r="CL93" s="438">
        <f>'account mgt'!$I$23/12</f>
        <v>-55463.499148751995</v>
      </c>
      <c r="CN93" s="438">
        <v>0</v>
      </c>
      <c r="CT93" s="438">
        <f t="shared" si="111"/>
        <v>0</v>
      </c>
      <c r="CU93" s="438">
        <f t="shared" si="112"/>
        <v>0</v>
      </c>
      <c r="CV93" s="438">
        <f>IF(CT93&lt;0.1,0,PPMT($L$3,A93-14,unwinds!$B$8*12,$K$5))</f>
        <v>0</v>
      </c>
      <c r="CW93" s="438">
        <f t="shared" si="109"/>
        <v>0</v>
      </c>
      <c r="CX93" s="438">
        <f t="shared" si="110"/>
        <v>0</v>
      </c>
      <c r="DA93" s="438">
        <f t="shared" si="116"/>
        <v>16574485.884811597</v>
      </c>
      <c r="DB93" s="438">
        <f t="shared" si="117"/>
        <v>130800.31777430486</v>
      </c>
      <c r="DC93" s="438">
        <f t="shared" si="118"/>
        <v>364597.7538973107</v>
      </c>
      <c r="DD93" s="438">
        <f t="shared" si="119"/>
        <v>16209888.130914286</v>
      </c>
      <c r="DE93" s="438">
        <f t="shared" si="113"/>
        <v>16209888.130914286</v>
      </c>
      <c r="DH93" s="944">
        <v>-715341.08333333337</v>
      </c>
      <c r="DI93" s="944">
        <v>-705333.33333333337</v>
      </c>
      <c r="DJ93" s="944"/>
      <c r="DL93" s="381">
        <f t="shared" si="115"/>
        <v>474832.92700924521</v>
      </c>
      <c r="DN93" s="944">
        <f t="shared" si="95"/>
        <v>-715341.08333333337</v>
      </c>
      <c r="DO93" s="944">
        <f t="shared" si="96"/>
        <v>474832.92700924521</v>
      </c>
      <c r="DQ93" s="438">
        <f t="shared" si="97"/>
        <v>491102.12555266963</v>
      </c>
      <c r="DR93" s="438">
        <f t="shared" si="98"/>
        <v>-24949.351376750885</v>
      </c>
      <c r="DS93" s="438"/>
      <c r="DT93" s="438"/>
      <c r="DU93" s="438"/>
      <c r="DV93" s="438"/>
      <c r="DW93" s="438"/>
      <c r="DX93" s="438"/>
    </row>
    <row r="94" spans="1:128" x14ac:dyDescent="0.2">
      <c r="A94" s="383">
        <v>83</v>
      </c>
      <c r="B94" s="631">
        <v>39022</v>
      </c>
      <c r="C94" s="381">
        <v>0</v>
      </c>
      <c r="D94" s="381">
        <v>0</v>
      </c>
      <c r="E94" s="381">
        <v>0</v>
      </c>
      <c r="F94" s="381">
        <v>126921.41235397258</v>
      </c>
      <c r="G94" s="381">
        <v>364597.75389731093</v>
      </c>
      <c r="H94" s="381">
        <v>0</v>
      </c>
      <c r="I94" s="381">
        <v>491519.16625128349</v>
      </c>
      <c r="J94" s="381"/>
      <c r="K94" s="381"/>
      <c r="L94" s="381">
        <f t="shared" si="114"/>
        <v>491519.16625128326</v>
      </c>
      <c r="M94" s="381"/>
      <c r="N94" s="679">
        <f t="shared" si="99"/>
        <v>-715341.08333333337</v>
      </c>
      <c r="O94" s="679">
        <f t="shared" si="100"/>
        <v>-705333.33333333337</v>
      </c>
      <c r="P94" s="565">
        <f>Breakout!$I$16/12</f>
        <v>3591047.6667805226</v>
      </c>
      <c r="Q94" s="557">
        <f>'wholesale services'!$D$110*'wholesale services'!$J$111/12</f>
        <v>3250582.4999999995</v>
      </c>
      <c r="R94" s="557">
        <v>3320487.5</v>
      </c>
      <c r="S94" s="565">
        <f>Breakout!$I$27/12</f>
        <v>127227.35218834742</v>
      </c>
      <c r="T94" s="557">
        <f>'wholesale services'!$D$113*'wholesale services'!$J$114/12</f>
        <v>157513.62559584022</v>
      </c>
      <c r="U94" s="557">
        <v>160728.18938351041</v>
      </c>
      <c r="V94" s="565">
        <f>Breakout!$I$38/12</f>
        <v>64041.762743528874</v>
      </c>
      <c r="W94" s="496">
        <f>Breakout!$I$39/12</f>
        <v>69219.211629786136</v>
      </c>
      <c r="X94" s="496">
        <v>69963.504227955884</v>
      </c>
      <c r="Y94" s="565">
        <f>Breakout!$I$49/12</f>
        <v>465843.89182826295</v>
      </c>
      <c r="Z94" s="566">
        <f>Breakout!$I$50/12</f>
        <v>436359.04042789649</v>
      </c>
      <c r="AA94" s="566">
        <v>458364.84689473995</v>
      </c>
      <c r="AB94" s="565">
        <f>Breakout!$I$60/12</f>
        <v>428611.68530167785</v>
      </c>
      <c r="AC94" s="566">
        <f>Breakout!$I$61/12</f>
        <v>432305.41564022127</v>
      </c>
      <c r="AD94" s="566">
        <v>445784.87180717703</v>
      </c>
      <c r="AE94" s="565">
        <f>Breakout!$I$71/12</f>
        <v>325195.85194797197</v>
      </c>
      <c r="AF94" s="566">
        <f>Breakout!$I$72/12</f>
        <v>316520.66666666669</v>
      </c>
      <c r="AG94" s="566">
        <v>316520.66666666669</v>
      </c>
      <c r="AH94" s="565">
        <f>Breakout!$I$82/12</f>
        <v>21404.332467756973</v>
      </c>
      <c r="AI94" s="566">
        <f>Breakout!$I$83/12</f>
        <v>0</v>
      </c>
      <c r="AJ94" s="566">
        <v>0</v>
      </c>
      <c r="AK94" s="571">
        <f>Breakout!$I$91/12</f>
        <v>287797.38529082685</v>
      </c>
      <c r="AL94" s="571">
        <v>287797.38529082685</v>
      </c>
      <c r="AM94" s="567">
        <f>(Breakout!$I$107/12)*-1</f>
        <v>55221.25</v>
      </c>
      <c r="AN94" s="567">
        <v>55221.25</v>
      </c>
      <c r="AO94" s="578">
        <f t="shared" si="74"/>
        <v>5023372.5432580691</v>
      </c>
      <c r="AP94" s="578">
        <f t="shared" si="75"/>
        <v>5041004.3578850366</v>
      </c>
      <c r="AQ94" s="548">
        <f t="shared" si="76"/>
        <v>258361.60433092032</v>
      </c>
      <c r="AR94" s="496"/>
      <c r="AS94" s="553">
        <f t="shared" si="77"/>
        <v>122318.49606924236</v>
      </c>
      <c r="AT94" s="496"/>
      <c r="AU94" s="557">
        <f>'wholesale services'!$J$110/12</f>
        <v>39106610.706018515</v>
      </c>
      <c r="AV94" s="557">
        <f>'wholesale services'!$J$113/12</f>
        <v>17613.255833333333</v>
      </c>
      <c r="AW94" s="496"/>
      <c r="AX94" s="552">
        <f t="shared" si="78"/>
        <v>-715341.08333333337</v>
      </c>
      <c r="AY94" s="381">
        <f t="shared" si="79"/>
        <v>-705333.33333333337</v>
      </c>
      <c r="AZ94" s="496"/>
      <c r="BA94" s="438">
        <f t="shared" si="80"/>
        <v>568947.91528840677</v>
      </c>
      <c r="BB94" s="438">
        <f t="shared" si="81"/>
        <v>-18260.865591288391</v>
      </c>
      <c r="BC94" s="438">
        <f t="shared" si="82"/>
        <v>-5177.4488862572616</v>
      </c>
      <c r="BD94" s="438">
        <f t="shared" si="101"/>
        <v>29484.85140036646</v>
      </c>
      <c r="BE94" s="438">
        <f t="shared" si="102"/>
        <v>-3693.7303385434207</v>
      </c>
      <c r="BF94" s="438">
        <f t="shared" si="103"/>
        <v>8675.1852813052828</v>
      </c>
      <c r="BG94" s="438">
        <f t="shared" si="104"/>
        <v>21404.332467756973</v>
      </c>
      <c r="BH94" s="438">
        <f t="shared" si="105"/>
        <v>-287797.38529082685</v>
      </c>
      <c r="BI94" s="438">
        <f t="shared" si="106"/>
        <v>-55221.25</v>
      </c>
      <c r="BL94" s="438">
        <f t="shared" si="83"/>
        <v>719584.87406055338</v>
      </c>
      <c r="BM94" s="438">
        <f t="shared" si="84"/>
        <v>-12923.943560546475</v>
      </c>
      <c r="BN94" s="438">
        <f t="shared" si="85"/>
        <v>-2491.0305289255048</v>
      </c>
      <c r="BO94" s="438">
        <f t="shared" si="86"/>
        <v>49026.030922080332</v>
      </c>
      <c r="BP94" s="438">
        <f t="shared" si="87"/>
        <v>14285.635784973856</v>
      </c>
      <c r="BQ94" s="438">
        <f t="shared" si="88"/>
        <v>22316.472918870335</v>
      </c>
      <c r="BR94" s="438">
        <f t="shared" si="89"/>
        <v>22302.199565795654</v>
      </c>
      <c r="BS94" s="438">
        <f t="shared" si="107"/>
        <v>-287797.38529082685</v>
      </c>
      <c r="BT94" s="438">
        <f t="shared" si="108"/>
        <v>-55221.25</v>
      </c>
      <c r="BW94" s="565">
        <f>Breakout!$I$15/12</f>
        <v>3741684.6255526692</v>
      </c>
      <c r="BX94" s="565">
        <f>Breakout!$I$26/12</f>
        <v>132564.27421908933</v>
      </c>
      <c r="BY94" s="565">
        <f>Breakout!$I$37/12</f>
        <v>66728.181100860631</v>
      </c>
      <c r="BZ94" s="565">
        <f>Breakout!$I$48/12</f>
        <v>485385.07134997682</v>
      </c>
      <c r="CA94" s="565">
        <f>Breakout!$I$59/12</f>
        <v>446591.05142519512</v>
      </c>
      <c r="CB94" s="565">
        <f>Breakout!$I$70/12</f>
        <v>338837.13958553702</v>
      </c>
      <c r="CC94" s="565">
        <f>Breakout!$I$81/12</f>
        <v>22302.199565795654</v>
      </c>
      <c r="CE94" s="634">
        <f t="shared" si="90"/>
        <v>3740674.6528963777</v>
      </c>
      <c r="CF94" s="634">
        <f t="shared" si="91"/>
        <v>132528.49186286191</v>
      </c>
      <c r="CG94" s="634">
        <f t="shared" si="92"/>
        <v>66710.169524509241</v>
      </c>
      <c r="CI94" s="634">
        <f t="shared" si="93"/>
        <v>-715341.08333333337</v>
      </c>
      <c r="CJ94" s="634">
        <f t="shared" si="94"/>
        <v>-705333.33333333337</v>
      </c>
      <c r="CL94" s="438">
        <f>'account mgt'!$I$23/12</f>
        <v>-55463.499148751995</v>
      </c>
      <c r="CN94" s="438">
        <v>0</v>
      </c>
      <c r="CT94" s="438">
        <f t="shared" si="111"/>
        <v>0</v>
      </c>
      <c r="CU94" s="438">
        <f t="shared" si="112"/>
        <v>0</v>
      </c>
      <c r="CV94" s="438">
        <f>IF(CT94&lt;0.1,0,PPMT($L$3,A94-14,unwinds!$B$8*12,$K$5))</f>
        <v>0</v>
      </c>
      <c r="CW94" s="438">
        <f t="shared" si="109"/>
        <v>0</v>
      </c>
      <c r="CX94" s="438">
        <f t="shared" si="110"/>
        <v>0</v>
      </c>
      <c r="DA94" s="438">
        <f t="shared" si="116"/>
        <v>16209888.130914286</v>
      </c>
      <c r="DB94" s="438">
        <f t="shared" si="117"/>
        <v>127923.03383313191</v>
      </c>
      <c r="DC94" s="438">
        <f t="shared" si="118"/>
        <v>367475.03783848358</v>
      </c>
      <c r="DD94" s="438">
        <f t="shared" si="119"/>
        <v>15842413.093075803</v>
      </c>
      <c r="DE94" s="438">
        <f t="shared" si="113"/>
        <v>15842413.093075803</v>
      </c>
      <c r="DH94" s="944">
        <v>-715341.08333333337</v>
      </c>
      <c r="DI94" s="944">
        <v>-705333.33333333337</v>
      </c>
      <c r="DJ94" s="944"/>
      <c r="DL94" s="381">
        <f t="shared" si="115"/>
        <v>474832.92700924521</v>
      </c>
      <c r="DN94" s="944">
        <f t="shared" si="95"/>
        <v>-715341.08333333337</v>
      </c>
      <c r="DO94" s="944">
        <f t="shared" si="96"/>
        <v>474832.92700924521</v>
      </c>
      <c r="DQ94" s="438">
        <f t="shared" si="97"/>
        <v>491102.12555266963</v>
      </c>
      <c r="DR94" s="438">
        <f t="shared" si="98"/>
        <v>-24949.351376750885</v>
      </c>
      <c r="DS94" s="438"/>
      <c r="DT94" s="438"/>
      <c r="DU94" s="438"/>
      <c r="DV94" s="438"/>
      <c r="DW94" s="438"/>
      <c r="DX94" s="438"/>
    </row>
    <row r="95" spans="1:128" s="676" customFormat="1" x14ac:dyDescent="0.2">
      <c r="A95" s="667">
        <v>84</v>
      </c>
      <c r="B95" s="668">
        <v>39052</v>
      </c>
      <c r="C95" s="669">
        <v>0</v>
      </c>
      <c r="D95" s="669">
        <v>0</v>
      </c>
      <c r="E95" s="669">
        <v>0</v>
      </c>
      <c r="F95" s="381">
        <v>124044.12841279966</v>
      </c>
      <c r="G95" s="381">
        <v>367475.03783848381</v>
      </c>
      <c r="H95" s="381">
        <v>0</v>
      </c>
      <c r="I95" s="381">
        <v>491519.16625128349</v>
      </c>
      <c r="J95" s="669"/>
      <c r="K95" s="669"/>
      <c r="L95" s="381">
        <f t="shared" si="114"/>
        <v>491519.16625128326</v>
      </c>
      <c r="M95" s="669"/>
      <c r="N95" s="679">
        <f t="shared" si="99"/>
        <v>-715341.08333333337</v>
      </c>
      <c r="O95" s="679">
        <f t="shared" si="100"/>
        <v>-705333.33333333337</v>
      </c>
      <c r="P95" s="670">
        <f>Breakout!$I$16/12</f>
        <v>3591047.6667805226</v>
      </c>
      <c r="Q95" s="671">
        <f>'wholesale services'!$D$110*'wholesale services'!$J$111/12</f>
        <v>3250582.4999999995</v>
      </c>
      <c r="R95" s="671">
        <v>3320487.5</v>
      </c>
      <c r="S95" s="670">
        <f>Breakout!$I$27/12</f>
        <v>127227.35218834742</v>
      </c>
      <c r="T95" s="671">
        <f>'wholesale services'!$D$113*'wholesale services'!$J$114/12</f>
        <v>157513.62559584022</v>
      </c>
      <c r="U95" s="671">
        <v>160728.18938351041</v>
      </c>
      <c r="V95" s="670">
        <f>Breakout!$I$38/12</f>
        <v>64041.762743528874</v>
      </c>
      <c r="W95" s="672">
        <f>Breakout!$I$39/12</f>
        <v>69219.211629786136</v>
      </c>
      <c r="X95" s="672">
        <v>69963.504227955884</v>
      </c>
      <c r="Y95" s="670">
        <f>Breakout!$I$49/12</f>
        <v>465843.89182826295</v>
      </c>
      <c r="Z95" s="671">
        <f>Breakout!$I$50/12</f>
        <v>436359.04042789649</v>
      </c>
      <c r="AA95" s="671">
        <v>458364.84689473995</v>
      </c>
      <c r="AB95" s="670">
        <f>Breakout!$I$60/12</f>
        <v>428611.68530167785</v>
      </c>
      <c r="AC95" s="671">
        <f>Breakout!$I$61/12</f>
        <v>432305.41564022127</v>
      </c>
      <c r="AD95" s="671">
        <v>445784.87180717703</v>
      </c>
      <c r="AE95" s="670">
        <f>Breakout!$I$71/12</f>
        <v>325195.85194797197</v>
      </c>
      <c r="AF95" s="671">
        <f>Breakout!$I$72/12</f>
        <v>316520.66666666669</v>
      </c>
      <c r="AG95" s="671">
        <v>316520.66666666669</v>
      </c>
      <c r="AH95" s="670">
        <f>Breakout!$I$82/12</f>
        <v>21404.332467756973</v>
      </c>
      <c r="AI95" s="671">
        <f>Breakout!$I$83/12</f>
        <v>0</v>
      </c>
      <c r="AJ95" s="671">
        <v>0</v>
      </c>
      <c r="AK95" s="673">
        <f>Breakout!$I$91/12</f>
        <v>287797.38529082685</v>
      </c>
      <c r="AL95" s="673">
        <v>287797.38529082685</v>
      </c>
      <c r="AM95" s="673">
        <f>(Breakout!$I$107/12)*-1</f>
        <v>55221.25</v>
      </c>
      <c r="AN95" s="673">
        <v>55221.25</v>
      </c>
      <c r="AO95" s="674">
        <f t="shared" si="74"/>
        <v>5023372.5432580691</v>
      </c>
      <c r="AP95" s="674">
        <f t="shared" si="75"/>
        <v>5041004.3578850366</v>
      </c>
      <c r="AQ95" s="548">
        <f t="shared" si="76"/>
        <v>258361.60433092032</v>
      </c>
      <c r="AR95" s="672">
        <f>SUM(AQ84:AQ95)</f>
        <v>3100339.2519710436</v>
      </c>
      <c r="AS95" s="553">
        <f t="shared" si="77"/>
        <v>122318.49606924236</v>
      </c>
      <c r="AT95" s="672">
        <f>SUM(AS84:AS95)</f>
        <v>1467821.9528309079</v>
      </c>
      <c r="AU95" s="671">
        <f>'wholesale services'!$J$110/12</f>
        <v>39106610.706018515</v>
      </c>
      <c r="AV95" s="671">
        <f>'wholesale services'!$J$113/12</f>
        <v>17613.255833333333</v>
      </c>
      <c r="AW95" s="672"/>
      <c r="AX95" s="552">
        <f t="shared" si="78"/>
        <v>-715341.08333333337</v>
      </c>
      <c r="AY95" s="381">
        <f t="shared" si="79"/>
        <v>-705333.33333333337</v>
      </c>
      <c r="AZ95" s="672"/>
      <c r="BA95" s="438">
        <f t="shared" si="80"/>
        <v>568947.91528840677</v>
      </c>
      <c r="BB95" s="438">
        <f t="shared" si="81"/>
        <v>-18260.865591288391</v>
      </c>
      <c r="BC95" s="438">
        <f t="shared" si="82"/>
        <v>-5177.4488862572616</v>
      </c>
      <c r="BD95" s="438">
        <f t="shared" si="101"/>
        <v>29484.85140036646</v>
      </c>
      <c r="BE95" s="438">
        <f t="shared" si="102"/>
        <v>-3693.7303385434207</v>
      </c>
      <c r="BF95" s="438">
        <f t="shared" si="103"/>
        <v>8675.1852813052828</v>
      </c>
      <c r="BG95" s="438">
        <f t="shared" si="104"/>
        <v>21404.332467756973</v>
      </c>
      <c r="BH95" s="438">
        <f t="shared" si="105"/>
        <v>-287797.38529082685</v>
      </c>
      <c r="BI95" s="438">
        <f t="shared" si="106"/>
        <v>-55221.25</v>
      </c>
      <c r="BJ95" s="672"/>
      <c r="BK95" s="496"/>
      <c r="BL95" s="438">
        <f t="shared" si="83"/>
        <v>719584.87406055338</v>
      </c>
      <c r="BM95" s="438">
        <f t="shared" si="84"/>
        <v>-12923.943560546475</v>
      </c>
      <c r="BN95" s="438">
        <f t="shared" si="85"/>
        <v>-2491.0305289255048</v>
      </c>
      <c r="BO95" s="438">
        <f t="shared" si="86"/>
        <v>49026.030922080332</v>
      </c>
      <c r="BP95" s="438">
        <f t="shared" si="87"/>
        <v>14285.635784973856</v>
      </c>
      <c r="BQ95" s="438">
        <f t="shared" si="88"/>
        <v>22316.472918870335</v>
      </c>
      <c r="BR95" s="438">
        <f t="shared" si="89"/>
        <v>22302.199565795654</v>
      </c>
      <c r="BS95" s="438">
        <f t="shared" si="107"/>
        <v>-287797.38529082685</v>
      </c>
      <c r="BT95" s="438">
        <f t="shared" si="108"/>
        <v>-55221.25</v>
      </c>
      <c r="BU95" s="672"/>
      <c r="BV95" s="672"/>
      <c r="BW95" s="670">
        <f>Breakout!$I$15/12</f>
        <v>3741684.6255526692</v>
      </c>
      <c r="BX95" s="670">
        <f>Breakout!$I$26/12</f>
        <v>132564.27421908933</v>
      </c>
      <c r="BY95" s="670">
        <f>Breakout!$I$37/12</f>
        <v>66728.181100860631</v>
      </c>
      <c r="BZ95" s="670">
        <f>Breakout!$I$48/12</f>
        <v>485385.07134997682</v>
      </c>
      <c r="CA95" s="670">
        <f>Breakout!$I$59/12</f>
        <v>446591.05142519512</v>
      </c>
      <c r="CB95" s="670">
        <f>Breakout!$I$70/12</f>
        <v>338837.13958553702</v>
      </c>
      <c r="CC95" s="670">
        <f>Breakout!$I$81/12</f>
        <v>22302.199565795654</v>
      </c>
      <c r="CD95" s="672"/>
      <c r="CE95" s="675">
        <f t="shared" si="90"/>
        <v>3740674.6528963777</v>
      </c>
      <c r="CF95" s="675">
        <f t="shared" si="91"/>
        <v>132528.49186286191</v>
      </c>
      <c r="CG95" s="675">
        <f t="shared" si="92"/>
        <v>66710.169524509241</v>
      </c>
      <c r="CH95" s="672"/>
      <c r="CI95" s="675">
        <f t="shared" si="93"/>
        <v>-715341.08333333337</v>
      </c>
      <c r="CJ95" s="675">
        <f t="shared" si="94"/>
        <v>-705333.33333333337</v>
      </c>
      <c r="CK95" s="672"/>
      <c r="CL95" s="672">
        <f>'account mgt'!$I$23/12</f>
        <v>-55463.499148751995</v>
      </c>
      <c r="CM95" s="672"/>
      <c r="CN95" s="438">
        <v>0</v>
      </c>
      <c r="CO95" s="672"/>
      <c r="CP95" s="672"/>
      <c r="CQ95" s="496"/>
      <c r="CR95" s="496"/>
      <c r="CS95" s="496"/>
      <c r="CT95" s="438">
        <f t="shared" si="111"/>
        <v>0</v>
      </c>
      <c r="CU95" s="438">
        <f t="shared" si="112"/>
        <v>0</v>
      </c>
      <c r="CV95" s="438">
        <f>IF(CT95&lt;0.1,0,PPMT($L$3,A95-14,unwinds!$B$8*12,$K$5))</f>
        <v>0</v>
      </c>
      <c r="CW95" s="438">
        <f t="shared" si="109"/>
        <v>0</v>
      </c>
      <c r="CX95" s="438">
        <f t="shared" si="110"/>
        <v>0</v>
      </c>
      <c r="CY95" s="672">
        <f>CX95</f>
        <v>0</v>
      </c>
      <c r="CZ95" s="438"/>
      <c r="DA95" s="438">
        <f t="shared" si="116"/>
        <v>15842413.093075803</v>
      </c>
      <c r="DB95" s="438">
        <f t="shared" si="117"/>
        <v>125023.04332618987</v>
      </c>
      <c r="DC95" s="438">
        <f t="shared" si="118"/>
        <v>370375.02834542567</v>
      </c>
      <c r="DD95" s="438">
        <f t="shared" si="119"/>
        <v>15472038.064730376</v>
      </c>
      <c r="DE95" s="438">
        <f t="shared" si="113"/>
        <v>15472038.064730376</v>
      </c>
      <c r="DF95" s="672">
        <f>DE95</f>
        <v>15472038.064730376</v>
      </c>
      <c r="DG95" s="672"/>
      <c r="DH95" s="944">
        <v>-715341.08333333337</v>
      </c>
      <c r="DI95" s="944">
        <v>-705333.33333333337</v>
      </c>
      <c r="DJ95" s="944"/>
      <c r="DK95" s="672"/>
      <c r="DL95" s="381">
        <f t="shared" si="115"/>
        <v>474832.92700924521</v>
      </c>
      <c r="DM95" s="672"/>
      <c r="DN95" s="944">
        <f t="shared" si="95"/>
        <v>-715341.08333333337</v>
      </c>
      <c r="DO95" s="944">
        <f t="shared" si="96"/>
        <v>474832.92700924521</v>
      </c>
      <c r="DP95" s="672"/>
      <c r="DQ95" s="438">
        <f t="shared" si="97"/>
        <v>491102.12555266963</v>
      </c>
      <c r="DR95" s="438">
        <f t="shared" si="98"/>
        <v>-24949.351376750885</v>
      </c>
      <c r="DS95" s="672"/>
      <c r="DT95" s="672"/>
      <c r="DU95" s="672"/>
      <c r="DV95" s="672"/>
      <c r="DW95" s="672"/>
      <c r="DX95" s="672"/>
    </row>
    <row r="96" spans="1:128" s="532" customFormat="1" x14ac:dyDescent="0.2">
      <c r="A96" s="528">
        <v>85</v>
      </c>
      <c r="B96" s="633">
        <v>39083</v>
      </c>
      <c r="C96" s="381">
        <v>0</v>
      </c>
      <c r="D96" s="381">
        <v>0</v>
      </c>
      <c r="E96" s="381">
        <v>0</v>
      </c>
      <c r="F96" s="381">
        <v>121144.13790585753</v>
      </c>
      <c r="G96" s="381">
        <v>370375.02834542596</v>
      </c>
      <c r="H96" s="381">
        <v>0</v>
      </c>
      <c r="I96" s="381">
        <v>491519.16625128349</v>
      </c>
      <c r="J96" s="381"/>
      <c r="K96" s="381"/>
      <c r="L96" s="381">
        <f t="shared" si="114"/>
        <v>491519.16625128326</v>
      </c>
      <c r="M96" s="381"/>
      <c r="N96" s="679">
        <f t="shared" si="99"/>
        <v>-715341.08333333337</v>
      </c>
      <c r="O96" s="679">
        <f t="shared" si="100"/>
        <v>-705333.33333333337</v>
      </c>
      <c r="P96" s="564">
        <f>Breakout!$J$16/12</f>
        <v>3628303.9454237688</v>
      </c>
      <c r="Q96" s="557">
        <f>'wholesale services'!$D$110*'wholesale services'!$K$111/12</f>
        <v>3250582.4999999995</v>
      </c>
      <c r="R96" s="557">
        <v>3320487.5</v>
      </c>
      <c r="S96" s="564">
        <f>Breakout!$J$27/12</f>
        <v>128547.30617504039</v>
      </c>
      <c r="T96" s="557">
        <f>'wholesale services'!$D$113*'wholesale services'!$K$114/12</f>
        <v>162121.20024535991</v>
      </c>
      <c r="U96" s="557">
        <v>165429.79616873461</v>
      </c>
      <c r="V96" s="564">
        <f>Breakout!$J$38/12</f>
        <v>64706.181035619287</v>
      </c>
      <c r="W96" s="531">
        <f>Breakout!$J$39/12</f>
        <v>71295.787978679728</v>
      </c>
      <c r="X96" s="531">
        <v>72062.409354794567</v>
      </c>
      <c r="Y96" s="564">
        <f>Breakout!$J$49/12</f>
        <v>470676.91312139662</v>
      </c>
      <c r="Z96" s="560">
        <f>Breakout!$J$50/12</f>
        <v>443995.32363538473</v>
      </c>
      <c r="AA96" s="560">
        <v>466386.23171539791</v>
      </c>
      <c r="AB96" s="564">
        <f>Breakout!$J$60/12</f>
        <v>433058.43117059773</v>
      </c>
      <c r="AC96" s="560">
        <f>Breakout!$J$61/12</f>
        <v>439870.76041392522</v>
      </c>
      <c r="AD96" s="560">
        <v>453586.1070638026</v>
      </c>
      <c r="AE96" s="564">
        <f>Breakout!$J$71/12</f>
        <v>328569.6827622712</v>
      </c>
      <c r="AF96" s="560">
        <f>Breakout!$J$72/12</f>
        <v>316520.66666666669</v>
      </c>
      <c r="AG96" s="560">
        <v>316520.66666666669</v>
      </c>
      <c r="AH96" s="564">
        <f>Breakout!$J$82/12</f>
        <v>21626.397404952968</v>
      </c>
      <c r="AI96" s="560">
        <f>Breakout!$J$83/12</f>
        <v>0</v>
      </c>
      <c r="AJ96" s="560">
        <v>0</v>
      </c>
      <c r="AK96" s="570">
        <f>Breakout!$J$91/12</f>
        <v>290783.21577099018</v>
      </c>
      <c r="AL96" s="570">
        <v>290783.21577099018</v>
      </c>
      <c r="AM96" s="567">
        <f>(Breakout!$J$107/12)*-1</f>
        <v>55221.25</v>
      </c>
      <c r="AN96" s="567">
        <v>55221.25</v>
      </c>
      <c r="AO96" s="578">
        <f t="shared" si="74"/>
        <v>5075488.8570936462</v>
      </c>
      <c r="AP96" s="578">
        <f t="shared" si="75"/>
        <v>5066496.9594408972</v>
      </c>
      <c r="AQ96" s="548">
        <f t="shared" si="76"/>
        <v>285606.30870672857</v>
      </c>
      <c r="AR96" s="531"/>
      <c r="AS96" s="553">
        <f t="shared" si="77"/>
        <v>148825.84743530978</v>
      </c>
      <c r="AT96" s="531"/>
      <c r="AU96" s="557">
        <f>'wholesale services'!$K$110/12</f>
        <v>39106610.706018515</v>
      </c>
      <c r="AV96" s="557">
        <f>'wholesale services'!$K$113/12</f>
        <v>17613.255833333333</v>
      </c>
      <c r="AW96" s="531"/>
      <c r="AX96" s="552">
        <f t="shared" si="78"/>
        <v>-715341.08333333337</v>
      </c>
      <c r="AY96" s="381">
        <f t="shared" si="79"/>
        <v>-705333.33333333337</v>
      </c>
      <c r="AZ96" s="496"/>
      <c r="BA96" s="438">
        <f t="shared" si="80"/>
        <v>606204.19393165305</v>
      </c>
      <c r="BB96" s="438">
        <f t="shared" si="81"/>
        <v>-21548.486254115116</v>
      </c>
      <c r="BC96" s="438">
        <f t="shared" si="82"/>
        <v>-6589.6069430604402</v>
      </c>
      <c r="BD96" s="438">
        <f t="shared" si="101"/>
        <v>26681.589486011886</v>
      </c>
      <c r="BE96" s="438">
        <f t="shared" si="102"/>
        <v>-6812.329243327491</v>
      </c>
      <c r="BF96" s="438">
        <f t="shared" si="103"/>
        <v>12049.016095604515</v>
      </c>
      <c r="BG96" s="438">
        <f t="shared" si="104"/>
        <v>21626.397404952968</v>
      </c>
      <c r="BH96" s="438">
        <f t="shared" si="105"/>
        <v>-290783.21577099018</v>
      </c>
      <c r="BI96" s="438">
        <f t="shared" si="106"/>
        <v>-55221.25</v>
      </c>
      <c r="BJ96" s="531"/>
      <c r="BK96" s="496"/>
      <c r="BL96" s="438">
        <f t="shared" si="83"/>
        <v>758573.47772967897</v>
      </c>
      <c r="BM96" s="438">
        <f t="shared" si="84"/>
        <v>-16150.189620019642</v>
      </c>
      <c r="BN96" s="438">
        <f t="shared" si="85"/>
        <v>-3872.2947746193677</v>
      </c>
      <c r="BO96" s="438">
        <f t="shared" si="86"/>
        <v>46447.492572225397</v>
      </c>
      <c r="BP96" s="438">
        <f t="shared" si="87"/>
        <v>11373.799590610201</v>
      </c>
      <c r="BQ96" s="438">
        <f t="shared" si="88"/>
        <v>25847.178541001573</v>
      </c>
      <c r="BR96" s="438">
        <f t="shared" si="89"/>
        <v>22534.589974619088</v>
      </c>
      <c r="BS96" s="438">
        <f t="shared" si="107"/>
        <v>-290783.21577099018</v>
      </c>
      <c r="BT96" s="438">
        <f t="shared" si="108"/>
        <v>-55221.25</v>
      </c>
      <c r="BU96" s="531"/>
      <c r="BV96" s="531"/>
      <c r="BW96" s="564">
        <f>Breakout!$J$15/12</f>
        <v>3780673.2292217948</v>
      </c>
      <c r="BX96" s="564">
        <f>Breakout!$J$26/12</f>
        <v>133945.60280913586</v>
      </c>
      <c r="BY96" s="564">
        <f>Breakout!$J$37/12</f>
        <v>67423.49320406036</v>
      </c>
      <c r="BZ96" s="564">
        <f>Breakout!$J$48/12</f>
        <v>490442.81620761013</v>
      </c>
      <c r="CA96" s="564">
        <f>Breakout!$J$59/12</f>
        <v>451244.56000453542</v>
      </c>
      <c r="CB96" s="564">
        <f>Breakout!$J$70/12</f>
        <v>342367.84520766826</v>
      </c>
      <c r="CC96" s="564">
        <f>Breakout!$J$81/12</f>
        <v>22534.589974619088</v>
      </c>
      <c r="CD96" s="531"/>
      <c r="CE96" s="634">
        <f t="shared" si="90"/>
        <v>3779483.2764830925</v>
      </c>
      <c r="CF96" s="634">
        <f t="shared" si="91"/>
        <v>133903.44393233373</v>
      </c>
      <c r="CG96" s="634">
        <f t="shared" si="92"/>
        <v>67402.271912103432</v>
      </c>
      <c r="CH96" s="531"/>
      <c r="CI96" s="634">
        <f t="shared" si="93"/>
        <v>-715341.08333333337</v>
      </c>
      <c r="CJ96" s="634">
        <f t="shared" si="94"/>
        <v>-705333.33333333337</v>
      </c>
      <c r="CK96" s="531"/>
      <c r="CL96" s="438">
        <f>'account mgt'!$J$23/12</f>
        <v>-56572.769131727044</v>
      </c>
      <c r="CM96" s="531"/>
      <c r="CN96" s="438">
        <v>0</v>
      </c>
      <c r="CO96" s="531"/>
      <c r="CP96" s="531"/>
      <c r="CQ96" s="496"/>
      <c r="CR96" s="496"/>
      <c r="CS96" s="496"/>
      <c r="CT96" s="438">
        <f t="shared" si="111"/>
        <v>0</v>
      </c>
      <c r="CU96" s="438">
        <f t="shared" si="112"/>
        <v>0</v>
      </c>
      <c r="CV96" s="438">
        <f>IF(CT96&lt;0.1,0,PPMT($L$3,A96-14,unwinds!$B$8*12,$K$5))</f>
        <v>0</v>
      </c>
      <c r="CW96" s="438">
        <f t="shared" si="109"/>
        <v>0</v>
      </c>
      <c r="CX96" s="438">
        <f t="shared" si="110"/>
        <v>0</v>
      </c>
      <c r="CY96" s="531"/>
      <c r="CZ96" s="438"/>
      <c r="DA96" s="438">
        <f t="shared" si="116"/>
        <v>15472038.064730376</v>
      </c>
      <c r="DB96" s="438">
        <f t="shared" si="117"/>
        <v>122100.16706083054</v>
      </c>
      <c r="DC96" s="438">
        <f t="shared" si="118"/>
        <v>373297.9046107849</v>
      </c>
      <c r="DD96" s="438">
        <f t="shared" si="119"/>
        <v>15098740.160119591</v>
      </c>
      <c r="DE96" s="438">
        <f t="shared" si="113"/>
        <v>15098740.160119591</v>
      </c>
      <c r="DF96" s="531"/>
      <c r="DG96" s="531"/>
      <c r="DH96" s="944">
        <v>-715341.08333333337</v>
      </c>
      <c r="DI96" s="944">
        <v>-705333.33333333337</v>
      </c>
      <c r="DJ96" s="944"/>
      <c r="DK96" s="531"/>
      <c r="DL96" s="381">
        <f t="shared" si="115"/>
        <v>474832.92700924521</v>
      </c>
      <c r="DM96" s="531"/>
      <c r="DN96" s="944">
        <f t="shared" si="95"/>
        <v>-715341.08333333337</v>
      </c>
      <c r="DO96" s="944">
        <f t="shared" si="96"/>
        <v>474832.92700924521</v>
      </c>
      <c r="DP96" s="531"/>
      <c r="DQ96" s="438">
        <f t="shared" si="97"/>
        <v>530090.72922179522</v>
      </c>
      <c r="DR96" s="438">
        <f t="shared" si="98"/>
        <v>-28175.597436224052</v>
      </c>
      <c r="DS96" s="531"/>
      <c r="DT96" s="531"/>
      <c r="DU96" s="531"/>
      <c r="DV96" s="531"/>
      <c r="DW96" s="531"/>
      <c r="DX96" s="531"/>
    </row>
    <row r="97" spans="1:128" x14ac:dyDescent="0.2">
      <c r="A97" s="383">
        <v>86</v>
      </c>
      <c r="B97" s="631">
        <v>39114</v>
      </c>
      <c r="C97" s="381">
        <v>0</v>
      </c>
      <c r="D97" s="381">
        <v>0</v>
      </c>
      <c r="E97" s="381">
        <v>0</v>
      </c>
      <c r="F97" s="381">
        <v>118221.2616404983</v>
      </c>
      <c r="G97" s="381">
        <v>373297.90461078519</v>
      </c>
      <c r="H97" s="381">
        <v>0</v>
      </c>
      <c r="I97" s="381">
        <v>491519.16625128349</v>
      </c>
      <c r="J97" s="381"/>
      <c r="K97" s="381"/>
      <c r="L97" s="381">
        <f t="shared" si="114"/>
        <v>491519.16625128326</v>
      </c>
      <c r="M97" s="381"/>
      <c r="N97" s="679">
        <f t="shared" si="99"/>
        <v>-715341.08333333337</v>
      </c>
      <c r="O97" s="679">
        <f t="shared" si="100"/>
        <v>-705333.33333333337</v>
      </c>
      <c r="P97" s="565">
        <f>Breakout!$J$16/12</f>
        <v>3628303.9454237688</v>
      </c>
      <c r="Q97" s="557">
        <f>'wholesale services'!$D$110*'wholesale services'!$K$111/12</f>
        <v>3250582.4999999995</v>
      </c>
      <c r="R97" s="557">
        <v>3320487.5</v>
      </c>
      <c r="S97" s="565">
        <f>Breakout!$J$27/12</f>
        <v>128547.30617504039</v>
      </c>
      <c r="T97" s="557">
        <f>'wholesale services'!$D$113*'wholesale services'!$K$114/12</f>
        <v>162121.20024535991</v>
      </c>
      <c r="U97" s="557">
        <v>165429.79616873461</v>
      </c>
      <c r="V97" s="565">
        <f>Breakout!$J$38/12</f>
        <v>64706.181035619287</v>
      </c>
      <c r="W97" s="496">
        <f>Breakout!$J$39/12</f>
        <v>71295.787978679728</v>
      </c>
      <c r="X97" s="496">
        <v>72062.409354794567</v>
      </c>
      <c r="Y97" s="565">
        <f>Breakout!$J$49/12</f>
        <v>470676.91312139662</v>
      </c>
      <c r="Z97" s="566">
        <f>Breakout!$J$50/12</f>
        <v>443995.32363538473</v>
      </c>
      <c r="AA97" s="566">
        <v>466386.23171539791</v>
      </c>
      <c r="AB97" s="565">
        <f>Breakout!$J$60/12</f>
        <v>433058.43117059773</v>
      </c>
      <c r="AC97" s="566">
        <f>Breakout!$J$61/12</f>
        <v>439870.76041392522</v>
      </c>
      <c r="AD97" s="566">
        <v>453586.1070638026</v>
      </c>
      <c r="AE97" s="565">
        <f>Breakout!$J$71/12</f>
        <v>328569.6827622712</v>
      </c>
      <c r="AF97" s="566">
        <f>Breakout!$J$72/12</f>
        <v>316520.66666666669</v>
      </c>
      <c r="AG97" s="566">
        <v>316520.66666666669</v>
      </c>
      <c r="AH97" s="565">
        <f>Breakout!$J$82/12</f>
        <v>21626.397404952968</v>
      </c>
      <c r="AI97" s="566">
        <f>Breakout!$J$83/12</f>
        <v>0</v>
      </c>
      <c r="AJ97" s="566">
        <v>0</v>
      </c>
      <c r="AK97" s="571">
        <f>Breakout!$J$91/12</f>
        <v>290783.21577099018</v>
      </c>
      <c r="AL97" s="571">
        <v>290783.21577099018</v>
      </c>
      <c r="AM97" s="567">
        <f>(Breakout!$J$107/12)*-1</f>
        <v>55221.25</v>
      </c>
      <c r="AN97" s="567">
        <v>55221.25</v>
      </c>
      <c r="AO97" s="578">
        <f t="shared" si="74"/>
        <v>5075488.8570936462</v>
      </c>
      <c r="AP97" s="578">
        <f t="shared" si="75"/>
        <v>5066496.9594408972</v>
      </c>
      <c r="AQ97" s="548">
        <f t="shared" si="76"/>
        <v>285606.30870672857</v>
      </c>
      <c r="AR97" s="496"/>
      <c r="AS97" s="553">
        <f t="shared" si="77"/>
        <v>148825.84743530978</v>
      </c>
      <c r="AT97" s="496"/>
      <c r="AU97" s="557">
        <f>'wholesale services'!$K$110/12</f>
        <v>39106610.706018515</v>
      </c>
      <c r="AV97" s="557">
        <f>'wholesale services'!$K$113/12</f>
        <v>17613.255833333333</v>
      </c>
      <c r="AW97" s="496"/>
      <c r="AX97" s="552">
        <f t="shared" si="78"/>
        <v>-715341.08333333337</v>
      </c>
      <c r="AY97" s="381">
        <f t="shared" si="79"/>
        <v>-705333.33333333337</v>
      </c>
      <c r="AZ97" s="496"/>
      <c r="BA97" s="438">
        <f t="shared" si="80"/>
        <v>606204.19393165305</v>
      </c>
      <c r="BB97" s="438">
        <f t="shared" si="81"/>
        <v>-21548.486254115116</v>
      </c>
      <c r="BC97" s="438">
        <f t="shared" si="82"/>
        <v>-6589.6069430604402</v>
      </c>
      <c r="BD97" s="438">
        <f t="shared" si="101"/>
        <v>26681.589486011886</v>
      </c>
      <c r="BE97" s="438">
        <f t="shared" si="102"/>
        <v>-6812.329243327491</v>
      </c>
      <c r="BF97" s="438">
        <f t="shared" si="103"/>
        <v>12049.016095604515</v>
      </c>
      <c r="BG97" s="438">
        <f t="shared" si="104"/>
        <v>21626.397404952968</v>
      </c>
      <c r="BH97" s="438">
        <f t="shared" si="105"/>
        <v>-290783.21577099018</v>
      </c>
      <c r="BI97" s="438">
        <f t="shared" si="106"/>
        <v>-55221.25</v>
      </c>
      <c r="BL97" s="438">
        <f t="shared" si="83"/>
        <v>758573.47772967897</v>
      </c>
      <c r="BM97" s="438">
        <f t="shared" si="84"/>
        <v>-16150.189620019642</v>
      </c>
      <c r="BN97" s="438">
        <f t="shared" si="85"/>
        <v>-3872.2947746193677</v>
      </c>
      <c r="BO97" s="438">
        <f t="shared" si="86"/>
        <v>46447.492572225397</v>
      </c>
      <c r="BP97" s="438">
        <f t="shared" si="87"/>
        <v>11373.799590610201</v>
      </c>
      <c r="BQ97" s="438">
        <f t="shared" si="88"/>
        <v>25847.178541001573</v>
      </c>
      <c r="BR97" s="438">
        <f t="shared" si="89"/>
        <v>22534.589974619088</v>
      </c>
      <c r="BS97" s="438">
        <f t="shared" si="107"/>
        <v>-290783.21577099018</v>
      </c>
      <c r="BT97" s="438">
        <f t="shared" si="108"/>
        <v>-55221.25</v>
      </c>
      <c r="BW97" s="565">
        <f>Breakout!$J$15/12</f>
        <v>3780673.2292217948</v>
      </c>
      <c r="BX97" s="565">
        <f>Breakout!$J$26/12</f>
        <v>133945.60280913586</v>
      </c>
      <c r="BY97" s="565">
        <f>Breakout!$J$37/12</f>
        <v>67423.49320406036</v>
      </c>
      <c r="BZ97" s="565">
        <f>Breakout!$J$48/12</f>
        <v>490442.81620761013</v>
      </c>
      <c r="CA97" s="565">
        <f>Breakout!$J$59/12</f>
        <v>451244.56000453542</v>
      </c>
      <c r="CB97" s="565">
        <f>Breakout!$J$70/12</f>
        <v>342367.84520766826</v>
      </c>
      <c r="CC97" s="565">
        <f>Breakout!$J$81/12</f>
        <v>22534.589974619088</v>
      </c>
      <c r="CE97" s="634">
        <f t="shared" si="90"/>
        <v>3779483.2764830925</v>
      </c>
      <c r="CF97" s="634">
        <f t="shared" si="91"/>
        <v>133903.44393233373</v>
      </c>
      <c r="CG97" s="634">
        <f t="shared" si="92"/>
        <v>67402.271912103432</v>
      </c>
      <c r="CI97" s="634">
        <f t="shared" si="93"/>
        <v>-715341.08333333337</v>
      </c>
      <c r="CJ97" s="634">
        <f t="shared" si="94"/>
        <v>-705333.33333333337</v>
      </c>
      <c r="CL97" s="438">
        <f>'account mgt'!$J$23/12</f>
        <v>-56572.769131727044</v>
      </c>
      <c r="CN97" s="438">
        <v>0</v>
      </c>
      <c r="CT97" s="438">
        <f t="shared" si="111"/>
        <v>0</v>
      </c>
      <c r="CU97" s="438">
        <f t="shared" si="112"/>
        <v>0</v>
      </c>
      <c r="CV97" s="438">
        <f>IF(CT97&lt;0.1,0,PPMT($L$3,A97-14,unwinds!$B$8*12,$K$5))</f>
        <v>0</v>
      </c>
      <c r="CW97" s="438">
        <f t="shared" si="109"/>
        <v>0</v>
      </c>
      <c r="CX97" s="438">
        <f t="shared" si="110"/>
        <v>0</v>
      </c>
      <c r="DA97" s="438">
        <f t="shared" si="116"/>
        <v>15098740.160119591</v>
      </c>
      <c r="DB97" s="438">
        <f t="shared" si="117"/>
        <v>119154.22443027711</v>
      </c>
      <c r="DC97" s="438">
        <f t="shared" si="118"/>
        <v>376243.84724133828</v>
      </c>
      <c r="DD97" s="438">
        <f t="shared" si="119"/>
        <v>14722496.312878253</v>
      </c>
      <c r="DE97" s="438">
        <f t="shared" si="113"/>
        <v>14722496.312878253</v>
      </c>
      <c r="DH97" s="944">
        <v>-715341.08333333337</v>
      </c>
      <c r="DI97" s="944">
        <v>-705333.33333333337</v>
      </c>
      <c r="DJ97" s="944"/>
      <c r="DL97" s="381">
        <f t="shared" si="115"/>
        <v>474832.92700924521</v>
      </c>
      <c r="DN97" s="944">
        <f t="shared" si="95"/>
        <v>-715341.08333333337</v>
      </c>
      <c r="DO97" s="944">
        <f t="shared" si="96"/>
        <v>474832.92700924521</v>
      </c>
      <c r="DQ97" s="438">
        <f t="shared" si="97"/>
        <v>530090.72922179522</v>
      </c>
      <c r="DR97" s="438">
        <f t="shared" si="98"/>
        <v>-28175.597436224052</v>
      </c>
      <c r="DS97" s="438"/>
      <c r="DT97" s="438"/>
      <c r="DU97" s="438"/>
      <c r="DV97" s="438"/>
      <c r="DW97" s="438"/>
      <c r="DX97" s="438"/>
    </row>
    <row r="98" spans="1:128" x14ac:dyDescent="0.2">
      <c r="A98" s="383">
        <v>87</v>
      </c>
      <c r="B98" s="631">
        <v>39142</v>
      </c>
      <c r="C98" s="381">
        <v>0</v>
      </c>
      <c r="D98" s="381">
        <v>0</v>
      </c>
      <c r="E98" s="381">
        <v>0</v>
      </c>
      <c r="F98" s="381">
        <v>115275.31900994493</v>
      </c>
      <c r="G98" s="381">
        <v>376243.84724133858</v>
      </c>
      <c r="H98" s="381">
        <v>0</v>
      </c>
      <c r="I98" s="381">
        <v>491519.16625128349</v>
      </c>
      <c r="J98" s="381"/>
      <c r="K98" s="381"/>
      <c r="L98" s="381">
        <f t="shared" si="114"/>
        <v>491519.16625128326</v>
      </c>
      <c r="M98" s="381"/>
      <c r="N98" s="679">
        <f t="shared" si="99"/>
        <v>-715341.08333333337</v>
      </c>
      <c r="O98" s="679">
        <f t="shared" si="100"/>
        <v>-705333.33333333337</v>
      </c>
      <c r="P98" s="565">
        <f>Breakout!$J$16/12</f>
        <v>3628303.9454237688</v>
      </c>
      <c r="Q98" s="557">
        <f>'wholesale services'!$D$110*'wholesale services'!$K$111/12</f>
        <v>3250582.4999999995</v>
      </c>
      <c r="R98" s="557">
        <v>3320487.5</v>
      </c>
      <c r="S98" s="565">
        <f>Breakout!$J$27/12</f>
        <v>128547.30617504039</v>
      </c>
      <c r="T98" s="557">
        <f>'wholesale services'!$D$113*'wholesale services'!$K$114/12</f>
        <v>162121.20024535991</v>
      </c>
      <c r="U98" s="557">
        <v>165429.79616873461</v>
      </c>
      <c r="V98" s="565">
        <f>Breakout!$J$38/12</f>
        <v>64706.181035619287</v>
      </c>
      <c r="W98" s="496">
        <f>Breakout!$J$39/12</f>
        <v>71295.787978679728</v>
      </c>
      <c r="X98" s="496">
        <v>72062.409354794567</v>
      </c>
      <c r="Y98" s="565">
        <f>Breakout!$J$49/12</f>
        <v>470676.91312139662</v>
      </c>
      <c r="Z98" s="566">
        <f>Breakout!$J$50/12</f>
        <v>443995.32363538473</v>
      </c>
      <c r="AA98" s="566">
        <v>466386.23171539791</v>
      </c>
      <c r="AB98" s="565">
        <f>Breakout!$J$60/12</f>
        <v>433058.43117059773</v>
      </c>
      <c r="AC98" s="566">
        <f>Breakout!$J$61/12</f>
        <v>439870.76041392522</v>
      </c>
      <c r="AD98" s="566">
        <v>453586.1070638026</v>
      </c>
      <c r="AE98" s="565">
        <f>Breakout!$J$71/12</f>
        <v>328569.6827622712</v>
      </c>
      <c r="AF98" s="566">
        <f>Breakout!$J$72/12</f>
        <v>316520.66666666669</v>
      </c>
      <c r="AG98" s="566">
        <v>316520.66666666669</v>
      </c>
      <c r="AH98" s="565">
        <f>Breakout!$J$82/12</f>
        <v>21626.397404952968</v>
      </c>
      <c r="AI98" s="566">
        <f>Breakout!$J$83/12</f>
        <v>0</v>
      </c>
      <c r="AJ98" s="566">
        <v>0</v>
      </c>
      <c r="AK98" s="571">
        <f>Breakout!$J$91/12</f>
        <v>290783.21577099018</v>
      </c>
      <c r="AL98" s="571">
        <v>290783.21577099018</v>
      </c>
      <c r="AM98" s="567">
        <f>(Breakout!$J$107/12)*-1</f>
        <v>55221.25</v>
      </c>
      <c r="AN98" s="567">
        <v>55221.25</v>
      </c>
      <c r="AO98" s="578">
        <f t="shared" si="74"/>
        <v>5075488.8570936462</v>
      </c>
      <c r="AP98" s="578">
        <f t="shared" si="75"/>
        <v>5066496.9594408972</v>
      </c>
      <c r="AQ98" s="548">
        <f t="shared" si="76"/>
        <v>285606.30870672857</v>
      </c>
      <c r="AR98" s="496"/>
      <c r="AS98" s="553">
        <f t="shared" si="77"/>
        <v>148825.84743530978</v>
      </c>
      <c r="AT98" s="496"/>
      <c r="AU98" s="557">
        <f>'wholesale services'!$K$110/12</f>
        <v>39106610.706018515</v>
      </c>
      <c r="AV98" s="557">
        <f>'wholesale services'!$K$113/12</f>
        <v>17613.255833333333</v>
      </c>
      <c r="AW98" s="496"/>
      <c r="AX98" s="552">
        <f t="shared" si="78"/>
        <v>-715341.08333333337</v>
      </c>
      <c r="AY98" s="381">
        <f t="shared" si="79"/>
        <v>-705333.33333333337</v>
      </c>
      <c r="AZ98" s="496"/>
      <c r="BA98" s="438">
        <f t="shared" si="80"/>
        <v>606204.19393165305</v>
      </c>
      <c r="BB98" s="438">
        <f t="shared" si="81"/>
        <v>-21548.486254115116</v>
      </c>
      <c r="BC98" s="438">
        <f t="shared" si="82"/>
        <v>-6589.6069430604402</v>
      </c>
      <c r="BD98" s="438">
        <f t="shared" si="101"/>
        <v>26681.589486011886</v>
      </c>
      <c r="BE98" s="438">
        <f t="shared" si="102"/>
        <v>-6812.329243327491</v>
      </c>
      <c r="BF98" s="438">
        <f t="shared" si="103"/>
        <v>12049.016095604515</v>
      </c>
      <c r="BG98" s="438">
        <f t="shared" si="104"/>
        <v>21626.397404952968</v>
      </c>
      <c r="BH98" s="438">
        <f t="shared" si="105"/>
        <v>-290783.21577099018</v>
      </c>
      <c r="BI98" s="438">
        <f t="shared" si="106"/>
        <v>-55221.25</v>
      </c>
      <c r="BL98" s="438">
        <f t="shared" si="83"/>
        <v>758573.47772967897</v>
      </c>
      <c r="BM98" s="438">
        <f t="shared" si="84"/>
        <v>-16150.189620019642</v>
      </c>
      <c r="BN98" s="438">
        <f t="shared" si="85"/>
        <v>-3872.2947746193677</v>
      </c>
      <c r="BO98" s="438">
        <f t="shared" si="86"/>
        <v>46447.492572225397</v>
      </c>
      <c r="BP98" s="438">
        <f t="shared" si="87"/>
        <v>11373.799590610201</v>
      </c>
      <c r="BQ98" s="438">
        <f t="shared" si="88"/>
        <v>25847.178541001573</v>
      </c>
      <c r="BR98" s="438">
        <f t="shared" si="89"/>
        <v>22534.589974619088</v>
      </c>
      <c r="BS98" s="438">
        <f t="shared" si="107"/>
        <v>-290783.21577099018</v>
      </c>
      <c r="BT98" s="438">
        <f t="shared" si="108"/>
        <v>-55221.25</v>
      </c>
      <c r="BW98" s="565">
        <f>Breakout!$J$15/12</f>
        <v>3780673.2292217948</v>
      </c>
      <c r="BX98" s="565">
        <f>Breakout!$J$26/12</f>
        <v>133945.60280913586</v>
      </c>
      <c r="BY98" s="565">
        <f>Breakout!$J$37/12</f>
        <v>67423.49320406036</v>
      </c>
      <c r="BZ98" s="565">
        <f>Breakout!$J$48/12</f>
        <v>490442.81620761013</v>
      </c>
      <c r="CA98" s="565">
        <f>Breakout!$J$59/12</f>
        <v>451244.56000453542</v>
      </c>
      <c r="CB98" s="565">
        <f>Breakout!$J$70/12</f>
        <v>342367.84520766826</v>
      </c>
      <c r="CC98" s="565">
        <f>Breakout!$J$81/12</f>
        <v>22534.589974619088</v>
      </c>
      <c r="CE98" s="634">
        <f t="shared" si="90"/>
        <v>3779483.2764830925</v>
      </c>
      <c r="CF98" s="634">
        <f t="shared" si="91"/>
        <v>133903.44393233373</v>
      </c>
      <c r="CG98" s="634">
        <f t="shared" si="92"/>
        <v>67402.271912103432</v>
      </c>
      <c r="CI98" s="634">
        <f t="shared" si="93"/>
        <v>-715341.08333333337</v>
      </c>
      <c r="CJ98" s="634">
        <f t="shared" si="94"/>
        <v>-705333.33333333337</v>
      </c>
      <c r="CL98" s="438">
        <f>'account mgt'!$J$23/12</f>
        <v>-56572.769131727044</v>
      </c>
      <c r="CN98" s="438">
        <v>0</v>
      </c>
      <c r="CT98" s="438">
        <f t="shared" si="111"/>
        <v>0</v>
      </c>
      <c r="CU98" s="438">
        <f t="shared" si="112"/>
        <v>0</v>
      </c>
      <c r="CV98" s="438">
        <f>IF(CT98&lt;0.1,0,PPMT($L$3,A98-14,unwinds!$B$8*12,$K$5))</f>
        <v>0</v>
      </c>
      <c r="CW98" s="438">
        <f t="shared" si="109"/>
        <v>0</v>
      </c>
      <c r="CX98" s="438">
        <f t="shared" si="110"/>
        <v>0</v>
      </c>
      <c r="DA98" s="438">
        <f t="shared" si="116"/>
        <v>14722496.312878253</v>
      </c>
      <c r="DB98" s="438">
        <f t="shared" si="117"/>
        <v>116185.03340246421</v>
      </c>
      <c r="DC98" s="438">
        <f t="shared" si="118"/>
        <v>379213.03826915123</v>
      </c>
      <c r="DD98" s="438">
        <f t="shared" si="119"/>
        <v>14343283.274609102</v>
      </c>
      <c r="DE98" s="438">
        <f t="shared" si="113"/>
        <v>14343283.274609102</v>
      </c>
      <c r="DH98" s="944">
        <v>-715341.08333333337</v>
      </c>
      <c r="DI98" s="944">
        <v>-705333.33333333337</v>
      </c>
      <c r="DJ98" s="944"/>
      <c r="DL98" s="381">
        <f t="shared" si="115"/>
        <v>474832.92700924521</v>
      </c>
      <c r="DN98" s="944">
        <f t="shared" si="95"/>
        <v>-715341.08333333337</v>
      </c>
      <c r="DO98" s="944">
        <f t="shared" si="96"/>
        <v>474832.92700924521</v>
      </c>
      <c r="DQ98" s="438">
        <f t="shared" si="97"/>
        <v>530090.72922179522</v>
      </c>
      <c r="DR98" s="438">
        <f t="shared" si="98"/>
        <v>-28175.597436224052</v>
      </c>
      <c r="DS98" s="438"/>
      <c r="DT98" s="438"/>
      <c r="DU98" s="438"/>
      <c r="DV98" s="438"/>
      <c r="DW98" s="438"/>
      <c r="DX98" s="438"/>
    </row>
    <row r="99" spans="1:128" x14ac:dyDescent="0.2">
      <c r="A99" s="383">
        <v>88</v>
      </c>
      <c r="B99" s="631">
        <v>39173</v>
      </c>
      <c r="C99" s="381">
        <v>0</v>
      </c>
      <c r="D99" s="381">
        <v>0</v>
      </c>
      <c r="E99" s="381">
        <v>0</v>
      </c>
      <c r="F99" s="381">
        <v>112306.12798213201</v>
      </c>
      <c r="G99" s="381">
        <v>379213.03826915147</v>
      </c>
      <c r="H99" s="381">
        <v>0</v>
      </c>
      <c r="I99" s="381">
        <v>491519.16625128349</v>
      </c>
      <c r="J99" s="381"/>
      <c r="K99" s="381"/>
      <c r="L99" s="381">
        <f t="shared" si="114"/>
        <v>491519.16625128326</v>
      </c>
      <c r="M99" s="381"/>
      <c r="N99" s="679">
        <f t="shared" si="99"/>
        <v>-715341.08333333337</v>
      </c>
      <c r="O99" s="679">
        <f t="shared" si="100"/>
        <v>-705333.33333333337</v>
      </c>
      <c r="P99" s="565">
        <f>Breakout!$J$16/12</f>
        <v>3628303.9454237688</v>
      </c>
      <c r="Q99" s="557">
        <f>'wholesale services'!$D$110*'wholesale services'!$K$111/12</f>
        <v>3250582.4999999995</v>
      </c>
      <c r="R99" s="557">
        <v>3320487.5</v>
      </c>
      <c r="S99" s="565">
        <f>Breakout!$J$27/12</f>
        <v>128547.30617504039</v>
      </c>
      <c r="T99" s="557">
        <f>'wholesale services'!$D$113*'wholesale services'!$K$114/12</f>
        <v>162121.20024535991</v>
      </c>
      <c r="U99" s="557">
        <v>165429.79616873461</v>
      </c>
      <c r="V99" s="565">
        <f>Breakout!$J$38/12</f>
        <v>64706.181035619287</v>
      </c>
      <c r="W99" s="496">
        <f>Breakout!$J$39/12</f>
        <v>71295.787978679728</v>
      </c>
      <c r="X99" s="496">
        <v>72062.409354794567</v>
      </c>
      <c r="Y99" s="565">
        <f>Breakout!$J$49/12</f>
        <v>470676.91312139662</v>
      </c>
      <c r="Z99" s="566">
        <f>Breakout!$J$50/12</f>
        <v>443995.32363538473</v>
      </c>
      <c r="AA99" s="566">
        <v>466386.23171539791</v>
      </c>
      <c r="AB99" s="565">
        <f>Breakout!$J$60/12</f>
        <v>433058.43117059773</v>
      </c>
      <c r="AC99" s="566">
        <f>Breakout!$J$61/12</f>
        <v>439870.76041392522</v>
      </c>
      <c r="AD99" s="566">
        <v>453586.1070638026</v>
      </c>
      <c r="AE99" s="565">
        <f>Breakout!$J$71/12</f>
        <v>328569.6827622712</v>
      </c>
      <c r="AF99" s="566">
        <f>Breakout!$J$72/12</f>
        <v>316520.66666666669</v>
      </c>
      <c r="AG99" s="566">
        <v>316520.66666666669</v>
      </c>
      <c r="AH99" s="565">
        <f>Breakout!$J$82/12</f>
        <v>21626.397404952968</v>
      </c>
      <c r="AI99" s="566">
        <f>Breakout!$J$83/12</f>
        <v>0</v>
      </c>
      <c r="AJ99" s="566">
        <v>0</v>
      </c>
      <c r="AK99" s="571">
        <f>Breakout!$J$91/12</f>
        <v>290783.21577099018</v>
      </c>
      <c r="AL99" s="571">
        <v>290783.21577099018</v>
      </c>
      <c r="AM99" s="567">
        <f>(Breakout!$J$107/12)*-1</f>
        <v>55221.25</v>
      </c>
      <c r="AN99" s="567">
        <v>55221.25</v>
      </c>
      <c r="AO99" s="578">
        <f t="shared" si="74"/>
        <v>5075488.8570936462</v>
      </c>
      <c r="AP99" s="578">
        <f t="shared" si="75"/>
        <v>5066496.9594408972</v>
      </c>
      <c r="AQ99" s="548">
        <f t="shared" si="76"/>
        <v>285606.30870672857</v>
      </c>
      <c r="AR99" s="496"/>
      <c r="AS99" s="553">
        <f t="shared" si="77"/>
        <v>148825.84743530978</v>
      </c>
      <c r="AT99" s="496"/>
      <c r="AU99" s="557">
        <f>'wholesale services'!$K$110/12</f>
        <v>39106610.706018515</v>
      </c>
      <c r="AV99" s="557">
        <f>'wholesale services'!$K$113/12</f>
        <v>17613.255833333333</v>
      </c>
      <c r="AW99" s="496"/>
      <c r="AX99" s="552">
        <f t="shared" si="78"/>
        <v>-715341.08333333337</v>
      </c>
      <c r="AY99" s="381">
        <f t="shared" si="79"/>
        <v>-705333.33333333337</v>
      </c>
      <c r="AZ99" s="496"/>
      <c r="BA99" s="438">
        <f t="shared" si="80"/>
        <v>606204.19393165305</v>
      </c>
      <c r="BB99" s="438">
        <f t="shared" si="81"/>
        <v>-21548.486254115116</v>
      </c>
      <c r="BC99" s="438">
        <f t="shared" si="82"/>
        <v>-6589.6069430604402</v>
      </c>
      <c r="BD99" s="438">
        <f t="shared" si="101"/>
        <v>26681.589486011886</v>
      </c>
      <c r="BE99" s="438">
        <f t="shared" si="102"/>
        <v>-6812.329243327491</v>
      </c>
      <c r="BF99" s="438">
        <f t="shared" si="103"/>
        <v>12049.016095604515</v>
      </c>
      <c r="BG99" s="438">
        <f t="shared" si="104"/>
        <v>21626.397404952968</v>
      </c>
      <c r="BH99" s="438">
        <f t="shared" si="105"/>
        <v>-290783.21577099018</v>
      </c>
      <c r="BI99" s="438">
        <f t="shared" si="106"/>
        <v>-55221.25</v>
      </c>
      <c r="BL99" s="438">
        <f t="shared" si="83"/>
        <v>758573.47772967897</v>
      </c>
      <c r="BM99" s="438">
        <f t="shared" si="84"/>
        <v>-16150.189620019642</v>
      </c>
      <c r="BN99" s="438">
        <f t="shared" si="85"/>
        <v>-3872.2947746193677</v>
      </c>
      <c r="BO99" s="438">
        <f t="shared" si="86"/>
        <v>46447.492572225397</v>
      </c>
      <c r="BP99" s="438">
        <f t="shared" si="87"/>
        <v>11373.799590610201</v>
      </c>
      <c r="BQ99" s="438">
        <f t="shared" si="88"/>
        <v>25847.178541001573</v>
      </c>
      <c r="BR99" s="438">
        <f t="shared" si="89"/>
        <v>22534.589974619088</v>
      </c>
      <c r="BS99" s="438">
        <f t="shared" si="107"/>
        <v>-290783.21577099018</v>
      </c>
      <c r="BT99" s="438">
        <f t="shared" si="108"/>
        <v>-55221.25</v>
      </c>
      <c r="BW99" s="565">
        <f>Breakout!$J$15/12</f>
        <v>3780673.2292217948</v>
      </c>
      <c r="BX99" s="565">
        <f>Breakout!$J$26/12</f>
        <v>133945.60280913586</v>
      </c>
      <c r="BY99" s="565">
        <f>Breakout!$J$37/12</f>
        <v>67423.49320406036</v>
      </c>
      <c r="BZ99" s="565">
        <f>Breakout!$J$48/12</f>
        <v>490442.81620761013</v>
      </c>
      <c r="CA99" s="565">
        <f>Breakout!$J$59/12</f>
        <v>451244.56000453542</v>
      </c>
      <c r="CB99" s="565">
        <f>Breakout!$J$70/12</f>
        <v>342367.84520766826</v>
      </c>
      <c r="CC99" s="565">
        <f>Breakout!$J$81/12</f>
        <v>22534.589974619088</v>
      </c>
      <c r="CE99" s="634">
        <f t="shared" si="90"/>
        <v>3779483.2764830925</v>
      </c>
      <c r="CF99" s="634">
        <f t="shared" si="91"/>
        <v>133903.44393233373</v>
      </c>
      <c r="CG99" s="634">
        <f t="shared" si="92"/>
        <v>67402.271912103432</v>
      </c>
      <c r="CI99" s="634">
        <f t="shared" si="93"/>
        <v>-715341.08333333337</v>
      </c>
      <c r="CJ99" s="634">
        <f t="shared" si="94"/>
        <v>-705333.33333333337</v>
      </c>
      <c r="CL99" s="438">
        <f>'account mgt'!$J$23/12</f>
        <v>-56572.769131727044</v>
      </c>
      <c r="CN99" s="438">
        <v>0</v>
      </c>
      <c r="CT99" s="438">
        <f t="shared" si="111"/>
        <v>0</v>
      </c>
      <c r="CU99" s="438">
        <f t="shared" si="112"/>
        <v>0</v>
      </c>
      <c r="CV99" s="438">
        <f>IF(CT99&lt;0.1,0,PPMT($L$3,A99-14,unwinds!$B$8*12,$K$5))</f>
        <v>0</v>
      </c>
      <c r="CW99" s="438">
        <f t="shared" si="109"/>
        <v>0</v>
      </c>
      <c r="CX99" s="438">
        <f t="shared" si="110"/>
        <v>0</v>
      </c>
      <c r="DA99" s="438">
        <f t="shared" si="116"/>
        <v>14343283.274609102</v>
      </c>
      <c r="DB99" s="438">
        <f t="shared" si="117"/>
        <v>113192.41050879016</v>
      </c>
      <c r="DC99" s="438">
        <f t="shared" si="118"/>
        <v>382205.6611628253</v>
      </c>
      <c r="DD99" s="438">
        <f t="shared" si="119"/>
        <v>13961077.613446277</v>
      </c>
      <c r="DE99" s="438">
        <f t="shared" si="113"/>
        <v>13961077.613446277</v>
      </c>
      <c r="DH99" s="944">
        <v>-715341.08333333337</v>
      </c>
      <c r="DI99" s="944">
        <v>-705333.33333333337</v>
      </c>
      <c r="DJ99" s="944"/>
      <c r="DL99" s="381">
        <f t="shared" si="115"/>
        <v>474832.92700924521</v>
      </c>
      <c r="DN99" s="944">
        <f t="shared" si="95"/>
        <v>-715341.08333333337</v>
      </c>
      <c r="DO99" s="944">
        <f t="shared" si="96"/>
        <v>474832.92700924521</v>
      </c>
      <c r="DQ99" s="438">
        <f t="shared" si="97"/>
        <v>530090.72922179522</v>
      </c>
      <c r="DR99" s="438">
        <f t="shared" si="98"/>
        <v>-28175.597436224052</v>
      </c>
      <c r="DS99" s="438"/>
      <c r="DT99" s="438"/>
      <c r="DU99" s="438"/>
      <c r="DV99" s="438"/>
      <c r="DW99" s="438"/>
      <c r="DX99" s="438"/>
    </row>
    <row r="100" spans="1:128" x14ac:dyDescent="0.2">
      <c r="A100" s="383">
        <v>89</v>
      </c>
      <c r="B100" s="631">
        <v>39203</v>
      </c>
      <c r="C100" s="381">
        <v>0</v>
      </c>
      <c r="D100" s="381">
        <v>0</v>
      </c>
      <c r="E100" s="381">
        <v>0</v>
      </c>
      <c r="F100" s="381">
        <v>109313.50508845793</v>
      </c>
      <c r="G100" s="381">
        <v>382205.66116282553</v>
      </c>
      <c r="H100" s="381">
        <v>0</v>
      </c>
      <c r="I100" s="381">
        <v>491519.16625128349</v>
      </c>
      <c r="J100" s="381"/>
      <c r="K100" s="381"/>
      <c r="L100" s="381">
        <f t="shared" si="114"/>
        <v>491519.16625128326</v>
      </c>
      <c r="M100" s="381"/>
      <c r="N100" s="679">
        <f t="shared" si="99"/>
        <v>-715341.08333333337</v>
      </c>
      <c r="O100" s="679">
        <f t="shared" si="100"/>
        <v>-705333.33333333337</v>
      </c>
      <c r="P100" s="565">
        <f>Breakout!$J$16/12</f>
        <v>3628303.9454237688</v>
      </c>
      <c r="Q100" s="557">
        <f>'wholesale services'!$D$110*'wholesale services'!$K$111/12</f>
        <v>3250582.4999999995</v>
      </c>
      <c r="R100" s="557">
        <v>3320487.5</v>
      </c>
      <c r="S100" s="565">
        <f>Breakout!$J$27/12</f>
        <v>128547.30617504039</v>
      </c>
      <c r="T100" s="557">
        <f>'wholesale services'!$D$113*'wholesale services'!$K$114/12</f>
        <v>162121.20024535991</v>
      </c>
      <c r="U100" s="557">
        <v>165429.79616873461</v>
      </c>
      <c r="V100" s="565">
        <f>Breakout!$J$38/12</f>
        <v>64706.181035619287</v>
      </c>
      <c r="W100" s="496">
        <f>Breakout!$J$39/12</f>
        <v>71295.787978679728</v>
      </c>
      <c r="X100" s="496">
        <v>72062.409354794567</v>
      </c>
      <c r="Y100" s="565">
        <f>Breakout!$J$49/12</f>
        <v>470676.91312139662</v>
      </c>
      <c r="Z100" s="566">
        <f>Breakout!$J$50/12</f>
        <v>443995.32363538473</v>
      </c>
      <c r="AA100" s="566">
        <v>466386.23171539791</v>
      </c>
      <c r="AB100" s="565">
        <f>Breakout!$J$60/12</f>
        <v>433058.43117059773</v>
      </c>
      <c r="AC100" s="566">
        <f>Breakout!$J$61/12</f>
        <v>439870.76041392522</v>
      </c>
      <c r="AD100" s="566">
        <v>453586.1070638026</v>
      </c>
      <c r="AE100" s="565">
        <f>Breakout!$J$71/12</f>
        <v>328569.6827622712</v>
      </c>
      <c r="AF100" s="566">
        <f>Breakout!$J$72/12</f>
        <v>316520.66666666669</v>
      </c>
      <c r="AG100" s="566">
        <v>316520.66666666669</v>
      </c>
      <c r="AH100" s="565">
        <f>Breakout!$J$82/12</f>
        <v>21626.397404952968</v>
      </c>
      <c r="AI100" s="566">
        <f>Breakout!$J$83/12</f>
        <v>0</v>
      </c>
      <c r="AJ100" s="566">
        <v>0</v>
      </c>
      <c r="AK100" s="571">
        <f>Breakout!$J$91/12</f>
        <v>290783.21577099018</v>
      </c>
      <c r="AL100" s="571">
        <v>290783.21577099018</v>
      </c>
      <c r="AM100" s="567">
        <f>(Breakout!$J$107/12)*-1</f>
        <v>55221.25</v>
      </c>
      <c r="AN100" s="567">
        <v>55221.25</v>
      </c>
      <c r="AO100" s="578">
        <f t="shared" si="74"/>
        <v>5075488.8570936462</v>
      </c>
      <c r="AP100" s="578">
        <f t="shared" si="75"/>
        <v>5066496.9594408972</v>
      </c>
      <c r="AQ100" s="548">
        <f t="shared" si="76"/>
        <v>285606.30870672857</v>
      </c>
      <c r="AR100" s="496"/>
      <c r="AS100" s="553">
        <f t="shared" si="77"/>
        <v>148825.84743530978</v>
      </c>
      <c r="AT100" s="496"/>
      <c r="AU100" s="557">
        <f>'wholesale services'!$K$110/12</f>
        <v>39106610.706018515</v>
      </c>
      <c r="AV100" s="557">
        <f>'wholesale services'!$K$113/12</f>
        <v>17613.255833333333</v>
      </c>
      <c r="AW100" s="496"/>
      <c r="AX100" s="552">
        <f t="shared" si="78"/>
        <v>-715341.08333333337</v>
      </c>
      <c r="AY100" s="381">
        <f t="shared" si="79"/>
        <v>-705333.33333333337</v>
      </c>
      <c r="AZ100" s="496"/>
      <c r="BA100" s="438">
        <f t="shared" si="80"/>
        <v>606204.19393165305</v>
      </c>
      <c r="BB100" s="438">
        <f t="shared" si="81"/>
        <v>-21548.486254115116</v>
      </c>
      <c r="BC100" s="438">
        <f t="shared" si="82"/>
        <v>-6589.6069430604402</v>
      </c>
      <c r="BD100" s="438">
        <f t="shared" si="101"/>
        <v>26681.589486011886</v>
      </c>
      <c r="BE100" s="438">
        <f t="shared" si="102"/>
        <v>-6812.329243327491</v>
      </c>
      <c r="BF100" s="438">
        <f t="shared" si="103"/>
        <v>12049.016095604515</v>
      </c>
      <c r="BG100" s="438">
        <f t="shared" si="104"/>
        <v>21626.397404952968</v>
      </c>
      <c r="BH100" s="438">
        <f t="shared" si="105"/>
        <v>-290783.21577099018</v>
      </c>
      <c r="BI100" s="438">
        <f t="shared" si="106"/>
        <v>-55221.25</v>
      </c>
      <c r="BL100" s="438">
        <f t="shared" si="83"/>
        <v>758573.47772967897</v>
      </c>
      <c r="BM100" s="438">
        <f t="shared" si="84"/>
        <v>-16150.189620019642</v>
      </c>
      <c r="BN100" s="438">
        <f t="shared" si="85"/>
        <v>-3872.2947746193677</v>
      </c>
      <c r="BO100" s="438">
        <f t="shared" si="86"/>
        <v>46447.492572225397</v>
      </c>
      <c r="BP100" s="438">
        <f t="shared" si="87"/>
        <v>11373.799590610201</v>
      </c>
      <c r="BQ100" s="438">
        <f t="shared" si="88"/>
        <v>25847.178541001573</v>
      </c>
      <c r="BR100" s="438">
        <f t="shared" si="89"/>
        <v>22534.589974619088</v>
      </c>
      <c r="BS100" s="438">
        <f t="shared" si="107"/>
        <v>-290783.21577099018</v>
      </c>
      <c r="BT100" s="438">
        <f t="shared" si="108"/>
        <v>-55221.25</v>
      </c>
      <c r="BW100" s="565">
        <f>Breakout!$J$15/12</f>
        <v>3780673.2292217948</v>
      </c>
      <c r="BX100" s="565">
        <f>Breakout!$J$26/12</f>
        <v>133945.60280913586</v>
      </c>
      <c r="BY100" s="565">
        <f>Breakout!$J$37/12</f>
        <v>67423.49320406036</v>
      </c>
      <c r="BZ100" s="565">
        <f>Breakout!$J$48/12</f>
        <v>490442.81620761013</v>
      </c>
      <c r="CA100" s="565">
        <f>Breakout!$J$59/12</f>
        <v>451244.56000453542</v>
      </c>
      <c r="CB100" s="565">
        <f>Breakout!$J$70/12</f>
        <v>342367.84520766826</v>
      </c>
      <c r="CC100" s="565">
        <f>Breakout!$J$81/12</f>
        <v>22534.589974619088</v>
      </c>
      <c r="CE100" s="634">
        <f t="shared" si="90"/>
        <v>3779483.2764830925</v>
      </c>
      <c r="CF100" s="634">
        <f t="shared" si="91"/>
        <v>133903.44393233373</v>
      </c>
      <c r="CG100" s="634">
        <f t="shared" si="92"/>
        <v>67402.271912103432</v>
      </c>
      <c r="CI100" s="634">
        <f t="shared" si="93"/>
        <v>-715341.08333333337</v>
      </c>
      <c r="CJ100" s="634">
        <f t="shared" si="94"/>
        <v>-705333.33333333337</v>
      </c>
      <c r="CL100" s="438">
        <f>'account mgt'!$J$23/12</f>
        <v>-56572.769131727044</v>
      </c>
      <c r="CN100" s="438">
        <v>0</v>
      </c>
      <c r="CT100" s="438">
        <f t="shared" si="111"/>
        <v>0</v>
      </c>
      <c r="CU100" s="438">
        <f t="shared" si="112"/>
        <v>0</v>
      </c>
      <c r="CV100" s="438">
        <f>IF(CT100&lt;0.1,0,PPMT($L$3,A100-14,unwinds!$B$8*12,$K$5))</f>
        <v>0</v>
      </c>
      <c r="CW100" s="438">
        <f t="shared" si="109"/>
        <v>0</v>
      </c>
      <c r="CX100" s="438">
        <f t="shared" si="110"/>
        <v>0</v>
      </c>
      <c r="DA100" s="438">
        <f t="shared" si="116"/>
        <v>13961077.613446277</v>
      </c>
      <c r="DB100" s="438">
        <f t="shared" si="117"/>
        <v>110176.1708327802</v>
      </c>
      <c r="DC100" s="438">
        <f t="shared" si="118"/>
        <v>385221.90083883516</v>
      </c>
      <c r="DD100" s="438">
        <f t="shared" si="119"/>
        <v>13575855.712607441</v>
      </c>
      <c r="DE100" s="438">
        <f t="shared" si="113"/>
        <v>13575855.712607441</v>
      </c>
      <c r="DH100" s="944">
        <v>-715341.08333333337</v>
      </c>
      <c r="DI100" s="944">
        <v>-705333.33333333337</v>
      </c>
      <c r="DJ100" s="944"/>
      <c r="DL100" s="381">
        <f t="shared" si="115"/>
        <v>474832.92700924521</v>
      </c>
      <c r="DN100" s="944">
        <f t="shared" si="95"/>
        <v>-715341.08333333337</v>
      </c>
      <c r="DO100" s="944">
        <f t="shared" si="96"/>
        <v>474832.92700924521</v>
      </c>
      <c r="DQ100" s="438">
        <f t="shared" si="97"/>
        <v>530090.72922179522</v>
      </c>
      <c r="DR100" s="438">
        <f t="shared" si="98"/>
        <v>-28175.597436224052</v>
      </c>
      <c r="DS100" s="438"/>
      <c r="DT100" s="438"/>
      <c r="DU100" s="438"/>
      <c r="DV100" s="438"/>
      <c r="DW100" s="438"/>
      <c r="DX100" s="438"/>
    </row>
    <row r="101" spans="1:128" x14ac:dyDescent="0.2">
      <c r="A101" s="383">
        <v>90</v>
      </c>
      <c r="B101" s="631">
        <v>39234</v>
      </c>
      <c r="C101" s="381">
        <v>0</v>
      </c>
      <c r="D101" s="381">
        <v>0</v>
      </c>
      <c r="E101" s="381">
        <v>0</v>
      </c>
      <c r="F101" s="381">
        <v>106297.26541244803</v>
      </c>
      <c r="G101" s="381">
        <v>385221.90083883546</v>
      </c>
      <c r="H101" s="381">
        <v>0</v>
      </c>
      <c r="I101" s="381">
        <v>491519.16625128349</v>
      </c>
      <c r="J101" s="381"/>
      <c r="K101" s="381"/>
      <c r="L101" s="381">
        <f t="shared" si="114"/>
        <v>491519.16625128326</v>
      </c>
      <c r="M101" s="381"/>
      <c r="N101" s="679">
        <f t="shared" si="99"/>
        <v>-715341.08333333337</v>
      </c>
      <c r="O101" s="679">
        <f t="shared" si="100"/>
        <v>-705333.33333333337</v>
      </c>
      <c r="P101" s="565">
        <f>Breakout!$J$16/12</f>
        <v>3628303.9454237688</v>
      </c>
      <c r="Q101" s="557">
        <f>'wholesale services'!$D$110*'wholesale services'!$K$111/12</f>
        <v>3250582.4999999995</v>
      </c>
      <c r="R101" s="557">
        <v>3320487.5</v>
      </c>
      <c r="S101" s="565">
        <f>Breakout!$J$27/12</f>
        <v>128547.30617504039</v>
      </c>
      <c r="T101" s="557">
        <f>'wholesale services'!$D$113*'wholesale services'!$K$114/12</f>
        <v>162121.20024535991</v>
      </c>
      <c r="U101" s="557">
        <v>165429.79616873461</v>
      </c>
      <c r="V101" s="565">
        <f>Breakout!$J$38/12</f>
        <v>64706.181035619287</v>
      </c>
      <c r="W101" s="496">
        <f>Breakout!$J$39/12</f>
        <v>71295.787978679728</v>
      </c>
      <c r="X101" s="496">
        <v>72062.409354794567</v>
      </c>
      <c r="Y101" s="565">
        <f>Breakout!$J$49/12</f>
        <v>470676.91312139662</v>
      </c>
      <c r="Z101" s="566">
        <f>Breakout!$J$50/12</f>
        <v>443995.32363538473</v>
      </c>
      <c r="AA101" s="566">
        <v>466386.23171539791</v>
      </c>
      <c r="AB101" s="565">
        <f>Breakout!$J$60/12</f>
        <v>433058.43117059773</v>
      </c>
      <c r="AC101" s="566">
        <f>Breakout!$J$61/12</f>
        <v>439870.76041392522</v>
      </c>
      <c r="AD101" s="566">
        <v>453586.1070638026</v>
      </c>
      <c r="AE101" s="565">
        <f>Breakout!$J$71/12</f>
        <v>328569.6827622712</v>
      </c>
      <c r="AF101" s="566">
        <f>Breakout!$J$72/12</f>
        <v>316520.66666666669</v>
      </c>
      <c r="AG101" s="566">
        <v>316520.66666666669</v>
      </c>
      <c r="AH101" s="565">
        <f>Breakout!$J$82/12</f>
        <v>21626.397404952968</v>
      </c>
      <c r="AI101" s="566">
        <f>Breakout!$J$83/12</f>
        <v>0</v>
      </c>
      <c r="AJ101" s="566">
        <v>0</v>
      </c>
      <c r="AK101" s="571">
        <f>Breakout!$J$91/12</f>
        <v>290783.21577099018</v>
      </c>
      <c r="AL101" s="571">
        <v>290783.21577099018</v>
      </c>
      <c r="AM101" s="567">
        <f>(Breakout!$J$107/12)*-1</f>
        <v>55221.25</v>
      </c>
      <c r="AN101" s="567">
        <v>55221.25</v>
      </c>
      <c r="AO101" s="578">
        <f t="shared" si="74"/>
        <v>5075488.8570936462</v>
      </c>
      <c r="AP101" s="578">
        <f t="shared" si="75"/>
        <v>5066496.9594408972</v>
      </c>
      <c r="AQ101" s="548">
        <f t="shared" si="76"/>
        <v>285606.30870672857</v>
      </c>
      <c r="AR101" s="496"/>
      <c r="AS101" s="553">
        <f t="shared" si="77"/>
        <v>148825.84743530978</v>
      </c>
      <c r="AT101" s="496"/>
      <c r="AU101" s="557">
        <f>'wholesale services'!$K$110/12</f>
        <v>39106610.706018515</v>
      </c>
      <c r="AV101" s="557">
        <f>'wholesale services'!$K$113/12</f>
        <v>17613.255833333333</v>
      </c>
      <c r="AW101" s="496"/>
      <c r="AX101" s="552">
        <f t="shared" si="78"/>
        <v>-715341.08333333337</v>
      </c>
      <c r="AY101" s="381">
        <f t="shared" si="79"/>
        <v>-705333.33333333337</v>
      </c>
      <c r="AZ101" s="496"/>
      <c r="BA101" s="438">
        <f t="shared" si="80"/>
        <v>606204.19393165305</v>
      </c>
      <c r="BB101" s="438">
        <f t="shared" si="81"/>
        <v>-21548.486254115116</v>
      </c>
      <c r="BC101" s="438">
        <f t="shared" si="82"/>
        <v>-6589.6069430604402</v>
      </c>
      <c r="BD101" s="438">
        <f t="shared" si="101"/>
        <v>26681.589486011886</v>
      </c>
      <c r="BE101" s="438">
        <f t="shared" si="102"/>
        <v>-6812.329243327491</v>
      </c>
      <c r="BF101" s="438">
        <f t="shared" si="103"/>
        <v>12049.016095604515</v>
      </c>
      <c r="BG101" s="438">
        <f t="shared" si="104"/>
        <v>21626.397404952968</v>
      </c>
      <c r="BH101" s="438">
        <f t="shared" si="105"/>
        <v>-290783.21577099018</v>
      </c>
      <c r="BI101" s="438">
        <f t="shared" si="106"/>
        <v>-55221.25</v>
      </c>
      <c r="BL101" s="438">
        <f t="shared" si="83"/>
        <v>758573.47772967897</v>
      </c>
      <c r="BM101" s="438">
        <f t="shared" si="84"/>
        <v>-16150.189620019642</v>
      </c>
      <c r="BN101" s="438">
        <f t="shared" si="85"/>
        <v>-3872.2947746193677</v>
      </c>
      <c r="BO101" s="438">
        <f t="shared" si="86"/>
        <v>46447.492572225397</v>
      </c>
      <c r="BP101" s="438">
        <f t="shared" si="87"/>
        <v>11373.799590610201</v>
      </c>
      <c r="BQ101" s="438">
        <f t="shared" si="88"/>
        <v>25847.178541001573</v>
      </c>
      <c r="BR101" s="438">
        <f t="shared" si="89"/>
        <v>22534.589974619088</v>
      </c>
      <c r="BS101" s="438">
        <f t="shared" si="107"/>
        <v>-290783.21577099018</v>
      </c>
      <c r="BT101" s="438">
        <f t="shared" si="108"/>
        <v>-55221.25</v>
      </c>
      <c r="BW101" s="565">
        <f>Breakout!$J$15/12</f>
        <v>3780673.2292217948</v>
      </c>
      <c r="BX101" s="565">
        <f>Breakout!$J$26/12</f>
        <v>133945.60280913586</v>
      </c>
      <c r="BY101" s="565">
        <f>Breakout!$J$37/12</f>
        <v>67423.49320406036</v>
      </c>
      <c r="BZ101" s="565">
        <f>Breakout!$J$48/12</f>
        <v>490442.81620761013</v>
      </c>
      <c r="CA101" s="565">
        <f>Breakout!$J$59/12</f>
        <v>451244.56000453542</v>
      </c>
      <c r="CB101" s="565">
        <f>Breakout!$J$70/12</f>
        <v>342367.84520766826</v>
      </c>
      <c r="CC101" s="565">
        <f>Breakout!$J$81/12</f>
        <v>22534.589974619088</v>
      </c>
      <c r="CE101" s="634">
        <f t="shared" si="90"/>
        <v>3779483.2764830925</v>
      </c>
      <c r="CF101" s="634">
        <f t="shared" si="91"/>
        <v>133903.44393233373</v>
      </c>
      <c r="CG101" s="634">
        <f t="shared" si="92"/>
        <v>67402.271912103432</v>
      </c>
      <c r="CI101" s="634">
        <f t="shared" si="93"/>
        <v>-715341.08333333337</v>
      </c>
      <c r="CJ101" s="634">
        <f t="shared" si="94"/>
        <v>-705333.33333333337</v>
      </c>
      <c r="CL101" s="438">
        <f>'account mgt'!$J$23/12</f>
        <v>-56572.769131727044</v>
      </c>
      <c r="CN101" s="438">
        <v>0</v>
      </c>
      <c r="CT101" s="438">
        <f t="shared" si="111"/>
        <v>0</v>
      </c>
      <c r="CU101" s="438">
        <f t="shared" si="112"/>
        <v>0</v>
      </c>
      <c r="CV101" s="438">
        <f>IF(CT101&lt;0.1,0,PPMT($L$3,A101-14,unwinds!$B$8*12,$K$5))</f>
        <v>0</v>
      </c>
      <c r="CW101" s="438">
        <f t="shared" si="109"/>
        <v>0</v>
      </c>
      <c r="CX101" s="438">
        <f t="shared" si="110"/>
        <v>0</v>
      </c>
      <c r="DA101" s="438">
        <f t="shared" si="116"/>
        <v>13575855.712607441</v>
      </c>
      <c r="DB101" s="438">
        <f t="shared" si="117"/>
        <v>107136.12799866039</v>
      </c>
      <c r="DC101" s="438">
        <f t="shared" si="118"/>
        <v>388261.94367295498</v>
      </c>
      <c r="DD101" s="438">
        <f t="shared" si="119"/>
        <v>13187593.768934486</v>
      </c>
      <c r="DE101" s="438">
        <f t="shared" si="113"/>
        <v>13187593.768934486</v>
      </c>
      <c r="DH101" s="944">
        <v>-715341.08333333337</v>
      </c>
      <c r="DI101" s="944">
        <v>-705333.33333333337</v>
      </c>
      <c r="DJ101" s="944"/>
      <c r="DL101" s="381">
        <f t="shared" si="115"/>
        <v>474832.92700924521</v>
      </c>
      <c r="DN101" s="944">
        <f t="shared" si="95"/>
        <v>-715341.08333333337</v>
      </c>
      <c r="DO101" s="944">
        <f t="shared" si="96"/>
        <v>474832.92700924521</v>
      </c>
      <c r="DQ101" s="438">
        <f t="shared" si="97"/>
        <v>530090.72922179522</v>
      </c>
      <c r="DR101" s="438">
        <f t="shared" si="98"/>
        <v>-28175.597436224052</v>
      </c>
      <c r="DS101" s="438"/>
      <c r="DT101" s="438"/>
      <c r="DU101" s="438"/>
      <c r="DV101" s="438"/>
      <c r="DW101" s="438"/>
      <c r="DX101" s="438"/>
    </row>
    <row r="102" spans="1:128" x14ac:dyDescent="0.2">
      <c r="A102" s="383">
        <v>91</v>
      </c>
      <c r="B102" s="631">
        <v>39264</v>
      </c>
      <c r="C102" s="381">
        <v>0</v>
      </c>
      <c r="D102" s="381">
        <v>0</v>
      </c>
      <c r="E102" s="381">
        <v>0</v>
      </c>
      <c r="F102" s="381">
        <v>103257.22257832822</v>
      </c>
      <c r="G102" s="381">
        <v>388261.94367295527</v>
      </c>
      <c r="H102" s="381">
        <v>0</v>
      </c>
      <c r="I102" s="381">
        <v>491519.16625128349</v>
      </c>
      <c r="J102" s="381"/>
      <c r="K102" s="381"/>
      <c r="L102" s="381">
        <f t="shared" si="114"/>
        <v>491519.16625128326</v>
      </c>
      <c r="M102" s="381"/>
      <c r="N102" s="679">
        <f t="shared" si="99"/>
        <v>-715341.08333333337</v>
      </c>
      <c r="O102" s="679">
        <f t="shared" si="100"/>
        <v>-705333.33333333337</v>
      </c>
      <c r="P102" s="565">
        <f>Breakout!$J$16/12</f>
        <v>3628303.9454237688</v>
      </c>
      <c r="Q102" s="557">
        <f>'wholesale services'!$D$110*'wholesale services'!$K$111/12</f>
        <v>3250582.4999999995</v>
      </c>
      <c r="R102" s="557">
        <v>3320487.5</v>
      </c>
      <c r="S102" s="565">
        <f>Breakout!$J$27/12</f>
        <v>128547.30617504039</v>
      </c>
      <c r="T102" s="557">
        <f>'wholesale services'!$D$113*'wholesale services'!$K$114/12</f>
        <v>162121.20024535991</v>
      </c>
      <c r="U102" s="557">
        <v>165429.79616873461</v>
      </c>
      <c r="V102" s="565">
        <f>Breakout!$J$38/12</f>
        <v>64706.181035619287</v>
      </c>
      <c r="W102" s="496">
        <f>Breakout!$J$39/12</f>
        <v>71295.787978679728</v>
      </c>
      <c r="X102" s="496">
        <v>72062.409354794567</v>
      </c>
      <c r="Y102" s="565">
        <f>Breakout!$J$49/12</f>
        <v>470676.91312139662</v>
      </c>
      <c r="Z102" s="566">
        <f>Breakout!$J$50/12</f>
        <v>443995.32363538473</v>
      </c>
      <c r="AA102" s="566">
        <v>466386.23171539791</v>
      </c>
      <c r="AB102" s="565">
        <f>Breakout!$J$60/12</f>
        <v>433058.43117059773</v>
      </c>
      <c r="AC102" s="566">
        <f>Breakout!$J$61/12</f>
        <v>439870.76041392522</v>
      </c>
      <c r="AD102" s="566">
        <v>453586.1070638026</v>
      </c>
      <c r="AE102" s="565">
        <f>Breakout!$J$71/12</f>
        <v>328569.6827622712</v>
      </c>
      <c r="AF102" s="566">
        <f>Breakout!$J$72/12</f>
        <v>316520.66666666669</v>
      </c>
      <c r="AG102" s="566">
        <v>316520.66666666669</v>
      </c>
      <c r="AH102" s="565">
        <f>Breakout!$J$82/12</f>
        <v>21626.397404952968</v>
      </c>
      <c r="AI102" s="566">
        <f>Breakout!$J$83/12</f>
        <v>0</v>
      </c>
      <c r="AJ102" s="566">
        <v>0</v>
      </c>
      <c r="AK102" s="571">
        <f>Breakout!$J$91/12</f>
        <v>290783.21577099018</v>
      </c>
      <c r="AL102" s="571">
        <v>290783.21577099018</v>
      </c>
      <c r="AM102" s="567">
        <f>(Breakout!$J$107/12)*-1</f>
        <v>55221.25</v>
      </c>
      <c r="AN102" s="567">
        <v>55221.25</v>
      </c>
      <c r="AO102" s="578">
        <f t="shared" si="74"/>
        <v>5075488.8570936462</v>
      </c>
      <c r="AP102" s="578">
        <f t="shared" si="75"/>
        <v>5066496.9594408972</v>
      </c>
      <c r="AQ102" s="548">
        <f t="shared" si="76"/>
        <v>285606.30870672857</v>
      </c>
      <c r="AR102" s="496"/>
      <c r="AS102" s="553">
        <f t="shared" si="77"/>
        <v>148825.84743530978</v>
      </c>
      <c r="AT102" s="496"/>
      <c r="AU102" s="557">
        <f>'wholesale services'!$K$110/12</f>
        <v>39106610.706018515</v>
      </c>
      <c r="AV102" s="557">
        <f>'wholesale services'!$K$113/12</f>
        <v>17613.255833333333</v>
      </c>
      <c r="AW102" s="496"/>
      <c r="AX102" s="552">
        <f t="shared" si="78"/>
        <v>-715341.08333333337</v>
      </c>
      <c r="AY102" s="381">
        <f t="shared" si="79"/>
        <v>-705333.33333333337</v>
      </c>
      <c r="AZ102" s="496"/>
      <c r="BA102" s="438">
        <f t="shared" si="80"/>
        <v>606204.19393165305</v>
      </c>
      <c r="BB102" s="438">
        <f t="shared" si="81"/>
        <v>-21548.486254115116</v>
      </c>
      <c r="BC102" s="438">
        <f t="shared" si="82"/>
        <v>-6589.6069430604402</v>
      </c>
      <c r="BD102" s="438">
        <f t="shared" si="101"/>
        <v>26681.589486011886</v>
      </c>
      <c r="BE102" s="438">
        <f t="shared" si="102"/>
        <v>-6812.329243327491</v>
      </c>
      <c r="BF102" s="438">
        <f t="shared" si="103"/>
        <v>12049.016095604515</v>
      </c>
      <c r="BG102" s="438">
        <f t="shared" si="104"/>
        <v>21626.397404952968</v>
      </c>
      <c r="BH102" s="438">
        <f t="shared" si="105"/>
        <v>-290783.21577099018</v>
      </c>
      <c r="BI102" s="438">
        <f t="shared" si="106"/>
        <v>-55221.25</v>
      </c>
      <c r="BL102" s="438">
        <f t="shared" si="83"/>
        <v>758573.47772967897</v>
      </c>
      <c r="BM102" s="438">
        <f t="shared" si="84"/>
        <v>-16150.189620019642</v>
      </c>
      <c r="BN102" s="438">
        <f t="shared" si="85"/>
        <v>-3872.2947746193677</v>
      </c>
      <c r="BO102" s="438">
        <f t="shared" si="86"/>
        <v>46447.492572225397</v>
      </c>
      <c r="BP102" s="438">
        <f t="shared" si="87"/>
        <v>11373.799590610201</v>
      </c>
      <c r="BQ102" s="438">
        <f t="shared" si="88"/>
        <v>25847.178541001573</v>
      </c>
      <c r="BR102" s="438">
        <f t="shared" si="89"/>
        <v>22534.589974619088</v>
      </c>
      <c r="BS102" s="438">
        <f t="shared" si="107"/>
        <v>-290783.21577099018</v>
      </c>
      <c r="BT102" s="438">
        <f t="shared" si="108"/>
        <v>-55221.25</v>
      </c>
      <c r="BW102" s="565">
        <f>Breakout!$J$15/12</f>
        <v>3780673.2292217948</v>
      </c>
      <c r="BX102" s="565">
        <f>Breakout!$J$26/12</f>
        <v>133945.60280913586</v>
      </c>
      <c r="BY102" s="565">
        <f>Breakout!$J$37/12</f>
        <v>67423.49320406036</v>
      </c>
      <c r="BZ102" s="565">
        <f>Breakout!$J$48/12</f>
        <v>490442.81620761013</v>
      </c>
      <c r="CA102" s="565">
        <f>Breakout!$J$59/12</f>
        <v>451244.56000453542</v>
      </c>
      <c r="CB102" s="565">
        <f>Breakout!$J$70/12</f>
        <v>342367.84520766826</v>
      </c>
      <c r="CC102" s="565">
        <f>Breakout!$J$81/12</f>
        <v>22534.589974619088</v>
      </c>
      <c r="CE102" s="634">
        <f t="shared" si="90"/>
        <v>3779483.2764830925</v>
      </c>
      <c r="CF102" s="634">
        <f t="shared" si="91"/>
        <v>133903.44393233373</v>
      </c>
      <c r="CG102" s="634">
        <f t="shared" si="92"/>
        <v>67402.271912103432</v>
      </c>
      <c r="CI102" s="634">
        <f t="shared" si="93"/>
        <v>-715341.08333333337</v>
      </c>
      <c r="CJ102" s="634">
        <f t="shared" si="94"/>
        <v>-705333.33333333337</v>
      </c>
      <c r="CL102" s="438">
        <f>'account mgt'!$J$23/12</f>
        <v>-56572.769131727044</v>
      </c>
      <c r="CN102" s="438">
        <v>0</v>
      </c>
      <c r="CT102" s="438">
        <f t="shared" si="111"/>
        <v>0</v>
      </c>
      <c r="CU102" s="438">
        <f t="shared" si="112"/>
        <v>0</v>
      </c>
      <c r="CV102" s="438">
        <f>IF(CT102&lt;0.1,0,PPMT($L$3,A102-14,unwinds!$B$8*12,$K$5))</f>
        <v>0</v>
      </c>
      <c r="CW102" s="438">
        <f t="shared" si="109"/>
        <v>0</v>
      </c>
      <c r="CX102" s="438">
        <f t="shared" si="110"/>
        <v>0</v>
      </c>
      <c r="DA102" s="438">
        <f t="shared" si="116"/>
        <v>13187593.768934486</v>
      </c>
      <c r="DB102" s="438">
        <f t="shared" si="117"/>
        <v>104072.09415984132</v>
      </c>
      <c r="DC102" s="438">
        <f t="shared" si="118"/>
        <v>391325.97751177399</v>
      </c>
      <c r="DD102" s="438">
        <f t="shared" si="119"/>
        <v>12796267.791422712</v>
      </c>
      <c r="DE102" s="438">
        <f t="shared" si="113"/>
        <v>12796267.791422712</v>
      </c>
      <c r="DH102" s="944">
        <v>-715341.08333333337</v>
      </c>
      <c r="DI102" s="944">
        <v>-705333.33333333337</v>
      </c>
      <c r="DJ102" s="944"/>
      <c r="DL102" s="381">
        <f t="shared" si="115"/>
        <v>474832.92700924521</v>
      </c>
      <c r="DN102" s="944">
        <f t="shared" si="95"/>
        <v>-715341.08333333337</v>
      </c>
      <c r="DO102" s="944">
        <f t="shared" si="96"/>
        <v>474832.92700924521</v>
      </c>
      <c r="DQ102" s="438">
        <f t="shared" si="97"/>
        <v>530090.72922179522</v>
      </c>
      <c r="DR102" s="438">
        <f t="shared" si="98"/>
        <v>-28175.597436224052</v>
      </c>
      <c r="DS102" s="438"/>
      <c r="DT102" s="438"/>
      <c r="DU102" s="438"/>
      <c r="DV102" s="438"/>
      <c r="DW102" s="438"/>
      <c r="DX102" s="438"/>
    </row>
    <row r="103" spans="1:128" x14ac:dyDescent="0.2">
      <c r="A103" s="383">
        <v>92</v>
      </c>
      <c r="B103" s="631">
        <v>39295</v>
      </c>
      <c r="C103" s="381">
        <v>0</v>
      </c>
      <c r="D103" s="381">
        <v>0</v>
      </c>
      <c r="E103" s="381">
        <v>0</v>
      </c>
      <c r="F103" s="381">
        <v>100193.18873950921</v>
      </c>
      <c r="G103" s="381">
        <v>391325.97751177428</v>
      </c>
      <c r="H103" s="381">
        <v>0</v>
      </c>
      <c r="I103" s="381">
        <v>491519.16625128349</v>
      </c>
      <c r="J103" s="381"/>
      <c r="K103" s="381"/>
      <c r="L103" s="381">
        <f t="shared" si="114"/>
        <v>491519.16625128326</v>
      </c>
      <c r="M103" s="381"/>
      <c r="N103" s="679">
        <f t="shared" si="99"/>
        <v>-715341.08333333337</v>
      </c>
      <c r="O103" s="679">
        <f t="shared" si="100"/>
        <v>-705333.33333333337</v>
      </c>
      <c r="P103" s="565">
        <f>Breakout!$J$16/12</f>
        <v>3628303.9454237688</v>
      </c>
      <c r="Q103" s="557">
        <f>'wholesale services'!$D$110*'wholesale services'!$K$111/12</f>
        <v>3250582.4999999995</v>
      </c>
      <c r="R103" s="557">
        <v>3320487.5</v>
      </c>
      <c r="S103" s="565">
        <f>Breakout!$J$27/12</f>
        <v>128547.30617504039</v>
      </c>
      <c r="T103" s="557">
        <f>'wholesale services'!$D$113*'wholesale services'!$K$114/12</f>
        <v>162121.20024535991</v>
      </c>
      <c r="U103" s="557">
        <v>165429.79616873461</v>
      </c>
      <c r="V103" s="565">
        <f>Breakout!$J$38/12</f>
        <v>64706.181035619287</v>
      </c>
      <c r="W103" s="496">
        <f>Breakout!$J$39/12</f>
        <v>71295.787978679728</v>
      </c>
      <c r="X103" s="496">
        <v>72062.409354794567</v>
      </c>
      <c r="Y103" s="565">
        <f>Breakout!$J$49/12</f>
        <v>470676.91312139662</v>
      </c>
      <c r="Z103" s="566">
        <f>Breakout!$J$50/12</f>
        <v>443995.32363538473</v>
      </c>
      <c r="AA103" s="566">
        <v>466386.23171539791</v>
      </c>
      <c r="AB103" s="565">
        <f>Breakout!$J$60/12</f>
        <v>433058.43117059773</v>
      </c>
      <c r="AC103" s="566">
        <f>Breakout!$J$61/12</f>
        <v>439870.76041392522</v>
      </c>
      <c r="AD103" s="566">
        <v>453586.1070638026</v>
      </c>
      <c r="AE103" s="565">
        <f>Breakout!$J$71/12</f>
        <v>328569.6827622712</v>
      </c>
      <c r="AF103" s="566">
        <f>Breakout!$J$72/12</f>
        <v>316520.66666666669</v>
      </c>
      <c r="AG103" s="566">
        <v>316520.66666666669</v>
      </c>
      <c r="AH103" s="565">
        <f>Breakout!$J$82/12</f>
        <v>21626.397404952968</v>
      </c>
      <c r="AI103" s="566">
        <f>Breakout!$J$83/12</f>
        <v>0</v>
      </c>
      <c r="AJ103" s="566">
        <v>0</v>
      </c>
      <c r="AK103" s="571">
        <f>Breakout!$J$91/12</f>
        <v>290783.21577099018</v>
      </c>
      <c r="AL103" s="571">
        <v>290783.21577099018</v>
      </c>
      <c r="AM103" s="567">
        <f>(Breakout!$J$107/12)*-1</f>
        <v>55221.25</v>
      </c>
      <c r="AN103" s="567">
        <v>55221.25</v>
      </c>
      <c r="AO103" s="578">
        <f t="shared" si="74"/>
        <v>5075488.8570936462</v>
      </c>
      <c r="AP103" s="578">
        <f t="shared" si="75"/>
        <v>5066496.9594408972</v>
      </c>
      <c r="AQ103" s="548">
        <f t="shared" si="76"/>
        <v>285606.30870672857</v>
      </c>
      <c r="AR103" s="496"/>
      <c r="AS103" s="553">
        <f t="shared" si="77"/>
        <v>148825.84743530978</v>
      </c>
      <c r="AT103" s="496"/>
      <c r="AU103" s="557">
        <f>'wholesale services'!$K$110/12</f>
        <v>39106610.706018515</v>
      </c>
      <c r="AV103" s="557">
        <f>'wholesale services'!$K$113/12</f>
        <v>17613.255833333333</v>
      </c>
      <c r="AW103" s="496"/>
      <c r="AX103" s="552">
        <f t="shared" si="78"/>
        <v>-715341.08333333337</v>
      </c>
      <c r="AY103" s="381">
        <f t="shared" si="79"/>
        <v>-705333.33333333337</v>
      </c>
      <c r="AZ103" s="496"/>
      <c r="BA103" s="438">
        <f t="shared" si="80"/>
        <v>606204.19393165305</v>
      </c>
      <c r="BB103" s="438">
        <f t="shared" si="81"/>
        <v>-21548.486254115116</v>
      </c>
      <c r="BC103" s="438">
        <f t="shared" si="82"/>
        <v>-6589.6069430604402</v>
      </c>
      <c r="BD103" s="438">
        <f t="shared" si="101"/>
        <v>26681.589486011886</v>
      </c>
      <c r="BE103" s="438">
        <f t="shared" si="102"/>
        <v>-6812.329243327491</v>
      </c>
      <c r="BF103" s="438">
        <f t="shared" si="103"/>
        <v>12049.016095604515</v>
      </c>
      <c r="BG103" s="438">
        <f t="shared" si="104"/>
        <v>21626.397404952968</v>
      </c>
      <c r="BH103" s="438">
        <f t="shared" si="105"/>
        <v>-290783.21577099018</v>
      </c>
      <c r="BI103" s="438">
        <f t="shared" si="106"/>
        <v>-55221.25</v>
      </c>
      <c r="BL103" s="438">
        <f t="shared" si="83"/>
        <v>758573.47772967897</v>
      </c>
      <c r="BM103" s="438">
        <f t="shared" si="84"/>
        <v>-16150.189620019642</v>
      </c>
      <c r="BN103" s="438">
        <f t="shared" si="85"/>
        <v>-3872.2947746193677</v>
      </c>
      <c r="BO103" s="438">
        <f t="shared" si="86"/>
        <v>46447.492572225397</v>
      </c>
      <c r="BP103" s="438">
        <f t="shared" si="87"/>
        <v>11373.799590610201</v>
      </c>
      <c r="BQ103" s="438">
        <f t="shared" si="88"/>
        <v>25847.178541001573</v>
      </c>
      <c r="BR103" s="438">
        <f t="shared" si="89"/>
        <v>22534.589974619088</v>
      </c>
      <c r="BS103" s="438">
        <f t="shared" si="107"/>
        <v>-290783.21577099018</v>
      </c>
      <c r="BT103" s="438">
        <f t="shared" si="108"/>
        <v>-55221.25</v>
      </c>
      <c r="BW103" s="565">
        <f>Breakout!$J$15/12</f>
        <v>3780673.2292217948</v>
      </c>
      <c r="BX103" s="565">
        <f>Breakout!$J$26/12</f>
        <v>133945.60280913586</v>
      </c>
      <c r="BY103" s="565">
        <f>Breakout!$J$37/12</f>
        <v>67423.49320406036</v>
      </c>
      <c r="BZ103" s="565">
        <f>Breakout!$J$48/12</f>
        <v>490442.81620761013</v>
      </c>
      <c r="CA103" s="565">
        <f>Breakout!$J$59/12</f>
        <v>451244.56000453542</v>
      </c>
      <c r="CB103" s="565">
        <f>Breakout!$J$70/12</f>
        <v>342367.84520766826</v>
      </c>
      <c r="CC103" s="565">
        <f>Breakout!$J$81/12</f>
        <v>22534.589974619088</v>
      </c>
      <c r="CE103" s="634">
        <f t="shared" si="90"/>
        <v>3779483.2764830925</v>
      </c>
      <c r="CF103" s="634">
        <f t="shared" si="91"/>
        <v>133903.44393233373</v>
      </c>
      <c r="CG103" s="634">
        <f t="shared" si="92"/>
        <v>67402.271912103432</v>
      </c>
      <c r="CI103" s="634">
        <f t="shared" si="93"/>
        <v>-715341.08333333337</v>
      </c>
      <c r="CJ103" s="634">
        <f t="shared" si="94"/>
        <v>-705333.33333333337</v>
      </c>
      <c r="CL103" s="438">
        <f>'account mgt'!$J$23/12</f>
        <v>-56572.769131727044</v>
      </c>
      <c r="CN103" s="438">
        <v>0</v>
      </c>
      <c r="CT103" s="438">
        <f t="shared" si="111"/>
        <v>0</v>
      </c>
      <c r="CU103" s="438">
        <f t="shared" si="112"/>
        <v>0</v>
      </c>
      <c r="CV103" s="438">
        <f>IF(CT103&lt;0.1,0,PPMT($L$3,A103-14,unwinds!$B$8*12,$K$5))</f>
        <v>0</v>
      </c>
      <c r="CW103" s="438">
        <f t="shared" si="109"/>
        <v>0</v>
      </c>
      <c r="CX103" s="438">
        <f t="shared" si="110"/>
        <v>0</v>
      </c>
      <c r="DA103" s="438">
        <f t="shared" si="116"/>
        <v>12796267.791422712</v>
      </c>
      <c r="DB103" s="438">
        <f t="shared" si="117"/>
        <v>100983.87998731089</v>
      </c>
      <c r="DC103" s="438">
        <f t="shared" si="118"/>
        <v>394414.19168430445</v>
      </c>
      <c r="DD103" s="438">
        <f t="shared" si="119"/>
        <v>12401853.599738408</v>
      </c>
      <c r="DE103" s="438">
        <f t="shared" si="113"/>
        <v>12401853.599738408</v>
      </c>
      <c r="DH103" s="944">
        <v>-715341.08333333337</v>
      </c>
      <c r="DI103" s="944">
        <v>-705333.33333333337</v>
      </c>
      <c r="DJ103" s="944"/>
      <c r="DL103" s="381">
        <f t="shared" si="115"/>
        <v>474832.92700924521</v>
      </c>
      <c r="DN103" s="944">
        <f t="shared" si="95"/>
        <v>-715341.08333333337</v>
      </c>
      <c r="DO103" s="944">
        <f t="shared" si="96"/>
        <v>474832.92700924521</v>
      </c>
      <c r="DQ103" s="438">
        <f t="shared" si="97"/>
        <v>530090.72922179522</v>
      </c>
      <c r="DR103" s="438">
        <f t="shared" si="98"/>
        <v>-28175.597436224052</v>
      </c>
      <c r="DS103" s="438"/>
      <c r="DT103" s="438"/>
      <c r="DU103" s="438"/>
      <c r="DV103" s="438"/>
      <c r="DW103" s="438"/>
      <c r="DX103" s="438"/>
    </row>
    <row r="104" spans="1:128" x14ac:dyDescent="0.2">
      <c r="A104" s="383">
        <v>93</v>
      </c>
      <c r="B104" s="631">
        <v>39326</v>
      </c>
      <c r="C104" s="381">
        <v>0</v>
      </c>
      <c r="D104" s="381">
        <v>0</v>
      </c>
      <c r="E104" s="381">
        <v>0</v>
      </c>
      <c r="F104" s="381">
        <v>97104.974566978693</v>
      </c>
      <c r="G104" s="381">
        <v>394414.19168430479</v>
      </c>
      <c r="H104" s="381">
        <v>0</v>
      </c>
      <c r="I104" s="381">
        <v>491519.16625128349</v>
      </c>
      <c r="J104" s="381"/>
      <c r="K104" s="381"/>
      <c r="L104" s="381">
        <f t="shared" si="114"/>
        <v>491519.16625128326</v>
      </c>
      <c r="M104" s="381"/>
      <c r="N104" s="679">
        <f t="shared" si="99"/>
        <v>-715341.08333333337</v>
      </c>
      <c r="O104" s="679">
        <f t="shared" si="100"/>
        <v>-705333.33333333337</v>
      </c>
      <c r="P104" s="565">
        <f>Breakout!$J$16/12</f>
        <v>3628303.9454237688</v>
      </c>
      <c r="Q104" s="557">
        <f>'wholesale services'!$D$110*'wholesale services'!$K$111/12</f>
        <v>3250582.4999999995</v>
      </c>
      <c r="R104" s="557">
        <v>3320487.5</v>
      </c>
      <c r="S104" s="565">
        <f>Breakout!$J$27/12</f>
        <v>128547.30617504039</v>
      </c>
      <c r="T104" s="557">
        <f>'wholesale services'!$D$113*'wholesale services'!$K$114/12</f>
        <v>162121.20024535991</v>
      </c>
      <c r="U104" s="557">
        <v>165429.79616873461</v>
      </c>
      <c r="V104" s="565">
        <f>Breakout!$J$38/12</f>
        <v>64706.181035619287</v>
      </c>
      <c r="W104" s="496">
        <f>Breakout!$J$39/12</f>
        <v>71295.787978679728</v>
      </c>
      <c r="X104" s="496">
        <v>72062.409354794567</v>
      </c>
      <c r="Y104" s="565">
        <f>Breakout!$J$49/12</f>
        <v>470676.91312139662</v>
      </c>
      <c r="Z104" s="566">
        <f>Breakout!$J$50/12</f>
        <v>443995.32363538473</v>
      </c>
      <c r="AA104" s="566">
        <v>466386.23171539791</v>
      </c>
      <c r="AB104" s="565">
        <f>Breakout!$J$60/12</f>
        <v>433058.43117059773</v>
      </c>
      <c r="AC104" s="566">
        <f>Breakout!$J$61/12</f>
        <v>439870.76041392522</v>
      </c>
      <c r="AD104" s="566">
        <v>453586.1070638026</v>
      </c>
      <c r="AE104" s="565">
        <f>Breakout!$J$71/12</f>
        <v>328569.6827622712</v>
      </c>
      <c r="AF104" s="566">
        <f>Breakout!$J$72/12</f>
        <v>316520.66666666669</v>
      </c>
      <c r="AG104" s="566">
        <v>316520.66666666669</v>
      </c>
      <c r="AH104" s="565">
        <f>Breakout!$J$82/12</f>
        <v>21626.397404952968</v>
      </c>
      <c r="AI104" s="566">
        <f>Breakout!$J$83/12</f>
        <v>0</v>
      </c>
      <c r="AJ104" s="566">
        <v>0</v>
      </c>
      <c r="AK104" s="571">
        <f>Breakout!$J$91/12</f>
        <v>290783.21577099018</v>
      </c>
      <c r="AL104" s="571">
        <v>290783.21577099018</v>
      </c>
      <c r="AM104" s="567">
        <f>(Breakout!$J$107/12)*-1</f>
        <v>55221.25</v>
      </c>
      <c r="AN104" s="567">
        <v>55221.25</v>
      </c>
      <c r="AO104" s="578">
        <f t="shared" si="74"/>
        <v>5075488.8570936462</v>
      </c>
      <c r="AP104" s="578">
        <f t="shared" si="75"/>
        <v>5066496.9594408972</v>
      </c>
      <c r="AQ104" s="548">
        <f t="shared" si="76"/>
        <v>285606.30870672857</v>
      </c>
      <c r="AR104" s="496"/>
      <c r="AS104" s="553">
        <f t="shared" si="77"/>
        <v>148825.84743530978</v>
      </c>
      <c r="AT104" s="496"/>
      <c r="AU104" s="557">
        <f>'wholesale services'!$K$110/12</f>
        <v>39106610.706018515</v>
      </c>
      <c r="AV104" s="557">
        <f>'wholesale services'!$K$113/12</f>
        <v>17613.255833333333</v>
      </c>
      <c r="AW104" s="496"/>
      <c r="AX104" s="552">
        <f t="shared" si="78"/>
        <v>-715341.08333333337</v>
      </c>
      <c r="AY104" s="381">
        <f t="shared" si="79"/>
        <v>-705333.33333333337</v>
      </c>
      <c r="AZ104" s="496"/>
      <c r="BA104" s="438">
        <f t="shared" si="80"/>
        <v>606204.19393165305</v>
      </c>
      <c r="BB104" s="438">
        <f t="shared" si="81"/>
        <v>-21548.486254115116</v>
      </c>
      <c r="BC104" s="438">
        <f t="shared" si="82"/>
        <v>-6589.6069430604402</v>
      </c>
      <c r="BD104" s="438">
        <f t="shared" si="101"/>
        <v>26681.589486011886</v>
      </c>
      <c r="BE104" s="438">
        <f t="shared" si="102"/>
        <v>-6812.329243327491</v>
      </c>
      <c r="BF104" s="438">
        <f t="shared" si="103"/>
        <v>12049.016095604515</v>
      </c>
      <c r="BG104" s="438">
        <f t="shared" si="104"/>
        <v>21626.397404952968</v>
      </c>
      <c r="BH104" s="438">
        <f t="shared" si="105"/>
        <v>-290783.21577099018</v>
      </c>
      <c r="BI104" s="438">
        <f t="shared" si="106"/>
        <v>-55221.25</v>
      </c>
      <c r="BL104" s="438">
        <f t="shared" si="83"/>
        <v>758573.47772967897</v>
      </c>
      <c r="BM104" s="438">
        <f t="shared" si="84"/>
        <v>-16150.189620019642</v>
      </c>
      <c r="BN104" s="438">
        <f t="shared" si="85"/>
        <v>-3872.2947746193677</v>
      </c>
      <c r="BO104" s="438">
        <f t="shared" si="86"/>
        <v>46447.492572225397</v>
      </c>
      <c r="BP104" s="438">
        <f t="shared" si="87"/>
        <v>11373.799590610201</v>
      </c>
      <c r="BQ104" s="438">
        <f t="shared" si="88"/>
        <v>25847.178541001573</v>
      </c>
      <c r="BR104" s="438">
        <f t="shared" si="89"/>
        <v>22534.589974619088</v>
      </c>
      <c r="BS104" s="438">
        <f t="shared" si="107"/>
        <v>-290783.21577099018</v>
      </c>
      <c r="BT104" s="438">
        <f t="shared" si="108"/>
        <v>-55221.25</v>
      </c>
      <c r="BW104" s="565">
        <f>Breakout!$J$15/12</f>
        <v>3780673.2292217948</v>
      </c>
      <c r="BX104" s="565">
        <f>Breakout!$J$26/12</f>
        <v>133945.60280913586</v>
      </c>
      <c r="BY104" s="565">
        <f>Breakout!$J$37/12</f>
        <v>67423.49320406036</v>
      </c>
      <c r="BZ104" s="565">
        <f>Breakout!$J$48/12</f>
        <v>490442.81620761013</v>
      </c>
      <c r="CA104" s="565">
        <f>Breakout!$J$59/12</f>
        <v>451244.56000453542</v>
      </c>
      <c r="CB104" s="565">
        <f>Breakout!$J$70/12</f>
        <v>342367.84520766826</v>
      </c>
      <c r="CC104" s="565">
        <f>Breakout!$J$81/12</f>
        <v>22534.589974619088</v>
      </c>
      <c r="CE104" s="634">
        <f t="shared" si="90"/>
        <v>3779483.2764830925</v>
      </c>
      <c r="CF104" s="634">
        <f t="shared" si="91"/>
        <v>133903.44393233373</v>
      </c>
      <c r="CG104" s="634">
        <f t="shared" si="92"/>
        <v>67402.271912103432</v>
      </c>
      <c r="CI104" s="634">
        <f t="shared" si="93"/>
        <v>-715341.08333333337</v>
      </c>
      <c r="CJ104" s="634">
        <f t="shared" si="94"/>
        <v>-705333.33333333337</v>
      </c>
      <c r="CL104" s="438">
        <f>'account mgt'!$J$23/12</f>
        <v>-56572.769131727044</v>
      </c>
      <c r="CN104" s="438">
        <v>0</v>
      </c>
      <c r="CT104" s="438">
        <f t="shared" si="111"/>
        <v>0</v>
      </c>
      <c r="CU104" s="438">
        <f t="shared" si="112"/>
        <v>0</v>
      </c>
      <c r="CV104" s="438">
        <f>IF(CT104&lt;0.1,0,PPMT($L$3,A104-14,unwinds!$B$8*12,$K$5))</f>
        <v>0</v>
      </c>
      <c r="CW104" s="438">
        <f t="shared" si="109"/>
        <v>0</v>
      </c>
      <c r="CX104" s="438">
        <f t="shared" si="110"/>
        <v>0</v>
      </c>
      <c r="DA104" s="438">
        <f t="shared" si="116"/>
        <v>12401853.599738408</v>
      </c>
      <c r="DB104" s="438">
        <f t="shared" si="117"/>
        <v>97871.294657935607</v>
      </c>
      <c r="DC104" s="438">
        <f t="shared" si="118"/>
        <v>397526.77701367979</v>
      </c>
      <c r="DD104" s="438">
        <f t="shared" si="119"/>
        <v>12004326.822724728</v>
      </c>
      <c r="DE104" s="438">
        <f t="shared" si="113"/>
        <v>12004326.822724728</v>
      </c>
      <c r="DH104" s="944">
        <v>-715341.08333333337</v>
      </c>
      <c r="DI104" s="944">
        <v>-705333.33333333337</v>
      </c>
      <c r="DJ104" s="944"/>
      <c r="DL104" s="381">
        <f t="shared" si="115"/>
        <v>474832.92700924521</v>
      </c>
      <c r="DN104" s="944">
        <f t="shared" si="95"/>
        <v>-715341.08333333337</v>
      </c>
      <c r="DO104" s="944">
        <f t="shared" si="96"/>
        <v>474832.92700924521</v>
      </c>
      <c r="DQ104" s="438">
        <f t="shared" si="97"/>
        <v>530090.72922179522</v>
      </c>
      <c r="DR104" s="438">
        <f t="shared" si="98"/>
        <v>-28175.597436224052</v>
      </c>
      <c r="DS104" s="438"/>
      <c r="DT104" s="438"/>
      <c r="DU104" s="438"/>
      <c r="DV104" s="438"/>
      <c r="DW104" s="438"/>
      <c r="DX104" s="438"/>
    </row>
    <row r="105" spans="1:128" x14ac:dyDescent="0.2">
      <c r="A105" s="383">
        <v>94</v>
      </c>
      <c r="B105" s="631">
        <v>39356</v>
      </c>
      <c r="C105" s="381">
        <v>0</v>
      </c>
      <c r="D105" s="381">
        <v>0</v>
      </c>
      <c r="E105" s="381">
        <v>0</v>
      </c>
      <c r="F105" s="381">
        <v>93992.389237603435</v>
      </c>
      <c r="G105" s="381">
        <v>397526.77701368008</v>
      </c>
      <c r="H105" s="381">
        <v>0</v>
      </c>
      <c r="I105" s="381">
        <v>491519.16625128349</v>
      </c>
      <c r="J105" s="381"/>
      <c r="K105" s="381"/>
      <c r="L105" s="381">
        <f t="shared" si="114"/>
        <v>491519.16625128326</v>
      </c>
      <c r="M105" s="381"/>
      <c r="N105" s="679">
        <f t="shared" si="99"/>
        <v>-715341.08333333337</v>
      </c>
      <c r="O105" s="679">
        <f t="shared" si="100"/>
        <v>-705333.33333333337</v>
      </c>
      <c r="P105" s="565">
        <f>Breakout!$J$16/12</f>
        <v>3628303.9454237688</v>
      </c>
      <c r="Q105" s="557">
        <f>'wholesale services'!$D$110*'wholesale services'!$K$111/12</f>
        <v>3250582.4999999995</v>
      </c>
      <c r="R105" s="557">
        <v>3320487.5</v>
      </c>
      <c r="S105" s="565">
        <f>Breakout!$J$27/12</f>
        <v>128547.30617504039</v>
      </c>
      <c r="T105" s="557">
        <f>'wholesale services'!$D$113*'wholesale services'!$K$114/12</f>
        <v>162121.20024535991</v>
      </c>
      <c r="U105" s="557">
        <v>165429.79616873461</v>
      </c>
      <c r="V105" s="565">
        <f>Breakout!$J$38/12</f>
        <v>64706.181035619287</v>
      </c>
      <c r="W105" s="496">
        <f>Breakout!$J$39/12</f>
        <v>71295.787978679728</v>
      </c>
      <c r="X105" s="496">
        <v>72062.409354794567</v>
      </c>
      <c r="Y105" s="565">
        <f>Breakout!$J$49/12</f>
        <v>470676.91312139662</v>
      </c>
      <c r="Z105" s="566">
        <f>Breakout!$J$50/12</f>
        <v>443995.32363538473</v>
      </c>
      <c r="AA105" s="566">
        <v>466386.23171539791</v>
      </c>
      <c r="AB105" s="565">
        <f>Breakout!$J$60/12</f>
        <v>433058.43117059773</v>
      </c>
      <c r="AC105" s="566">
        <f>Breakout!$J$61/12</f>
        <v>439870.76041392522</v>
      </c>
      <c r="AD105" s="566">
        <v>453586.1070638026</v>
      </c>
      <c r="AE105" s="565">
        <f>Breakout!$J$71/12</f>
        <v>328569.6827622712</v>
      </c>
      <c r="AF105" s="566">
        <f>Breakout!$J$72/12</f>
        <v>316520.66666666669</v>
      </c>
      <c r="AG105" s="566">
        <v>316520.66666666669</v>
      </c>
      <c r="AH105" s="565">
        <f>Breakout!$J$82/12</f>
        <v>21626.397404952968</v>
      </c>
      <c r="AI105" s="566">
        <f>Breakout!$J$83/12</f>
        <v>0</v>
      </c>
      <c r="AJ105" s="566">
        <v>0</v>
      </c>
      <c r="AK105" s="571">
        <f>Breakout!$J$91/12</f>
        <v>290783.21577099018</v>
      </c>
      <c r="AL105" s="571">
        <v>290783.21577099018</v>
      </c>
      <c r="AM105" s="567">
        <f>(Breakout!$J$107/12)*-1</f>
        <v>55221.25</v>
      </c>
      <c r="AN105" s="567">
        <v>55221.25</v>
      </c>
      <c r="AO105" s="578">
        <f t="shared" si="74"/>
        <v>5075488.8570936462</v>
      </c>
      <c r="AP105" s="578">
        <f t="shared" si="75"/>
        <v>5066496.9594408972</v>
      </c>
      <c r="AQ105" s="548">
        <f t="shared" si="76"/>
        <v>285606.30870672857</v>
      </c>
      <c r="AR105" s="496"/>
      <c r="AS105" s="553">
        <f t="shared" si="77"/>
        <v>148825.84743530978</v>
      </c>
      <c r="AT105" s="496"/>
      <c r="AU105" s="557">
        <f>'wholesale services'!$K$110/12</f>
        <v>39106610.706018515</v>
      </c>
      <c r="AV105" s="557">
        <f>'wholesale services'!$K$113/12</f>
        <v>17613.255833333333</v>
      </c>
      <c r="AW105" s="496"/>
      <c r="AX105" s="552">
        <f t="shared" si="78"/>
        <v>-715341.08333333337</v>
      </c>
      <c r="AY105" s="381">
        <f t="shared" si="79"/>
        <v>-705333.33333333337</v>
      </c>
      <c r="AZ105" s="496"/>
      <c r="BA105" s="438">
        <f t="shared" si="80"/>
        <v>606204.19393165305</v>
      </c>
      <c r="BB105" s="438">
        <f t="shared" si="81"/>
        <v>-21548.486254115116</v>
      </c>
      <c r="BC105" s="438">
        <f t="shared" si="82"/>
        <v>-6589.6069430604402</v>
      </c>
      <c r="BD105" s="438">
        <f t="shared" si="101"/>
        <v>26681.589486011886</v>
      </c>
      <c r="BE105" s="438">
        <f t="shared" si="102"/>
        <v>-6812.329243327491</v>
      </c>
      <c r="BF105" s="438">
        <f t="shared" si="103"/>
        <v>12049.016095604515</v>
      </c>
      <c r="BG105" s="438">
        <f t="shared" si="104"/>
        <v>21626.397404952968</v>
      </c>
      <c r="BH105" s="438">
        <f t="shared" si="105"/>
        <v>-290783.21577099018</v>
      </c>
      <c r="BI105" s="438">
        <f t="shared" si="106"/>
        <v>-55221.25</v>
      </c>
      <c r="BL105" s="438">
        <f t="shared" si="83"/>
        <v>758573.47772967897</v>
      </c>
      <c r="BM105" s="438">
        <f t="shared" si="84"/>
        <v>-16150.189620019642</v>
      </c>
      <c r="BN105" s="438">
        <f t="shared" si="85"/>
        <v>-3872.2947746193677</v>
      </c>
      <c r="BO105" s="438">
        <f t="shared" si="86"/>
        <v>46447.492572225397</v>
      </c>
      <c r="BP105" s="438">
        <f t="shared" si="87"/>
        <v>11373.799590610201</v>
      </c>
      <c r="BQ105" s="438">
        <f t="shared" si="88"/>
        <v>25847.178541001573</v>
      </c>
      <c r="BR105" s="438">
        <f t="shared" si="89"/>
        <v>22534.589974619088</v>
      </c>
      <c r="BS105" s="438">
        <f t="shared" si="107"/>
        <v>-290783.21577099018</v>
      </c>
      <c r="BT105" s="438">
        <f t="shared" si="108"/>
        <v>-55221.25</v>
      </c>
      <c r="BW105" s="565">
        <f>Breakout!$J$15/12</f>
        <v>3780673.2292217948</v>
      </c>
      <c r="BX105" s="565">
        <f>Breakout!$J$26/12</f>
        <v>133945.60280913586</v>
      </c>
      <c r="BY105" s="565">
        <f>Breakout!$J$37/12</f>
        <v>67423.49320406036</v>
      </c>
      <c r="BZ105" s="565">
        <f>Breakout!$J$48/12</f>
        <v>490442.81620761013</v>
      </c>
      <c r="CA105" s="565">
        <f>Breakout!$J$59/12</f>
        <v>451244.56000453542</v>
      </c>
      <c r="CB105" s="565">
        <f>Breakout!$J$70/12</f>
        <v>342367.84520766826</v>
      </c>
      <c r="CC105" s="565">
        <f>Breakout!$J$81/12</f>
        <v>22534.589974619088</v>
      </c>
      <c r="CE105" s="634">
        <f t="shared" si="90"/>
        <v>3779483.2764830925</v>
      </c>
      <c r="CF105" s="634">
        <f t="shared" si="91"/>
        <v>133903.44393233373</v>
      </c>
      <c r="CG105" s="634">
        <f t="shared" si="92"/>
        <v>67402.271912103432</v>
      </c>
      <c r="CI105" s="634">
        <f t="shared" si="93"/>
        <v>-715341.08333333337</v>
      </c>
      <c r="CJ105" s="634">
        <f t="shared" si="94"/>
        <v>-705333.33333333337</v>
      </c>
      <c r="CL105" s="438">
        <f>'account mgt'!$J$23/12</f>
        <v>-56572.769131727044</v>
      </c>
      <c r="CN105" s="438">
        <v>0</v>
      </c>
      <c r="CT105" s="438">
        <f t="shared" si="111"/>
        <v>0</v>
      </c>
      <c r="CU105" s="438">
        <f t="shared" si="112"/>
        <v>0</v>
      </c>
      <c r="CV105" s="438">
        <f>IF(CT105&lt;0.1,0,PPMT($L$3,A105-14,unwinds!$B$8*12,$K$5))</f>
        <v>0</v>
      </c>
      <c r="CW105" s="438">
        <f t="shared" si="109"/>
        <v>0</v>
      </c>
      <c r="CX105" s="438">
        <f t="shared" si="110"/>
        <v>0</v>
      </c>
      <c r="DA105" s="438">
        <f t="shared" si="116"/>
        <v>12004326.822724728</v>
      </c>
      <c r="DB105" s="438">
        <f t="shared" si="117"/>
        <v>94734.145842669313</v>
      </c>
      <c r="DC105" s="438">
        <f t="shared" si="118"/>
        <v>400663.92582894606</v>
      </c>
      <c r="DD105" s="438">
        <f t="shared" si="119"/>
        <v>11603662.896895781</v>
      </c>
      <c r="DE105" s="438">
        <f t="shared" si="113"/>
        <v>11603662.896895781</v>
      </c>
      <c r="DH105" s="944">
        <v>-715341.08333333337</v>
      </c>
      <c r="DI105" s="944">
        <v>-705333.33333333337</v>
      </c>
      <c r="DJ105" s="944"/>
      <c r="DL105" s="381">
        <f t="shared" si="115"/>
        <v>474832.92700924521</v>
      </c>
      <c r="DN105" s="944">
        <f t="shared" si="95"/>
        <v>-715341.08333333337</v>
      </c>
      <c r="DO105" s="944">
        <f t="shared" si="96"/>
        <v>474832.92700924521</v>
      </c>
      <c r="DQ105" s="438">
        <f t="shared" si="97"/>
        <v>530090.72922179522</v>
      </c>
      <c r="DR105" s="438">
        <f t="shared" si="98"/>
        <v>-28175.597436224052</v>
      </c>
      <c r="DS105" s="438"/>
      <c r="DT105" s="438"/>
      <c r="DU105" s="438"/>
      <c r="DV105" s="438"/>
      <c r="DW105" s="438"/>
      <c r="DX105" s="438"/>
    </row>
    <row r="106" spans="1:128" x14ac:dyDescent="0.2">
      <c r="A106" s="383">
        <v>95</v>
      </c>
      <c r="B106" s="631">
        <v>39387</v>
      </c>
      <c r="C106" s="381">
        <v>0</v>
      </c>
      <c r="D106" s="381">
        <v>0</v>
      </c>
      <c r="E106" s="381">
        <v>0</v>
      </c>
      <c r="F106" s="381">
        <v>90855.2404223372</v>
      </c>
      <c r="G106" s="381">
        <v>400663.92582894629</v>
      </c>
      <c r="H106" s="381">
        <v>0</v>
      </c>
      <c r="I106" s="381">
        <v>491519.16625128349</v>
      </c>
      <c r="J106" s="381"/>
      <c r="K106" s="381"/>
      <c r="L106" s="381">
        <f t="shared" si="114"/>
        <v>491519.16625128326</v>
      </c>
      <c r="M106" s="381"/>
      <c r="N106" s="679">
        <f t="shared" si="99"/>
        <v>-715341.08333333337</v>
      </c>
      <c r="O106" s="679">
        <f t="shared" si="100"/>
        <v>-705333.33333333337</v>
      </c>
      <c r="P106" s="565">
        <f>Breakout!$J$16/12</f>
        <v>3628303.9454237688</v>
      </c>
      <c r="Q106" s="557">
        <f>'wholesale services'!$D$110*'wholesale services'!$K$111/12</f>
        <v>3250582.4999999995</v>
      </c>
      <c r="R106" s="557">
        <v>3320487.5</v>
      </c>
      <c r="S106" s="565">
        <f>Breakout!$J$27/12</f>
        <v>128547.30617504039</v>
      </c>
      <c r="T106" s="557">
        <f>'wholesale services'!$D$113*'wholesale services'!$K$114/12</f>
        <v>162121.20024535991</v>
      </c>
      <c r="U106" s="557">
        <v>165429.79616873461</v>
      </c>
      <c r="V106" s="565">
        <f>Breakout!$J$38/12</f>
        <v>64706.181035619287</v>
      </c>
      <c r="W106" s="496">
        <f>Breakout!$J$39/12</f>
        <v>71295.787978679728</v>
      </c>
      <c r="X106" s="496">
        <v>72062.409354794567</v>
      </c>
      <c r="Y106" s="565">
        <f>Breakout!$J$49/12</f>
        <v>470676.91312139662</v>
      </c>
      <c r="Z106" s="566">
        <f>Breakout!$J$50/12</f>
        <v>443995.32363538473</v>
      </c>
      <c r="AA106" s="566">
        <v>466386.23171539791</v>
      </c>
      <c r="AB106" s="565">
        <f>Breakout!$J$60/12</f>
        <v>433058.43117059773</v>
      </c>
      <c r="AC106" s="566">
        <f>Breakout!$J$61/12</f>
        <v>439870.76041392522</v>
      </c>
      <c r="AD106" s="566">
        <v>453586.1070638026</v>
      </c>
      <c r="AE106" s="565">
        <f>Breakout!$J$71/12</f>
        <v>328569.6827622712</v>
      </c>
      <c r="AF106" s="566">
        <f>Breakout!$J$72/12</f>
        <v>316520.66666666669</v>
      </c>
      <c r="AG106" s="566">
        <v>316520.66666666669</v>
      </c>
      <c r="AH106" s="565">
        <f>Breakout!$J$82/12</f>
        <v>21626.397404952968</v>
      </c>
      <c r="AI106" s="566">
        <f>Breakout!$J$83/12</f>
        <v>0</v>
      </c>
      <c r="AJ106" s="566">
        <v>0</v>
      </c>
      <c r="AK106" s="571">
        <f>Breakout!$J$91/12</f>
        <v>290783.21577099018</v>
      </c>
      <c r="AL106" s="571">
        <v>290783.21577099018</v>
      </c>
      <c r="AM106" s="567">
        <f>(Breakout!$J$107/12)*-1</f>
        <v>55221.25</v>
      </c>
      <c r="AN106" s="567">
        <v>55221.25</v>
      </c>
      <c r="AO106" s="578">
        <f t="shared" si="74"/>
        <v>5075488.8570936462</v>
      </c>
      <c r="AP106" s="578">
        <f t="shared" si="75"/>
        <v>5066496.9594408972</v>
      </c>
      <c r="AQ106" s="548">
        <f t="shared" si="76"/>
        <v>285606.30870672857</v>
      </c>
      <c r="AR106" s="496"/>
      <c r="AS106" s="553">
        <f t="shared" si="77"/>
        <v>148825.84743530978</v>
      </c>
      <c r="AT106" s="496"/>
      <c r="AU106" s="557">
        <f>'wholesale services'!$K$110/12</f>
        <v>39106610.706018515</v>
      </c>
      <c r="AV106" s="557">
        <f>'wholesale services'!$K$113/12</f>
        <v>17613.255833333333</v>
      </c>
      <c r="AW106" s="496"/>
      <c r="AX106" s="552">
        <f t="shared" si="78"/>
        <v>-715341.08333333337</v>
      </c>
      <c r="AY106" s="381">
        <f t="shared" si="79"/>
        <v>-705333.33333333337</v>
      </c>
      <c r="AZ106" s="496"/>
      <c r="BA106" s="438">
        <f t="shared" si="80"/>
        <v>606204.19393165305</v>
      </c>
      <c r="BB106" s="438">
        <f t="shared" si="81"/>
        <v>-21548.486254115116</v>
      </c>
      <c r="BC106" s="438">
        <f t="shared" si="82"/>
        <v>-6589.6069430604402</v>
      </c>
      <c r="BD106" s="438">
        <f t="shared" si="101"/>
        <v>26681.589486011886</v>
      </c>
      <c r="BE106" s="438">
        <f t="shared" si="102"/>
        <v>-6812.329243327491</v>
      </c>
      <c r="BF106" s="438">
        <f t="shared" si="103"/>
        <v>12049.016095604515</v>
      </c>
      <c r="BG106" s="438">
        <f t="shared" si="104"/>
        <v>21626.397404952968</v>
      </c>
      <c r="BH106" s="438">
        <f t="shared" si="105"/>
        <v>-290783.21577099018</v>
      </c>
      <c r="BI106" s="438">
        <f t="shared" si="106"/>
        <v>-55221.25</v>
      </c>
      <c r="BL106" s="438">
        <f t="shared" si="83"/>
        <v>758573.47772967897</v>
      </c>
      <c r="BM106" s="438">
        <f t="shared" si="84"/>
        <v>-16150.189620019642</v>
      </c>
      <c r="BN106" s="438">
        <f t="shared" si="85"/>
        <v>-3872.2947746193677</v>
      </c>
      <c r="BO106" s="438">
        <f t="shared" si="86"/>
        <v>46447.492572225397</v>
      </c>
      <c r="BP106" s="438">
        <f t="shared" si="87"/>
        <v>11373.799590610201</v>
      </c>
      <c r="BQ106" s="438">
        <f t="shared" si="88"/>
        <v>25847.178541001573</v>
      </c>
      <c r="BR106" s="438">
        <f t="shared" si="89"/>
        <v>22534.589974619088</v>
      </c>
      <c r="BS106" s="438">
        <f t="shared" si="107"/>
        <v>-290783.21577099018</v>
      </c>
      <c r="BT106" s="438">
        <f t="shared" si="108"/>
        <v>-55221.25</v>
      </c>
      <c r="BW106" s="565">
        <f>Breakout!$J$15/12</f>
        <v>3780673.2292217948</v>
      </c>
      <c r="BX106" s="565">
        <f>Breakout!$J$26/12</f>
        <v>133945.60280913586</v>
      </c>
      <c r="BY106" s="565">
        <f>Breakout!$J$37/12</f>
        <v>67423.49320406036</v>
      </c>
      <c r="BZ106" s="565">
        <f>Breakout!$J$48/12</f>
        <v>490442.81620761013</v>
      </c>
      <c r="CA106" s="565">
        <f>Breakout!$J$59/12</f>
        <v>451244.56000453542</v>
      </c>
      <c r="CB106" s="565">
        <f>Breakout!$J$70/12</f>
        <v>342367.84520766826</v>
      </c>
      <c r="CC106" s="565">
        <f>Breakout!$J$81/12</f>
        <v>22534.589974619088</v>
      </c>
      <c r="CE106" s="634">
        <f t="shared" si="90"/>
        <v>3779483.2764830925</v>
      </c>
      <c r="CF106" s="634">
        <f t="shared" si="91"/>
        <v>133903.44393233373</v>
      </c>
      <c r="CG106" s="634">
        <f t="shared" si="92"/>
        <v>67402.271912103432</v>
      </c>
      <c r="CI106" s="634">
        <f t="shared" si="93"/>
        <v>-715341.08333333337</v>
      </c>
      <c r="CJ106" s="634">
        <f t="shared" si="94"/>
        <v>-705333.33333333337</v>
      </c>
      <c r="CL106" s="438">
        <f>'account mgt'!$J$23/12</f>
        <v>-56572.769131727044</v>
      </c>
      <c r="CN106" s="438">
        <v>0</v>
      </c>
      <c r="CT106" s="438">
        <f t="shared" si="111"/>
        <v>0</v>
      </c>
      <c r="CU106" s="438">
        <f t="shared" si="112"/>
        <v>0</v>
      </c>
      <c r="CV106" s="438">
        <f>IF(CT106&lt;0.1,0,PPMT($L$3,A106-14,unwinds!$B$8*12,$K$5))</f>
        <v>0</v>
      </c>
      <c r="CW106" s="438">
        <f t="shared" si="109"/>
        <v>0</v>
      </c>
      <c r="CX106" s="438">
        <f t="shared" si="110"/>
        <v>0</v>
      </c>
      <c r="DA106" s="438">
        <f t="shared" si="116"/>
        <v>11603662.896895781</v>
      </c>
      <c r="DB106" s="438">
        <f t="shared" si="117"/>
        <v>91572.239694669202</v>
      </c>
      <c r="DC106" s="438">
        <f t="shared" si="118"/>
        <v>403825.83197694604</v>
      </c>
      <c r="DD106" s="438">
        <f t="shared" si="119"/>
        <v>11199837.064918835</v>
      </c>
      <c r="DE106" s="438">
        <f t="shared" si="113"/>
        <v>11199837.064918835</v>
      </c>
      <c r="DH106" s="944">
        <v>-715341.08333333337</v>
      </c>
      <c r="DI106" s="944">
        <v>-705333.33333333337</v>
      </c>
      <c r="DJ106" s="944"/>
      <c r="DL106" s="381">
        <f t="shared" si="115"/>
        <v>474832.92700924521</v>
      </c>
      <c r="DN106" s="944">
        <f t="shared" si="95"/>
        <v>-715341.08333333337</v>
      </c>
      <c r="DO106" s="944">
        <f t="shared" si="96"/>
        <v>474832.92700924521</v>
      </c>
      <c r="DQ106" s="438">
        <f t="shared" si="97"/>
        <v>530090.72922179522</v>
      </c>
      <c r="DR106" s="438">
        <f t="shared" si="98"/>
        <v>-28175.597436224052</v>
      </c>
      <c r="DS106" s="438"/>
      <c r="DT106" s="438"/>
      <c r="DU106" s="438"/>
      <c r="DV106" s="438"/>
      <c r="DW106" s="438"/>
      <c r="DX106" s="438"/>
    </row>
    <row r="107" spans="1:128" s="676" customFormat="1" x14ac:dyDescent="0.2">
      <c r="A107" s="667">
        <v>96</v>
      </c>
      <c r="B107" s="668">
        <v>39417</v>
      </c>
      <c r="C107" s="669">
        <v>0</v>
      </c>
      <c r="D107" s="669">
        <v>0</v>
      </c>
      <c r="E107" s="669">
        <v>0</v>
      </c>
      <c r="F107" s="381">
        <v>87693.33427433719</v>
      </c>
      <c r="G107" s="381">
        <v>403825.83197694633</v>
      </c>
      <c r="H107" s="381">
        <v>0</v>
      </c>
      <c r="I107" s="381">
        <v>491519.16625128349</v>
      </c>
      <c r="J107" s="669"/>
      <c r="K107" s="669"/>
      <c r="L107" s="381">
        <f t="shared" si="114"/>
        <v>491519.16625128326</v>
      </c>
      <c r="M107" s="669"/>
      <c r="N107" s="679">
        <f t="shared" si="99"/>
        <v>-715341.08333333337</v>
      </c>
      <c r="O107" s="679">
        <f t="shared" si="100"/>
        <v>-705333.33333333337</v>
      </c>
      <c r="P107" s="670">
        <f>Breakout!$J$16/12</f>
        <v>3628303.9454237688</v>
      </c>
      <c r="Q107" s="671">
        <f>'wholesale services'!$D$110*'wholesale services'!$K$111/12</f>
        <v>3250582.4999999995</v>
      </c>
      <c r="R107" s="671">
        <v>3320487.5</v>
      </c>
      <c r="S107" s="670">
        <f>Breakout!$J$27/12</f>
        <v>128547.30617504039</v>
      </c>
      <c r="T107" s="671">
        <f>'wholesale services'!$D$113*'wholesale services'!$K$114/12</f>
        <v>162121.20024535991</v>
      </c>
      <c r="U107" s="671">
        <v>165429.79616873461</v>
      </c>
      <c r="V107" s="670">
        <f>Breakout!$J$38/12</f>
        <v>64706.181035619287</v>
      </c>
      <c r="W107" s="672">
        <f>Breakout!$J$39/12</f>
        <v>71295.787978679728</v>
      </c>
      <c r="X107" s="672">
        <v>72062.409354794567</v>
      </c>
      <c r="Y107" s="670">
        <f>Breakout!$J$49/12</f>
        <v>470676.91312139662</v>
      </c>
      <c r="Z107" s="671">
        <f>Breakout!$J$50/12</f>
        <v>443995.32363538473</v>
      </c>
      <c r="AA107" s="671">
        <v>466386.23171539791</v>
      </c>
      <c r="AB107" s="670">
        <f>Breakout!$J$60/12</f>
        <v>433058.43117059773</v>
      </c>
      <c r="AC107" s="671">
        <f>Breakout!$J$61/12</f>
        <v>439870.76041392522</v>
      </c>
      <c r="AD107" s="671">
        <v>453586.1070638026</v>
      </c>
      <c r="AE107" s="670">
        <f>Breakout!$J$71/12</f>
        <v>328569.6827622712</v>
      </c>
      <c r="AF107" s="671">
        <f>Breakout!$J$72/12</f>
        <v>316520.66666666669</v>
      </c>
      <c r="AG107" s="671">
        <v>316520.66666666669</v>
      </c>
      <c r="AH107" s="670">
        <f>Breakout!$J$82/12</f>
        <v>21626.397404952968</v>
      </c>
      <c r="AI107" s="671">
        <f>Breakout!$J$83/12</f>
        <v>0</v>
      </c>
      <c r="AJ107" s="671">
        <v>0</v>
      </c>
      <c r="AK107" s="673">
        <f>Breakout!$J$91/12</f>
        <v>290783.21577099018</v>
      </c>
      <c r="AL107" s="673">
        <v>290783.21577099018</v>
      </c>
      <c r="AM107" s="673">
        <f>(Breakout!$J$107/12)*-1</f>
        <v>55221.25</v>
      </c>
      <c r="AN107" s="673">
        <v>55221.25</v>
      </c>
      <c r="AO107" s="674">
        <f t="shared" ref="AO107:AO131" si="120">(P107+S107+V107)+Y107+AB107+AE107+AH107</f>
        <v>5075488.8570936462</v>
      </c>
      <c r="AP107" s="674">
        <f t="shared" ref="AP107:AP131" si="121">Q107+T107+W107+AA107+AD107+AG107+AJ107+AL107+AN107</f>
        <v>5066496.9594408972</v>
      </c>
      <c r="AQ107" s="548">
        <f t="shared" ref="AQ107:AQ131" si="122">P107+S107+V107+Y107+AB107+AE107+AH107-Q107-T107-W107-Z107-AC107-AF107-AI107-AK107-AM107-DH107-DL107-CN107</f>
        <v>285606.30870672857</v>
      </c>
      <c r="AR107" s="672">
        <f>SUM(AQ96:AQ107)</f>
        <v>3427275.7044807435</v>
      </c>
      <c r="AS107" s="553">
        <f t="shared" ref="AS107:AS131" si="123">P107+S107+V107+Y107+AB107+AE107+AH107-R107-U107-X107-AA107-AD107-AG107-AJ107-AL107-AN107-O107-L107-CN107</f>
        <v>148825.84743530978</v>
      </c>
      <c r="AT107" s="672">
        <f>SUM(AS96:AS107)</f>
        <v>1785910.1692237174</v>
      </c>
      <c r="AU107" s="671">
        <f>'wholesale services'!$K$110/12</f>
        <v>39106610.706018515</v>
      </c>
      <c r="AV107" s="671">
        <f>'wholesale services'!$K$113/12</f>
        <v>17613.255833333333</v>
      </c>
      <c r="AW107" s="672"/>
      <c r="AX107" s="552">
        <f t="shared" ref="AX107:AX131" si="124">IF(A107&lt;$AX$6,0,-$R$5/12)</f>
        <v>-715341.08333333337</v>
      </c>
      <c r="AY107" s="381">
        <f t="shared" ref="AY107:AY131" si="125">IF(A107&lt;$AX$6,0,-$S$5/12)</f>
        <v>-705333.33333333337</v>
      </c>
      <c r="AZ107" s="672"/>
      <c r="BA107" s="438">
        <f t="shared" ref="BA107:BA131" si="126">P107-IF($BL$4="mid",Q107,R107)-$BL$9*(IF($BL$4="mid",N107,O107)+IF($BL$4="mid",DL107,L107))</f>
        <v>606204.19393165305</v>
      </c>
      <c r="BB107" s="438">
        <f t="shared" ref="BB107:BB131" si="127">S107-IF($BL$4="mid",T107,U107)-$BM$9*(IF($BL$4="mid",N107,O107)+IF($BL$4="mid",DL107,L107))</f>
        <v>-21548.486254115116</v>
      </c>
      <c r="BC107" s="438">
        <f t="shared" ref="BC107:BC131" si="128">V107-IF($BL$4="mid",W107,X107)-$BN$9*(IF($BL$4="mid",N107,O107)+IF($BL$4="mid",DL107,L107))</f>
        <v>-6589.6069430604402</v>
      </c>
      <c r="BD107" s="438">
        <f t="shared" si="101"/>
        <v>26681.589486011886</v>
      </c>
      <c r="BE107" s="438">
        <f t="shared" si="102"/>
        <v>-6812.329243327491</v>
      </c>
      <c r="BF107" s="438">
        <f t="shared" si="103"/>
        <v>12049.016095604515</v>
      </c>
      <c r="BG107" s="438">
        <f t="shared" si="104"/>
        <v>21626.397404952968</v>
      </c>
      <c r="BH107" s="438">
        <f t="shared" si="105"/>
        <v>-290783.21577099018</v>
      </c>
      <c r="BI107" s="438">
        <f t="shared" si="106"/>
        <v>-55221.25</v>
      </c>
      <c r="BJ107" s="672"/>
      <c r="BK107" s="496"/>
      <c r="BL107" s="438">
        <f t="shared" ref="BL107:BL131" si="129">BW107-IF($BL$4="mid",Q107,R107)-$BL$9*(IF($BL$4="mid",N107,O107)+IF($BL$4="mid",DL107,L107))</f>
        <v>758573.47772967897</v>
      </c>
      <c r="BM107" s="438">
        <f t="shared" ref="BM107:BM131" si="130">BX107-IF($BL$4="mid",T107,U107)-$BM$9*(IF($BL$4="mid",N107,O107)+IF($BL$4="mid",DL107,L107))</f>
        <v>-16150.189620019642</v>
      </c>
      <c r="BN107" s="438">
        <f t="shared" ref="BN107:BN131" si="131">BY107-IF($BL$4="mid",W107,X107)-$BN$9*(IF($BL$4="mid",N107,O107)+IF($BL$4="mid",DL107,L107))</f>
        <v>-3872.2947746193677</v>
      </c>
      <c r="BO107" s="438">
        <f t="shared" ref="BO107:BO131" si="132">BZ107-IF($BL$4="mid",Z107,AA107)</f>
        <v>46447.492572225397</v>
      </c>
      <c r="BP107" s="438">
        <f t="shared" ref="BP107:BP131" si="133">CA107-IF($BL$4="mid",AC107,AD107)</f>
        <v>11373.799590610201</v>
      </c>
      <c r="BQ107" s="438">
        <f t="shared" ref="BQ107:BQ131" si="134">CB107-IF($BL$4="mid",AF107,AG107)</f>
        <v>25847.178541001573</v>
      </c>
      <c r="BR107" s="438">
        <f t="shared" ref="BR107:BR131" si="135">CC107-IF($BL$4="mid",AI107,AJ107)</f>
        <v>22534.589974619088</v>
      </c>
      <c r="BS107" s="438">
        <f t="shared" si="107"/>
        <v>-290783.21577099018</v>
      </c>
      <c r="BT107" s="438">
        <f t="shared" si="108"/>
        <v>-55221.25</v>
      </c>
      <c r="BU107" s="672"/>
      <c r="BV107" s="672"/>
      <c r="BW107" s="670">
        <f>Breakout!$J$15/12</f>
        <v>3780673.2292217948</v>
      </c>
      <c r="BX107" s="670">
        <f>Breakout!$J$26/12</f>
        <v>133945.60280913586</v>
      </c>
      <c r="BY107" s="670">
        <f>Breakout!$J$37/12</f>
        <v>67423.49320406036</v>
      </c>
      <c r="BZ107" s="670">
        <f>Breakout!$J$48/12</f>
        <v>490442.81620761013</v>
      </c>
      <c r="CA107" s="670">
        <f>Breakout!$J$59/12</f>
        <v>451244.56000453542</v>
      </c>
      <c r="CB107" s="670">
        <f>Breakout!$J$70/12</f>
        <v>342367.84520766826</v>
      </c>
      <c r="CC107" s="670">
        <f>Breakout!$J$81/12</f>
        <v>22534.589974619088</v>
      </c>
      <c r="CD107" s="672"/>
      <c r="CE107" s="675">
        <f t="shared" si="90"/>
        <v>3779483.2764830925</v>
      </c>
      <c r="CF107" s="675">
        <f t="shared" si="91"/>
        <v>133903.44393233373</v>
      </c>
      <c r="CG107" s="675">
        <f t="shared" si="92"/>
        <v>67402.271912103432</v>
      </c>
      <c r="CH107" s="672"/>
      <c r="CI107" s="675">
        <f t="shared" si="93"/>
        <v>-715341.08333333337</v>
      </c>
      <c r="CJ107" s="675">
        <f t="shared" si="94"/>
        <v>-705333.33333333337</v>
      </c>
      <c r="CK107" s="672"/>
      <c r="CL107" s="672">
        <f>'account mgt'!$J$23/12</f>
        <v>-56572.769131727044</v>
      </c>
      <c r="CM107" s="672"/>
      <c r="CN107" s="438">
        <v>0</v>
      </c>
      <c r="CO107" s="672"/>
      <c r="CP107" s="672"/>
      <c r="CQ107" s="496"/>
      <c r="CR107" s="496"/>
      <c r="CS107" s="496"/>
      <c r="CT107" s="438">
        <f t="shared" si="111"/>
        <v>0</v>
      </c>
      <c r="CU107" s="438">
        <f t="shared" si="112"/>
        <v>0</v>
      </c>
      <c r="CV107" s="438">
        <f>IF(CT107&lt;0.1,0,PPMT($L$3,A107-14,unwinds!$B$8*12,$K$5))</f>
        <v>0</v>
      </c>
      <c r="CW107" s="438">
        <f t="shared" si="109"/>
        <v>0</v>
      </c>
      <c r="CX107" s="438">
        <f t="shared" si="110"/>
        <v>0</v>
      </c>
      <c r="CY107" s="672">
        <f>CX107</f>
        <v>0</v>
      </c>
      <c r="CZ107" s="438"/>
      <c r="DA107" s="438">
        <f t="shared" si="116"/>
        <v>11199837.064918835</v>
      </c>
      <c r="DB107" s="438">
        <f t="shared" si="117"/>
        <v>88385.380837317804</v>
      </c>
      <c r="DC107" s="438">
        <f t="shared" si="118"/>
        <v>407012.69083429739</v>
      </c>
      <c r="DD107" s="438">
        <f t="shared" si="119"/>
        <v>10792824.374084538</v>
      </c>
      <c r="DE107" s="438">
        <f t="shared" si="113"/>
        <v>10792824.374084538</v>
      </c>
      <c r="DF107" s="672">
        <f>DE107</f>
        <v>10792824.374084538</v>
      </c>
      <c r="DG107" s="672"/>
      <c r="DH107" s="944">
        <v>-715341.08333333337</v>
      </c>
      <c r="DI107" s="944">
        <v>-705333.33333333337</v>
      </c>
      <c r="DJ107" s="944"/>
      <c r="DK107" s="672"/>
      <c r="DL107" s="381">
        <f t="shared" si="115"/>
        <v>474832.92700924521</v>
      </c>
      <c r="DM107" s="672"/>
      <c r="DN107" s="944">
        <f t="shared" si="95"/>
        <v>-715341.08333333337</v>
      </c>
      <c r="DO107" s="944">
        <f t="shared" si="96"/>
        <v>474832.92700924521</v>
      </c>
      <c r="DP107" s="672"/>
      <c r="DQ107" s="438">
        <f t="shared" si="97"/>
        <v>530090.72922179522</v>
      </c>
      <c r="DR107" s="438">
        <f t="shared" si="98"/>
        <v>-28175.597436224052</v>
      </c>
      <c r="DS107" s="672"/>
      <c r="DT107" s="672"/>
      <c r="DU107" s="672"/>
      <c r="DV107" s="672"/>
      <c r="DW107" s="672"/>
      <c r="DX107" s="672"/>
    </row>
    <row r="108" spans="1:128" s="532" customFormat="1" x14ac:dyDescent="0.2">
      <c r="A108" s="528">
        <v>97</v>
      </c>
      <c r="B108" s="633">
        <v>39448</v>
      </c>
      <c r="C108" s="381">
        <v>0</v>
      </c>
      <c r="D108" s="381">
        <v>0</v>
      </c>
      <c r="E108" s="381">
        <v>0</v>
      </c>
      <c r="F108" s="381">
        <v>84506.475416985762</v>
      </c>
      <c r="G108" s="381">
        <v>407012.69083429774</v>
      </c>
      <c r="H108" s="381">
        <v>0</v>
      </c>
      <c r="I108" s="381">
        <v>491519.16625128349</v>
      </c>
      <c r="J108" s="381"/>
      <c r="K108" s="381"/>
      <c r="L108" s="381">
        <f t="shared" si="114"/>
        <v>491519.16625128326</v>
      </c>
      <c r="M108" s="381"/>
      <c r="N108" s="679">
        <f t="shared" si="99"/>
        <v>-715341.08333333337</v>
      </c>
      <c r="O108" s="679">
        <f t="shared" si="100"/>
        <v>-705333.33333333337</v>
      </c>
      <c r="P108" s="564">
        <f>Breakout!$K$16/12</f>
        <v>3665988.6712714122</v>
      </c>
      <c r="Q108" s="557">
        <f>'wholesale services'!$D$110*'wholesale services'!$L$111/12</f>
        <v>3250582.4999999995</v>
      </c>
      <c r="R108" s="557">
        <v>3320487.5</v>
      </c>
      <c r="S108" s="564">
        <f>Breakout!$K$27/12</f>
        <v>129882.43963258034</v>
      </c>
      <c r="T108" s="557">
        <f>'wholesale services'!$D$113*'wholesale services'!$L$114/12</f>
        <v>167253.68156274385</v>
      </c>
      <c r="U108" s="557">
        <v>170667.02200279987</v>
      </c>
      <c r="V108" s="564">
        <f>Breakout!$K$38/12</f>
        <v>65378.240138068744</v>
      </c>
      <c r="W108" s="531">
        <f>Breakout!$K$39/12</f>
        <v>73434.661618040132</v>
      </c>
      <c r="X108" s="531">
        <v>74224.281635438412</v>
      </c>
      <c r="Y108" s="564">
        <f>Breakout!$K$49/12</f>
        <v>475565.51415940124</v>
      </c>
      <c r="Z108" s="560">
        <f>Breakout!$K$50/12</f>
        <v>451454.44507245923</v>
      </c>
      <c r="AA108" s="560">
        <v>474221.52040821657</v>
      </c>
      <c r="AB108" s="564">
        <f>Breakout!$K$60/12</f>
        <v>437556.31461701012</v>
      </c>
      <c r="AC108" s="560">
        <f>Breakout!$K$61/12</f>
        <v>447260.58918887918</v>
      </c>
      <c r="AD108" s="560">
        <v>461206.35366247449</v>
      </c>
      <c r="AE108" s="564">
        <f>Breakout!$K$71/12</f>
        <v>331982.31263093493</v>
      </c>
      <c r="AF108" s="560">
        <f>Breakout!$K$72/12</f>
        <v>316520.66666666669</v>
      </c>
      <c r="AG108" s="560">
        <v>316520.66666666669</v>
      </c>
      <c r="AH108" s="564">
        <f>Breakout!$K$82/12</f>
        <v>21851.016088926714</v>
      </c>
      <c r="AI108" s="560">
        <f>Breakout!$K$83/12</f>
        <v>0</v>
      </c>
      <c r="AJ108" s="560">
        <v>0</v>
      </c>
      <c r="AK108" s="570">
        <f>Breakout!$K$91/12</f>
        <v>293803.38330167538</v>
      </c>
      <c r="AL108" s="570">
        <v>293803.38330167538</v>
      </c>
      <c r="AM108" s="567">
        <f>(Breakout!$K$107/12)*-1</f>
        <v>55221.25</v>
      </c>
      <c r="AN108" s="567">
        <v>55221.25</v>
      </c>
      <c r="AO108" s="578">
        <f t="shared" si="120"/>
        <v>5128204.5085383337</v>
      </c>
      <c r="AP108" s="578">
        <f t="shared" si="121"/>
        <v>5092244.0172198163</v>
      </c>
      <c r="AQ108" s="548">
        <f t="shared" si="122"/>
        <v>313181.48745195783</v>
      </c>
      <c r="AR108" s="531"/>
      <c r="AS108" s="553">
        <f t="shared" si="123"/>
        <v>175666.69794311235</v>
      </c>
      <c r="AT108" s="531"/>
      <c r="AU108" s="557">
        <f>'wholesale services'!$L$110/12</f>
        <v>39106610.706018515</v>
      </c>
      <c r="AV108" s="557">
        <f>'wholesale services'!$L$113/12</f>
        <v>17613.255833333333</v>
      </c>
      <c r="AW108" s="531"/>
      <c r="AX108" s="552">
        <f t="shared" si="124"/>
        <v>-715341.08333333337</v>
      </c>
      <c r="AY108" s="381">
        <f t="shared" si="125"/>
        <v>-705333.33333333337</v>
      </c>
      <c r="AZ108" s="496"/>
      <c r="BA108" s="438">
        <f t="shared" si="126"/>
        <v>643888.91977929638</v>
      </c>
      <c r="BB108" s="438">
        <f t="shared" si="127"/>
        <v>-25345.834113959099</v>
      </c>
      <c r="BC108" s="438">
        <f t="shared" si="128"/>
        <v>-8056.4214799713882</v>
      </c>
      <c r="BD108" s="438">
        <f t="shared" si="101"/>
        <v>24111.069086942007</v>
      </c>
      <c r="BE108" s="438">
        <f t="shared" si="102"/>
        <v>-9704.2745718690567</v>
      </c>
      <c r="BF108" s="438">
        <f t="shared" si="103"/>
        <v>15461.645964268246</v>
      </c>
      <c r="BG108" s="438">
        <f t="shared" si="104"/>
        <v>21851.016088926714</v>
      </c>
      <c r="BH108" s="438">
        <f t="shared" si="105"/>
        <v>-293803.38330167538</v>
      </c>
      <c r="BI108" s="438">
        <f t="shared" si="106"/>
        <v>-55221.25</v>
      </c>
      <c r="BJ108" s="531"/>
      <c r="BK108" s="496"/>
      <c r="BL108" s="438">
        <f t="shared" si="129"/>
        <v>798010.45034099964</v>
      </c>
      <c r="BM108" s="438">
        <f t="shared" si="130"/>
        <v>-19885.457068571537</v>
      </c>
      <c r="BN108" s="438">
        <f t="shared" si="131"/>
        <v>-5307.8602215932478</v>
      </c>
      <c r="BO108" s="438">
        <f t="shared" si="132"/>
        <v>44104.28005864704</v>
      </c>
      <c r="BP108" s="438">
        <f t="shared" si="133"/>
        <v>8690.9947436589282</v>
      </c>
      <c r="BQ108" s="438">
        <f t="shared" si="134"/>
        <v>29418.487277787295</v>
      </c>
      <c r="BR108" s="438">
        <f t="shared" si="135"/>
        <v>22769.652873143994</v>
      </c>
      <c r="BS108" s="438">
        <f t="shared" si="107"/>
        <v>-293803.38330167538</v>
      </c>
      <c r="BT108" s="438">
        <f t="shared" si="108"/>
        <v>-55221.25</v>
      </c>
      <c r="BU108" s="531"/>
      <c r="BV108" s="531"/>
      <c r="BW108" s="564">
        <f>Breakout!$K$15/12</f>
        <v>3820110.2018331154</v>
      </c>
      <c r="BX108" s="564">
        <f>Breakout!$K$26/12</f>
        <v>135342.8166779679</v>
      </c>
      <c r="BY108" s="564">
        <f>Breakout!$K$37/12</f>
        <v>68126.801396446885</v>
      </c>
      <c r="BZ108" s="564">
        <f>Breakout!$K$48/12</f>
        <v>495558.72513110627</v>
      </c>
      <c r="CA108" s="564">
        <f>Breakout!$K$59/12</f>
        <v>455951.58393253811</v>
      </c>
      <c r="CB108" s="564">
        <f>Breakout!$K$70/12</f>
        <v>345939.15394445398</v>
      </c>
      <c r="CC108" s="564">
        <f>Breakout!$K$81/12</f>
        <v>22769.652873143994</v>
      </c>
      <c r="CD108" s="531"/>
      <c r="CE108" s="634">
        <f t="shared" si="90"/>
        <v>3818738.1992410547</v>
      </c>
      <c r="CF108" s="634">
        <f t="shared" si="91"/>
        <v>135294.20795060453</v>
      </c>
      <c r="CG108" s="634">
        <f t="shared" si="92"/>
        <v>68102.333477154942</v>
      </c>
      <c r="CH108" s="531"/>
      <c r="CI108" s="634">
        <f t="shared" si="93"/>
        <v>-715341.08333333337</v>
      </c>
      <c r="CJ108" s="634">
        <f t="shared" si="94"/>
        <v>-705333.33333333337</v>
      </c>
      <c r="CK108" s="531"/>
      <c r="CL108" s="438">
        <f>'account mgt'!$K$23/12</f>
        <v>-57704.224514361587</v>
      </c>
      <c r="CM108" s="531"/>
      <c r="CN108" s="438">
        <v>0</v>
      </c>
      <c r="CO108" s="531"/>
      <c r="CP108" s="531"/>
      <c r="CQ108" s="496"/>
      <c r="CR108" s="496"/>
      <c r="CS108" s="496"/>
      <c r="CT108" s="438">
        <f t="shared" si="111"/>
        <v>0</v>
      </c>
      <c r="CU108" s="438">
        <f t="shared" si="112"/>
        <v>0</v>
      </c>
      <c r="CV108" s="438">
        <f>IF(CT108&lt;0.1,0,PPMT($L$3,A108-14,unwinds!$B$8*12,$K$5))</f>
        <v>0</v>
      </c>
      <c r="CW108" s="438">
        <f t="shared" si="109"/>
        <v>0</v>
      </c>
      <c r="CX108" s="438">
        <f t="shared" si="110"/>
        <v>0</v>
      </c>
      <c r="CY108" s="531"/>
      <c r="CZ108" s="438"/>
      <c r="DA108" s="438">
        <f t="shared" si="116"/>
        <v>10792824.374084538</v>
      </c>
      <c r="DB108" s="438">
        <f t="shared" si="117"/>
        <v>85173.372352150473</v>
      </c>
      <c r="DC108" s="438">
        <f t="shared" si="118"/>
        <v>410224.69931946479</v>
      </c>
      <c r="DD108" s="438">
        <f t="shared" si="119"/>
        <v>10382599.674765073</v>
      </c>
      <c r="DE108" s="438">
        <f t="shared" si="113"/>
        <v>10382599.674765073</v>
      </c>
      <c r="DF108" s="531"/>
      <c r="DG108" s="531"/>
      <c r="DH108" s="944">
        <v>-715341.08333333337</v>
      </c>
      <c r="DI108" s="944">
        <v>-705333.33333333337</v>
      </c>
      <c r="DJ108" s="944"/>
      <c r="DK108" s="531"/>
      <c r="DL108" s="381">
        <f t="shared" si="115"/>
        <v>474832.92700924521</v>
      </c>
      <c r="DM108" s="531"/>
      <c r="DN108" s="944">
        <f t="shared" si="95"/>
        <v>-715341.08333333337</v>
      </c>
      <c r="DO108" s="944">
        <f t="shared" si="96"/>
        <v>474832.92700924521</v>
      </c>
      <c r="DP108" s="531"/>
      <c r="DQ108" s="438">
        <f t="shared" si="97"/>
        <v>569527.70183311589</v>
      </c>
      <c r="DR108" s="438">
        <f t="shared" si="98"/>
        <v>-31910.864884775947</v>
      </c>
      <c r="DS108" s="531"/>
      <c r="DT108" s="531"/>
      <c r="DU108" s="531"/>
      <c r="DV108" s="531"/>
      <c r="DW108" s="531"/>
      <c r="DX108" s="531"/>
    </row>
    <row r="109" spans="1:128" x14ac:dyDescent="0.2">
      <c r="A109" s="383">
        <v>98</v>
      </c>
      <c r="B109" s="631">
        <v>39479</v>
      </c>
      <c r="C109" s="381">
        <v>0</v>
      </c>
      <c r="D109" s="381">
        <v>0</v>
      </c>
      <c r="E109" s="381">
        <v>0</v>
      </c>
      <c r="F109" s="381">
        <v>81294.466931818475</v>
      </c>
      <c r="G109" s="381">
        <v>410224.69931946503</v>
      </c>
      <c r="H109" s="381">
        <v>0</v>
      </c>
      <c r="I109" s="381">
        <v>491519.16625128349</v>
      </c>
      <c r="J109" s="381"/>
      <c r="K109" s="381"/>
      <c r="L109" s="381">
        <f t="shared" si="114"/>
        <v>491519.16625128326</v>
      </c>
      <c r="M109" s="381"/>
      <c r="N109" s="679">
        <f t="shared" si="99"/>
        <v>-715341.08333333337</v>
      </c>
      <c r="O109" s="679">
        <f t="shared" si="100"/>
        <v>-705333.33333333337</v>
      </c>
      <c r="P109" s="565">
        <f>Breakout!$K$16/12</f>
        <v>3665988.6712714122</v>
      </c>
      <c r="Q109" s="557">
        <f>'wholesale services'!$D$110*'wholesale services'!$L$111/12</f>
        <v>3250582.4999999995</v>
      </c>
      <c r="R109" s="557">
        <v>3320487.5</v>
      </c>
      <c r="S109" s="565">
        <f>Breakout!$K$27/12</f>
        <v>129882.43963258034</v>
      </c>
      <c r="T109" s="557">
        <f>'wholesale services'!$D$113*'wholesale services'!$L$114/12</f>
        <v>167253.68156274385</v>
      </c>
      <c r="U109" s="557">
        <v>170667.02200279987</v>
      </c>
      <c r="V109" s="565">
        <f>Breakout!$K$38/12</f>
        <v>65378.240138068744</v>
      </c>
      <c r="W109" s="496">
        <f>Breakout!$K$39/12</f>
        <v>73434.661618040132</v>
      </c>
      <c r="X109" s="496">
        <v>74224.281635438412</v>
      </c>
      <c r="Y109" s="565">
        <f>Breakout!$K$49/12</f>
        <v>475565.51415940124</v>
      </c>
      <c r="Z109" s="566">
        <f>Breakout!$K$50/12</f>
        <v>451454.44507245923</v>
      </c>
      <c r="AA109" s="566">
        <v>474221.52040821657</v>
      </c>
      <c r="AB109" s="565">
        <f>Breakout!$K$60/12</f>
        <v>437556.31461701012</v>
      </c>
      <c r="AC109" s="566">
        <f>Breakout!$K$61/12</f>
        <v>447260.58918887918</v>
      </c>
      <c r="AD109" s="566">
        <v>461206.35366247449</v>
      </c>
      <c r="AE109" s="565">
        <f>Breakout!$K$71/12</f>
        <v>331982.31263093493</v>
      </c>
      <c r="AF109" s="566">
        <f>Breakout!$K$72/12</f>
        <v>316520.66666666669</v>
      </c>
      <c r="AG109" s="566">
        <v>316520.66666666669</v>
      </c>
      <c r="AH109" s="565">
        <f>Breakout!$K$82/12</f>
        <v>21851.016088926714</v>
      </c>
      <c r="AI109" s="566">
        <f>Breakout!$K$83/12</f>
        <v>0</v>
      </c>
      <c r="AJ109" s="566">
        <v>0</v>
      </c>
      <c r="AK109" s="571">
        <f>Breakout!$K$91/12</f>
        <v>293803.38330167538</v>
      </c>
      <c r="AL109" s="571">
        <v>293803.38330167538</v>
      </c>
      <c r="AM109" s="567">
        <f>(Breakout!$K$107/12)*-1</f>
        <v>55221.25</v>
      </c>
      <c r="AN109" s="567">
        <v>55221.25</v>
      </c>
      <c r="AO109" s="578">
        <f t="shared" si="120"/>
        <v>5128204.5085383337</v>
      </c>
      <c r="AP109" s="578">
        <f t="shared" si="121"/>
        <v>5092244.0172198163</v>
      </c>
      <c r="AQ109" s="548">
        <f t="shared" si="122"/>
        <v>313181.48745195783</v>
      </c>
      <c r="AR109" s="496"/>
      <c r="AS109" s="553">
        <f t="shared" si="123"/>
        <v>175666.69794311235</v>
      </c>
      <c r="AT109" s="496"/>
      <c r="AU109" s="557">
        <f>'wholesale services'!$L$110/12</f>
        <v>39106610.706018515</v>
      </c>
      <c r="AV109" s="557">
        <f>'wholesale services'!$L$113/12</f>
        <v>17613.255833333333</v>
      </c>
      <c r="AW109" s="496"/>
      <c r="AX109" s="552">
        <f t="shared" si="124"/>
        <v>-715341.08333333337</v>
      </c>
      <c r="AY109" s="381">
        <f t="shared" si="125"/>
        <v>-705333.33333333337</v>
      </c>
      <c r="AZ109" s="496"/>
      <c r="BA109" s="438">
        <f t="shared" si="126"/>
        <v>643888.91977929638</v>
      </c>
      <c r="BB109" s="438">
        <f t="shared" si="127"/>
        <v>-25345.834113959099</v>
      </c>
      <c r="BC109" s="438">
        <f t="shared" si="128"/>
        <v>-8056.4214799713882</v>
      </c>
      <c r="BD109" s="438">
        <f t="shared" si="101"/>
        <v>24111.069086942007</v>
      </c>
      <c r="BE109" s="438">
        <f t="shared" si="102"/>
        <v>-9704.2745718690567</v>
      </c>
      <c r="BF109" s="438">
        <f t="shared" si="103"/>
        <v>15461.645964268246</v>
      </c>
      <c r="BG109" s="438">
        <f t="shared" si="104"/>
        <v>21851.016088926714</v>
      </c>
      <c r="BH109" s="438">
        <f t="shared" si="105"/>
        <v>-293803.38330167538</v>
      </c>
      <c r="BI109" s="438">
        <f t="shared" si="106"/>
        <v>-55221.25</v>
      </c>
      <c r="BL109" s="438">
        <f t="shared" si="129"/>
        <v>798010.45034099964</v>
      </c>
      <c r="BM109" s="438">
        <f t="shared" si="130"/>
        <v>-19885.457068571537</v>
      </c>
      <c r="BN109" s="438">
        <f t="shared" si="131"/>
        <v>-5307.8602215932478</v>
      </c>
      <c r="BO109" s="438">
        <f t="shared" si="132"/>
        <v>44104.28005864704</v>
      </c>
      <c r="BP109" s="438">
        <f t="shared" si="133"/>
        <v>8690.9947436589282</v>
      </c>
      <c r="BQ109" s="438">
        <f t="shared" si="134"/>
        <v>29418.487277787295</v>
      </c>
      <c r="BR109" s="438">
        <f t="shared" si="135"/>
        <v>22769.652873143994</v>
      </c>
      <c r="BS109" s="438">
        <f t="shared" si="107"/>
        <v>-293803.38330167538</v>
      </c>
      <c r="BT109" s="438">
        <f t="shared" si="108"/>
        <v>-55221.25</v>
      </c>
      <c r="BW109" s="565">
        <f>Breakout!$K$15/12</f>
        <v>3820110.2018331154</v>
      </c>
      <c r="BX109" s="565">
        <f>Breakout!$K$26/12</f>
        <v>135342.8166779679</v>
      </c>
      <c r="BY109" s="565">
        <f>Breakout!$K$37/12</f>
        <v>68126.801396446885</v>
      </c>
      <c r="BZ109" s="565">
        <f>Breakout!$K$48/12</f>
        <v>495558.72513110627</v>
      </c>
      <c r="CA109" s="565">
        <f>Breakout!$K$59/12</f>
        <v>455951.58393253811</v>
      </c>
      <c r="CB109" s="565">
        <f>Breakout!$K$70/12</f>
        <v>345939.15394445398</v>
      </c>
      <c r="CC109" s="565">
        <f>Breakout!$K$81/12</f>
        <v>22769.652873143994</v>
      </c>
      <c r="CE109" s="634">
        <f t="shared" si="90"/>
        <v>3818738.1992410547</v>
      </c>
      <c r="CF109" s="634">
        <f t="shared" si="91"/>
        <v>135294.20795060453</v>
      </c>
      <c r="CG109" s="634">
        <f t="shared" si="92"/>
        <v>68102.333477154942</v>
      </c>
      <c r="CI109" s="634">
        <f t="shared" si="93"/>
        <v>-715341.08333333337</v>
      </c>
      <c r="CJ109" s="634">
        <f t="shared" si="94"/>
        <v>-705333.33333333337</v>
      </c>
      <c r="CL109" s="438">
        <f>'account mgt'!$K$23/12</f>
        <v>-57704.224514361587</v>
      </c>
      <c r="CN109" s="438">
        <v>0</v>
      </c>
      <c r="CT109" s="438">
        <f t="shared" si="111"/>
        <v>0</v>
      </c>
      <c r="CU109" s="438">
        <f t="shared" si="112"/>
        <v>0</v>
      </c>
      <c r="CV109" s="438">
        <f>IF(CT109&lt;0.1,0,PPMT($L$3,A109-14,unwinds!$B$8*12,$K$5))</f>
        <v>0</v>
      </c>
      <c r="CW109" s="438">
        <f t="shared" si="109"/>
        <v>0</v>
      </c>
      <c r="CX109" s="438">
        <f t="shared" si="110"/>
        <v>0</v>
      </c>
      <c r="DA109" s="438">
        <f t="shared" si="116"/>
        <v>10382599.674765073</v>
      </c>
      <c r="DB109" s="438">
        <f t="shared" si="117"/>
        <v>81936.015766687706</v>
      </c>
      <c r="DC109" s="438">
        <f t="shared" si="118"/>
        <v>413462.05590492755</v>
      </c>
      <c r="DD109" s="438">
        <f t="shared" si="119"/>
        <v>9969137.618860146</v>
      </c>
      <c r="DE109" s="438">
        <f t="shared" si="113"/>
        <v>9969137.618860146</v>
      </c>
      <c r="DH109" s="944">
        <v>-715341.08333333337</v>
      </c>
      <c r="DI109" s="944">
        <v>-705333.33333333337</v>
      </c>
      <c r="DJ109" s="944"/>
      <c r="DL109" s="381">
        <f t="shared" si="115"/>
        <v>474832.92700924521</v>
      </c>
      <c r="DN109" s="944">
        <f t="shared" si="95"/>
        <v>-715341.08333333337</v>
      </c>
      <c r="DO109" s="944">
        <f t="shared" si="96"/>
        <v>474832.92700924521</v>
      </c>
      <c r="DQ109" s="438">
        <f t="shared" si="97"/>
        <v>569527.70183311589</v>
      </c>
      <c r="DR109" s="438">
        <f t="shared" si="98"/>
        <v>-31910.864884775947</v>
      </c>
      <c r="DS109" s="438"/>
      <c r="DT109" s="438"/>
      <c r="DU109" s="438"/>
      <c r="DV109" s="438"/>
      <c r="DW109" s="438"/>
      <c r="DX109" s="438"/>
    </row>
    <row r="110" spans="1:128" x14ac:dyDescent="0.2">
      <c r="A110" s="383">
        <v>99</v>
      </c>
      <c r="B110" s="631">
        <v>39508</v>
      </c>
      <c r="C110" s="381">
        <v>0</v>
      </c>
      <c r="D110" s="381">
        <v>0</v>
      </c>
      <c r="E110" s="381">
        <v>0</v>
      </c>
      <c r="F110" s="381">
        <v>78057.110346355621</v>
      </c>
      <c r="G110" s="381">
        <v>413462.0559049279</v>
      </c>
      <c r="H110" s="381">
        <v>0</v>
      </c>
      <c r="I110" s="381">
        <v>491519.16625128349</v>
      </c>
      <c r="J110" s="381"/>
      <c r="K110" s="381"/>
      <c r="L110" s="381">
        <f t="shared" si="114"/>
        <v>491519.16625128326</v>
      </c>
      <c r="M110" s="381"/>
      <c r="N110" s="679">
        <f t="shared" si="99"/>
        <v>-715341.08333333337</v>
      </c>
      <c r="O110" s="679">
        <f t="shared" si="100"/>
        <v>-705333.33333333337</v>
      </c>
      <c r="P110" s="565">
        <f>Breakout!$K$16/12</f>
        <v>3665988.6712714122</v>
      </c>
      <c r="Q110" s="557">
        <f>'wholesale services'!$D$110*'wholesale services'!$L$111/12</f>
        <v>3250582.4999999995</v>
      </c>
      <c r="R110" s="557">
        <v>3320487.5</v>
      </c>
      <c r="S110" s="565">
        <f>Breakout!$K$27/12</f>
        <v>129882.43963258034</v>
      </c>
      <c r="T110" s="557">
        <f>'wholesale services'!$D$113*'wholesale services'!$L$114/12</f>
        <v>167253.68156274385</v>
      </c>
      <c r="U110" s="557">
        <v>170667.02200279987</v>
      </c>
      <c r="V110" s="565">
        <f>Breakout!$K$38/12</f>
        <v>65378.240138068744</v>
      </c>
      <c r="W110" s="496">
        <f>Breakout!$K$39/12</f>
        <v>73434.661618040132</v>
      </c>
      <c r="X110" s="496">
        <v>74224.281635438412</v>
      </c>
      <c r="Y110" s="565">
        <f>Breakout!$K$49/12</f>
        <v>475565.51415940124</v>
      </c>
      <c r="Z110" s="566">
        <f>Breakout!$K$50/12</f>
        <v>451454.44507245923</v>
      </c>
      <c r="AA110" s="566">
        <v>474221.52040821657</v>
      </c>
      <c r="AB110" s="565">
        <f>Breakout!$K$60/12</f>
        <v>437556.31461701012</v>
      </c>
      <c r="AC110" s="566">
        <f>Breakout!$K$61/12</f>
        <v>447260.58918887918</v>
      </c>
      <c r="AD110" s="566">
        <v>461206.35366247449</v>
      </c>
      <c r="AE110" s="565">
        <f>Breakout!$K$71/12</f>
        <v>331982.31263093493</v>
      </c>
      <c r="AF110" s="566">
        <f>Breakout!$K$72/12</f>
        <v>316520.66666666669</v>
      </c>
      <c r="AG110" s="566">
        <v>316520.66666666669</v>
      </c>
      <c r="AH110" s="565">
        <f>Breakout!$K$82/12</f>
        <v>21851.016088926714</v>
      </c>
      <c r="AI110" s="566">
        <f>Breakout!$K$83/12</f>
        <v>0</v>
      </c>
      <c r="AJ110" s="566">
        <v>0</v>
      </c>
      <c r="AK110" s="571">
        <f>Breakout!$K$91/12</f>
        <v>293803.38330167538</v>
      </c>
      <c r="AL110" s="571">
        <v>293803.38330167538</v>
      </c>
      <c r="AM110" s="567">
        <f>(Breakout!$K$107/12)*-1</f>
        <v>55221.25</v>
      </c>
      <c r="AN110" s="567">
        <v>55221.25</v>
      </c>
      <c r="AO110" s="578">
        <f t="shared" si="120"/>
        <v>5128204.5085383337</v>
      </c>
      <c r="AP110" s="578">
        <f t="shared" si="121"/>
        <v>5092244.0172198163</v>
      </c>
      <c r="AQ110" s="548">
        <f t="shared" si="122"/>
        <v>313181.48745195783</v>
      </c>
      <c r="AR110" s="496"/>
      <c r="AS110" s="553">
        <f t="shared" si="123"/>
        <v>175666.69794311235</v>
      </c>
      <c r="AT110" s="496"/>
      <c r="AU110" s="557">
        <f>'wholesale services'!$L$110/12</f>
        <v>39106610.706018515</v>
      </c>
      <c r="AV110" s="557">
        <f>'wholesale services'!$L$113/12</f>
        <v>17613.255833333333</v>
      </c>
      <c r="AW110" s="496"/>
      <c r="AX110" s="552">
        <f t="shared" si="124"/>
        <v>-715341.08333333337</v>
      </c>
      <c r="AY110" s="381">
        <f t="shared" si="125"/>
        <v>-705333.33333333337</v>
      </c>
      <c r="AZ110" s="496"/>
      <c r="BA110" s="438">
        <f t="shared" si="126"/>
        <v>643888.91977929638</v>
      </c>
      <c r="BB110" s="438">
        <f t="shared" si="127"/>
        <v>-25345.834113959099</v>
      </c>
      <c r="BC110" s="438">
        <f t="shared" si="128"/>
        <v>-8056.4214799713882</v>
      </c>
      <c r="BD110" s="438">
        <f t="shared" si="101"/>
        <v>24111.069086942007</v>
      </c>
      <c r="BE110" s="438">
        <f t="shared" si="102"/>
        <v>-9704.2745718690567</v>
      </c>
      <c r="BF110" s="438">
        <f t="shared" si="103"/>
        <v>15461.645964268246</v>
      </c>
      <c r="BG110" s="438">
        <f t="shared" si="104"/>
        <v>21851.016088926714</v>
      </c>
      <c r="BH110" s="438">
        <f t="shared" si="105"/>
        <v>-293803.38330167538</v>
      </c>
      <c r="BI110" s="438">
        <f t="shared" si="106"/>
        <v>-55221.25</v>
      </c>
      <c r="BL110" s="438">
        <f t="shared" si="129"/>
        <v>798010.45034099964</v>
      </c>
      <c r="BM110" s="438">
        <f t="shared" si="130"/>
        <v>-19885.457068571537</v>
      </c>
      <c r="BN110" s="438">
        <f t="shared" si="131"/>
        <v>-5307.8602215932478</v>
      </c>
      <c r="BO110" s="438">
        <f t="shared" si="132"/>
        <v>44104.28005864704</v>
      </c>
      <c r="BP110" s="438">
        <f t="shared" si="133"/>
        <v>8690.9947436589282</v>
      </c>
      <c r="BQ110" s="438">
        <f t="shared" si="134"/>
        <v>29418.487277787295</v>
      </c>
      <c r="BR110" s="438">
        <f t="shared" si="135"/>
        <v>22769.652873143994</v>
      </c>
      <c r="BS110" s="438">
        <f t="shared" si="107"/>
        <v>-293803.38330167538</v>
      </c>
      <c r="BT110" s="438">
        <f t="shared" si="108"/>
        <v>-55221.25</v>
      </c>
      <c r="BW110" s="565">
        <f>Breakout!$K$15/12</f>
        <v>3820110.2018331154</v>
      </c>
      <c r="BX110" s="565">
        <f>Breakout!$K$26/12</f>
        <v>135342.8166779679</v>
      </c>
      <c r="BY110" s="565">
        <f>Breakout!$K$37/12</f>
        <v>68126.801396446885</v>
      </c>
      <c r="BZ110" s="565">
        <f>Breakout!$K$48/12</f>
        <v>495558.72513110627</v>
      </c>
      <c r="CA110" s="565">
        <f>Breakout!$K$59/12</f>
        <v>455951.58393253811</v>
      </c>
      <c r="CB110" s="565">
        <f>Breakout!$K$70/12</f>
        <v>345939.15394445398</v>
      </c>
      <c r="CC110" s="565">
        <f>Breakout!$K$81/12</f>
        <v>22769.652873143994</v>
      </c>
      <c r="CE110" s="634">
        <f t="shared" si="90"/>
        <v>3818738.1992410547</v>
      </c>
      <c r="CF110" s="634">
        <f t="shared" si="91"/>
        <v>135294.20795060453</v>
      </c>
      <c r="CG110" s="634">
        <f t="shared" si="92"/>
        <v>68102.333477154942</v>
      </c>
      <c r="CI110" s="634">
        <f t="shared" si="93"/>
        <v>-715341.08333333337</v>
      </c>
      <c r="CJ110" s="634">
        <f t="shared" si="94"/>
        <v>-705333.33333333337</v>
      </c>
      <c r="CL110" s="438">
        <f>'account mgt'!$K$23/12</f>
        <v>-57704.224514361587</v>
      </c>
      <c r="CN110" s="438">
        <v>0</v>
      </c>
      <c r="CT110" s="438">
        <f t="shared" si="111"/>
        <v>0</v>
      </c>
      <c r="CU110" s="438">
        <f t="shared" si="112"/>
        <v>0</v>
      </c>
      <c r="CV110" s="438">
        <f>IF(CT110&lt;0.1,0,PPMT($L$3,A110-14,unwinds!$B$8*12,$K$5))</f>
        <v>0</v>
      </c>
      <c r="CW110" s="438">
        <f t="shared" si="109"/>
        <v>0</v>
      </c>
      <c r="CX110" s="438">
        <f t="shared" si="110"/>
        <v>0</v>
      </c>
      <c r="DA110" s="438">
        <f t="shared" si="116"/>
        <v>9969137.618860146</v>
      </c>
      <c r="DB110" s="438">
        <f t="shared" si="117"/>
        <v>78673.111042171324</v>
      </c>
      <c r="DC110" s="438">
        <f t="shared" si="118"/>
        <v>416724.96062944399</v>
      </c>
      <c r="DD110" s="438">
        <f t="shared" si="119"/>
        <v>9552412.6582307015</v>
      </c>
      <c r="DE110" s="438">
        <f t="shared" si="113"/>
        <v>9552412.6582307015</v>
      </c>
      <c r="DH110" s="944">
        <v>-715341.08333333337</v>
      </c>
      <c r="DI110" s="944">
        <v>-705333.33333333337</v>
      </c>
      <c r="DJ110" s="944"/>
      <c r="DL110" s="381">
        <f t="shared" si="115"/>
        <v>474832.92700924521</v>
      </c>
      <c r="DN110" s="944">
        <f t="shared" si="95"/>
        <v>-715341.08333333337</v>
      </c>
      <c r="DO110" s="944">
        <f t="shared" si="96"/>
        <v>474832.92700924521</v>
      </c>
      <c r="DQ110" s="438">
        <f t="shared" si="97"/>
        <v>569527.70183311589</v>
      </c>
      <c r="DR110" s="438">
        <f t="shared" si="98"/>
        <v>-31910.864884775947</v>
      </c>
      <c r="DS110" s="438"/>
      <c r="DT110" s="438"/>
      <c r="DU110" s="438"/>
      <c r="DV110" s="438"/>
      <c r="DW110" s="438"/>
      <c r="DX110" s="438"/>
    </row>
    <row r="111" spans="1:128" x14ac:dyDescent="0.2">
      <c r="A111" s="383">
        <v>100</v>
      </c>
      <c r="B111" s="631">
        <v>39539</v>
      </c>
      <c r="C111" s="381">
        <v>0</v>
      </c>
      <c r="D111" s="381">
        <v>0</v>
      </c>
      <c r="E111" s="381">
        <v>0</v>
      </c>
      <c r="F111" s="381">
        <v>74794.205621839254</v>
      </c>
      <c r="G111" s="381">
        <v>416724.96062944422</v>
      </c>
      <c r="H111" s="381">
        <v>0</v>
      </c>
      <c r="I111" s="381">
        <v>491519.16625128349</v>
      </c>
      <c r="J111" s="381"/>
      <c r="K111" s="381"/>
      <c r="L111" s="381">
        <f t="shared" si="114"/>
        <v>491519.16625128326</v>
      </c>
      <c r="M111" s="381"/>
      <c r="N111" s="679">
        <f t="shared" si="99"/>
        <v>-715341.08333333337</v>
      </c>
      <c r="O111" s="679">
        <f t="shared" si="100"/>
        <v>-705333.33333333337</v>
      </c>
      <c r="P111" s="565">
        <f>Breakout!$K$16/12</f>
        <v>3665988.6712714122</v>
      </c>
      <c r="Q111" s="557">
        <f>'wholesale services'!$D$110*'wholesale services'!$L$111/12</f>
        <v>3250582.4999999995</v>
      </c>
      <c r="R111" s="557">
        <v>3320487.5</v>
      </c>
      <c r="S111" s="565">
        <f>Breakout!$K$27/12</f>
        <v>129882.43963258034</v>
      </c>
      <c r="T111" s="557">
        <f>'wholesale services'!$D$113*'wholesale services'!$L$114/12</f>
        <v>167253.68156274385</v>
      </c>
      <c r="U111" s="557">
        <v>170667.02200279987</v>
      </c>
      <c r="V111" s="565">
        <f>Breakout!$K$38/12</f>
        <v>65378.240138068744</v>
      </c>
      <c r="W111" s="496">
        <f>Breakout!$K$39/12</f>
        <v>73434.661618040132</v>
      </c>
      <c r="X111" s="496">
        <v>74224.281635438412</v>
      </c>
      <c r="Y111" s="565">
        <f>Breakout!$K$49/12</f>
        <v>475565.51415940124</v>
      </c>
      <c r="Z111" s="566">
        <f>Breakout!$K$50/12</f>
        <v>451454.44507245923</v>
      </c>
      <c r="AA111" s="566">
        <v>474221.52040821657</v>
      </c>
      <c r="AB111" s="565">
        <f>Breakout!$K$60/12</f>
        <v>437556.31461701012</v>
      </c>
      <c r="AC111" s="566">
        <f>Breakout!$K$61/12</f>
        <v>447260.58918887918</v>
      </c>
      <c r="AD111" s="566">
        <v>461206.35366247449</v>
      </c>
      <c r="AE111" s="565">
        <f>Breakout!$K$71/12</f>
        <v>331982.31263093493</v>
      </c>
      <c r="AF111" s="566">
        <f>Breakout!$K$72/12</f>
        <v>316520.66666666669</v>
      </c>
      <c r="AG111" s="566">
        <v>316520.66666666669</v>
      </c>
      <c r="AH111" s="565">
        <f>Breakout!$K$82/12</f>
        <v>21851.016088926714</v>
      </c>
      <c r="AI111" s="566">
        <f>Breakout!$K$83/12</f>
        <v>0</v>
      </c>
      <c r="AJ111" s="566">
        <v>0</v>
      </c>
      <c r="AK111" s="571">
        <f>Breakout!$K$91/12</f>
        <v>293803.38330167538</v>
      </c>
      <c r="AL111" s="571">
        <v>293803.38330167538</v>
      </c>
      <c r="AM111" s="567">
        <f>(Breakout!$K$107/12)*-1</f>
        <v>55221.25</v>
      </c>
      <c r="AN111" s="567">
        <v>55221.25</v>
      </c>
      <c r="AO111" s="578">
        <f t="shared" si="120"/>
        <v>5128204.5085383337</v>
      </c>
      <c r="AP111" s="578">
        <f t="shared" si="121"/>
        <v>5092244.0172198163</v>
      </c>
      <c r="AQ111" s="548">
        <f t="shared" si="122"/>
        <v>313181.48745195783</v>
      </c>
      <c r="AR111" s="496"/>
      <c r="AS111" s="553">
        <f t="shared" si="123"/>
        <v>175666.69794311235</v>
      </c>
      <c r="AT111" s="496"/>
      <c r="AU111" s="557">
        <f>'wholesale services'!$L$110/12</f>
        <v>39106610.706018515</v>
      </c>
      <c r="AV111" s="557">
        <f>'wholesale services'!$L$113/12</f>
        <v>17613.255833333333</v>
      </c>
      <c r="AW111" s="496"/>
      <c r="AX111" s="552">
        <f t="shared" si="124"/>
        <v>-715341.08333333337</v>
      </c>
      <c r="AY111" s="381">
        <f t="shared" si="125"/>
        <v>-705333.33333333337</v>
      </c>
      <c r="AZ111" s="496"/>
      <c r="BA111" s="438">
        <f t="shared" si="126"/>
        <v>643888.91977929638</v>
      </c>
      <c r="BB111" s="438">
        <f t="shared" si="127"/>
        <v>-25345.834113959099</v>
      </c>
      <c r="BC111" s="438">
        <f t="shared" si="128"/>
        <v>-8056.4214799713882</v>
      </c>
      <c r="BD111" s="438">
        <f t="shared" si="101"/>
        <v>24111.069086942007</v>
      </c>
      <c r="BE111" s="438">
        <f t="shared" si="102"/>
        <v>-9704.2745718690567</v>
      </c>
      <c r="BF111" s="438">
        <f t="shared" si="103"/>
        <v>15461.645964268246</v>
      </c>
      <c r="BG111" s="438">
        <f t="shared" si="104"/>
        <v>21851.016088926714</v>
      </c>
      <c r="BH111" s="438">
        <f t="shared" si="105"/>
        <v>-293803.38330167538</v>
      </c>
      <c r="BI111" s="438">
        <f t="shared" si="106"/>
        <v>-55221.25</v>
      </c>
      <c r="BL111" s="438">
        <f t="shared" si="129"/>
        <v>798010.45034099964</v>
      </c>
      <c r="BM111" s="438">
        <f t="shared" si="130"/>
        <v>-19885.457068571537</v>
      </c>
      <c r="BN111" s="438">
        <f t="shared" si="131"/>
        <v>-5307.8602215932478</v>
      </c>
      <c r="BO111" s="438">
        <f t="shared" si="132"/>
        <v>44104.28005864704</v>
      </c>
      <c r="BP111" s="438">
        <f t="shared" si="133"/>
        <v>8690.9947436589282</v>
      </c>
      <c r="BQ111" s="438">
        <f t="shared" si="134"/>
        <v>29418.487277787295</v>
      </c>
      <c r="BR111" s="438">
        <f t="shared" si="135"/>
        <v>22769.652873143994</v>
      </c>
      <c r="BS111" s="438">
        <f t="shared" si="107"/>
        <v>-293803.38330167538</v>
      </c>
      <c r="BT111" s="438">
        <f t="shared" si="108"/>
        <v>-55221.25</v>
      </c>
      <c r="BW111" s="565">
        <f>Breakout!$K$15/12</f>
        <v>3820110.2018331154</v>
      </c>
      <c r="BX111" s="565">
        <f>Breakout!$K$26/12</f>
        <v>135342.8166779679</v>
      </c>
      <c r="BY111" s="565">
        <f>Breakout!$K$37/12</f>
        <v>68126.801396446885</v>
      </c>
      <c r="BZ111" s="565">
        <f>Breakout!$K$48/12</f>
        <v>495558.72513110627</v>
      </c>
      <c r="CA111" s="565">
        <f>Breakout!$K$59/12</f>
        <v>455951.58393253811</v>
      </c>
      <c r="CB111" s="565">
        <f>Breakout!$K$70/12</f>
        <v>345939.15394445398</v>
      </c>
      <c r="CC111" s="565">
        <f>Breakout!$K$81/12</f>
        <v>22769.652873143994</v>
      </c>
      <c r="CE111" s="634">
        <f t="shared" si="90"/>
        <v>3818738.1992410547</v>
      </c>
      <c r="CF111" s="634">
        <f t="shared" si="91"/>
        <v>135294.20795060453</v>
      </c>
      <c r="CG111" s="634">
        <f t="shared" si="92"/>
        <v>68102.333477154942</v>
      </c>
      <c r="CI111" s="634">
        <f t="shared" si="93"/>
        <v>-715341.08333333337</v>
      </c>
      <c r="CJ111" s="634">
        <f t="shared" si="94"/>
        <v>-705333.33333333337</v>
      </c>
      <c r="CL111" s="438">
        <f>'account mgt'!$K$23/12</f>
        <v>-57704.224514361587</v>
      </c>
      <c r="CN111" s="438">
        <v>0</v>
      </c>
      <c r="CT111" s="438">
        <f t="shared" si="111"/>
        <v>0</v>
      </c>
      <c r="CU111" s="438">
        <f t="shared" si="112"/>
        <v>0</v>
      </c>
      <c r="CV111" s="438">
        <f>IF(CT111&lt;0.1,0,PPMT($L$3,A111-14,unwinds!$B$8*12,$K$5))</f>
        <v>0</v>
      </c>
      <c r="CW111" s="438">
        <f t="shared" si="109"/>
        <v>0</v>
      </c>
      <c r="CX111" s="438">
        <f t="shared" si="110"/>
        <v>0</v>
      </c>
      <c r="DA111" s="438">
        <f t="shared" si="116"/>
        <v>9552412.6582307015</v>
      </c>
      <c r="DB111" s="438">
        <f t="shared" si="117"/>
        <v>75384.456561203959</v>
      </c>
      <c r="DC111" s="438">
        <f t="shared" si="118"/>
        <v>420013.61511041125</v>
      </c>
      <c r="DD111" s="438">
        <f t="shared" si="119"/>
        <v>9132399.0431202911</v>
      </c>
      <c r="DE111" s="438">
        <f t="shared" si="113"/>
        <v>9132399.0431202911</v>
      </c>
      <c r="DH111" s="944">
        <v>-715341.08333333337</v>
      </c>
      <c r="DI111" s="944">
        <v>-705333.33333333337</v>
      </c>
      <c r="DJ111" s="944"/>
      <c r="DL111" s="381">
        <f t="shared" si="115"/>
        <v>474832.92700924521</v>
      </c>
      <c r="DN111" s="944">
        <f t="shared" si="95"/>
        <v>-715341.08333333337</v>
      </c>
      <c r="DO111" s="944">
        <f t="shared" si="96"/>
        <v>474832.92700924521</v>
      </c>
      <c r="DQ111" s="438">
        <f t="shared" si="97"/>
        <v>569527.70183311589</v>
      </c>
      <c r="DR111" s="438">
        <f t="shared" si="98"/>
        <v>-31910.864884775947</v>
      </c>
      <c r="DS111" s="438"/>
      <c r="DT111" s="438"/>
      <c r="DU111" s="438"/>
      <c r="DV111" s="438"/>
      <c r="DW111" s="438"/>
      <c r="DX111" s="438"/>
    </row>
    <row r="112" spans="1:128" x14ac:dyDescent="0.2">
      <c r="A112" s="383">
        <v>101</v>
      </c>
      <c r="B112" s="631">
        <v>39569</v>
      </c>
      <c r="C112" s="381">
        <v>0</v>
      </c>
      <c r="D112" s="381">
        <v>0</v>
      </c>
      <c r="E112" s="381">
        <v>0</v>
      </c>
      <c r="F112" s="381">
        <v>71505.551140871976</v>
      </c>
      <c r="G112" s="381">
        <v>420013.61511041154</v>
      </c>
      <c r="H112" s="381">
        <v>0</v>
      </c>
      <c r="I112" s="381">
        <v>491519.16625128349</v>
      </c>
      <c r="J112" s="381"/>
      <c r="K112" s="381"/>
      <c r="L112" s="381">
        <f t="shared" si="114"/>
        <v>491519.16625128326</v>
      </c>
      <c r="M112" s="381"/>
      <c r="N112" s="679">
        <f t="shared" si="99"/>
        <v>-715341.08333333337</v>
      </c>
      <c r="O112" s="679">
        <f t="shared" si="100"/>
        <v>-705333.33333333337</v>
      </c>
      <c r="P112" s="565">
        <f>Breakout!$K$16/12</f>
        <v>3665988.6712714122</v>
      </c>
      <c r="Q112" s="557">
        <f>'wholesale services'!$D$110*'wholesale services'!$L$111/12</f>
        <v>3250582.4999999995</v>
      </c>
      <c r="R112" s="557">
        <v>3320487.5</v>
      </c>
      <c r="S112" s="565">
        <f>Breakout!$K$27/12</f>
        <v>129882.43963258034</v>
      </c>
      <c r="T112" s="557">
        <f>'wholesale services'!$D$113*'wholesale services'!$L$114/12</f>
        <v>167253.68156274385</v>
      </c>
      <c r="U112" s="557">
        <v>170667.02200279987</v>
      </c>
      <c r="V112" s="565">
        <f>Breakout!$K$38/12</f>
        <v>65378.240138068744</v>
      </c>
      <c r="W112" s="496">
        <f>Breakout!$K$39/12</f>
        <v>73434.661618040132</v>
      </c>
      <c r="X112" s="496">
        <v>74224.281635438412</v>
      </c>
      <c r="Y112" s="565">
        <f>Breakout!$K$49/12</f>
        <v>475565.51415940124</v>
      </c>
      <c r="Z112" s="566">
        <f>Breakout!$K$50/12</f>
        <v>451454.44507245923</v>
      </c>
      <c r="AA112" s="566">
        <v>474221.52040821657</v>
      </c>
      <c r="AB112" s="565">
        <f>Breakout!$K$60/12</f>
        <v>437556.31461701012</v>
      </c>
      <c r="AC112" s="566">
        <f>Breakout!$K$61/12</f>
        <v>447260.58918887918</v>
      </c>
      <c r="AD112" s="566">
        <v>461206.35366247449</v>
      </c>
      <c r="AE112" s="565">
        <f>Breakout!$K$71/12</f>
        <v>331982.31263093493</v>
      </c>
      <c r="AF112" s="566">
        <f>Breakout!$K$72/12</f>
        <v>316520.66666666669</v>
      </c>
      <c r="AG112" s="566">
        <v>316520.66666666669</v>
      </c>
      <c r="AH112" s="565">
        <f>Breakout!$K$82/12</f>
        <v>21851.016088926714</v>
      </c>
      <c r="AI112" s="566">
        <f>Breakout!$K$83/12</f>
        <v>0</v>
      </c>
      <c r="AJ112" s="566">
        <v>0</v>
      </c>
      <c r="AK112" s="571">
        <f>Breakout!$K$91/12</f>
        <v>293803.38330167538</v>
      </c>
      <c r="AL112" s="571">
        <v>293803.38330167538</v>
      </c>
      <c r="AM112" s="567">
        <f>(Breakout!$K$107/12)*-1</f>
        <v>55221.25</v>
      </c>
      <c r="AN112" s="567">
        <v>55221.25</v>
      </c>
      <c r="AO112" s="578">
        <f t="shared" si="120"/>
        <v>5128204.5085383337</v>
      </c>
      <c r="AP112" s="578">
        <f t="shared" si="121"/>
        <v>5092244.0172198163</v>
      </c>
      <c r="AQ112" s="548">
        <f t="shared" si="122"/>
        <v>313181.48745195783</v>
      </c>
      <c r="AR112" s="496"/>
      <c r="AS112" s="553">
        <f t="shared" si="123"/>
        <v>175666.69794311235</v>
      </c>
      <c r="AT112" s="496"/>
      <c r="AU112" s="557">
        <f>'wholesale services'!$L$110/12</f>
        <v>39106610.706018515</v>
      </c>
      <c r="AV112" s="557">
        <f>'wholesale services'!$L$113/12</f>
        <v>17613.255833333333</v>
      </c>
      <c r="AW112" s="496"/>
      <c r="AX112" s="552">
        <f t="shared" si="124"/>
        <v>-715341.08333333337</v>
      </c>
      <c r="AY112" s="381">
        <f t="shared" si="125"/>
        <v>-705333.33333333337</v>
      </c>
      <c r="AZ112" s="496"/>
      <c r="BA112" s="438">
        <f t="shared" si="126"/>
        <v>643888.91977929638</v>
      </c>
      <c r="BB112" s="438">
        <f t="shared" si="127"/>
        <v>-25345.834113959099</v>
      </c>
      <c r="BC112" s="438">
        <f t="shared" si="128"/>
        <v>-8056.4214799713882</v>
      </c>
      <c r="BD112" s="438">
        <f t="shared" si="101"/>
        <v>24111.069086942007</v>
      </c>
      <c r="BE112" s="438">
        <f t="shared" si="102"/>
        <v>-9704.2745718690567</v>
      </c>
      <c r="BF112" s="438">
        <f t="shared" si="103"/>
        <v>15461.645964268246</v>
      </c>
      <c r="BG112" s="438">
        <f t="shared" si="104"/>
        <v>21851.016088926714</v>
      </c>
      <c r="BH112" s="438">
        <f t="shared" si="105"/>
        <v>-293803.38330167538</v>
      </c>
      <c r="BI112" s="438">
        <f t="shared" si="106"/>
        <v>-55221.25</v>
      </c>
      <c r="BL112" s="438">
        <f t="shared" si="129"/>
        <v>798010.45034099964</v>
      </c>
      <c r="BM112" s="438">
        <f t="shared" si="130"/>
        <v>-19885.457068571537</v>
      </c>
      <c r="BN112" s="438">
        <f t="shared" si="131"/>
        <v>-5307.8602215932478</v>
      </c>
      <c r="BO112" s="438">
        <f t="shared" si="132"/>
        <v>44104.28005864704</v>
      </c>
      <c r="BP112" s="438">
        <f t="shared" si="133"/>
        <v>8690.9947436589282</v>
      </c>
      <c r="BQ112" s="438">
        <f t="shared" si="134"/>
        <v>29418.487277787295</v>
      </c>
      <c r="BR112" s="438">
        <f t="shared" si="135"/>
        <v>22769.652873143994</v>
      </c>
      <c r="BS112" s="438">
        <f t="shared" si="107"/>
        <v>-293803.38330167538</v>
      </c>
      <c r="BT112" s="438">
        <f t="shared" si="108"/>
        <v>-55221.25</v>
      </c>
      <c r="BW112" s="565">
        <f>Breakout!$K$15/12</f>
        <v>3820110.2018331154</v>
      </c>
      <c r="BX112" s="565">
        <f>Breakout!$K$26/12</f>
        <v>135342.8166779679</v>
      </c>
      <c r="BY112" s="565">
        <f>Breakout!$K$37/12</f>
        <v>68126.801396446885</v>
      </c>
      <c r="BZ112" s="565">
        <f>Breakout!$K$48/12</f>
        <v>495558.72513110627</v>
      </c>
      <c r="CA112" s="565">
        <f>Breakout!$K$59/12</f>
        <v>455951.58393253811</v>
      </c>
      <c r="CB112" s="565">
        <f>Breakout!$K$70/12</f>
        <v>345939.15394445398</v>
      </c>
      <c r="CC112" s="565">
        <f>Breakout!$K$81/12</f>
        <v>22769.652873143994</v>
      </c>
      <c r="CE112" s="634">
        <f t="shared" si="90"/>
        <v>3818738.1992410547</v>
      </c>
      <c r="CF112" s="634">
        <f t="shared" si="91"/>
        <v>135294.20795060453</v>
      </c>
      <c r="CG112" s="634">
        <f t="shared" si="92"/>
        <v>68102.333477154942</v>
      </c>
      <c r="CI112" s="634">
        <f t="shared" si="93"/>
        <v>-715341.08333333337</v>
      </c>
      <c r="CJ112" s="634">
        <f t="shared" si="94"/>
        <v>-705333.33333333337</v>
      </c>
      <c r="CL112" s="438">
        <f>'account mgt'!$K$23/12</f>
        <v>-57704.224514361587</v>
      </c>
      <c r="CN112" s="438">
        <v>0</v>
      </c>
      <c r="CT112" s="438">
        <f t="shared" si="111"/>
        <v>0</v>
      </c>
      <c r="CU112" s="438">
        <f t="shared" si="112"/>
        <v>0</v>
      </c>
      <c r="CV112" s="438">
        <f>IF(CT112&lt;0.1,0,PPMT($L$3,A112-14,unwinds!$B$8*12,$K$5))</f>
        <v>0</v>
      </c>
      <c r="CW112" s="438">
        <f t="shared" si="109"/>
        <v>0</v>
      </c>
      <c r="CX112" s="438">
        <f t="shared" si="110"/>
        <v>0</v>
      </c>
      <c r="DA112" s="438">
        <f t="shared" si="116"/>
        <v>9132399.0431202911</v>
      </c>
      <c r="DB112" s="438">
        <f t="shared" si="117"/>
        <v>72069.84911529097</v>
      </c>
      <c r="DC112" s="438">
        <f t="shared" si="118"/>
        <v>423328.22255632421</v>
      </c>
      <c r="DD112" s="438">
        <f t="shared" si="119"/>
        <v>8709070.8205639664</v>
      </c>
      <c r="DE112" s="438">
        <f t="shared" si="113"/>
        <v>8709070.8205639664</v>
      </c>
      <c r="DH112" s="944">
        <v>-715341.08333333337</v>
      </c>
      <c r="DI112" s="944">
        <v>-705333.33333333337</v>
      </c>
      <c r="DJ112" s="944"/>
      <c r="DL112" s="381">
        <f t="shared" si="115"/>
        <v>474832.92700924521</v>
      </c>
      <c r="DN112" s="944">
        <f t="shared" si="95"/>
        <v>-715341.08333333337</v>
      </c>
      <c r="DO112" s="944">
        <f t="shared" si="96"/>
        <v>474832.92700924521</v>
      </c>
      <c r="DQ112" s="438">
        <f t="shared" si="97"/>
        <v>569527.70183311589</v>
      </c>
      <c r="DR112" s="438">
        <f t="shared" si="98"/>
        <v>-31910.864884775947</v>
      </c>
      <c r="DS112" s="438"/>
      <c r="DT112" s="438"/>
      <c r="DU112" s="438"/>
      <c r="DV112" s="438"/>
      <c r="DW112" s="438"/>
      <c r="DX112" s="438"/>
    </row>
    <row r="113" spans="1:128" x14ac:dyDescent="0.2">
      <c r="A113" s="383">
        <v>102</v>
      </c>
      <c r="B113" s="631">
        <v>39600</v>
      </c>
      <c r="C113" s="381">
        <v>0</v>
      </c>
      <c r="D113" s="381">
        <v>0</v>
      </c>
      <c r="E113" s="381">
        <v>0</v>
      </c>
      <c r="F113" s="381">
        <v>68190.943694959031</v>
      </c>
      <c r="G113" s="381">
        <v>423328.22255632444</v>
      </c>
      <c r="H113" s="381">
        <v>0</v>
      </c>
      <c r="I113" s="381">
        <v>491519.16625128349</v>
      </c>
      <c r="J113" s="381"/>
      <c r="K113" s="381"/>
      <c r="L113" s="381">
        <f t="shared" si="114"/>
        <v>491519.16625128326</v>
      </c>
      <c r="M113" s="381"/>
      <c r="N113" s="679">
        <f t="shared" si="99"/>
        <v>-715341.08333333337</v>
      </c>
      <c r="O113" s="679">
        <f t="shared" si="100"/>
        <v>-705333.33333333337</v>
      </c>
      <c r="P113" s="565">
        <f>Breakout!$K$16/12</f>
        <v>3665988.6712714122</v>
      </c>
      <c r="Q113" s="557">
        <f>'wholesale services'!$D$110*'wholesale services'!$L$111/12</f>
        <v>3250582.4999999995</v>
      </c>
      <c r="R113" s="557">
        <v>3320487.5</v>
      </c>
      <c r="S113" s="565">
        <f>Breakout!$K$27/12</f>
        <v>129882.43963258034</v>
      </c>
      <c r="T113" s="557">
        <f>'wholesale services'!$D$113*'wholesale services'!$L$114/12</f>
        <v>167253.68156274385</v>
      </c>
      <c r="U113" s="557">
        <v>170667.02200279987</v>
      </c>
      <c r="V113" s="565">
        <f>Breakout!$K$38/12</f>
        <v>65378.240138068744</v>
      </c>
      <c r="W113" s="496">
        <f>Breakout!$K$39/12</f>
        <v>73434.661618040132</v>
      </c>
      <c r="X113" s="496">
        <v>74224.281635438412</v>
      </c>
      <c r="Y113" s="565">
        <f>Breakout!$K$49/12</f>
        <v>475565.51415940124</v>
      </c>
      <c r="Z113" s="566">
        <f>Breakout!$K$50/12</f>
        <v>451454.44507245923</v>
      </c>
      <c r="AA113" s="566">
        <v>474221.52040821657</v>
      </c>
      <c r="AB113" s="565">
        <f>Breakout!$K$60/12</f>
        <v>437556.31461701012</v>
      </c>
      <c r="AC113" s="566">
        <f>Breakout!$K$61/12</f>
        <v>447260.58918887918</v>
      </c>
      <c r="AD113" s="566">
        <v>461206.35366247449</v>
      </c>
      <c r="AE113" s="565">
        <f>Breakout!$K$71/12</f>
        <v>331982.31263093493</v>
      </c>
      <c r="AF113" s="566">
        <f>Breakout!$K$72/12</f>
        <v>316520.66666666669</v>
      </c>
      <c r="AG113" s="566">
        <v>316520.66666666669</v>
      </c>
      <c r="AH113" s="565">
        <f>Breakout!$K$82/12</f>
        <v>21851.016088926714</v>
      </c>
      <c r="AI113" s="566">
        <f>Breakout!$K$83/12</f>
        <v>0</v>
      </c>
      <c r="AJ113" s="566">
        <v>0</v>
      </c>
      <c r="AK113" s="571">
        <f>Breakout!$K$91/12</f>
        <v>293803.38330167538</v>
      </c>
      <c r="AL113" s="571">
        <v>293803.38330167538</v>
      </c>
      <c r="AM113" s="567">
        <f>(Breakout!$K$107/12)*-1</f>
        <v>55221.25</v>
      </c>
      <c r="AN113" s="567">
        <v>55221.25</v>
      </c>
      <c r="AO113" s="578">
        <f t="shared" si="120"/>
        <v>5128204.5085383337</v>
      </c>
      <c r="AP113" s="578">
        <f t="shared" si="121"/>
        <v>5092244.0172198163</v>
      </c>
      <c r="AQ113" s="548">
        <f t="shared" si="122"/>
        <v>313181.48745195783</v>
      </c>
      <c r="AR113" s="496"/>
      <c r="AS113" s="553">
        <f t="shared" si="123"/>
        <v>175666.69794311235</v>
      </c>
      <c r="AT113" s="496"/>
      <c r="AU113" s="557">
        <f>'wholesale services'!$L$110/12</f>
        <v>39106610.706018515</v>
      </c>
      <c r="AV113" s="557">
        <f>'wholesale services'!$L$113/12</f>
        <v>17613.255833333333</v>
      </c>
      <c r="AW113" s="496"/>
      <c r="AX113" s="552">
        <f t="shared" si="124"/>
        <v>-715341.08333333337</v>
      </c>
      <c r="AY113" s="381">
        <f t="shared" si="125"/>
        <v>-705333.33333333337</v>
      </c>
      <c r="AZ113" s="496"/>
      <c r="BA113" s="438">
        <f t="shared" si="126"/>
        <v>643888.91977929638</v>
      </c>
      <c r="BB113" s="438">
        <f t="shared" si="127"/>
        <v>-25345.834113959099</v>
      </c>
      <c r="BC113" s="438">
        <f t="shared" si="128"/>
        <v>-8056.4214799713882</v>
      </c>
      <c r="BD113" s="438">
        <f t="shared" si="101"/>
        <v>24111.069086942007</v>
      </c>
      <c r="BE113" s="438">
        <f t="shared" si="102"/>
        <v>-9704.2745718690567</v>
      </c>
      <c r="BF113" s="438">
        <f t="shared" si="103"/>
        <v>15461.645964268246</v>
      </c>
      <c r="BG113" s="438">
        <f t="shared" si="104"/>
        <v>21851.016088926714</v>
      </c>
      <c r="BH113" s="438">
        <f t="shared" si="105"/>
        <v>-293803.38330167538</v>
      </c>
      <c r="BI113" s="438">
        <f t="shared" si="106"/>
        <v>-55221.25</v>
      </c>
      <c r="BL113" s="438">
        <f t="shared" si="129"/>
        <v>798010.45034099964</v>
      </c>
      <c r="BM113" s="438">
        <f t="shared" si="130"/>
        <v>-19885.457068571537</v>
      </c>
      <c r="BN113" s="438">
        <f t="shared" si="131"/>
        <v>-5307.8602215932478</v>
      </c>
      <c r="BO113" s="438">
        <f t="shared" si="132"/>
        <v>44104.28005864704</v>
      </c>
      <c r="BP113" s="438">
        <f t="shared" si="133"/>
        <v>8690.9947436589282</v>
      </c>
      <c r="BQ113" s="438">
        <f t="shared" si="134"/>
        <v>29418.487277787295</v>
      </c>
      <c r="BR113" s="438">
        <f t="shared" si="135"/>
        <v>22769.652873143994</v>
      </c>
      <c r="BS113" s="438">
        <f t="shared" si="107"/>
        <v>-293803.38330167538</v>
      </c>
      <c r="BT113" s="438">
        <f t="shared" si="108"/>
        <v>-55221.25</v>
      </c>
      <c r="BW113" s="565">
        <f>Breakout!$K$15/12</f>
        <v>3820110.2018331154</v>
      </c>
      <c r="BX113" s="565">
        <f>Breakout!$K$26/12</f>
        <v>135342.8166779679</v>
      </c>
      <c r="BY113" s="565">
        <f>Breakout!$K$37/12</f>
        <v>68126.801396446885</v>
      </c>
      <c r="BZ113" s="565">
        <f>Breakout!$K$48/12</f>
        <v>495558.72513110627</v>
      </c>
      <c r="CA113" s="565">
        <f>Breakout!$K$59/12</f>
        <v>455951.58393253811</v>
      </c>
      <c r="CB113" s="565">
        <f>Breakout!$K$70/12</f>
        <v>345939.15394445398</v>
      </c>
      <c r="CC113" s="565">
        <f>Breakout!$K$81/12</f>
        <v>22769.652873143994</v>
      </c>
      <c r="CE113" s="634">
        <f t="shared" si="90"/>
        <v>3818738.1992410547</v>
      </c>
      <c r="CF113" s="634">
        <f t="shared" si="91"/>
        <v>135294.20795060453</v>
      </c>
      <c r="CG113" s="634">
        <f t="shared" si="92"/>
        <v>68102.333477154942</v>
      </c>
      <c r="CI113" s="634">
        <f t="shared" si="93"/>
        <v>-715341.08333333337</v>
      </c>
      <c r="CJ113" s="634">
        <f t="shared" si="94"/>
        <v>-705333.33333333337</v>
      </c>
      <c r="CL113" s="438">
        <f>'account mgt'!$K$23/12</f>
        <v>-57704.224514361587</v>
      </c>
      <c r="CN113" s="438">
        <v>0</v>
      </c>
      <c r="CT113" s="438">
        <f t="shared" si="111"/>
        <v>0</v>
      </c>
      <c r="CU113" s="438">
        <f t="shared" si="112"/>
        <v>0</v>
      </c>
      <c r="CV113" s="438">
        <f>IF(CT113&lt;0.1,0,PPMT($L$3,A113-14,unwinds!$B$8*12,$K$5))</f>
        <v>0</v>
      </c>
      <c r="CW113" s="438">
        <f t="shared" si="109"/>
        <v>0</v>
      </c>
      <c r="CX113" s="438">
        <f t="shared" si="110"/>
        <v>0</v>
      </c>
      <c r="DA113" s="438">
        <f t="shared" si="116"/>
        <v>8709070.8205639664</v>
      </c>
      <c r="DB113" s="438">
        <f t="shared" si="117"/>
        <v>68729.083892283961</v>
      </c>
      <c r="DC113" s="438">
        <f t="shared" si="118"/>
        <v>426668.98777933104</v>
      </c>
      <c r="DD113" s="438">
        <f t="shared" si="119"/>
        <v>8282401.832784635</v>
      </c>
      <c r="DE113" s="438">
        <f t="shared" si="113"/>
        <v>8282401.832784635</v>
      </c>
      <c r="DH113" s="944">
        <v>-715341.08333333337</v>
      </c>
      <c r="DI113" s="944">
        <v>-705333.33333333337</v>
      </c>
      <c r="DJ113" s="944"/>
      <c r="DL113" s="381">
        <f t="shared" si="115"/>
        <v>474832.92700924521</v>
      </c>
      <c r="DN113" s="944">
        <f t="shared" si="95"/>
        <v>-715341.08333333337</v>
      </c>
      <c r="DO113" s="944">
        <f t="shared" si="96"/>
        <v>474832.92700924521</v>
      </c>
      <c r="DQ113" s="438">
        <f t="shared" si="97"/>
        <v>569527.70183311589</v>
      </c>
      <c r="DR113" s="438">
        <f t="shared" si="98"/>
        <v>-31910.864884775947</v>
      </c>
      <c r="DS113" s="438"/>
      <c r="DT113" s="438"/>
      <c r="DU113" s="438"/>
      <c r="DV113" s="438"/>
      <c r="DW113" s="438"/>
      <c r="DX113" s="438"/>
    </row>
    <row r="114" spans="1:128" x14ac:dyDescent="0.2">
      <c r="A114" s="383">
        <v>103</v>
      </c>
      <c r="B114" s="631">
        <v>39630</v>
      </c>
      <c r="C114" s="381">
        <v>0</v>
      </c>
      <c r="D114" s="381">
        <v>0</v>
      </c>
      <c r="E114" s="381">
        <v>0</v>
      </c>
      <c r="F114" s="381">
        <v>64850.178471952</v>
      </c>
      <c r="G114" s="381">
        <v>426668.98777933151</v>
      </c>
      <c r="H114" s="381">
        <v>0</v>
      </c>
      <c r="I114" s="381">
        <v>491519.16625128349</v>
      </c>
      <c r="J114" s="381"/>
      <c r="K114" s="381"/>
      <c r="L114" s="381">
        <f t="shared" si="114"/>
        <v>491519.16625128326</v>
      </c>
      <c r="M114" s="381"/>
      <c r="N114" s="679">
        <f t="shared" si="99"/>
        <v>-715341.08333333337</v>
      </c>
      <c r="O114" s="679">
        <f t="shared" si="100"/>
        <v>-705333.33333333337</v>
      </c>
      <c r="P114" s="565">
        <f>Breakout!$K$16/12</f>
        <v>3665988.6712714122</v>
      </c>
      <c r="Q114" s="557">
        <f>'wholesale services'!$D$110*'wholesale services'!$L$111/12</f>
        <v>3250582.4999999995</v>
      </c>
      <c r="R114" s="557">
        <v>3320487.5</v>
      </c>
      <c r="S114" s="565">
        <f>Breakout!$K$27/12</f>
        <v>129882.43963258034</v>
      </c>
      <c r="T114" s="557">
        <f>'wholesale services'!$D$113*'wholesale services'!$L$114/12</f>
        <v>167253.68156274385</v>
      </c>
      <c r="U114" s="557">
        <v>170667.02200279987</v>
      </c>
      <c r="V114" s="565">
        <f>Breakout!$K$38/12</f>
        <v>65378.240138068744</v>
      </c>
      <c r="W114" s="496">
        <f>Breakout!$K$39/12</f>
        <v>73434.661618040132</v>
      </c>
      <c r="X114" s="496">
        <v>74224.281635438412</v>
      </c>
      <c r="Y114" s="565">
        <f>Breakout!$K$49/12</f>
        <v>475565.51415940124</v>
      </c>
      <c r="Z114" s="566">
        <f>Breakout!$K$50/12</f>
        <v>451454.44507245923</v>
      </c>
      <c r="AA114" s="566">
        <v>474221.52040821657</v>
      </c>
      <c r="AB114" s="565">
        <f>Breakout!$K$60/12</f>
        <v>437556.31461701012</v>
      </c>
      <c r="AC114" s="566">
        <f>Breakout!$K$61/12</f>
        <v>447260.58918887918</v>
      </c>
      <c r="AD114" s="566">
        <v>461206.35366247449</v>
      </c>
      <c r="AE114" s="565">
        <f>Breakout!$K$71/12</f>
        <v>331982.31263093493</v>
      </c>
      <c r="AF114" s="566">
        <f>Breakout!$K$72/12</f>
        <v>316520.66666666669</v>
      </c>
      <c r="AG114" s="566">
        <v>316520.66666666669</v>
      </c>
      <c r="AH114" s="565">
        <f>Breakout!$K$82/12</f>
        <v>21851.016088926714</v>
      </c>
      <c r="AI114" s="566">
        <f>Breakout!$K$83/12</f>
        <v>0</v>
      </c>
      <c r="AJ114" s="566">
        <v>0</v>
      </c>
      <c r="AK114" s="571">
        <f>Breakout!$K$91/12</f>
        <v>293803.38330167538</v>
      </c>
      <c r="AL114" s="571">
        <v>293803.38330167538</v>
      </c>
      <c r="AM114" s="567">
        <f>(Breakout!$K$107/12)*-1</f>
        <v>55221.25</v>
      </c>
      <c r="AN114" s="567">
        <v>55221.25</v>
      </c>
      <c r="AO114" s="578">
        <f t="shared" si="120"/>
        <v>5128204.5085383337</v>
      </c>
      <c r="AP114" s="578">
        <f t="shared" si="121"/>
        <v>5092244.0172198163</v>
      </c>
      <c r="AQ114" s="548">
        <f t="shared" si="122"/>
        <v>313181.48745195783</v>
      </c>
      <c r="AR114" s="496"/>
      <c r="AS114" s="553">
        <f t="shared" si="123"/>
        <v>175666.69794311235</v>
      </c>
      <c r="AT114" s="496"/>
      <c r="AU114" s="557">
        <f>'wholesale services'!$L$110/12</f>
        <v>39106610.706018515</v>
      </c>
      <c r="AV114" s="557">
        <f>'wholesale services'!$L$113/12</f>
        <v>17613.255833333333</v>
      </c>
      <c r="AW114" s="496"/>
      <c r="AX114" s="552">
        <f t="shared" si="124"/>
        <v>-715341.08333333337</v>
      </c>
      <c r="AY114" s="381">
        <f t="shared" si="125"/>
        <v>-705333.33333333337</v>
      </c>
      <c r="AZ114" s="496"/>
      <c r="BA114" s="438">
        <f t="shared" si="126"/>
        <v>643888.91977929638</v>
      </c>
      <c r="BB114" s="438">
        <f t="shared" si="127"/>
        <v>-25345.834113959099</v>
      </c>
      <c r="BC114" s="438">
        <f t="shared" si="128"/>
        <v>-8056.4214799713882</v>
      </c>
      <c r="BD114" s="438">
        <f t="shared" si="101"/>
        <v>24111.069086942007</v>
      </c>
      <c r="BE114" s="438">
        <f t="shared" si="102"/>
        <v>-9704.2745718690567</v>
      </c>
      <c r="BF114" s="438">
        <f t="shared" si="103"/>
        <v>15461.645964268246</v>
      </c>
      <c r="BG114" s="438">
        <f t="shared" si="104"/>
        <v>21851.016088926714</v>
      </c>
      <c r="BH114" s="438">
        <f t="shared" si="105"/>
        <v>-293803.38330167538</v>
      </c>
      <c r="BI114" s="438">
        <f t="shared" si="106"/>
        <v>-55221.25</v>
      </c>
      <c r="BL114" s="438">
        <f t="shared" si="129"/>
        <v>798010.45034099964</v>
      </c>
      <c r="BM114" s="438">
        <f t="shared" si="130"/>
        <v>-19885.457068571537</v>
      </c>
      <c r="BN114" s="438">
        <f t="shared" si="131"/>
        <v>-5307.8602215932478</v>
      </c>
      <c r="BO114" s="438">
        <f t="shared" si="132"/>
        <v>44104.28005864704</v>
      </c>
      <c r="BP114" s="438">
        <f t="shared" si="133"/>
        <v>8690.9947436589282</v>
      </c>
      <c r="BQ114" s="438">
        <f t="shared" si="134"/>
        <v>29418.487277787295</v>
      </c>
      <c r="BR114" s="438">
        <f t="shared" si="135"/>
        <v>22769.652873143994</v>
      </c>
      <c r="BS114" s="438">
        <f t="shared" si="107"/>
        <v>-293803.38330167538</v>
      </c>
      <c r="BT114" s="438">
        <f t="shared" si="108"/>
        <v>-55221.25</v>
      </c>
      <c r="BW114" s="565">
        <f>Breakout!$K$15/12</f>
        <v>3820110.2018331154</v>
      </c>
      <c r="BX114" s="565">
        <f>Breakout!$K$26/12</f>
        <v>135342.8166779679</v>
      </c>
      <c r="BY114" s="565">
        <f>Breakout!$K$37/12</f>
        <v>68126.801396446885</v>
      </c>
      <c r="BZ114" s="565">
        <f>Breakout!$K$48/12</f>
        <v>495558.72513110627</v>
      </c>
      <c r="CA114" s="565">
        <f>Breakout!$K$59/12</f>
        <v>455951.58393253811</v>
      </c>
      <c r="CB114" s="565">
        <f>Breakout!$K$70/12</f>
        <v>345939.15394445398</v>
      </c>
      <c r="CC114" s="565">
        <f>Breakout!$K$81/12</f>
        <v>22769.652873143994</v>
      </c>
      <c r="CE114" s="634">
        <f t="shared" si="90"/>
        <v>3818738.1992410547</v>
      </c>
      <c r="CF114" s="634">
        <f t="shared" si="91"/>
        <v>135294.20795060453</v>
      </c>
      <c r="CG114" s="634">
        <f t="shared" si="92"/>
        <v>68102.333477154942</v>
      </c>
      <c r="CI114" s="634">
        <f t="shared" si="93"/>
        <v>-715341.08333333337</v>
      </c>
      <c r="CJ114" s="634">
        <f t="shared" si="94"/>
        <v>-705333.33333333337</v>
      </c>
      <c r="CL114" s="438">
        <f>'account mgt'!$K$23/12</f>
        <v>-57704.224514361587</v>
      </c>
      <c r="CN114" s="438">
        <v>0</v>
      </c>
      <c r="CT114" s="438">
        <f t="shared" si="111"/>
        <v>0</v>
      </c>
      <c r="CU114" s="438">
        <f t="shared" si="112"/>
        <v>0</v>
      </c>
      <c r="CV114" s="438">
        <f>IF(CT114&lt;0.1,0,PPMT($L$3,A114-14,unwinds!$B$8*12,$K$5))</f>
        <v>0</v>
      </c>
      <c r="CW114" s="438">
        <f t="shared" si="109"/>
        <v>0</v>
      </c>
      <c r="CX114" s="438">
        <f t="shared" si="110"/>
        <v>0</v>
      </c>
      <c r="DA114" s="438">
        <f t="shared" si="116"/>
        <v>8282401.832784635</v>
      </c>
      <c r="DB114" s="438">
        <f t="shared" si="117"/>
        <v>65361.954463725408</v>
      </c>
      <c r="DC114" s="438">
        <f t="shared" si="118"/>
        <v>430036.11720788962</v>
      </c>
      <c r="DD114" s="438">
        <f t="shared" si="119"/>
        <v>7852365.7155767456</v>
      </c>
      <c r="DE114" s="438">
        <f t="shared" si="113"/>
        <v>7852365.7155767456</v>
      </c>
      <c r="DH114" s="944">
        <v>-715341.08333333337</v>
      </c>
      <c r="DI114" s="944">
        <v>-705333.33333333337</v>
      </c>
      <c r="DJ114" s="944"/>
      <c r="DL114" s="381">
        <f t="shared" si="115"/>
        <v>474832.92700924521</v>
      </c>
      <c r="DN114" s="944">
        <f t="shared" si="95"/>
        <v>-715341.08333333337</v>
      </c>
      <c r="DO114" s="944">
        <f t="shared" si="96"/>
        <v>474832.92700924521</v>
      </c>
      <c r="DQ114" s="438">
        <f t="shared" si="97"/>
        <v>569527.70183311589</v>
      </c>
      <c r="DR114" s="438">
        <f t="shared" si="98"/>
        <v>-31910.864884775947</v>
      </c>
      <c r="DS114" s="438"/>
      <c r="DT114" s="438"/>
      <c r="DU114" s="438"/>
      <c r="DV114" s="438"/>
      <c r="DW114" s="438"/>
      <c r="DX114" s="438"/>
    </row>
    <row r="115" spans="1:128" x14ac:dyDescent="0.2">
      <c r="A115" s="383">
        <v>104</v>
      </c>
      <c r="B115" s="631">
        <v>39661</v>
      </c>
      <c r="C115" s="381">
        <v>0</v>
      </c>
      <c r="D115" s="381">
        <v>0</v>
      </c>
      <c r="E115" s="381">
        <v>0</v>
      </c>
      <c r="F115" s="381">
        <v>61483.049043393476</v>
      </c>
      <c r="G115" s="381">
        <v>430036.11720789003</v>
      </c>
      <c r="H115" s="381">
        <v>0</v>
      </c>
      <c r="I115" s="381">
        <v>491519.16625128349</v>
      </c>
      <c r="J115" s="381"/>
      <c r="K115" s="381"/>
      <c r="L115" s="381">
        <f t="shared" si="114"/>
        <v>491519.16625128326</v>
      </c>
      <c r="M115" s="381"/>
      <c r="N115" s="679">
        <f t="shared" si="99"/>
        <v>-715341.08333333337</v>
      </c>
      <c r="O115" s="679">
        <f t="shared" si="100"/>
        <v>-705333.33333333337</v>
      </c>
      <c r="P115" s="565">
        <f>Breakout!$K$16/12</f>
        <v>3665988.6712714122</v>
      </c>
      <c r="Q115" s="557">
        <f>'wholesale services'!$D$110*'wholesale services'!$L$111/12</f>
        <v>3250582.4999999995</v>
      </c>
      <c r="R115" s="557">
        <v>3320487.5</v>
      </c>
      <c r="S115" s="565">
        <f>Breakout!$K$27/12</f>
        <v>129882.43963258034</v>
      </c>
      <c r="T115" s="557">
        <f>'wholesale services'!$D$113*'wholesale services'!$L$114/12</f>
        <v>167253.68156274385</v>
      </c>
      <c r="U115" s="557">
        <v>170667.02200279987</v>
      </c>
      <c r="V115" s="565">
        <f>Breakout!$K$38/12</f>
        <v>65378.240138068744</v>
      </c>
      <c r="W115" s="496">
        <f>Breakout!$K$39/12</f>
        <v>73434.661618040132</v>
      </c>
      <c r="X115" s="496">
        <v>74224.281635438412</v>
      </c>
      <c r="Y115" s="565">
        <f>Breakout!$K$49/12</f>
        <v>475565.51415940124</v>
      </c>
      <c r="Z115" s="566">
        <f>Breakout!$K$50/12</f>
        <v>451454.44507245923</v>
      </c>
      <c r="AA115" s="566">
        <v>474221.52040821657</v>
      </c>
      <c r="AB115" s="565">
        <f>Breakout!$K$60/12</f>
        <v>437556.31461701012</v>
      </c>
      <c r="AC115" s="566">
        <f>Breakout!$K$61/12</f>
        <v>447260.58918887918</v>
      </c>
      <c r="AD115" s="566">
        <v>461206.35366247449</v>
      </c>
      <c r="AE115" s="565">
        <f>Breakout!$K$71/12</f>
        <v>331982.31263093493</v>
      </c>
      <c r="AF115" s="566">
        <f>Breakout!$K$72/12</f>
        <v>316520.66666666669</v>
      </c>
      <c r="AG115" s="566">
        <v>316520.66666666669</v>
      </c>
      <c r="AH115" s="565">
        <f>Breakout!$K$82/12</f>
        <v>21851.016088926714</v>
      </c>
      <c r="AI115" s="566">
        <f>Breakout!$K$83/12</f>
        <v>0</v>
      </c>
      <c r="AJ115" s="566">
        <v>0</v>
      </c>
      <c r="AK115" s="571">
        <f>Breakout!$K$91/12</f>
        <v>293803.38330167538</v>
      </c>
      <c r="AL115" s="571">
        <v>293803.38330167538</v>
      </c>
      <c r="AM115" s="567">
        <f>(Breakout!$K$107/12)*-1</f>
        <v>55221.25</v>
      </c>
      <c r="AN115" s="567">
        <v>55221.25</v>
      </c>
      <c r="AO115" s="578">
        <f t="shared" si="120"/>
        <v>5128204.5085383337</v>
      </c>
      <c r="AP115" s="578">
        <f t="shared" si="121"/>
        <v>5092244.0172198163</v>
      </c>
      <c r="AQ115" s="548">
        <f t="shared" si="122"/>
        <v>313181.48745195783</v>
      </c>
      <c r="AR115" s="496"/>
      <c r="AS115" s="553">
        <f t="shared" si="123"/>
        <v>175666.69794311235</v>
      </c>
      <c r="AT115" s="496"/>
      <c r="AU115" s="557">
        <f>'wholesale services'!$L$110/12</f>
        <v>39106610.706018515</v>
      </c>
      <c r="AV115" s="557">
        <f>'wholesale services'!$L$113/12</f>
        <v>17613.255833333333</v>
      </c>
      <c r="AW115" s="496"/>
      <c r="AX115" s="552">
        <f t="shared" si="124"/>
        <v>-715341.08333333337</v>
      </c>
      <c r="AY115" s="381">
        <f t="shared" si="125"/>
        <v>-705333.33333333337</v>
      </c>
      <c r="AZ115" s="496"/>
      <c r="BA115" s="438">
        <f t="shared" si="126"/>
        <v>643888.91977929638</v>
      </c>
      <c r="BB115" s="438">
        <f t="shared" si="127"/>
        <v>-25345.834113959099</v>
      </c>
      <c r="BC115" s="438">
        <f t="shared" si="128"/>
        <v>-8056.4214799713882</v>
      </c>
      <c r="BD115" s="438">
        <f t="shared" si="101"/>
        <v>24111.069086942007</v>
      </c>
      <c r="BE115" s="438">
        <f t="shared" si="102"/>
        <v>-9704.2745718690567</v>
      </c>
      <c r="BF115" s="438">
        <f t="shared" si="103"/>
        <v>15461.645964268246</v>
      </c>
      <c r="BG115" s="438">
        <f t="shared" si="104"/>
        <v>21851.016088926714</v>
      </c>
      <c r="BH115" s="438">
        <f t="shared" si="105"/>
        <v>-293803.38330167538</v>
      </c>
      <c r="BI115" s="438">
        <f t="shared" si="106"/>
        <v>-55221.25</v>
      </c>
      <c r="BL115" s="438">
        <f t="shared" si="129"/>
        <v>798010.45034099964</v>
      </c>
      <c r="BM115" s="438">
        <f t="shared" si="130"/>
        <v>-19885.457068571537</v>
      </c>
      <c r="BN115" s="438">
        <f t="shared" si="131"/>
        <v>-5307.8602215932478</v>
      </c>
      <c r="BO115" s="438">
        <f t="shared" si="132"/>
        <v>44104.28005864704</v>
      </c>
      <c r="BP115" s="438">
        <f t="shared" si="133"/>
        <v>8690.9947436589282</v>
      </c>
      <c r="BQ115" s="438">
        <f t="shared" si="134"/>
        <v>29418.487277787295</v>
      </c>
      <c r="BR115" s="438">
        <f t="shared" si="135"/>
        <v>22769.652873143994</v>
      </c>
      <c r="BS115" s="438">
        <f t="shared" si="107"/>
        <v>-293803.38330167538</v>
      </c>
      <c r="BT115" s="438">
        <f t="shared" si="108"/>
        <v>-55221.25</v>
      </c>
      <c r="BW115" s="565">
        <f>Breakout!$K$15/12</f>
        <v>3820110.2018331154</v>
      </c>
      <c r="BX115" s="565">
        <f>Breakout!$K$26/12</f>
        <v>135342.8166779679</v>
      </c>
      <c r="BY115" s="565">
        <f>Breakout!$K$37/12</f>
        <v>68126.801396446885</v>
      </c>
      <c r="BZ115" s="565">
        <f>Breakout!$K$48/12</f>
        <v>495558.72513110627</v>
      </c>
      <c r="CA115" s="565">
        <f>Breakout!$K$59/12</f>
        <v>455951.58393253811</v>
      </c>
      <c r="CB115" s="565">
        <f>Breakout!$K$70/12</f>
        <v>345939.15394445398</v>
      </c>
      <c r="CC115" s="565">
        <f>Breakout!$K$81/12</f>
        <v>22769.652873143994</v>
      </c>
      <c r="CE115" s="634">
        <f t="shared" si="90"/>
        <v>3818738.1992410547</v>
      </c>
      <c r="CF115" s="634">
        <f t="shared" si="91"/>
        <v>135294.20795060453</v>
      </c>
      <c r="CG115" s="634">
        <f t="shared" si="92"/>
        <v>68102.333477154942</v>
      </c>
      <c r="CI115" s="634">
        <f t="shared" si="93"/>
        <v>-715341.08333333337</v>
      </c>
      <c r="CJ115" s="634">
        <f t="shared" si="94"/>
        <v>-705333.33333333337</v>
      </c>
      <c r="CL115" s="438">
        <f>'account mgt'!$K$23/12</f>
        <v>-57704.224514361587</v>
      </c>
      <c r="CN115" s="438">
        <v>0</v>
      </c>
      <c r="CT115" s="438">
        <f t="shared" si="111"/>
        <v>0</v>
      </c>
      <c r="CU115" s="438">
        <f t="shared" si="112"/>
        <v>0</v>
      </c>
      <c r="CV115" s="438">
        <f>IF(CT115&lt;0.1,0,PPMT($L$3,A115-14,unwinds!$B$8*12,$K$5))</f>
        <v>0</v>
      </c>
      <c r="CW115" s="438">
        <f t="shared" si="109"/>
        <v>0</v>
      </c>
      <c r="CX115" s="438">
        <f t="shared" si="110"/>
        <v>0</v>
      </c>
      <c r="DA115" s="438">
        <f t="shared" si="116"/>
        <v>7852365.7155767456</v>
      </c>
      <c r="DB115" s="438">
        <f t="shared" si="117"/>
        <v>61968.252772093147</v>
      </c>
      <c r="DC115" s="438">
        <f t="shared" si="118"/>
        <v>433429.81889952195</v>
      </c>
      <c r="DD115" s="438">
        <f t="shared" si="119"/>
        <v>7418935.896677224</v>
      </c>
      <c r="DE115" s="438">
        <f t="shared" si="113"/>
        <v>7418935.896677224</v>
      </c>
      <c r="DH115" s="944">
        <v>-715341.08333333337</v>
      </c>
      <c r="DI115" s="944">
        <v>-705333.33333333337</v>
      </c>
      <c r="DJ115" s="944"/>
      <c r="DL115" s="381">
        <f t="shared" si="115"/>
        <v>474832.92700924521</v>
      </c>
      <c r="DN115" s="944">
        <f t="shared" si="95"/>
        <v>-715341.08333333337</v>
      </c>
      <c r="DO115" s="944">
        <f t="shared" si="96"/>
        <v>474832.92700924521</v>
      </c>
      <c r="DQ115" s="438">
        <f t="shared" si="97"/>
        <v>569527.70183311589</v>
      </c>
      <c r="DR115" s="438">
        <f t="shared" si="98"/>
        <v>-31910.864884775947</v>
      </c>
      <c r="DS115" s="438"/>
      <c r="DT115" s="438"/>
      <c r="DU115" s="438"/>
      <c r="DV115" s="438"/>
      <c r="DW115" s="438"/>
      <c r="DX115" s="438"/>
    </row>
    <row r="116" spans="1:128" x14ac:dyDescent="0.2">
      <c r="A116" s="383">
        <v>105</v>
      </c>
      <c r="B116" s="631">
        <v>39692</v>
      </c>
      <c r="C116" s="381">
        <v>0</v>
      </c>
      <c r="D116" s="381">
        <v>0</v>
      </c>
      <c r="E116" s="381">
        <v>0</v>
      </c>
      <c r="F116" s="381">
        <v>58089.347351761193</v>
      </c>
      <c r="G116" s="381">
        <v>433429.8188995223</v>
      </c>
      <c r="H116" s="381">
        <v>0</v>
      </c>
      <c r="I116" s="381">
        <v>491519.16625128349</v>
      </c>
      <c r="J116" s="381"/>
      <c r="K116" s="381"/>
      <c r="L116" s="381">
        <f t="shared" si="114"/>
        <v>491519.16625128326</v>
      </c>
      <c r="M116" s="381"/>
      <c r="N116" s="679">
        <f t="shared" si="99"/>
        <v>-715341.08333333337</v>
      </c>
      <c r="O116" s="679">
        <f t="shared" si="100"/>
        <v>-705333.33333333337</v>
      </c>
      <c r="P116" s="565">
        <f>Breakout!$K$16/12</f>
        <v>3665988.6712714122</v>
      </c>
      <c r="Q116" s="557">
        <f>'wholesale services'!$D$110*'wholesale services'!$L$111/12</f>
        <v>3250582.4999999995</v>
      </c>
      <c r="R116" s="557">
        <v>3320487.5</v>
      </c>
      <c r="S116" s="565">
        <f>Breakout!$K$27/12</f>
        <v>129882.43963258034</v>
      </c>
      <c r="T116" s="557">
        <f>'wholesale services'!$D$113*'wholesale services'!$L$114/12</f>
        <v>167253.68156274385</v>
      </c>
      <c r="U116" s="557">
        <v>170667.02200279987</v>
      </c>
      <c r="V116" s="565">
        <f>Breakout!$K$38/12</f>
        <v>65378.240138068744</v>
      </c>
      <c r="W116" s="496">
        <f>Breakout!$K$39/12</f>
        <v>73434.661618040132</v>
      </c>
      <c r="X116" s="496">
        <v>74224.281635438412</v>
      </c>
      <c r="Y116" s="565">
        <f>Breakout!$K$49/12</f>
        <v>475565.51415940124</v>
      </c>
      <c r="Z116" s="566">
        <f>Breakout!$K$50/12</f>
        <v>451454.44507245923</v>
      </c>
      <c r="AA116" s="566">
        <v>474221.52040821657</v>
      </c>
      <c r="AB116" s="565">
        <f>Breakout!$K$60/12</f>
        <v>437556.31461701012</v>
      </c>
      <c r="AC116" s="566">
        <f>Breakout!$K$61/12</f>
        <v>447260.58918887918</v>
      </c>
      <c r="AD116" s="566">
        <v>461206.35366247449</v>
      </c>
      <c r="AE116" s="565">
        <f>Breakout!$K$71/12</f>
        <v>331982.31263093493</v>
      </c>
      <c r="AF116" s="566">
        <f>Breakout!$K$72/12</f>
        <v>316520.66666666669</v>
      </c>
      <c r="AG116" s="566">
        <v>316520.66666666669</v>
      </c>
      <c r="AH116" s="565">
        <f>Breakout!$K$82/12</f>
        <v>21851.016088926714</v>
      </c>
      <c r="AI116" s="566">
        <f>Breakout!$K$83/12</f>
        <v>0</v>
      </c>
      <c r="AJ116" s="566">
        <v>0</v>
      </c>
      <c r="AK116" s="571">
        <f>Breakout!$K$91/12</f>
        <v>293803.38330167538</v>
      </c>
      <c r="AL116" s="571">
        <v>293803.38330167538</v>
      </c>
      <c r="AM116" s="567">
        <f>(Breakout!$K$107/12)*-1</f>
        <v>55221.25</v>
      </c>
      <c r="AN116" s="567">
        <v>55221.25</v>
      </c>
      <c r="AO116" s="578">
        <f t="shared" si="120"/>
        <v>5128204.5085383337</v>
      </c>
      <c r="AP116" s="578">
        <f t="shared" si="121"/>
        <v>5092244.0172198163</v>
      </c>
      <c r="AQ116" s="548">
        <f t="shared" si="122"/>
        <v>313181.48745195783</v>
      </c>
      <c r="AR116" s="496"/>
      <c r="AS116" s="553">
        <f t="shared" si="123"/>
        <v>175666.69794311235</v>
      </c>
      <c r="AT116" s="496"/>
      <c r="AU116" s="557">
        <f>'wholesale services'!$L$110/12</f>
        <v>39106610.706018515</v>
      </c>
      <c r="AV116" s="557">
        <f>'wholesale services'!$L$113/12</f>
        <v>17613.255833333333</v>
      </c>
      <c r="AW116" s="496"/>
      <c r="AX116" s="552">
        <f t="shared" si="124"/>
        <v>-715341.08333333337</v>
      </c>
      <c r="AY116" s="381">
        <f t="shared" si="125"/>
        <v>-705333.33333333337</v>
      </c>
      <c r="AZ116" s="496"/>
      <c r="BA116" s="438">
        <f t="shared" si="126"/>
        <v>643888.91977929638</v>
      </c>
      <c r="BB116" s="438">
        <f t="shared" si="127"/>
        <v>-25345.834113959099</v>
      </c>
      <c r="BC116" s="438">
        <f t="shared" si="128"/>
        <v>-8056.4214799713882</v>
      </c>
      <c r="BD116" s="438">
        <f t="shared" si="101"/>
        <v>24111.069086942007</v>
      </c>
      <c r="BE116" s="438">
        <f t="shared" si="102"/>
        <v>-9704.2745718690567</v>
      </c>
      <c r="BF116" s="438">
        <f t="shared" si="103"/>
        <v>15461.645964268246</v>
      </c>
      <c r="BG116" s="438">
        <f t="shared" si="104"/>
        <v>21851.016088926714</v>
      </c>
      <c r="BH116" s="438">
        <f t="shared" si="105"/>
        <v>-293803.38330167538</v>
      </c>
      <c r="BI116" s="438">
        <f t="shared" si="106"/>
        <v>-55221.25</v>
      </c>
      <c r="BL116" s="438">
        <f t="shared" si="129"/>
        <v>798010.45034099964</v>
      </c>
      <c r="BM116" s="438">
        <f t="shared" si="130"/>
        <v>-19885.457068571537</v>
      </c>
      <c r="BN116" s="438">
        <f t="shared" si="131"/>
        <v>-5307.8602215932478</v>
      </c>
      <c r="BO116" s="438">
        <f t="shared" si="132"/>
        <v>44104.28005864704</v>
      </c>
      <c r="BP116" s="438">
        <f t="shared" si="133"/>
        <v>8690.9947436589282</v>
      </c>
      <c r="BQ116" s="438">
        <f t="shared" si="134"/>
        <v>29418.487277787295</v>
      </c>
      <c r="BR116" s="438">
        <f t="shared" si="135"/>
        <v>22769.652873143994</v>
      </c>
      <c r="BS116" s="438">
        <f t="shared" si="107"/>
        <v>-293803.38330167538</v>
      </c>
      <c r="BT116" s="438">
        <f t="shared" si="108"/>
        <v>-55221.25</v>
      </c>
      <c r="BW116" s="565">
        <f>Breakout!$K$15/12</f>
        <v>3820110.2018331154</v>
      </c>
      <c r="BX116" s="565">
        <f>Breakout!$K$26/12</f>
        <v>135342.8166779679</v>
      </c>
      <c r="BY116" s="565">
        <f>Breakout!$K$37/12</f>
        <v>68126.801396446885</v>
      </c>
      <c r="BZ116" s="565">
        <f>Breakout!$K$48/12</f>
        <v>495558.72513110627</v>
      </c>
      <c r="CA116" s="565">
        <f>Breakout!$K$59/12</f>
        <v>455951.58393253811</v>
      </c>
      <c r="CB116" s="565">
        <f>Breakout!$K$70/12</f>
        <v>345939.15394445398</v>
      </c>
      <c r="CC116" s="565">
        <f>Breakout!$K$81/12</f>
        <v>22769.652873143994</v>
      </c>
      <c r="CE116" s="634">
        <f t="shared" si="90"/>
        <v>3818738.1992410547</v>
      </c>
      <c r="CF116" s="634">
        <f t="shared" si="91"/>
        <v>135294.20795060453</v>
      </c>
      <c r="CG116" s="634">
        <f t="shared" si="92"/>
        <v>68102.333477154942</v>
      </c>
      <c r="CI116" s="634">
        <f t="shared" si="93"/>
        <v>-715341.08333333337</v>
      </c>
      <c r="CJ116" s="634">
        <f t="shared" si="94"/>
        <v>-705333.33333333337</v>
      </c>
      <c r="CL116" s="438">
        <f>'account mgt'!$K$23/12</f>
        <v>-57704.224514361587</v>
      </c>
      <c r="CN116" s="438">
        <v>0</v>
      </c>
      <c r="CT116" s="438">
        <f t="shared" si="111"/>
        <v>0</v>
      </c>
      <c r="CU116" s="438">
        <f t="shared" si="112"/>
        <v>0</v>
      </c>
      <c r="CV116" s="438">
        <f>IF(CT116&lt;0.1,0,PPMT($L$3,A116-14,unwinds!$B$8*12,$K$5))</f>
        <v>0</v>
      </c>
      <c r="CW116" s="438">
        <f t="shared" si="109"/>
        <v>0</v>
      </c>
      <c r="CX116" s="438">
        <f t="shared" si="110"/>
        <v>0</v>
      </c>
      <c r="DA116" s="438">
        <f t="shared" si="116"/>
        <v>7418935.896677224</v>
      </c>
      <c r="DB116" s="438">
        <f t="shared" si="117"/>
        <v>58547.769117944423</v>
      </c>
      <c r="DC116" s="438">
        <f t="shared" si="118"/>
        <v>436850.30255367066</v>
      </c>
      <c r="DD116" s="438">
        <f t="shared" si="119"/>
        <v>6982085.5941235535</v>
      </c>
      <c r="DE116" s="438">
        <f t="shared" si="113"/>
        <v>6982085.5941235535</v>
      </c>
      <c r="DH116" s="944">
        <v>-715341.08333333337</v>
      </c>
      <c r="DI116" s="944">
        <v>-705333.33333333337</v>
      </c>
      <c r="DJ116" s="944"/>
      <c r="DL116" s="381">
        <f t="shared" si="115"/>
        <v>474832.92700924521</v>
      </c>
      <c r="DN116" s="944">
        <f t="shared" si="95"/>
        <v>-715341.08333333337</v>
      </c>
      <c r="DO116" s="944">
        <f t="shared" si="96"/>
        <v>474832.92700924521</v>
      </c>
      <c r="DQ116" s="438">
        <f t="shared" si="97"/>
        <v>569527.70183311589</v>
      </c>
      <c r="DR116" s="438">
        <f t="shared" si="98"/>
        <v>-31910.864884775947</v>
      </c>
      <c r="DS116" s="438"/>
      <c r="DT116" s="438"/>
      <c r="DU116" s="438"/>
      <c r="DV116" s="438"/>
      <c r="DW116" s="438"/>
      <c r="DX116" s="438"/>
    </row>
    <row r="117" spans="1:128" x14ac:dyDescent="0.2">
      <c r="A117" s="383">
        <v>106</v>
      </c>
      <c r="B117" s="631">
        <v>39722</v>
      </c>
      <c r="C117" s="381">
        <v>0</v>
      </c>
      <c r="D117" s="381">
        <v>0</v>
      </c>
      <c r="E117" s="381">
        <v>0</v>
      </c>
      <c r="F117" s="381">
        <v>54668.863697612542</v>
      </c>
      <c r="G117" s="381">
        <v>436850.30255367095</v>
      </c>
      <c r="H117" s="381">
        <v>0</v>
      </c>
      <c r="I117" s="381">
        <v>491519.16625128349</v>
      </c>
      <c r="J117" s="381"/>
      <c r="K117" s="381"/>
      <c r="L117" s="381">
        <f t="shared" si="114"/>
        <v>491519.16625128326</v>
      </c>
      <c r="M117" s="381"/>
      <c r="N117" s="679">
        <f t="shared" si="99"/>
        <v>-715341.08333333337</v>
      </c>
      <c r="O117" s="679">
        <f t="shared" si="100"/>
        <v>-705333.33333333337</v>
      </c>
      <c r="P117" s="565">
        <f>Breakout!$K$16/12</f>
        <v>3665988.6712714122</v>
      </c>
      <c r="Q117" s="557">
        <f>'wholesale services'!$D$110*'wholesale services'!$L$111/12</f>
        <v>3250582.4999999995</v>
      </c>
      <c r="R117" s="557">
        <v>3320487.5</v>
      </c>
      <c r="S117" s="565">
        <f>Breakout!$K$27/12</f>
        <v>129882.43963258034</v>
      </c>
      <c r="T117" s="557">
        <f>'wholesale services'!$D$113*'wholesale services'!$L$114/12</f>
        <v>167253.68156274385</v>
      </c>
      <c r="U117" s="557">
        <v>170667.02200279987</v>
      </c>
      <c r="V117" s="565">
        <f>Breakout!$K$38/12</f>
        <v>65378.240138068744</v>
      </c>
      <c r="W117" s="496">
        <f>Breakout!$K$39/12</f>
        <v>73434.661618040132</v>
      </c>
      <c r="X117" s="496">
        <v>74224.281635438412</v>
      </c>
      <c r="Y117" s="565">
        <f>Breakout!$K$49/12</f>
        <v>475565.51415940124</v>
      </c>
      <c r="Z117" s="566">
        <f>Breakout!$K$50/12</f>
        <v>451454.44507245923</v>
      </c>
      <c r="AA117" s="566">
        <v>474221.52040821657</v>
      </c>
      <c r="AB117" s="565">
        <f>Breakout!$K$60/12</f>
        <v>437556.31461701012</v>
      </c>
      <c r="AC117" s="566">
        <f>Breakout!$K$61/12</f>
        <v>447260.58918887918</v>
      </c>
      <c r="AD117" s="566">
        <v>461206.35366247449</v>
      </c>
      <c r="AE117" s="565">
        <f>Breakout!$K$71/12</f>
        <v>331982.31263093493</v>
      </c>
      <c r="AF117" s="566">
        <f>Breakout!$K$72/12</f>
        <v>316520.66666666669</v>
      </c>
      <c r="AG117" s="566">
        <v>316520.66666666669</v>
      </c>
      <c r="AH117" s="565">
        <f>Breakout!$K$82/12</f>
        <v>21851.016088926714</v>
      </c>
      <c r="AI117" s="566">
        <f>Breakout!$K$83/12</f>
        <v>0</v>
      </c>
      <c r="AJ117" s="566">
        <v>0</v>
      </c>
      <c r="AK117" s="571">
        <f>Breakout!$K$91/12</f>
        <v>293803.38330167538</v>
      </c>
      <c r="AL117" s="571">
        <v>293803.38330167538</v>
      </c>
      <c r="AM117" s="567">
        <f>(Breakout!$K$107/12)*-1</f>
        <v>55221.25</v>
      </c>
      <c r="AN117" s="567">
        <v>55221.25</v>
      </c>
      <c r="AO117" s="578">
        <f t="shared" si="120"/>
        <v>5128204.5085383337</v>
      </c>
      <c r="AP117" s="578">
        <f t="shared" si="121"/>
        <v>5092244.0172198163</v>
      </c>
      <c r="AQ117" s="548">
        <f t="shared" si="122"/>
        <v>313181.48745195783</v>
      </c>
      <c r="AR117" s="496"/>
      <c r="AS117" s="553">
        <f t="shared" si="123"/>
        <v>175666.69794311235</v>
      </c>
      <c r="AT117" s="496"/>
      <c r="AU117" s="557">
        <f>'wholesale services'!$L$110/12</f>
        <v>39106610.706018515</v>
      </c>
      <c r="AV117" s="557">
        <f>'wholesale services'!$L$113/12</f>
        <v>17613.255833333333</v>
      </c>
      <c r="AW117" s="496"/>
      <c r="AX117" s="552">
        <f t="shared" si="124"/>
        <v>-715341.08333333337</v>
      </c>
      <c r="AY117" s="381">
        <f t="shared" si="125"/>
        <v>-705333.33333333337</v>
      </c>
      <c r="AZ117" s="496"/>
      <c r="BA117" s="438">
        <f t="shared" si="126"/>
        <v>643888.91977929638</v>
      </c>
      <c r="BB117" s="438">
        <f t="shared" si="127"/>
        <v>-25345.834113959099</v>
      </c>
      <c r="BC117" s="438">
        <f t="shared" si="128"/>
        <v>-8056.4214799713882</v>
      </c>
      <c r="BD117" s="438">
        <f t="shared" si="101"/>
        <v>24111.069086942007</v>
      </c>
      <c r="BE117" s="438">
        <f t="shared" si="102"/>
        <v>-9704.2745718690567</v>
      </c>
      <c r="BF117" s="438">
        <f t="shared" si="103"/>
        <v>15461.645964268246</v>
      </c>
      <c r="BG117" s="438">
        <f t="shared" si="104"/>
        <v>21851.016088926714</v>
      </c>
      <c r="BH117" s="438">
        <f t="shared" si="105"/>
        <v>-293803.38330167538</v>
      </c>
      <c r="BI117" s="438">
        <f t="shared" si="106"/>
        <v>-55221.25</v>
      </c>
      <c r="BL117" s="438">
        <f t="shared" si="129"/>
        <v>798010.45034099964</v>
      </c>
      <c r="BM117" s="438">
        <f t="shared" si="130"/>
        <v>-19885.457068571537</v>
      </c>
      <c r="BN117" s="438">
        <f t="shared" si="131"/>
        <v>-5307.8602215932478</v>
      </c>
      <c r="BO117" s="438">
        <f t="shared" si="132"/>
        <v>44104.28005864704</v>
      </c>
      <c r="BP117" s="438">
        <f t="shared" si="133"/>
        <v>8690.9947436589282</v>
      </c>
      <c r="BQ117" s="438">
        <f t="shared" si="134"/>
        <v>29418.487277787295</v>
      </c>
      <c r="BR117" s="438">
        <f t="shared" si="135"/>
        <v>22769.652873143994</v>
      </c>
      <c r="BS117" s="438">
        <f t="shared" si="107"/>
        <v>-293803.38330167538</v>
      </c>
      <c r="BT117" s="438">
        <f t="shared" si="108"/>
        <v>-55221.25</v>
      </c>
      <c r="BW117" s="565">
        <f>Breakout!$K$15/12</f>
        <v>3820110.2018331154</v>
      </c>
      <c r="BX117" s="565">
        <f>Breakout!$K$26/12</f>
        <v>135342.8166779679</v>
      </c>
      <c r="BY117" s="565">
        <f>Breakout!$K$37/12</f>
        <v>68126.801396446885</v>
      </c>
      <c r="BZ117" s="565">
        <f>Breakout!$K$48/12</f>
        <v>495558.72513110627</v>
      </c>
      <c r="CA117" s="565">
        <f>Breakout!$K$59/12</f>
        <v>455951.58393253811</v>
      </c>
      <c r="CB117" s="565">
        <f>Breakout!$K$70/12</f>
        <v>345939.15394445398</v>
      </c>
      <c r="CC117" s="565">
        <f>Breakout!$K$81/12</f>
        <v>22769.652873143994</v>
      </c>
      <c r="CE117" s="634">
        <f t="shared" si="90"/>
        <v>3818738.1992410547</v>
      </c>
      <c r="CF117" s="634">
        <f t="shared" si="91"/>
        <v>135294.20795060453</v>
      </c>
      <c r="CG117" s="634">
        <f t="shared" si="92"/>
        <v>68102.333477154942</v>
      </c>
      <c r="CI117" s="634">
        <f t="shared" si="93"/>
        <v>-715341.08333333337</v>
      </c>
      <c r="CJ117" s="634">
        <f t="shared" si="94"/>
        <v>-705333.33333333337</v>
      </c>
      <c r="CL117" s="438">
        <f>'account mgt'!$K$23/12</f>
        <v>-57704.224514361587</v>
      </c>
      <c r="CN117" s="438">
        <v>0</v>
      </c>
      <c r="CT117" s="438">
        <f t="shared" si="111"/>
        <v>0</v>
      </c>
      <c r="CU117" s="438">
        <f t="shared" si="112"/>
        <v>0</v>
      </c>
      <c r="CV117" s="438">
        <f>IF(CT117&lt;0.1,0,PPMT($L$3,A117-14,unwinds!$B$8*12,$K$5))</f>
        <v>0</v>
      </c>
      <c r="CW117" s="438">
        <f t="shared" si="109"/>
        <v>0</v>
      </c>
      <c r="CX117" s="438">
        <f t="shared" si="110"/>
        <v>0</v>
      </c>
      <c r="DA117" s="438">
        <f t="shared" si="116"/>
        <v>6982085.5941235535</v>
      </c>
      <c r="DB117" s="438">
        <f t="shared" si="117"/>
        <v>55100.292146958374</v>
      </c>
      <c r="DC117" s="438">
        <f t="shared" si="118"/>
        <v>440297.77952465654</v>
      </c>
      <c r="DD117" s="438">
        <f t="shared" si="119"/>
        <v>6541787.8145988965</v>
      </c>
      <c r="DE117" s="438">
        <f t="shared" si="113"/>
        <v>6541787.8145988965</v>
      </c>
      <c r="DH117" s="944">
        <v>-715341.08333333337</v>
      </c>
      <c r="DI117" s="944">
        <v>-705333.33333333337</v>
      </c>
      <c r="DJ117" s="944"/>
      <c r="DL117" s="381">
        <f t="shared" si="115"/>
        <v>474832.92700924521</v>
      </c>
      <c r="DN117" s="944">
        <f t="shared" si="95"/>
        <v>-715341.08333333337</v>
      </c>
      <c r="DO117" s="944">
        <f t="shared" si="96"/>
        <v>474832.92700924521</v>
      </c>
      <c r="DQ117" s="438">
        <f t="shared" si="97"/>
        <v>569527.70183311589</v>
      </c>
      <c r="DR117" s="438">
        <f t="shared" si="98"/>
        <v>-31910.864884775947</v>
      </c>
      <c r="DS117" s="438"/>
      <c r="DT117" s="438"/>
      <c r="DU117" s="438"/>
      <c r="DV117" s="438"/>
      <c r="DW117" s="438"/>
      <c r="DX117" s="438"/>
    </row>
    <row r="118" spans="1:128" x14ac:dyDescent="0.2">
      <c r="A118" s="383">
        <v>107</v>
      </c>
      <c r="B118" s="631">
        <v>39753</v>
      </c>
      <c r="C118" s="381">
        <v>0</v>
      </c>
      <c r="D118" s="381">
        <v>0</v>
      </c>
      <c r="E118" s="381">
        <v>0</v>
      </c>
      <c r="F118" s="381">
        <v>51221.386726626624</v>
      </c>
      <c r="G118" s="381">
        <v>440297.77952465689</v>
      </c>
      <c r="H118" s="381">
        <v>0</v>
      </c>
      <c r="I118" s="381">
        <v>491519.16625128349</v>
      </c>
      <c r="J118" s="381"/>
      <c r="K118" s="381"/>
      <c r="L118" s="381">
        <f t="shared" si="114"/>
        <v>491519.16625128326</v>
      </c>
      <c r="M118" s="381"/>
      <c r="N118" s="679">
        <f t="shared" si="99"/>
        <v>-715341.08333333337</v>
      </c>
      <c r="O118" s="679">
        <f t="shared" si="100"/>
        <v>-705333.33333333337</v>
      </c>
      <c r="P118" s="565">
        <f>Breakout!$K$16/12</f>
        <v>3665988.6712714122</v>
      </c>
      <c r="Q118" s="557">
        <f>'wholesale services'!$D$110*'wholesale services'!$L$111/12</f>
        <v>3250582.4999999995</v>
      </c>
      <c r="R118" s="557">
        <v>3320487.5</v>
      </c>
      <c r="S118" s="565">
        <f>Breakout!$K$27/12</f>
        <v>129882.43963258034</v>
      </c>
      <c r="T118" s="557">
        <f>'wholesale services'!$D$113*'wholesale services'!$L$114/12</f>
        <v>167253.68156274385</v>
      </c>
      <c r="U118" s="557">
        <v>170667.02200279987</v>
      </c>
      <c r="V118" s="565">
        <f>Breakout!$K$38/12</f>
        <v>65378.240138068744</v>
      </c>
      <c r="W118" s="496">
        <f>Breakout!$K$39/12</f>
        <v>73434.661618040132</v>
      </c>
      <c r="X118" s="496">
        <v>74224.281635438412</v>
      </c>
      <c r="Y118" s="565">
        <f>Breakout!$K$49/12</f>
        <v>475565.51415940124</v>
      </c>
      <c r="Z118" s="566">
        <f>Breakout!$K$50/12</f>
        <v>451454.44507245923</v>
      </c>
      <c r="AA118" s="566">
        <v>474221.52040821657</v>
      </c>
      <c r="AB118" s="565">
        <f>Breakout!$K$60/12</f>
        <v>437556.31461701012</v>
      </c>
      <c r="AC118" s="566">
        <f>Breakout!$K$61/12</f>
        <v>447260.58918887918</v>
      </c>
      <c r="AD118" s="566">
        <v>461206.35366247449</v>
      </c>
      <c r="AE118" s="565">
        <f>Breakout!$K$71/12</f>
        <v>331982.31263093493</v>
      </c>
      <c r="AF118" s="566">
        <f>Breakout!$K$72/12</f>
        <v>316520.66666666669</v>
      </c>
      <c r="AG118" s="566">
        <v>316520.66666666669</v>
      </c>
      <c r="AH118" s="565">
        <f>Breakout!$K$82/12</f>
        <v>21851.016088926714</v>
      </c>
      <c r="AI118" s="566">
        <f>Breakout!$K$83/12</f>
        <v>0</v>
      </c>
      <c r="AJ118" s="566">
        <v>0</v>
      </c>
      <c r="AK118" s="571">
        <f>Breakout!$K$91/12</f>
        <v>293803.38330167538</v>
      </c>
      <c r="AL118" s="571">
        <v>293803.38330167538</v>
      </c>
      <c r="AM118" s="567">
        <f>(Breakout!$K$107/12)*-1</f>
        <v>55221.25</v>
      </c>
      <c r="AN118" s="567">
        <v>55221.25</v>
      </c>
      <c r="AO118" s="578">
        <f t="shared" si="120"/>
        <v>5128204.5085383337</v>
      </c>
      <c r="AP118" s="578">
        <f t="shared" si="121"/>
        <v>5092244.0172198163</v>
      </c>
      <c r="AQ118" s="548">
        <f t="shared" si="122"/>
        <v>313181.48745195783</v>
      </c>
      <c r="AR118" s="496"/>
      <c r="AS118" s="553">
        <f t="shared" si="123"/>
        <v>175666.69794311235</v>
      </c>
      <c r="AT118" s="496"/>
      <c r="AU118" s="557">
        <f>'wholesale services'!$L$110/12</f>
        <v>39106610.706018515</v>
      </c>
      <c r="AV118" s="557">
        <f>'wholesale services'!$L$113/12</f>
        <v>17613.255833333333</v>
      </c>
      <c r="AW118" s="496"/>
      <c r="AX118" s="552">
        <f t="shared" si="124"/>
        <v>-715341.08333333337</v>
      </c>
      <c r="AY118" s="381">
        <f t="shared" si="125"/>
        <v>-705333.33333333337</v>
      </c>
      <c r="AZ118" s="496"/>
      <c r="BA118" s="438">
        <f t="shared" si="126"/>
        <v>643888.91977929638</v>
      </c>
      <c r="BB118" s="438">
        <f t="shared" si="127"/>
        <v>-25345.834113959099</v>
      </c>
      <c r="BC118" s="438">
        <f t="shared" si="128"/>
        <v>-8056.4214799713882</v>
      </c>
      <c r="BD118" s="438">
        <f t="shared" si="101"/>
        <v>24111.069086942007</v>
      </c>
      <c r="BE118" s="438">
        <f t="shared" si="102"/>
        <v>-9704.2745718690567</v>
      </c>
      <c r="BF118" s="438">
        <f t="shared" si="103"/>
        <v>15461.645964268246</v>
      </c>
      <c r="BG118" s="438">
        <f t="shared" si="104"/>
        <v>21851.016088926714</v>
      </c>
      <c r="BH118" s="438">
        <f t="shared" si="105"/>
        <v>-293803.38330167538</v>
      </c>
      <c r="BI118" s="438">
        <f t="shared" si="106"/>
        <v>-55221.25</v>
      </c>
      <c r="BL118" s="438">
        <f t="shared" si="129"/>
        <v>798010.45034099964</v>
      </c>
      <c r="BM118" s="438">
        <f t="shared" si="130"/>
        <v>-19885.457068571537</v>
      </c>
      <c r="BN118" s="438">
        <f t="shared" si="131"/>
        <v>-5307.8602215932478</v>
      </c>
      <c r="BO118" s="438">
        <f t="shared" si="132"/>
        <v>44104.28005864704</v>
      </c>
      <c r="BP118" s="438">
        <f t="shared" si="133"/>
        <v>8690.9947436589282</v>
      </c>
      <c r="BQ118" s="438">
        <f t="shared" si="134"/>
        <v>29418.487277787295</v>
      </c>
      <c r="BR118" s="438">
        <f t="shared" si="135"/>
        <v>22769.652873143994</v>
      </c>
      <c r="BS118" s="438">
        <f t="shared" si="107"/>
        <v>-293803.38330167538</v>
      </c>
      <c r="BT118" s="438">
        <f t="shared" si="108"/>
        <v>-55221.25</v>
      </c>
      <c r="BW118" s="565">
        <f>Breakout!$K$15/12</f>
        <v>3820110.2018331154</v>
      </c>
      <c r="BX118" s="565">
        <f>Breakout!$K$26/12</f>
        <v>135342.8166779679</v>
      </c>
      <c r="BY118" s="565">
        <f>Breakout!$K$37/12</f>
        <v>68126.801396446885</v>
      </c>
      <c r="BZ118" s="565">
        <f>Breakout!$K$48/12</f>
        <v>495558.72513110627</v>
      </c>
      <c r="CA118" s="565">
        <f>Breakout!$K$59/12</f>
        <v>455951.58393253811</v>
      </c>
      <c r="CB118" s="565">
        <f>Breakout!$K$70/12</f>
        <v>345939.15394445398</v>
      </c>
      <c r="CC118" s="565">
        <f>Breakout!$K$81/12</f>
        <v>22769.652873143994</v>
      </c>
      <c r="CE118" s="634">
        <f t="shared" si="90"/>
        <v>3818738.1992410547</v>
      </c>
      <c r="CF118" s="634">
        <f t="shared" si="91"/>
        <v>135294.20795060453</v>
      </c>
      <c r="CG118" s="634">
        <f t="shared" si="92"/>
        <v>68102.333477154942</v>
      </c>
      <c r="CI118" s="634">
        <f t="shared" si="93"/>
        <v>-715341.08333333337</v>
      </c>
      <c r="CJ118" s="634">
        <f t="shared" si="94"/>
        <v>-705333.33333333337</v>
      </c>
      <c r="CL118" s="438">
        <f>'account mgt'!$K$23/12</f>
        <v>-57704.224514361587</v>
      </c>
      <c r="CN118" s="438">
        <v>0</v>
      </c>
      <c r="CT118" s="438">
        <f t="shared" si="111"/>
        <v>0</v>
      </c>
      <c r="CU118" s="438">
        <f t="shared" si="112"/>
        <v>0</v>
      </c>
      <c r="CV118" s="438">
        <f>IF(CT118&lt;0.1,0,PPMT($L$3,A118-14,unwinds!$B$8*12,$K$5))</f>
        <v>0</v>
      </c>
      <c r="CW118" s="438">
        <f t="shared" si="109"/>
        <v>0</v>
      </c>
      <c r="CX118" s="438">
        <f t="shared" si="110"/>
        <v>0</v>
      </c>
      <c r="DA118" s="438">
        <f t="shared" si="116"/>
        <v>6541787.8145988965</v>
      </c>
      <c r="DB118" s="438">
        <f t="shared" si="117"/>
        <v>51625.608836876294</v>
      </c>
      <c r="DC118" s="438">
        <f t="shared" si="118"/>
        <v>443772.46283473878</v>
      </c>
      <c r="DD118" s="438">
        <f t="shared" si="119"/>
        <v>6098015.3517641574</v>
      </c>
      <c r="DE118" s="438">
        <f t="shared" si="113"/>
        <v>6098015.3517641574</v>
      </c>
      <c r="DH118" s="944">
        <v>-715341.08333333337</v>
      </c>
      <c r="DI118" s="944">
        <v>-705333.33333333337</v>
      </c>
      <c r="DJ118" s="944"/>
      <c r="DL118" s="381">
        <f t="shared" si="115"/>
        <v>474832.92700924521</v>
      </c>
      <c r="DN118" s="944">
        <f t="shared" si="95"/>
        <v>-715341.08333333337</v>
      </c>
      <c r="DO118" s="944">
        <f t="shared" si="96"/>
        <v>474832.92700924521</v>
      </c>
      <c r="DQ118" s="438">
        <f t="shared" si="97"/>
        <v>569527.70183311589</v>
      </c>
      <c r="DR118" s="438">
        <f t="shared" si="98"/>
        <v>-31910.864884775947</v>
      </c>
      <c r="DS118" s="438"/>
      <c r="DT118" s="438"/>
      <c r="DU118" s="438"/>
      <c r="DV118" s="438"/>
      <c r="DW118" s="438"/>
      <c r="DX118" s="438"/>
    </row>
    <row r="119" spans="1:128" s="676" customFormat="1" x14ac:dyDescent="0.2">
      <c r="A119" s="667">
        <v>108</v>
      </c>
      <c r="B119" s="668">
        <v>39783</v>
      </c>
      <c r="C119" s="669">
        <v>0</v>
      </c>
      <c r="D119" s="669">
        <v>0</v>
      </c>
      <c r="E119" s="669">
        <v>0</v>
      </c>
      <c r="F119" s="381">
        <v>47746.703416544391</v>
      </c>
      <c r="G119" s="381">
        <v>443772.46283473913</v>
      </c>
      <c r="H119" s="381">
        <v>0</v>
      </c>
      <c r="I119" s="381">
        <v>491519.16625128349</v>
      </c>
      <c r="J119" s="669"/>
      <c r="K119" s="669"/>
      <c r="L119" s="381">
        <f t="shared" si="114"/>
        <v>491519.16625128326</v>
      </c>
      <c r="M119" s="669"/>
      <c r="N119" s="679">
        <f t="shared" si="99"/>
        <v>-715341.08333333337</v>
      </c>
      <c r="O119" s="679">
        <f t="shared" si="100"/>
        <v>-705333.33333333337</v>
      </c>
      <c r="P119" s="670">
        <f>Breakout!$K$16/12</f>
        <v>3665988.6712714122</v>
      </c>
      <c r="Q119" s="671">
        <f>'wholesale services'!$D$110*'wholesale services'!$L$111/12</f>
        <v>3250582.4999999995</v>
      </c>
      <c r="R119" s="671">
        <v>3320487.5</v>
      </c>
      <c r="S119" s="670">
        <f>Breakout!$K$27/12</f>
        <v>129882.43963258034</v>
      </c>
      <c r="T119" s="671">
        <f>'wholesale services'!$D$113*'wholesale services'!$L$114/12</f>
        <v>167253.68156274385</v>
      </c>
      <c r="U119" s="671">
        <v>170667.02200279987</v>
      </c>
      <c r="V119" s="670">
        <f>Breakout!$K$38/12</f>
        <v>65378.240138068744</v>
      </c>
      <c r="W119" s="672">
        <f>Breakout!$K$39/12</f>
        <v>73434.661618040132</v>
      </c>
      <c r="X119" s="672">
        <v>74224.281635438412</v>
      </c>
      <c r="Y119" s="670">
        <f>Breakout!$K$49/12</f>
        <v>475565.51415940124</v>
      </c>
      <c r="Z119" s="671">
        <f>Breakout!$K$50/12</f>
        <v>451454.44507245923</v>
      </c>
      <c r="AA119" s="671">
        <v>474221.52040821657</v>
      </c>
      <c r="AB119" s="670">
        <f>Breakout!$K$60/12</f>
        <v>437556.31461701012</v>
      </c>
      <c r="AC119" s="671">
        <f>Breakout!$K$61/12</f>
        <v>447260.58918887918</v>
      </c>
      <c r="AD119" s="671">
        <v>461206.35366247449</v>
      </c>
      <c r="AE119" s="670">
        <f>Breakout!$K$71/12</f>
        <v>331982.31263093493</v>
      </c>
      <c r="AF119" s="671">
        <f>Breakout!$K$72/12</f>
        <v>316520.66666666669</v>
      </c>
      <c r="AG119" s="671">
        <v>316520.66666666669</v>
      </c>
      <c r="AH119" s="670">
        <f>Breakout!$K$82/12</f>
        <v>21851.016088926714</v>
      </c>
      <c r="AI119" s="671">
        <f>Breakout!$K$83/12</f>
        <v>0</v>
      </c>
      <c r="AJ119" s="671">
        <v>0</v>
      </c>
      <c r="AK119" s="673">
        <f>Breakout!$K$91/12</f>
        <v>293803.38330167538</v>
      </c>
      <c r="AL119" s="673">
        <v>293803.38330167538</v>
      </c>
      <c r="AM119" s="673">
        <f>(Breakout!$K$107/12)*-1</f>
        <v>55221.25</v>
      </c>
      <c r="AN119" s="673">
        <v>55221.25</v>
      </c>
      <c r="AO119" s="674">
        <f t="shared" si="120"/>
        <v>5128204.5085383337</v>
      </c>
      <c r="AP119" s="674">
        <f t="shared" si="121"/>
        <v>5092244.0172198163</v>
      </c>
      <c r="AQ119" s="548">
        <f t="shared" si="122"/>
        <v>313181.48745195783</v>
      </c>
      <c r="AR119" s="672">
        <f>SUM(AQ108:AQ119)</f>
        <v>3758177.8494234947</v>
      </c>
      <c r="AS119" s="553">
        <f t="shared" si="123"/>
        <v>175666.69794311235</v>
      </c>
      <c r="AT119" s="672">
        <f>SUM(AS108:AS119)</f>
        <v>2108000.3753173482</v>
      </c>
      <c r="AU119" s="671">
        <f>'wholesale services'!$L$110/12</f>
        <v>39106610.706018515</v>
      </c>
      <c r="AV119" s="671">
        <f>'wholesale services'!$L$113/12</f>
        <v>17613.255833333333</v>
      </c>
      <c r="AW119" s="672"/>
      <c r="AX119" s="552">
        <f t="shared" si="124"/>
        <v>-715341.08333333337</v>
      </c>
      <c r="AY119" s="381">
        <f t="shared" si="125"/>
        <v>-705333.33333333337</v>
      </c>
      <c r="AZ119" s="672"/>
      <c r="BA119" s="438">
        <f t="shared" si="126"/>
        <v>643888.91977929638</v>
      </c>
      <c r="BB119" s="438">
        <f t="shared" si="127"/>
        <v>-25345.834113959099</v>
      </c>
      <c r="BC119" s="438">
        <f t="shared" si="128"/>
        <v>-8056.4214799713882</v>
      </c>
      <c r="BD119" s="438">
        <f t="shared" si="101"/>
        <v>24111.069086942007</v>
      </c>
      <c r="BE119" s="438">
        <f t="shared" si="102"/>
        <v>-9704.2745718690567</v>
      </c>
      <c r="BF119" s="438">
        <f t="shared" si="103"/>
        <v>15461.645964268246</v>
      </c>
      <c r="BG119" s="438">
        <f t="shared" si="104"/>
        <v>21851.016088926714</v>
      </c>
      <c r="BH119" s="438">
        <f t="shared" si="105"/>
        <v>-293803.38330167538</v>
      </c>
      <c r="BI119" s="438">
        <f t="shared" si="106"/>
        <v>-55221.25</v>
      </c>
      <c r="BJ119" s="672"/>
      <c r="BK119" s="496"/>
      <c r="BL119" s="438">
        <f t="shared" si="129"/>
        <v>798010.45034099964</v>
      </c>
      <c r="BM119" s="438">
        <f t="shared" si="130"/>
        <v>-19885.457068571537</v>
      </c>
      <c r="BN119" s="438">
        <f t="shared" si="131"/>
        <v>-5307.8602215932478</v>
      </c>
      <c r="BO119" s="438">
        <f t="shared" si="132"/>
        <v>44104.28005864704</v>
      </c>
      <c r="BP119" s="438">
        <f t="shared" si="133"/>
        <v>8690.9947436589282</v>
      </c>
      <c r="BQ119" s="438">
        <f t="shared" si="134"/>
        <v>29418.487277787295</v>
      </c>
      <c r="BR119" s="438">
        <f t="shared" si="135"/>
        <v>22769.652873143994</v>
      </c>
      <c r="BS119" s="438">
        <f t="shared" si="107"/>
        <v>-293803.38330167538</v>
      </c>
      <c r="BT119" s="438">
        <f t="shared" si="108"/>
        <v>-55221.25</v>
      </c>
      <c r="BU119" s="672"/>
      <c r="BV119" s="672"/>
      <c r="BW119" s="670">
        <f>Breakout!$K$15/12</f>
        <v>3820110.2018331154</v>
      </c>
      <c r="BX119" s="670">
        <f>Breakout!$K$26/12</f>
        <v>135342.8166779679</v>
      </c>
      <c r="BY119" s="670">
        <f>Breakout!$K$37/12</f>
        <v>68126.801396446885</v>
      </c>
      <c r="BZ119" s="670">
        <f>Breakout!$K$48/12</f>
        <v>495558.72513110627</v>
      </c>
      <c r="CA119" s="670">
        <f>Breakout!$K$59/12</f>
        <v>455951.58393253811</v>
      </c>
      <c r="CB119" s="670">
        <f>Breakout!$K$70/12</f>
        <v>345939.15394445398</v>
      </c>
      <c r="CC119" s="670">
        <f>Breakout!$K$81/12</f>
        <v>22769.652873143994</v>
      </c>
      <c r="CD119" s="672"/>
      <c r="CE119" s="675">
        <f t="shared" si="90"/>
        <v>3818738.1992410547</v>
      </c>
      <c r="CF119" s="675">
        <f t="shared" si="91"/>
        <v>135294.20795060453</v>
      </c>
      <c r="CG119" s="675">
        <f t="shared" si="92"/>
        <v>68102.333477154942</v>
      </c>
      <c r="CH119" s="672"/>
      <c r="CI119" s="675">
        <f t="shared" si="93"/>
        <v>-715341.08333333337</v>
      </c>
      <c r="CJ119" s="675">
        <f t="shared" si="94"/>
        <v>-705333.33333333337</v>
      </c>
      <c r="CK119" s="672"/>
      <c r="CL119" s="672">
        <f>'account mgt'!$K$23/12</f>
        <v>-57704.224514361587</v>
      </c>
      <c r="CM119" s="672"/>
      <c r="CN119" s="438">
        <v>0</v>
      </c>
      <c r="CO119" s="672"/>
      <c r="CP119" s="672"/>
      <c r="CQ119" s="496"/>
      <c r="CR119" s="496"/>
      <c r="CS119" s="496"/>
      <c r="CT119" s="438">
        <f t="shared" si="111"/>
        <v>0</v>
      </c>
      <c r="CU119" s="438">
        <f t="shared" si="112"/>
        <v>0</v>
      </c>
      <c r="CV119" s="438">
        <f>IF(CT119&lt;0.1,0,PPMT($L$3,A119-14,unwinds!$B$8*12,$K$5))</f>
        <v>0</v>
      </c>
      <c r="CW119" s="438">
        <f t="shared" si="109"/>
        <v>0</v>
      </c>
      <c r="CX119" s="438">
        <f t="shared" si="110"/>
        <v>0</v>
      </c>
      <c r="CY119" s="672">
        <f>CX119</f>
        <v>0</v>
      </c>
      <c r="CZ119" s="438"/>
      <c r="DA119" s="438">
        <f t="shared" si="116"/>
        <v>6098015.3517641574</v>
      </c>
      <c r="DB119" s="438">
        <f t="shared" si="117"/>
        <v>48123.50448433881</v>
      </c>
      <c r="DC119" s="438">
        <f t="shared" si="118"/>
        <v>447274.5671872762</v>
      </c>
      <c r="DD119" s="438">
        <f t="shared" si="119"/>
        <v>5650740.7845768817</v>
      </c>
      <c r="DE119" s="438">
        <f t="shared" si="113"/>
        <v>5650740.7845768817</v>
      </c>
      <c r="DF119" s="672">
        <f>DE119</f>
        <v>5650740.7845768817</v>
      </c>
      <c r="DG119" s="672"/>
      <c r="DH119" s="944">
        <v>-715341.08333333337</v>
      </c>
      <c r="DI119" s="944">
        <v>-705333.33333333337</v>
      </c>
      <c r="DJ119" s="944"/>
      <c r="DK119" s="672"/>
      <c r="DL119" s="381">
        <f t="shared" si="115"/>
        <v>474832.92700924521</v>
      </c>
      <c r="DM119" s="672"/>
      <c r="DN119" s="944">
        <f t="shared" si="95"/>
        <v>-715341.08333333337</v>
      </c>
      <c r="DO119" s="944">
        <f t="shared" si="96"/>
        <v>474832.92700924521</v>
      </c>
      <c r="DP119" s="672"/>
      <c r="DQ119" s="438">
        <f t="shared" si="97"/>
        <v>569527.70183311589</v>
      </c>
      <c r="DR119" s="438">
        <f t="shared" si="98"/>
        <v>-31910.864884775947</v>
      </c>
      <c r="DS119" s="672"/>
      <c r="DT119" s="672"/>
      <c r="DU119" s="672"/>
      <c r="DV119" s="672"/>
      <c r="DW119" s="672"/>
      <c r="DX119" s="672"/>
    </row>
    <row r="120" spans="1:128" s="532" customFormat="1" x14ac:dyDescent="0.2">
      <c r="A120" s="528">
        <v>109</v>
      </c>
      <c r="B120" s="633">
        <v>39814</v>
      </c>
      <c r="C120" s="381">
        <v>0</v>
      </c>
      <c r="D120" s="381">
        <v>0</v>
      </c>
      <c r="E120" s="381">
        <v>0</v>
      </c>
      <c r="F120" s="381">
        <v>44244.599064006972</v>
      </c>
      <c r="G120" s="381">
        <v>447274.56718727649</v>
      </c>
      <c r="H120" s="381">
        <v>0</v>
      </c>
      <c r="I120" s="381">
        <v>491519.16625128349</v>
      </c>
      <c r="J120" s="381"/>
      <c r="K120" s="381"/>
      <c r="L120" s="381">
        <f t="shared" si="114"/>
        <v>491519.16625128326</v>
      </c>
      <c r="M120" s="381"/>
      <c r="N120" s="679">
        <f t="shared" si="99"/>
        <v>-715341.08333333337</v>
      </c>
      <c r="O120" s="679">
        <f t="shared" si="100"/>
        <v>-705333.33333333337</v>
      </c>
      <c r="P120" s="564">
        <f>Breakout!$L$16/12</f>
        <v>3704106.7714663036</v>
      </c>
      <c r="Q120" s="557">
        <f>'wholesale services'!$D$110*'wholesale services'!$M$111/12</f>
        <v>3250582.4999999995</v>
      </c>
      <c r="R120" s="557">
        <v>3320487.5</v>
      </c>
      <c r="S120" s="564">
        <f>Breakout!$L$27/12</f>
        <v>131232.927124882</v>
      </c>
      <c r="T120" s="557">
        <f>'wholesale services'!$D$113*'wholesale services'!$M$114/12</f>
        <v>172908.15903411602</v>
      </c>
      <c r="U120" s="557">
        <v>176436.89697358778</v>
      </c>
      <c r="V120" s="564">
        <f>Breakout!$L$38/12</f>
        <v>66058.027920196371</v>
      </c>
      <c r="W120" s="531">
        <f>Breakout!$L$39/12</f>
        <v>75637.701466581333</v>
      </c>
      <c r="X120" s="531">
        <v>76451.01008450157</v>
      </c>
      <c r="Y120" s="564">
        <f>Breakout!$L$49/12</f>
        <v>480510.33410934295</v>
      </c>
      <c r="Z120" s="560">
        <f>Breakout!$L$50/12</f>
        <v>458858.29797164747</v>
      </c>
      <c r="AA120" s="560">
        <v>481998.75334291131</v>
      </c>
      <c r="AB120" s="564">
        <f>Breakout!$L$60/12</f>
        <v>442105.92372305627</v>
      </c>
      <c r="AC120" s="560">
        <f>Breakout!$L$61/12</f>
        <v>454595.66285157675</v>
      </c>
      <c r="AD120" s="560">
        <v>468770.13786253909</v>
      </c>
      <c r="AE120" s="564">
        <f>Breakout!$L$71/12</f>
        <v>335434.18774308823</v>
      </c>
      <c r="AF120" s="560">
        <f>Breakout!$L$72/12</f>
        <v>316520.66666666669</v>
      </c>
      <c r="AG120" s="560">
        <v>316520.66666666669</v>
      </c>
      <c r="AH120" s="564">
        <f>Breakout!$L$82/12</f>
        <v>22078.217887766154</v>
      </c>
      <c r="AI120" s="560">
        <f>Breakout!$L$83/12</f>
        <v>0</v>
      </c>
      <c r="AJ120" s="560">
        <v>0</v>
      </c>
      <c r="AK120" s="570">
        <f>Breakout!$L$91/12</f>
        <v>296858.28275896347</v>
      </c>
      <c r="AL120" s="570">
        <v>296858.28275896347</v>
      </c>
      <c r="AM120" s="567">
        <f>(Breakout!$L$107/12)*-1</f>
        <v>55221.25</v>
      </c>
      <c r="AN120" s="567">
        <v>55221.25</v>
      </c>
      <c r="AO120" s="578">
        <f t="shared" si="120"/>
        <v>5181526.3899746351</v>
      </c>
      <c r="AP120" s="578">
        <f t="shared" si="121"/>
        <v>5118497.4511317778</v>
      </c>
      <c r="AQ120" s="548">
        <f t="shared" si="122"/>
        <v>340852.02554917213</v>
      </c>
      <c r="AR120" s="531"/>
      <c r="AS120" s="553">
        <f t="shared" si="123"/>
        <v>202596.05936751526</v>
      </c>
      <c r="AT120" s="531"/>
      <c r="AU120" s="557">
        <f>'wholesale services'!$M$110/12</f>
        <v>39106610.706018515</v>
      </c>
      <c r="AV120" s="557">
        <f>'wholesale services'!$M$113/12</f>
        <v>17613.255833333333</v>
      </c>
      <c r="AW120" s="531"/>
      <c r="AX120" s="552">
        <f t="shared" si="124"/>
        <v>-715341.08333333337</v>
      </c>
      <c r="AY120" s="381">
        <f t="shared" si="125"/>
        <v>-705333.33333333337</v>
      </c>
      <c r="AZ120" s="496"/>
      <c r="BA120" s="438">
        <f t="shared" si="126"/>
        <v>682007.01997418783</v>
      </c>
      <c r="BB120" s="438">
        <f t="shared" si="127"/>
        <v>-29649.824093029609</v>
      </c>
      <c r="BC120" s="438">
        <f t="shared" si="128"/>
        <v>-9579.6735463849618</v>
      </c>
      <c r="BD120" s="438">
        <f t="shared" si="101"/>
        <v>21652.036137695482</v>
      </c>
      <c r="BE120" s="438">
        <f t="shared" si="102"/>
        <v>-12489.739128520479</v>
      </c>
      <c r="BF120" s="438">
        <f t="shared" si="103"/>
        <v>18913.521076421544</v>
      </c>
      <c r="BG120" s="438">
        <f t="shared" si="104"/>
        <v>22078.217887766154</v>
      </c>
      <c r="BH120" s="438">
        <f t="shared" si="105"/>
        <v>-296858.28275896347</v>
      </c>
      <c r="BI120" s="438">
        <f t="shared" si="106"/>
        <v>-55221.25</v>
      </c>
      <c r="BJ120" s="531"/>
      <c r="BK120" s="496"/>
      <c r="BL120" s="438">
        <f t="shared" si="129"/>
        <v>837900.94813735073</v>
      </c>
      <c r="BM120" s="438">
        <f t="shared" si="130"/>
        <v>-24126.652711620096</v>
      </c>
      <c r="BN120" s="438">
        <f t="shared" si="131"/>
        <v>-6799.5038335354766</v>
      </c>
      <c r="BO120" s="438">
        <f t="shared" si="132"/>
        <v>41875.16903557512</v>
      </c>
      <c r="BP120" s="438">
        <f t="shared" si="133"/>
        <v>6117.0757841360755</v>
      </c>
      <c r="BQ120" s="438">
        <f t="shared" si="134"/>
        <v>33030.866065046052</v>
      </c>
      <c r="BR120" s="438">
        <f t="shared" si="135"/>
        <v>23007.418995001935</v>
      </c>
      <c r="BS120" s="438">
        <f t="shared" si="107"/>
        <v>-296858.28275896347</v>
      </c>
      <c r="BT120" s="438">
        <f t="shared" si="108"/>
        <v>-55221.25</v>
      </c>
      <c r="BU120" s="531"/>
      <c r="BV120" s="531"/>
      <c r="BW120" s="564">
        <f>Breakout!$L$15/12</f>
        <v>3860000.6996294665</v>
      </c>
      <c r="BX120" s="564">
        <f>Breakout!$L$26/12</f>
        <v>136756.09850629151</v>
      </c>
      <c r="BY120" s="564">
        <f>Breakout!$L$37/12</f>
        <v>68838.197633045856</v>
      </c>
      <c r="BZ120" s="564">
        <f>Breakout!$L$48/12</f>
        <v>500733.46700722259</v>
      </c>
      <c r="CA120" s="564">
        <f>Breakout!$L$59/12</f>
        <v>460712.73863571283</v>
      </c>
      <c r="CB120" s="564">
        <f>Breakout!$L$70/12</f>
        <v>349551.53273171274</v>
      </c>
      <c r="CC120" s="564">
        <f>Breakout!$L$81/12</f>
        <v>23007.418995001935</v>
      </c>
      <c r="CD120" s="531"/>
      <c r="CE120" s="634">
        <f t="shared" si="90"/>
        <v>3858444.5536107332</v>
      </c>
      <c r="CF120" s="634">
        <f t="shared" si="91"/>
        <v>136700.96575508543</v>
      </c>
      <c r="CG120" s="634">
        <f t="shared" si="92"/>
        <v>68810.445750204555</v>
      </c>
      <c r="CH120" s="531"/>
      <c r="CI120" s="634">
        <f t="shared" si="93"/>
        <v>-715341.08333333337</v>
      </c>
      <c r="CJ120" s="634">
        <f t="shared" si="94"/>
        <v>-705333.33333333337</v>
      </c>
      <c r="CK120" s="531"/>
      <c r="CL120" s="438">
        <f>'account mgt'!$L$23/12</f>
        <v>-58858.309004648821</v>
      </c>
      <c r="CM120" s="531"/>
      <c r="CN120" s="438">
        <v>0</v>
      </c>
      <c r="CO120" s="531"/>
      <c r="CP120" s="531"/>
      <c r="CQ120" s="496"/>
      <c r="CR120" s="496"/>
      <c r="CS120" s="496"/>
      <c r="CT120" s="438">
        <f t="shared" si="111"/>
        <v>0</v>
      </c>
      <c r="CU120" s="438">
        <f t="shared" si="112"/>
        <v>0</v>
      </c>
      <c r="CV120" s="438">
        <f>IF(CT120&lt;0.1,0,PPMT($L$3,A120-14,unwinds!$B$8*12,$K$5))</f>
        <v>0</v>
      </c>
      <c r="CW120" s="438">
        <f t="shared" si="109"/>
        <v>0</v>
      </c>
      <c r="CX120" s="438">
        <f t="shared" si="110"/>
        <v>0</v>
      </c>
      <c r="CY120" s="531"/>
      <c r="CZ120" s="438"/>
      <c r="DA120" s="438">
        <f t="shared" si="116"/>
        <v>5650740.7845768817</v>
      </c>
      <c r="DB120" s="438">
        <f t="shared" si="117"/>
        <v>44593.762691619224</v>
      </c>
      <c r="DC120" s="438">
        <f t="shared" si="118"/>
        <v>450804.30897999578</v>
      </c>
      <c r="DD120" s="438">
        <f t="shared" si="119"/>
        <v>5199936.4755968861</v>
      </c>
      <c r="DE120" s="438">
        <f t="shared" si="113"/>
        <v>5199936.4755968861</v>
      </c>
      <c r="DF120" s="531"/>
      <c r="DG120" s="531"/>
      <c r="DH120" s="944">
        <v>-715341.08333333337</v>
      </c>
      <c r="DI120" s="944">
        <v>-705333.33333333337</v>
      </c>
      <c r="DJ120" s="944"/>
      <c r="DK120" s="531"/>
      <c r="DL120" s="381">
        <f t="shared" si="115"/>
        <v>474832.92700924521</v>
      </c>
      <c r="DM120" s="531"/>
      <c r="DN120" s="944">
        <f t="shared" si="95"/>
        <v>-715341.08333333337</v>
      </c>
      <c r="DO120" s="944">
        <f t="shared" si="96"/>
        <v>474832.92700924521</v>
      </c>
      <c r="DP120" s="531"/>
      <c r="DQ120" s="438">
        <f t="shared" si="97"/>
        <v>609418.19962946698</v>
      </c>
      <c r="DR120" s="438">
        <f t="shared" si="98"/>
        <v>-36152.060527824506</v>
      </c>
      <c r="DS120" s="531"/>
      <c r="DT120" s="531"/>
      <c r="DU120" s="531"/>
      <c r="DV120" s="531"/>
      <c r="DW120" s="531"/>
      <c r="DX120" s="531"/>
    </row>
    <row r="121" spans="1:128" x14ac:dyDescent="0.2">
      <c r="A121" s="383">
        <v>110</v>
      </c>
      <c r="B121" s="631">
        <v>39845</v>
      </c>
      <c r="C121" s="381">
        <v>0</v>
      </c>
      <c r="D121" s="381">
        <v>0</v>
      </c>
      <c r="E121" s="381">
        <v>0</v>
      </c>
      <c r="F121" s="381">
        <v>40714.857271287299</v>
      </c>
      <c r="G121" s="381">
        <v>450804.30897999619</v>
      </c>
      <c r="H121" s="381">
        <v>0</v>
      </c>
      <c r="I121" s="381">
        <v>491519.16625128349</v>
      </c>
      <c r="J121" s="381"/>
      <c r="K121" s="381"/>
      <c r="L121" s="381">
        <f t="shared" si="114"/>
        <v>491519.16625128326</v>
      </c>
      <c r="M121" s="381"/>
      <c r="N121" s="679">
        <f t="shared" si="99"/>
        <v>-715341.08333333337</v>
      </c>
      <c r="O121" s="679">
        <f t="shared" si="100"/>
        <v>-705333.33333333337</v>
      </c>
      <c r="P121" s="565">
        <f>Breakout!$L$16/12</f>
        <v>3704106.7714663036</v>
      </c>
      <c r="Q121" s="557">
        <f>'wholesale services'!$D$110*'wholesale services'!$M$111/12</f>
        <v>3250582.4999999995</v>
      </c>
      <c r="R121" s="557">
        <v>3320487.5</v>
      </c>
      <c r="S121" s="565">
        <f>Breakout!$L$27/12</f>
        <v>131232.927124882</v>
      </c>
      <c r="T121" s="557">
        <f>'wholesale services'!$D$113*'wholesale services'!$M$114/12</f>
        <v>172908.15903411602</v>
      </c>
      <c r="U121" s="557">
        <v>176436.89697358778</v>
      </c>
      <c r="V121" s="565">
        <f>Breakout!$L$38/12</f>
        <v>66058.027920196371</v>
      </c>
      <c r="W121" s="496">
        <f>Breakout!$L$39/12</f>
        <v>75637.701466581333</v>
      </c>
      <c r="X121" s="496">
        <v>76451.01008450157</v>
      </c>
      <c r="Y121" s="565">
        <f>Breakout!$L$49/12</f>
        <v>480510.33410934295</v>
      </c>
      <c r="Z121" s="566">
        <f>Breakout!$L$50/12</f>
        <v>458858.29797164747</v>
      </c>
      <c r="AA121" s="566">
        <v>481998.75334291131</v>
      </c>
      <c r="AB121" s="565">
        <f>Breakout!$L$60/12</f>
        <v>442105.92372305627</v>
      </c>
      <c r="AC121" s="566">
        <f>Breakout!$L$61/12</f>
        <v>454595.66285157675</v>
      </c>
      <c r="AD121" s="566">
        <v>468770.13786253909</v>
      </c>
      <c r="AE121" s="565">
        <f>Breakout!$L$71/12</f>
        <v>335434.18774308823</v>
      </c>
      <c r="AF121" s="566">
        <f>Breakout!$L$72/12</f>
        <v>316520.66666666669</v>
      </c>
      <c r="AG121" s="566">
        <v>316520.66666666669</v>
      </c>
      <c r="AH121" s="565">
        <f>Breakout!$L$82/12</f>
        <v>22078.217887766154</v>
      </c>
      <c r="AI121" s="566">
        <f>Breakout!$L$83/12</f>
        <v>0</v>
      </c>
      <c r="AJ121" s="566">
        <v>0</v>
      </c>
      <c r="AK121" s="571">
        <f>Breakout!$L$91/12</f>
        <v>296858.28275896347</v>
      </c>
      <c r="AL121" s="571">
        <v>296858.28275896347</v>
      </c>
      <c r="AM121" s="567">
        <f>(Breakout!$L$107/12)*-1</f>
        <v>55221.25</v>
      </c>
      <c r="AN121" s="567">
        <v>55221.25</v>
      </c>
      <c r="AO121" s="578">
        <f t="shared" si="120"/>
        <v>5181526.3899746351</v>
      </c>
      <c r="AP121" s="578">
        <f t="shared" si="121"/>
        <v>5118497.4511317778</v>
      </c>
      <c r="AQ121" s="548">
        <f t="shared" si="122"/>
        <v>340852.02554917213</v>
      </c>
      <c r="AR121" s="496"/>
      <c r="AS121" s="553">
        <f t="shared" si="123"/>
        <v>202596.05936751526</v>
      </c>
      <c r="AT121" s="496"/>
      <c r="AU121" s="557">
        <f>'wholesale services'!$M$110/12</f>
        <v>39106610.706018515</v>
      </c>
      <c r="AV121" s="557">
        <f>'wholesale services'!$M$113/12</f>
        <v>17613.255833333333</v>
      </c>
      <c r="AW121" s="496"/>
      <c r="AX121" s="552">
        <f t="shared" si="124"/>
        <v>-715341.08333333337</v>
      </c>
      <c r="AY121" s="381">
        <f t="shared" si="125"/>
        <v>-705333.33333333337</v>
      </c>
      <c r="AZ121" s="496"/>
      <c r="BA121" s="438">
        <f t="shared" si="126"/>
        <v>682007.01997418783</v>
      </c>
      <c r="BB121" s="438">
        <f t="shared" si="127"/>
        <v>-29649.824093029609</v>
      </c>
      <c r="BC121" s="438">
        <f t="shared" si="128"/>
        <v>-9579.6735463849618</v>
      </c>
      <c r="BD121" s="438">
        <f t="shared" si="101"/>
        <v>21652.036137695482</v>
      </c>
      <c r="BE121" s="438">
        <f t="shared" si="102"/>
        <v>-12489.739128520479</v>
      </c>
      <c r="BF121" s="438">
        <f t="shared" si="103"/>
        <v>18913.521076421544</v>
      </c>
      <c r="BG121" s="438">
        <f t="shared" si="104"/>
        <v>22078.217887766154</v>
      </c>
      <c r="BH121" s="438">
        <f t="shared" si="105"/>
        <v>-296858.28275896347</v>
      </c>
      <c r="BI121" s="438">
        <f t="shared" si="106"/>
        <v>-55221.25</v>
      </c>
      <c r="BL121" s="438">
        <f t="shared" si="129"/>
        <v>837900.94813735073</v>
      </c>
      <c r="BM121" s="438">
        <f t="shared" si="130"/>
        <v>-24126.652711620096</v>
      </c>
      <c r="BN121" s="438">
        <f t="shared" si="131"/>
        <v>-6799.5038335354766</v>
      </c>
      <c r="BO121" s="438">
        <f t="shared" si="132"/>
        <v>41875.16903557512</v>
      </c>
      <c r="BP121" s="438">
        <f t="shared" si="133"/>
        <v>6117.0757841360755</v>
      </c>
      <c r="BQ121" s="438">
        <f t="shared" si="134"/>
        <v>33030.866065046052</v>
      </c>
      <c r="BR121" s="438">
        <f t="shared" si="135"/>
        <v>23007.418995001935</v>
      </c>
      <c r="BS121" s="438">
        <f t="shared" si="107"/>
        <v>-296858.28275896347</v>
      </c>
      <c r="BT121" s="438">
        <f t="shared" si="108"/>
        <v>-55221.25</v>
      </c>
      <c r="BW121" s="565">
        <f>Breakout!$L$15/12</f>
        <v>3860000.6996294665</v>
      </c>
      <c r="BX121" s="565">
        <f>Breakout!$L$26/12</f>
        <v>136756.09850629151</v>
      </c>
      <c r="BY121" s="565">
        <f>Breakout!$L$37/12</f>
        <v>68838.197633045856</v>
      </c>
      <c r="BZ121" s="565">
        <f>Breakout!$L$48/12</f>
        <v>500733.46700722259</v>
      </c>
      <c r="CA121" s="565">
        <f>Breakout!$L$59/12</f>
        <v>460712.73863571283</v>
      </c>
      <c r="CB121" s="565">
        <f>Breakout!$L$70/12</f>
        <v>349551.53273171274</v>
      </c>
      <c r="CC121" s="565">
        <f>Breakout!$L$81/12</f>
        <v>23007.418995001935</v>
      </c>
      <c r="CE121" s="634">
        <f t="shared" si="90"/>
        <v>3858444.5536107332</v>
      </c>
      <c r="CF121" s="634">
        <f t="shared" si="91"/>
        <v>136700.96575508543</v>
      </c>
      <c r="CG121" s="634">
        <f t="shared" si="92"/>
        <v>68810.445750204555</v>
      </c>
      <c r="CI121" s="634">
        <f t="shared" si="93"/>
        <v>-715341.08333333337</v>
      </c>
      <c r="CJ121" s="634">
        <f t="shared" si="94"/>
        <v>-705333.33333333337</v>
      </c>
      <c r="CL121" s="438">
        <f>'account mgt'!$L$23/12</f>
        <v>-58858.309004648821</v>
      </c>
      <c r="CN121" s="438">
        <v>0</v>
      </c>
      <c r="CT121" s="438">
        <f t="shared" si="111"/>
        <v>0</v>
      </c>
      <c r="CU121" s="438">
        <f t="shared" si="112"/>
        <v>0</v>
      </c>
      <c r="CV121" s="438">
        <f>IF(CT121&lt;0.1,0,PPMT($L$3,A121-14,unwinds!$B$8*12,$K$5))</f>
        <v>0</v>
      </c>
      <c r="CW121" s="438">
        <f t="shared" si="109"/>
        <v>0</v>
      </c>
      <c r="CX121" s="438">
        <f t="shared" si="110"/>
        <v>0</v>
      </c>
      <c r="DA121" s="438">
        <f t="shared" si="116"/>
        <v>5199936.4755968861</v>
      </c>
      <c r="DB121" s="438">
        <f t="shared" si="117"/>
        <v>41036.165353252094</v>
      </c>
      <c r="DC121" s="438">
        <f t="shared" si="118"/>
        <v>454361.90631836298</v>
      </c>
      <c r="DD121" s="438">
        <f t="shared" si="119"/>
        <v>4745574.5692785233</v>
      </c>
      <c r="DE121" s="438">
        <f t="shared" si="113"/>
        <v>4745574.5692785233</v>
      </c>
      <c r="DH121" s="944">
        <v>-715341.08333333337</v>
      </c>
      <c r="DI121" s="944">
        <v>-705333.33333333337</v>
      </c>
      <c r="DJ121" s="944"/>
      <c r="DL121" s="381">
        <f t="shared" si="115"/>
        <v>474832.92700924521</v>
      </c>
      <c r="DN121" s="944">
        <f t="shared" si="95"/>
        <v>-715341.08333333337</v>
      </c>
      <c r="DO121" s="944">
        <f t="shared" si="96"/>
        <v>474832.92700924521</v>
      </c>
      <c r="DQ121" s="438">
        <f t="shared" si="97"/>
        <v>609418.19962946698</v>
      </c>
      <c r="DR121" s="438">
        <f t="shared" si="98"/>
        <v>-36152.060527824506</v>
      </c>
      <c r="DS121" s="438"/>
      <c r="DT121" s="438"/>
      <c r="DU121" s="438"/>
      <c r="DV121" s="438"/>
      <c r="DW121" s="438"/>
      <c r="DX121" s="438"/>
    </row>
    <row r="122" spans="1:128" x14ac:dyDescent="0.2">
      <c r="A122" s="383">
        <v>111</v>
      </c>
      <c r="B122" s="631">
        <v>39873</v>
      </c>
      <c r="C122" s="381">
        <v>0</v>
      </c>
      <c r="D122" s="381">
        <v>0</v>
      </c>
      <c r="E122" s="381">
        <v>0</v>
      </c>
      <c r="F122" s="381">
        <v>37157.259932920228</v>
      </c>
      <c r="G122" s="381">
        <v>454361.90631836327</v>
      </c>
      <c r="H122" s="381">
        <v>0</v>
      </c>
      <c r="I122" s="381">
        <v>491519.16625128349</v>
      </c>
      <c r="J122" s="381"/>
      <c r="K122" s="381"/>
      <c r="L122" s="381">
        <f t="shared" si="114"/>
        <v>491519.16625128326</v>
      </c>
      <c r="M122" s="381"/>
      <c r="N122" s="679">
        <f t="shared" si="99"/>
        <v>-715341.08333333337</v>
      </c>
      <c r="O122" s="679">
        <f t="shared" si="100"/>
        <v>-705333.33333333337</v>
      </c>
      <c r="P122" s="565">
        <f>Breakout!$L$16/12</f>
        <v>3704106.7714663036</v>
      </c>
      <c r="Q122" s="557">
        <f>'wholesale services'!$D$110*'wholesale services'!$M$111/12</f>
        <v>3250582.4999999995</v>
      </c>
      <c r="R122" s="557">
        <v>3320487.5</v>
      </c>
      <c r="S122" s="565">
        <f>Breakout!$L$27/12</f>
        <v>131232.927124882</v>
      </c>
      <c r="T122" s="557">
        <f>'wholesale services'!$D$113*'wholesale services'!$M$114/12</f>
        <v>172908.15903411602</v>
      </c>
      <c r="U122" s="557">
        <v>176436.89697358778</v>
      </c>
      <c r="V122" s="565">
        <f>Breakout!$L$38/12</f>
        <v>66058.027920196371</v>
      </c>
      <c r="W122" s="496">
        <f>Breakout!$L$39/12</f>
        <v>75637.701466581333</v>
      </c>
      <c r="X122" s="496">
        <v>76451.01008450157</v>
      </c>
      <c r="Y122" s="565">
        <f>Breakout!$L$49/12</f>
        <v>480510.33410934295</v>
      </c>
      <c r="Z122" s="566">
        <f>Breakout!$L$50/12</f>
        <v>458858.29797164747</v>
      </c>
      <c r="AA122" s="566">
        <v>481998.75334291131</v>
      </c>
      <c r="AB122" s="565">
        <f>Breakout!$L$60/12</f>
        <v>442105.92372305627</v>
      </c>
      <c r="AC122" s="566">
        <f>Breakout!$L$61/12</f>
        <v>454595.66285157675</v>
      </c>
      <c r="AD122" s="566">
        <v>468770.13786253909</v>
      </c>
      <c r="AE122" s="565">
        <f>Breakout!$L$71/12</f>
        <v>335434.18774308823</v>
      </c>
      <c r="AF122" s="566">
        <f>Breakout!$L$72/12</f>
        <v>316520.66666666669</v>
      </c>
      <c r="AG122" s="566">
        <v>316520.66666666669</v>
      </c>
      <c r="AH122" s="565">
        <f>Breakout!$L$82/12</f>
        <v>22078.217887766154</v>
      </c>
      <c r="AI122" s="566">
        <f>Breakout!$L$83/12</f>
        <v>0</v>
      </c>
      <c r="AJ122" s="566">
        <v>0</v>
      </c>
      <c r="AK122" s="571">
        <f>Breakout!$L$91/12</f>
        <v>296858.28275896347</v>
      </c>
      <c r="AL122" s="571">
        <v>296858.28275896347</v>
      </c>
      <c r="AM122" s="567">
        <f>(Breakout!$L$107/12)*-1</f>
        <v>55221.25</v>
      </c>
      <c r="AN122" s="567">
        <v>55221.25</v>
      </c>
      <c r="AO122" s="578">
        <f t="shared" si="120"/>
        <v>5181526.3899746351</v>
      </c>
      <c r="AP122" s="578">
        <f t="shared" si="121"/>
        <v>5118497.4511317778</v>
      </c>
      <c r="AQ122" s="548">
        <f t="shared" si="122"/>
        <v>340852.02554917213</v>
      </c>
      <c r="AR122" s="496"/>
      <c r="AS122" s="553">
        <f t="shared" si="123"/>
        <v>202596.05936751526</v>
      </c>
      <c r="AT122" s="496"/>
      <c r="AU122" s="557">
        <f>'wholesale services'!$M$110/12</f>
        <v>39106610.706018515</v>
      </c>
      <c r="AV122" s="557">
        <f>'wholesale services'!$M$113/12</f>
        <v>17613.255833333333</v>
      </c>
      <c r="AW122" s="496"/>
      <c r="AX122" s="552">
        <f t="shared" si="124"/>
        <v>-715341.08333333337</v>
      </c>
      <c r="AY122" s="381">
        <f t="shared" si="125"/>
        <v>-705333.33333333337</v>
      </c>
      <c r="AZ122" s="496"/>
      <c r="BA122" s="438">
        <f t="shared" si="126"/>
        <v>682007.01997418783</v>
      </c>
      <c r="BB122" s="438">
        <f t="shared" si="127"/>
        <v>-29649.824093029609</v>
      </c>
      <c r="BC122" s="438">
        <f t="shared" si="128"/>
        <v>-9579.6735463849618</v>
      </c>
      <c r="BD122" s="438">
        <f t="shared" si="101"/>
        <v>21652.036137695482</v>
      </c>
      <c r="BE122" s="438">
        <f t="shared" si="102"/>
        <v>-12489.739128520479</v>
      </c>
      <c r="BF122" s="438">
        <f t="shared" si="103"/>
        <v>18913.521076421544</v>
      </c>
      <c r="BG122" s="438">
        <f t="shared" si="104"/>
        <v>22078.217887766154</v>
      </c>
      <c r="BH122" s="438">
        <f t="shared" si="105"/>
        <v>-296858.28275896347</v>
      </c>
      <c r="BI122" s="438">
        <f t="shared" si="106"/>
        <v>-55221.25</v>
      </c>
      <c r="BL122" s="438">
        <f t="shared" si="129"/>
        <v>837900.94813735073</v>
      </c>
      <c r="BM122" s="438">
        <f t="shared" si="130"/>
        <v>-24126.652711620096</v>
      </c>
      <c r="BN122" s="438">
        <f t="shared" si="131"/>
        <v>-6799.5038335354766</v>
      </c>
      <c r="BO122" s="438">
        <f t="shared" si="132"/>
        <v>41875.16903557512</v>
      </c>
      <c r="BP122" s="438">
        <f t="shared" si="133"/>
        <v>6117.0757841360755</v>
      </c>
      <c r="BQ122" s="438">
        <f t="shared" si="134"/>
        <v>33030.866065046052</v>
      </c>
      <c r="BR122" s="438">
        <f t="shared" si="135"/>
        <v>23007.418995001935</v>
      </c>
      <c r="BS122" s="438">
        <f t="shared" si="107"/>
        <v>-296858.28275896347</v>
      </c>
      <c r="BT122" s="438">
        <f t="shared" si="108"/>
        <v>-55221.25</v>
      </c>
      <c r="BW122" s="565">
        <f>Breakout!$L$15/12</f>
        <v>3860000.6996294665</v>
      </c>
      <c r="BX122" s="565">
        <f>Breakout!$L$26/12</f>
        <v>136756.09850629151</v>
      </c>
      <c r="BY122" s="565">
        <f>Breakout!$L$37/12</f>
        <v>68838.197633045856</v>
      </c>
      <c r="BZ122" s="565">
        <f>Breakout!$L$48/12</f>
        <v>500733.46700722259</v>
      </c>
      <c r="CA122" s="565">
        <f>Breakout!$L$59/12</f>
        <v>460712.73863571283</v>
      </c>
      <c r="CB122" s="565">
        <f>Breakout!$L$70/12</f>
        <v>349551.53273171274</v>
      </c>
      <c r="CC122" s="565">
        <f>Breakout!$L$81/12</f>
        <v>23007.418995001935</v>
      </c>
      <c r="CE122" s="634">
        <f t="shared" si="90"/>
        <v>3858444.5536107332</v>
      </c>
      <c r="CF122" s="634">
        <f t="shared" si="91"/>
        <v>136700.96575508543</v>
      </c>
      <c r="CG122" s="634">
        <f t="shared" si="92"/>
        <v>68810.445750204555</v>
      </c>
      <c r="CI122" s="634">
        <f t="shared" si="93"/>
        <v>-715341.08333333337</v>
      </c>
      <c r="CJ122" s="634">
        <f t="shared" si="94"/>
        <v>-705333.33333333337</v>
      </c>
      <c r="CL122" s="438">
        <f>'account mgt'!$L$23/12</f>
        <v>-58858.309004648821</v>
      </c>
      <c r="CN122" s="438">
        <v>0</v>
      </c>
      <c r="CT122" s="438">
        <f t="shared" si="111"/>
        <v>0</v>
      </c>
      <c r="CU122" s="438">
        <f t="shared" si="112"/>
        <v>0</v>
      </c>
      <c r="CV122" s="438">
        <f>IF(CT122&lt;0.1,0,PPMT($L$3,A122-14,unwinds!$B$8*12,$K$5))</f>
        <v>0</v>
      </c>
      <c r="CW122" s="438">
        <f t="shared" si="109"/>
        <v>0</v>
      </c>
      <c r="CX122" s="438">
        <f t="shared" si="110"/>
        <v>0</v>
      </c>
      <c r="DA122" s="438">
        <f t="shared" si="116"/>
        <v>4745574.5692785233</v>
      </c>
      <c r="DB122" s="438">
        <f t="shared" si="117"/>
        <v>37450.492642556346</v>
      </c>
      <c r="DC122" s="438">
        <f t="shared" si="118"/>
        <v>457947.57902905851</v>
      </c>
      <c r="DD122" s="438">
        <f t="shared" si="119"/>
        <v>4287626.9902494652</v>
      </c>
      <c r="DE122" s="438">
        <f t="shared" ref="DE122:DE131" si="136">DE121-DC122</f>
        <v>4287626.9902494652</v>
      </c>
      <c r="DH122" s="944">
        <v>-715341.08333333337</v>
      </c>
      <c r="DI122" s="944">
        <v>-705333.33333333337</v>
      </c>
      <c r="DJ122" s="944"/>
      <c r="DL122" s="381">
        <f t="shared" si="115"/>
        <v>474832.92700924521</v>
      </c>
      <c r="DN122" s="944">
        <f t="shared" si="95"/>
        <v>-715341.08333333337</v>
      </c>
      <c r="DO122" s="944">
        <f t="shared" si="96"/>
        <v>474832.92700924521</v>
      </c>
      <c r="DQ122" s="438">
        <f t="shared" si="97"/>
        <v>609418.19962946698</v>
      </c>
      <c r="DR122" s="438">
        <f t="shared" si="98"/>
        <v>-36152.060527824506</v>
      </c>
      <c r="DS122" s="438"/>
      <c r="DT122" s="438"/>
      <c r="DU122" s="438"/>
      <c r="DV122" s="438"/>
      <c r="DW122" s="438"/>
      <c r="DX122" s="438"/>
    </row>
    <row r="123" spans="1:128" x14ac:dyDescent="0.2">
      <c r="A123" s="383">
        <v>112</v>
      </c>
      <c r="B123" s="631">
        <v>39904</v>
      </c>
      <c r="C123" s="381">
        <v>0</v>
      </c>
      <c r="D123" s="381">
        <v>0</v>
      </c>
      <c r="E123" s="381">
        <v>0</v>
      </c>
      <c r="F123" s="381">
        <v>33571.587222224567</v>
      </c>
      <c r="G123" s="381">
        <v>457947.57902905892</v>
      </c>
      <c r="H123" s="381">
        <v>0</v>
      </c>
      <c r="I123" s="381">
        <v>491519.16625128349</v>
      </c>
      <c r="J123" s="381"/>
      <c r="K123" s="381"/>
      <c r="L123" s="381">
        <f t="shared" si="114"/>
        <v>491519.16625128326</v>
      </c>
      <c r="M123" s="381"/>
      <c r="N123" s="679">
        <f t="shared" si="99"/>
        <v>-715341.08333333337</v>
      </c>
      <c r="O123" s="679">
        <f t="shared" si="100"/>
        <v>-705333.33333333337</v>
      </c>
      <c r="P123" s="565">
        <f>Breakout!$L$16/12</f>
        <v>3704106.7714663036</v>
      </c>
      <c r="Q123" s="557">
        <f>'wholesale services'!$D$110*'wholesale services'!$M$111/12</f>
        <v>3250582.4999999995</v>
      </c>
      <c r="R123" s="557">
        <v>3320487.5</v>
      </c>
      <c r="S123" s="565">
        <f>Breakout!$L$27/12</f>
        <v>131232.927124882</v>
      </c>
      <c r="T123" s="557">
        <f>'wholesale services'!$D$113*'wholesale services'!$M$114/12</f>
        <v>172908.15903411602</v>
      </c>
      <c r="U123" s="557">
        <v>176436.89697358778</v>
      </c>
      <c r="V123" s="565">
        <f>Breakout!$L$38/12</f>
        <v>66058.027920196371</v>
      </c>
      <c r="W123" s="496">
        <f>Breakout!$L$39/12</f>
        <v>75637.701466581333</v>
      </c>
      <c r="X123" s="496">
        <v>76451.01008450157</v>
      </c>
      <c r="Y123" s="565">
        <f>Breakout!$L$49/12</f>
        <v>480510.33410934295</v>
      </c>
      <c r="Z123" s="566">
        <f>Breakout!$L$50/12</f>
        <v>458858.29797164747</v>
      </c>
      <c r="AA123" s="566">
        <v>481998.75334291131</v>
      </c>
      <c r="AB123" s="565">
        <f>Breakout!$L$60/12</f>
        <v>442105.92372305627</v>
      </c>
      <c r="AC123" s="566">
        <f>Breakout!$L$61/12</f>
        <v>454595.66285157675</v>
      </c>
      <c r="AD123" s="566">
        <v>468770.13786253909</v>
      </c>
      <c r="AE123" s="565">
        <f>Breakout!$L$71/12</f>
        <v>335434.18774308823</v>
      </c>
      <c r="AF123" s="566">
        <f>Breakout!$L$72/12</f>
        <v>316520.66666666669</v>
      </c>
      <c r="AG123" s="566">
        <v>316520.66666666669</v>
      </c>
      <c r="AH123" s="565">
        <f>Breakout!$L$82/12</f>
        <v>22078.217887766154</v>
      </c>
      <c r="AI123" s="566">
        <f>Breakout!$L$83/12</f>
        <v>0</v>
      </c>
      <c r="AJ123" s="566">
        <v>0</v>
      </c>
      <c r="AK123" s="571">
        <f>Breakout!$L$91/12</f>
        <v>296858.28275896347</v>
      </c>
      <c r="AL123" s="571">
        <v>296858.28275896347</v>
      </c>
      <c r="AM123" s="567">
        <f>(Breakout!$L$107/12)*-1</f>
        <v>55221.25</v>
      </c>
      <c r="AN123" s="567">
        <v>55221.25</v>
      </c>
      <c r="AO123" s="578">
        <f t="shared" si="120"/>
        <v>5181526.3899746351</v>
      </c>
      <c r="AP123" s="578">
        <f t="shared" si="121"/>
        <v>5118497.4511317778</v>
      </c>
      <c r="AQ123" s="548">
        <f t="shared" si="122"/>
        <v>340852.02554917213</v>
      </c>
      <c r="AR123" s="496"/>
      <c r="AS123" s="553">
        <f t="shared" si="123"/>
        <v>202596.05936751526</v>
      </c>
      <c r="AT123" s="496"/>
      <c r="AU123" s="557">
        <f>'wholesale services'!$M$110/12</f>
        <v>39106610.706018515</v>
      </c>
      <c r="AV123" s="557">
        <f>'wholesale services'!$M$113/12</f>
        <v>17613.255833333333</v>
      </c>
      <c r="AW123" s="496"/>
      <c r="AX123" s="552">
        <f t="shared" si="124"/>
        <v>-715341.08333333337</v>
      </c>
      <c r="AY123" s="381">
        <f t="shared" si="125"/>
        <v>-705333.33333333337</v>
      </c>
      <c r="AZ123" s="496"/>
      <c r="BA123" s="438">
        <f t="shared" si="126"/>
        <v>682007.01997418783</v>
      </c>
      <c r="BB123" s="438">
        <f t="shared" si="127"/>
        <v>-29649.824093029609</v>
      </c>
      <c r="BC123" s="438">
        <f t="shared" si="128"/>
        <v>-9579.6735463849618</v>
      </c>
      <c r="BD123" s="438">
        <f t="shared" si="101"/>
        <v>21652.036137695482</v>
      </c>
      <c r="BE123" s="438">
        <f t="shared" si="102"/>
        <v>-12489.739128520479</v>
      </c>
      <c r="BF123" s="438">
        <f t="shared" si="103"/>
        <v>18913.521076421544</v>
      </c>
      <c r="BG123" s="438">
        <f t="shared" si="104"/>
        <v>22078.217887766154</v>
      </c>
      <c r="BH123" s="438">
        <f t="shared" si="105"/>
        <v>-296858.28275896347</v>
      </c>
      <c r="BI123" s="438">
        <f t="shared" si="106"/>
        <v>-55221.25</v>
      </c>
      <c r="BL123" s="438">
        <f t="shared" si="129"/>
        <v>837900.94813735073</v>
      </c>
      <c r="BM123" s="438">
        <f t="shared" si="130"/>
        <v>-24126.652711620096</v>
      </c>
      <c r="BN123" s="438">
        <f t="shared" si="131"/>
        <v>-6799.5038335354766</v>
      </c>
      <c r="BO123" s="438">
        <f t="shared" si="132"/>
        <v>41875.16903557512</v>
      </c>
      <c r="BP123" s="438">
        <f t="shared" si="133"/>
        <v>6117.0757841360755</v>
      </c>
      <c r="BQ123" s="438">
        <f t="shared" si="134"/>
        <v>33030.866065046052</v>
      </c>
      <c r="BR123" s="438">
        <f t="shared" si="135"/>
        <v>23007.418995001935</v>
      </c>
      <c r="BS123" s="438">
        <f t="shared" si="107"/>
        <v>-296858.28275896347</v>
      </c>
      <c r="BT123" s="438">
        <f t="shared" si="108"/>
        <v>-55221.25</v>
      </c>
      <c r="BW123" s="565">
        <f>Breakout!$L$15/12</f>
        <v>3860000.6996294665</v>
      </c>
      <c r="BX123" s="565">
        <f>Breakout!$L$26/12</f>
        <v>136756.09850629151</v>
      </c>
      <c r="BY123" s="565">
        <f>Breakout!$L$37/12</f>
        <v>68838.197633045856</v>
      </c>
      <c r="BZ123" s="565">
        <f>Breakout!$L$48/12</f>
        <v>500733.46700722259</v>
      </c>
      <c r="CA123" s="565">
        <f>Breakout!$L$59/12</f>
        <v>460712.73863571283</v>
      </c>
      <c r="CB123" s="565">
        <f>Breakout!$L$70/12</f>
        <v>349551.53273171274</v>
      </c>
      <c r="CC123" s="565">
        <f>Breakout!$L$81/12</f>
        <v>23007.418995001935</v>
      </c>
      <c r="CE123" s="634">
        <f t="shared" si="90"/>
        <v>3858444.5536107332</v>
      </c>
      <c r="CF123" s="634">
        <f t="shared" si="91"/>
        <v>136700.96575508543</v>
      </c>
      <c r="CG123" s="634">
        <f t="shared" si="92"/>
        <v>68810.445750204555</v>
      </c>
      <c r="CI123" s="634">
        <f t="shared" si="93"/>
        <v>-715341.08333333337</v>
      </c>
      <c r="CJ123" s="634">
        <f t="shared" si="94"/>
        <v>-705333.33333333337</v>
      </c>
      <c r="CL123" s="438">
        <f>'account mgt'!$L$23/12</f>
        <v>-58858.309004648821</v>
      </c>
      <c r="CN123" s="438">
        <v>0</v>
      </c>
      <c r="CT123" s="438">
        <f t="shared" si="111"/>
        <v>0</v>
      </c>
      <c r="CU123" s="438">
        <f t="shared" si="112"/>
        <v>0</v>
      </c>
      <c r="CV123" s="438">
        <f>IF(CT123&lt;0.1,0,PPMT($L$3,A123-14,unwinds!$B$8*12,$K$5))</f>
        <v>0</v>
      </c>
      <c r="CW123" s="438">
        <f t="shared" si="109"/>
        <v>0</v>
      </c>
      <c r="CX123" s="438">
        <f t="shared" si="110"/>
        <v>0</v>
      </c>
      <c r="DA123" s="438">
        <f t="shared" si="116"/>
        <v>4287626.9902494652</v>
      </c>
      <c r="DB123" s="438">
        <f t="shared" si="117"/>
        <v>33836.522998052031</v>
      </c>
      <c r="DC123" s="438">
        <f t="shared" si="118"/>
        <v>461561.54867356282</v>
      </c>
      <c r="DD123" s="438">
        <f t="shared" si="119"/>
        <v>3826065.4415759025</v>
      </c>
      <c r="DE123" s="438">
        <f t="shared" si="136"/>
        <v>3826065.4415759025</v>
      </c>
      <c r="DH123" s="944">
        <v>-715341.08333333337</v>
      </c>
      <c r="DI123" s="944">
        <v>-705333.33333333337</v>
      </c>
      <c r="DJ123" s="944"/>
      <c r="DL123" s="381">
        <f t="shared" si="115"/>
        <v>474832.92700924521</v>
      </c>
      <c r="DN123" s="944">
        <f t="shared" si="95"/>
        <v>-715341.08333333337</v>
      </c>
      <c r="DO123" s="944">
        <f t="shared" si="96"/>
        <v>474832.92700924521</v>
      </c>
      <c r="DQ123" s="438">
        <f t="shared" si="97"/>
        <v>609418.19962946698</v>
      </c>
      <c r="DR123" s="438">
        <f t="shared" si="98"/>
        <v>-36152.060527824506</v>
      </c>
      <c r="DS123" s="438"/>
      <c r="DT123" s="438"/>
      <c r="DU123" s="438"/>
      <c r="DV123" s="438"/>
      <c r="DW123" s="438"/>
      <c r="DX123" s="438"/>
    </row>
    <row r="124" spans="1:128" x14ac:dyDescent="0.2">
      <c r="A124" s="383">
        <v>113</v>
      </c>
      <c r="B124" s="631">
        <v>39934</v>
      </c>
      <c r="C124" s="381">
        <v>0</v>
      </c>
      <c r="D124" s="381">
        <v>0</v>
      </c>
      <c r="E124" s="381">
        <v>0</v>
      </c>
      <c r="F124" s="381">
        <v>29957.617577720288</v>
      </c>
      <c r="G124" s="381">
        <v>461561.54867356317</v>
      </c>
      <c r="H124" s="381">
        <v>0</v>
      </c>
      <c r="I124" s="381">
        <v>491519.16625128349</v>
      </c>
      <c r="J124" s="381"/>
      <c r="K124" s="381"/>
      <c r="L124" s="381">
        <f t="shared" si="114"/>
        <v>491519.16625128326</v>
      </c>
      <c r="M124" s="381"/>
      <c r="N124" s="679">
        <f t="shared" si="99"/>
        <v>-715341.08333333337</v>
      </c>
      <c r="O124" s="679">
        <f t="shared" si="100"/>
        <v>-705333.33333333337</v>
      </c>
      <c r="P124" s="565">
        <f>Breakout!$L$16/12</f>
        <v>3704106.7714663036</v>
      </c>
      <c r="Q124" s="557">
        <f>'wholesale services'!$D$110*'wholesale services'!$M$111/12</f>
        <v>3250582.4999999995</v>
      </c>
      <c r="R124" s="557">
        <v>3320487.5</v>
      </c>
      <c r="S124" s="565">
        <f>Breakout!$L$27/12</f>
        <v>131232.927124882</v>
      </c>
      <c r="T124" s="557">
        <f>'wholesale services'!$D$113*'wholesale services'!$M$114/12</f>
        <v>172908.15903411602</v>
      </c>
      <c r="U124" s="557">
        <v>176436.89697358778</v>
      </c>
      <c r="V124" s="565">
        <f>Breakout!$L$38/12</f>
        <v>66058.027920196371</v>
      </c>
      <c r="W124" s="496">
        <f>Breakout!$L$39/12</f>
        <v>75637.701466581333</v>
      </c>
      <c r="X124" s="496">
        <v>76451.01008450157</v>
      </c>
      <c r="Y124" s="565">
        <f>Breakout!$L$49/12</f>
        <v>480510.33410934295</v>
      </c>
      <c r="Z124" s="566">
        <f>Breakout!$L$50/12</f>
        <v>458858.29797164747</v>
      </c>
      <c r="AA124" s="566">
        <v>481998.75334291131</v>
      </c>
      <c r="AB124" s="565">
        <f>Breakout!$L$60/12</f>
        <v>442105.92372305627</v>
      </c>
      <c r="AC124" s="566">
        <f>Breakout!$L$61/12</f>
        <v>454595.66285157675</v>
      </c>
      <c r="AD124" s="566">
        <v>468770.13786253909</v>
      </c>
      <c r="AE124" s="565">
        <f>Breakout!$L$71/12</f>
        <v>335434.18774308823</v>
      </c>
      <c r="AF124" s="566">
        <f>Breakout!$L$72/12</f>
        <v>316520.66666666669</v>
      </c>
      <c r="AG124" s="566">
        <v>316520.66666666669</v>
      </c>
      <c r="AH124" s="565">
        <f>Breakout!$L$82/12</f>
        <v>22078.217887766154</v>
      </c>
      <c r="AI124" s="566">
        <f>Breakout!$L$83/12</f>
        <v>0</v>
      </c>
      <c r="AJ124" s="566">
        <v>0</v>
      </c>
      <c r="AK124" s="571">
        <f>Breakout!$L$91/12</f>
        <v>296858.28275896347</v>
      </c>
      <c r="AL124" s="571">
        <v>296858.28275896347</v>
      </c>
      <c r="AM124" s="567">
        <f>(Breakout!$L$107/12)*-1</f>
        <v>55221.25</v>
      </c>
      <c r="AN124" s="567">
        <v>55221.25</v>
      </c>
      <c r="AO124" s="578">
        <f t="shared" si="120"/>
        <v>5181526.3899746351</v>
      </c>
      <c r="AP124" s="578">
        <f t="shared" si="121"/>
        <v>5118497.4511317778</v>
      </c>
      <c r="AQ124" s="548">
        <f t="shared" si="122"/>
        <v>340852.02554917213</v>
      </c>
      <c r="AR124" s="496"/>
      <c r="AS124" s="553">
        <f t="shared" si="123"/>
        <v>202596.05936751526</v>
      </c>
      <c r="AT124" s="496"/>
      <c r="AU124" s="557">
        <f>'wholesale services'!$M$110/12</f>
        <v>39106610.706018515</v>
      </c>
      <c r="AV124" s="557">
        <f>'wholesale services'!$M$113/12</f>
        <v>17613.255833333333</v>
      </c>
      <c r="AW124" s="496"/>
      <c r="AX124" s="552">
        <f t="shared" si="124"/>
        <v>-715341.08333333337</v>
      </c>
      <c r="AY124" s="381">
        <f t="shared" si="125"/>
        <v>-705333.33333333337</v>
      </c>
      <c r="AZ124" s="496"/>
      <c r="BA124" s="438">
        <f t="shared" si="126"/>
        <v>682007.01997418783</v>
      </c>
      <c r="BB124" s="438">
        <f t="shared" si="127"/>
        <v>-29649.824093029609</v>
      </c>
      <c r="BC124" s="438">
        <f t="shared" si="128"/>
        <v>-9579.6735463849618</v>
      </c>
      <c r="BD124" s="438">
        <f t="shared" si="101"/>
        <v>21652.036137695482</v>
      </c>
      <c r="BE124" s="438">
        <f t="shared" si="102"/>
        <v>-12489.739128520479</v>
      </c>
      <c r="BF124" s="438">
        <f t="shared" si="103"/>
        <v>18913.521076421544</v>
      </c>
      <c r="BG124" s="438">
        <f t="shared" si="104"/>
        <v>22078.217887766154</v>
      </c>
      <c r="BH124" s="438">
        <f t="shared" si="105"/>
        <v>-296858.28275896347</v>
      </c>
      <c r="BI124" s="438">
        <f t="shared" si="106"/>
        <v>-55221.25</v>
      </c>
      <c r="BL124" s="438">
        <f t="shared" si="129"/>
        <v>837900.94813735073</v>
      </c>
      <c r="BM124" s="438">
        <f t="shared" si="130"/>
        <v>-24126.652711620096</v>
      </c>
      <c r="BN124" s="438">
        <f t="shared" si="131"/>
        <v>-6799.5038335354766</v>
      </c>
      <c r="BO124" s="438">
        <f t="shared" si="132"/>
        <v>41875.16903557512</v>
      </c>
      <c r="BP124" s="438">
        <f t="shared" si="133"/>
        <v>6117.0757841360755</v>
      </c>
      <c r="BQ124" s="438">
        <f t="shared" si="134"/>
        <v>33030.866065046052</v>
      </c>
      <c r="BR124" s="438">
        <f t="shared" si="135"/>
        <v>23007.418995001935</v>
      </c>
      <c r="BS124" s="438">
        <f t="shared" si="107"/>
        <v>-296858.28275896347</v>
      </c>
      <c r="BT124" s="438">
        <f t="shared" si="108"/>
        <v>-55221.25</v>
      </c>
      <c r="BW124" s="565">
        <f>Breakout!$L$15/12</f>
        <v>3860000.6996294665</v>
      </c>
      <c r="BX124" s="565">
        <f>Breakout!$L$26/12</f>
        <v>136756.09850629151</v>
      </c>
      <c r="BY124" s="565">
        <f>Breakout!$L$37/12</f>
        <v>68838.197633045856</v>
      </c>
      <c r="BZ124" s="565">
        <f>Breakout!$L$48/12</f>
        <v>500733.46700722259</v>
      </c>
      <c r="CA124" s="565">
        <f>Breakout!$L$59/12</f>
        <v>460712.73863571283</v>
      </c>
      <c r="CB124" s="565">
        <f>Breakout!$L$70/12</f>
        <v>349551.53273171274</v>
      </c>
      <c r="CC124" s="565">
        <f>Breakout!$L$81/12</f>
        <v>23007.418995001935</v>
      </c>
      <c r="CE124" s="634">
        <f t="shared" si="90"/>
        <v>3858444.5536107332</v>
      </c>
      <c r="CF124" s="634">
        <f t="shared" si="91"/>
        <v>136700.96575508543</v>
      </c>
      <c r="CG124" s="634">
        <f t="shared" si="92"/>
        <v>68810.445750204555</v>
      </c>
      <c r="CI124" s="634">
        <f t="shared" si="93"/>
        <v>-715341.08333333337</v>
      </c>
      <c r="CJ124" s="634">
        <f t="shared" si="94"/>
        <v>-705333.33333333337</v>
      </c>
      <c r="CL124" s="438">
        <f>'account mgt'!$L$23/12</f>
        <v>-58858.309004648821</v>
      </c>
      <c r="CN124" s="438">
        <v>0</v>
      </c>
      <c r="CT124" s="438">
        <f t="shared" si="111"/>
        <v>0</v>
      </c>
      <c r="CU124" s="438">
        <f t="shared" si="112"/>
        <v>0</v>
      </c>
      <c r="CV124" s="438">
        <f>IF(CT124&lt;0.1,0,PPMT($L$3,A124-14,unwinds!$B$8*12,$K$5))</f>
        <v>0</v>
      </c>
      <c r="CW124" s="438">
        <f t="shared" si="109"/>
        <v>0</v>
      </c>
      <c r="CX124" s="438">
        <f t="shared" si="110"/>
        <v>0</v>
      </c>
      <c r="DA124" s="438">
        <f t="shared" si="116"/>
        <v>3826065.4415759025</v>
      </c>
      <c r="DB124" s="438">
        <f t="shared" si="117"/>
        <v>30194.033109769829</v>
      </c>
      <c r="DC124" s="438">
        <f t="shared" si="118"/>
        <v>465204.03856184497</v>
      </c>
      <c r="DD124" s="438">
        <f t="shared" si="119"/>
        <v>3360861.4030140573</v>
      </c>
      <c r="DE124" s="438">
        <f t="shared" si="136"/>
        <v>3360861.4030140573</v>
      </c>
      <c r="DH124" s="944">
        <v>-715341.08333333337</v>
      </c>
      <c r="DI124" s="944">
        <v>-705333.33333333337</v>
      </c>
      <c r="DJ124" s="944"/>
      <c r="DL124" s="381">
        <f t="shared" si="115"/>
        <v>474832.92700924521</v>
      </c>
      <c r="DN124" s="944">
        <f t="shared" si="95"/>
        <v>-715341.08333333337</v>
      </c>
      <c r="DO124" s="944">
        <f t="shared" si="96"/>
        <v>474832.92700924521</v>
      </c>
      <c r="DQ124" s="438">
        <f t="shared" si="97"/>
        <v>609418.19962946698</v>
      </c>
      <c r="DR124" s="438">
        <f t="shared" si="98"/>
        <v>-36152.060527824506</v>
      </c>
      <c r="DS124" s="438"/>
      <c r="DT124" s="438"/>
      <c r="DU124" s="438"/>
      <c r="DV124" s="438"/>
      <c r="DW124" s="438"/>
      <c r="DX124" s="438"/>
    </row>
    <row r="125" spans="1:128" x14ac:dyDescent="0.2">
      <c r="A125" s="383">
        <v>114</v>
      </c>
      <c r="B125" s="631">
        <v>39965</v>
      </c>
      <c r="C125" s="381">
        <v>0</v>
      </c>
      <c r="D125" s="381">
        <v>0</v>
      </c>
      <c r="E125" s="381">
        <v>0</v>
      </c>
      <c r="F125" s="381">
        <v>26315.127689438148</v>
      </c>
      <c r="G125" s="381">
        <v>465204.03856184531</v>
      </c>
      <c r="H125" s="381">
        <v>0</v>
      </c>
      <c r="I125" s="381">
        <v>491519.16625128349</v>
      </c>
      <c r="J125" s="381"/>
      <c r="K125" s="381"/>
      <c r="L125" s="381">
        <f t="shared" si="114"/>
        <v>491519.16625128326</v>
      </c>
      <c r="M125" s="381"/>
      <c r="N125" s="679">
        <f t="shared" si="99"/>
        <v>-715341.08333333337</v>
      </c>
      <c r="O125" s="679">
        <f t="shared" si="100"/>
        <v>-705333.33333333337</v>
      </c>
      <c r="P125" s="565">
        <f>Breakout!$L$16/12</f>
        <v>3704106.7714663036</v>
      </c>
      <c r="Q125" s="557">
        <f>'wholesale services'!$D$110*'wholesale services'!$M$111/12</f>
        <v>3250582.4999999995</v>
      </c>
      <c r="R125" s="557">
        <v>3320487.5</v>
      </c>
      <c r="S125" s="565">
        <f>Breakout!$L$27/12</f>
        <v>131232.927124882</v>
      </c>
      <c r="T125" s="557">
        <f>'wholesale services'!$D$113*'wholesale services'!$M$114/12</f>
        <v>172908.15903411602</v>
      </c>
      <c r="U125" s="557">
        <v>176436.89697358778</v>
      </c>
      <c r="V125" s="565">
        <f>Breakout!$L$38/12</f>
        <v>66058.027920196371</v>
      </c>
      <c r="W125" s="496">
        <f>Breakout!$L$39/12</f>
        <v>75637.701466581333</v>
      </c>
      <c r="X125" s="496">
        <v>76451.01008450157</v>
      </c>
      <c r="Y125" s="565">
        <f>Breakout!$L$49/12</f>
        <v>480510.33410934295</v>
      </c>
      <c r="Z125" s="566">
        <f>Breakout!$L$50/12</f>
        <v>458858.29797164747</v>
      </c>
      <c r="AA125" s="566">
        <v>481998.75334291131</v>
      </c>
      <c r="AB125" s="565">
        <f>Breakout!$L$60/12</f>
        <v>442105.92372305627</v>
      </c>
      <c r="AC125" s="566">
        <f>Breakout!$L$61/12</f>
        <v>454595.66285157675</v>
      </c>
      <c r="AD125" s="566">
        <v>468770.13786253909</v>
      </c>
      <c r="AE125" s="565">
        <f>Breakout!$L$71/12</f>
        <v>335434.18774308823</v>
      </c>
      <c r="AF125" s="566">
        <f>Breakout!$L$72/12</f>
        <v>316520.66666666669</v>
      </c>
      <c r="AG125" s="566">
        <v>316520.66666666669</v>
      </c>
      <c r="AH125" s="565">
        <f>Breakout!$L$82/12</f>
        <v>22078.217887766154</v>
      </c>
      <c r="AI125" s="566">
        <f>Breakout!$L$83/12</f>
        <v>0</v>
      </c>
      <c r="AJ125" s="566">
        <v>0</v>
      </c>
      <c r="AK125" s="571">
        <f>Breakout!$L$91/12</f>
        <v>296858.28275896347</v>
      </c>
      <c r="AL125" s="571">
        <v>296858.28275896347</v>
      </c>
      <c r="AM125" s="567">
        <f>(Breakout!$L$107/12)*-1</f>
        <v>55221.25</v>
      </c>
      <c r="AN125" s="567">
        <v>55221.25</v>
      </c>
      <c r="AO125" s="578">
        <f t="shared" si="120"/>
        <v>5181526.3899746351</v>
      </c>
      <c r="AP125" s="578">
        <f t="shared" si="121"/>
        <v>5118497.4511317778</v>
      </c>
      <c r="AQ125" s="548">
        <f t="shared" si="122"/>
        <v>340852.02554917213</v>
      </c>
      <c r="AR125" s="496"/>
      <c r="AS125" s="553">
        <f t="shared" si="123"/>
        <v>202596.05936751526</v>
      </c>
      <c r="AT125" s="496"/>
      <c r="AU125" s="557">
        <f>'wholesale services'!$M$110/12</f>
        <v>39106610.706018515</v>
      </c>
      <c r="AV125" s="557">
        <f>'wholesale services'!$M$113/12</f>
        <v>17613.255833333333</v>
      </c>
      <c r="AW125" s="496"/>
      <c r="AX125" s="552">
        <f t="shared" si="124"/>
        <v>-715341.08333333337</v>
      </c>
      <c r="AY125" s="381">
        <f t="shared" si="125"/>
        <v>-705333.33333333337</v>
      </c>
      <c r="AZ125" s="496"/>
      <c r="BA125" s="438">
        <f t="shared" si="126"/>
        <v>682007.01997418783</v>
      </c>
      <c r="BB125" s="438">
        <f t="shared" si="127"/>
        <v>-29649.824093029609</v>
      </c>
      <c r="BC125" s="438">
        <f t="shared" si="128"/>
        <v>-9579.6735463849618</v>
      </c>
      <c r="BD125" s="438">
        <f t="shared" si="101"/>
        <v>21652.036137695482</v>
      </c>
      <c r="BE125" s="438">
        <f t="shared" si="102"/>
        <v>-12489.739128520479</v>
      </c>
      <c r="BF125" s="438">
        <f t="shared" si="103"/>
        <v>18913.521076421544</v>
      </c>
      <c r="BG125" s="438">
        <f t="shared" si="104"/>
        <v>22078.217887766154</v>
      </c>
      <c r="BH125" s="438">
        <f t="shared" si="105"/>
        <v>-296858.28275896347</v>
      </c>
      <c r="BI125" s="438">
        <f t="shared" si="106"/>
        <v>-55221.25</v>
      </c>
      <c r="BL125" s="438">
        <f t="shared" si="129"/>
        <v>837900.94813735073</v>
      </c>
      <c r="BM125" s="438">
        <f t="shared" si="130"/>
        <v>-24126.652711620096</v>
      </c>
      <c r="BN125" s="438">
        <f t="shared" si="131"/>
        <v>-6799.5038335354766</v>
      </c>
      <c r="BO125" s="438">
        <f t="shared" si="132"/>
        <v>41875.16903557512</v>
      </c>
      <c r="BP125" s="438">
        <f t="shared" si="133"/>
        <v>6117.0757841360755</v>
      </c>
      <c r="BQ125" s="438">
        <f t="shared" si="134"/>
        <v>33030.866065046052</v>
      </c>
      <c r="BR125" s="438">
        <f t="shared" si="135"/>
        <v>23007.418995001935</v>
      </c>
      <c r="BS125" s="438">
        <f t="shared" si="107"/>
        <v>-296858.28275896347</v>
      </c>
      <c r="BT125" s="438">
        <f t="shared" si="108"/>
        <v>-55221.25</v>
      </c>
      <c r="BW125" s="565">
        <f>Breakout!$L$15/12</f>
        <v>3860000.6996294665</v>
      </c>
      <c r="BX125" s="565">
        <f>Breakout!$L$26/12</f>
        <v>136756.09850629151</v>
      </c>
      <c r="BY125" s="565">
        <f>Breakout!$L$37/12</f>
        <v>68838.197633045856</v>
      </c>
      <c r="BZ125" s="565">
        <f>Breakout!$L$48/12</f>
        <v>500733.46700722259</v>
      </c>
      <c r="CA125" s="565">
        <f>Breakout!$L$59/12</f>
        <v>460712.73863571283</v>
      </c>
      <c r="CB125" s="565">
        <f>Breakout!$L$70/12</f>
        <v>349551.53273171274</v>
      </c>
      <c r="CC125" s="565">
        <f>Breakout!$L$81/12</f>
        <v>23007.418995001935</v>
      </c>
      <c r="CE125" s="634">
        <f t="shared" si="90"/>
        <v>3858444.5536107332</v>
      </c>
      <c r="CF125" s="634">
        <f t="shared" si="91"/>
        <v>136700.96575508543</v>
      </c>
      <c r="CG125" s="634">
        <f t="shared" si="92"/>
        <v>68810.445750204555</v>
      </c>
      <c r="CI125" s="634">
        <f t="shared" si="93"/>
        <v>-715341.08333333337</v>
      </c>
      <c r="CJ125" s="634">
        <f t="shared" si="94"/>
        <v>-705333.33333333337</v>
      </c>
      <c r="CL125" s="438">
        <f>'account mgt'!$L$23/12</f>
        <v>-58858.309004648821</v>
      </c>
      <c r="CN125" s="438">
        <v>0</v>
      </c>
      <c r="CT125" s="438">
        <f t="shared" si="111"/>
        <v>0</v>
      </c>
      <c r="CU125" s="438">
        <f t="shared" si="112"/>
        <v>0</v>
      </c>
      <c r="CV125" s="438">
        <f>IF(CT125&lt;0.1,0,PPMT($L$3,A125-14,unwinds!$B$8*12,$K$5))</f>
        <v>0</v>
      </c>
      <c r="CW125" s="438">
        <f t="shared" si="109"/>
        <v>0</v>
      </c>
      <c r="CX125" s="438">
        <f t="shared" si="110"/>
        <v>0</v>
      </c>
      <c r="DA125" s="438">
        <f t="shared" si="116"/>
        <v>3360861.4030140573</v>
      </c>
      <c r="DB125" s="438">
        <f t="shared" si="117"/>
        <v>26522.7979054526</v>
      </c>
      <c r="DC125" s="438">
        <f t="shared" si="118"/>
        <v>468875.27376616211</v>
      </c>
      <c r="DD125" s="438">
        <f t="shared" si="119"/>
        <v>2891986.1292478954</v>
      </c>
      <c r="DE125" s="438">
        <f t="shared" si="136"/>
        <v>2891986.1292478954</v>
      </c>
      <c r="DH125" s="944">
        <v>-715341.08333333337</v>
      </c>
      <c r="DI125" s="944">
        <v>-705333.33333333337</v>
      </c>
      <c r="DJ125" s="944"/>
      <c r="DL125" s="381">
        <f t="shared" si="115"/>
        <v>474832.92700924521</v>
      </c>
      <c r="DN125" s="944">
        <f t="shared" si="95"/>
        <v>-715341.08333333337</v>
      </c>
      <c r="DO125" s="944">
        <f t="shared" si="96"/>
        <v>474832.92700924521</v>
      </c>
      <c r="DQ125" s="438">
        <f t="shared" si="97"/>
        <v>609418.19962946698</v>
      </c>
      <c r="DR125" s="438">
        <f t="shared" si="98"/>
        <v>-36152.060527824506</v>
      </c>
      <c r="DS125" s="438"/>
      <c r="DT125" s="438"/>
      <c r="DU125" s="438"/>
      <c r="DV125" s="438"/>
      <c r="DW125" s="438"/>
      <c r="DX125" s="438"/>
    </row>
    <row r="126" spans="1:128" x14ac:dyDescent="0.2">
      <c r="A126" s="383">
        <v>115</v>
      </c>
      <c r="B126" s="631">
        <v>39995</v>
      </c>
      <c r="C126" s="381">
        <v>0</v>
      </c>
      <c r="D126" s="381">
        <v>0</v>
      </c>
      <c r="E126" s="381">
        <v>0</v>
      </c>
      <c r="F126" s="381">
        <v>22643.892485120992</v>
      </c>
      <c r="G126" s="381">
        <v>468875.27376616251</v>
      </c>
      <c r="H126" s="381">
        <v>0</v>
      </c>
      <c r="I126" s="381">
        <v>491519.16625128349</v>
      </c>
      <c r="J126" s="381"/>
      <c r="K126" s="381"/>
      <c r="L126" s="381">
        <f t="shared" si="114"/>
        <v>491519.16625128326</v>
      </c>
      <c r="M126" s="381"/>
      <c r="N126" s="679">
        <f t="shared" si="99"/>
        <v>-715341.08333333337</v>
      </c>
      <c r="O126" s="679">
        <f t="shared" si="100"/>
        <v>-705333.33333333337</v>
      </c>
      <c r="P126" s="565">
        <f>Breakout!$L$16/12</f>
        <v>3704106.7714663036</v>
      </c>
      <c r="Q126" s="557">
        <f>'wholesale services'!$D$110*'wholesale services'!$M$111/12</f>
        <v>3250582.4999999995</v>
      </c>
      <c r="R126" s="557">
        <v>3320487.5</v>
      </c>
      <c r="S126" s="565">
        <f>Breakout!$L$27/12</f>
        <v>131232.927124882</v>
      </c>
      <c r="T126" s="557">
        <f>'wholesale services'!$D$113*'wholesale services'!$M$114/12</f>
        <v>172908.15903411602</v>
      </c>
      <c r="U126" s="557">
        <v>176436.89697358778</v>
      </c>
      <c r="V126" s="565">
        <f>Breakout!$L$38/12</f>
        <v>66058.027920196371</v>
      </c>
      <c r="W126" s="496">
        <f>Breakout!$L$39/12</f>
        <v>75637.701466581333</v>
      </c>
      <c r="X126" s="496">
        <v>76451.01008450157</v>
      </c>
      <c r="Y126" s="565">
        <f>Breakout!$L$49/12</f>
        <v>480510.33410934295</v>
      </c>
      <c r="Z126" s="566">
        <f>Breakout!$L$50/12</f>
        <v>458858.29797164747</v>
      </c>
      <c r="AA126" s="566">
        <v>481998.75334291131</v>
      </c>
      <c r="AB126" s="565">
        <f>Breakout!$L$60/12</f>
        <v>442105.92372305627</v>
      </c>
      <c r="AC126" s="566">
        <f>Breakout!$L$61/12</f>
        <v>454595.66285157675</v>
      </c>
      <c r="AD126" s="566">
        <v>468770.13786253909</v>
      </c>
      <c r="AE126" s="565">
        <f>Breakout!$L$71/12</f>
        <v>335434.18774308823</v>
      </c>
      <c r="AF126" s="566">
        <f>Breakout!$L$72/12</f>
        <v>316520.66666666669</v>
      </c>
      <c r="AG126" s="566">
        <v>316520.66666666669</v>
      </c>
      <c r="AH126" s="565">
        <f>Breakout!$L$82/12</f>
        <v>22078.217887766154</v>
      </c>
      <c r="AI126" s="566">
        <f>Breakout!$L$83/12</f>
        <v>0</v>
      </c>
      <c r="AJ126" s="566">
        <v>0</v>
      </c>
      <c r="AK126" s="571">
        <f>Breakout!$L$91/12</f>
        <v>296858.28275896347</v>
      </c>
      <c r="AL126" s="571">
        <v>296858.28275896347</v>
      </c>
      <c r="AM126" s="567">
        <f>(Breakout!$L$107/12)*-1</f>
        <v>55221.25</v>
      </c>
      <c r="AN126" s="567">
        <v>55221.25</v>
      </c>
      <c r="AO126" s="578">
        <f t="shared" si="120"/>
        <v>5181526.3899746351</v>
      </c>
      <c r="AP126" s="578">
        <f t="shared" si="121"/>
        <v>5118497.4511317778</v>
      </c>
      <c r="AQ126" s="548">
        <f t="shared" si="122"/>
        <v>340852.02554917213</v>
      </c>
      <c r="AR126" s="496"/>
      <c r="AS126" s="553">
        <f t="shared" si="123"/>
        <v>202596.05936751526</v>
      </c>
      <c r="AT126" s="496"/>
      <c r="AU126" s="557">
        <f>'wholesale services'!$M$110/12</f>
        <v>39106610.706018515</v>
      </c>
      <c r="AV126" s="557">
        <f>'wholesale services'!$M$113/12</f>
        <v>17613.255833333333</v>
      </c>
      <c r="AW126" s="496"/>
      <c r="AX126" s="552">
        <f t="shared" si="124"/>
        <v>-715341.08333333337</v>
      </c>
      <c r="AY126" s="381">
        <f t="shared" si="125"/>
        <v>-705333.33333333337</v>
      </c>
      <c r="AZ126" s="496"/>
      <c r="BA126" s="438">
        <f t="shared" si="126"/>
        <v>682007.01997418783</v>
      </c>
      <c r="BB126" s="438">
        <f t="shared" si="127"/>
        <v>-29649.824093029609</v>
      </c>
      <c r="BC126" s="438">
        <f t="shared" si="128"/>
        <v>-9579.6735463849618</v>
      </c>
      <c r="BD126" s="438">
        <f t="shared" si="101"/>
        <v>21652.036137695482</v>
      </c>
      <c r="BE126" s="438">
        <f t="shared" si="102"/>
        <v>-12489.739128520479</v>
      </c>
      <c r="BF126" s="438">
        <f t="shared" si="103"/>
        <v>18913.521076421544</v>
      </c>
      <c r="BG126" s="438">
        <f t="shared" si="104"/>
        <v>22078.217887766154</v>
      </c>
      <c r="BH126" s="438">
        <f t="shared" si="105"/>
        <v>-296858.28275896347</v>
      </c>
      <c r="BI126" s="438">
        <f t="shared" si="106"/>
        <v>-55221.25</v>
      </c>
      <c r="BL126" s="438">
        <f t="shared" si="129"/>
        <v>837900.94813735073</v>
      </c>
      <c r="BM126" s="438">
        <f t="shared" si="130"/>
        <v>-24126.652711620096</v>
      </c>
      <c r="BN126" s="438">
        <f t="shared" si="131"/>
        <v>-6799.5038335354766</v>
      </c>
      <c r="BO126" s="438">
        <f t="shared" si="132"/>
        <v>41875.16903557512</v>
      </c>
      <c r="BP126" s="438">
        <f t="shared" si="133"/>
        <v>6117.0757841360755</v>
      </c>
      <c r="BQ126" s="438">
        <f t="shared" si="134"/>
        <v>33030.866065046052</v>
      </c>
      <c r="BR126" s="438">
        <f t="shared" si="135"/>
        <v>23007.418995001935</v>
      </c>
      <c r="BS126" s="438">
        <f t="shared" si="107"/>
        <v>-296858.28275896347</v>
      </c>
      <c r="BT126" s="438">
        <f t="shared" si="108"/>
        <v>-55221.25</v>
      </c>
      <c r="BW126" s="565">
        <f>Breakout!$L$15/12</f>
        <v>3860000.6996294665</v>
      </c>
      <c r="BX126" s="565">
        <f>Breakout!$L$26/12</f>
        <v>136756.09850629151</v>
      </c>
      <c r="BY126" s="565">
        <f>Breakout!$L$37/12</f>
        <v>68838.197633045856</v>
      </c>
      <c r="BZ126" s="565">
        <f>Breakout!$L$48/12</f>
        <v>500733.46700722259</v>
      </c>
      <c r="CA126" s="565">
        <f>Breakout!$L$59/12</f>
        <v>460712.73863571283</v>
      </c>
      <c r="CB126" s="565">
        <f>Breakout!$L$70/12</f>
        <v>349551.53273171274</v>
      </c>
      <c r="CC126" s="565">
        <f>Breakout!$L$81/12</f>
        <v>23007.418995001935</v>
      </c>
      <c r="CE126" s="634">
        <f t="shared" si="90"/>
        <v>3858444.5536107332</v>
      </c>
      <c r="CF126" s="634">
        <f t="shared" si="91"/>
        <v>136700.96575508543</v>
      </c>
      <c r="CG126" s="634">
        <f t="shared" si="92"/>
        <v>68810.445750204555</v>
      </c>
      <c r="CI126" s="634">
        <f t="shared" si="93"/>
        <v>-715341.08333333337</v>
      </c>
      <c r="CJ126" s="634">
        <f t="shared" si="94"/>
        <v>-705333.33333333337</v>
      </c>
      <c r="CL126" s="438">
        <f>'account mgt'!$L$23/12</f>
        <v>-58858.309004648821</v>
      </c>
      <c r="CN126" s="438">
        <v>0</v>
      </c>
      <c r="CT126" s="438">
        <f t="shared" si="111"/>
        <v>0</v>
      </c>
      <c r="CU126" s="438">
        <f t="shared" si="112"/>
        <v>0</v>
      </c>
      <c r="CV126" s="438">
        <f>IF(CT126&lt;0.1,0,PPMT($L$3,A126-14,unwinds!$B$8*12,$K$5))</f>
        <v>0</v>
      </c>
      <c r="CW126" s="438">
        <f t="shared" si="109"/>
        <v>0</v>
      </c>
      <c r="CX126" s="438">
        <f t="shared" si="110"/>
        <v>0</v>
      </c>
      <c r="DA126" s="438">
        <f t="shared" si="116"/>
        <v>2891986.1292478954</v>
      </c>
      <c r="DB126" s="438">
        <f t="shared" si="117"/>
        <v>22822.590536647975</v>
      </c>
      <c r="DC126" s="438">
        <f t="shared" si="118"/>
        <v>472575.48113496683</v>
      </c>
      <c r="DD126" s="438">
        <f t="shared" si="119"/>
        <v>2419410.6481129285</v>
      </c>
      <c r="DE126" s="438">
        <f t="shared" si="136"/>
        <v>2419410.6481129285</v>
      </c>
      <c r="DH126" s="944">
        <v>-715341.08333333337</v>
      </c>
      <c r="DI126" s="944">
        <v>-705333.33333333337</v>
      </c>
      <c r="DJ126" s="944"/>
      <c r="DL126" s="381">
        <f t="shared" si="115"/>
        <v>474832.92700924521</v>
      </c>
      <c r="DN126" s="944">
        <f t="shared" si="95"/>
        <v>-715341.08333333337</v>
      </c>
      <c r="DO126" s="944">
        <f t="shared" si="96"/>
        <v>474832.92700924521</v>
      </c>
      <c r="DQ126" s="438">
        <f t="shared" si="97"/>
        <v>609418.19962946698</v>
      </c>
      <c r="DR126" s="438">
        <f t="shared" si="98"/>
        <v>-36152.060527824506</v>
      </c>
      <c r="DS126" s="438"/>
      <c r="DT126" s="438"/>
      <c r="DU126" s="438"/>
      <c r="DV126" s="438"/>
      <c r="DW126" s="438"/>
      <c r="DX126" s="438"/>
    </row>
    <row r="127" spans="1:128" x14ac:dyDescent="0.2">
      <c r="A127" s="383">
        <v>116</v>
      </c>
      <c r="B127" s="631">
        <v>40026</v>
      </c>
      <c r="C127" s="381">
        <v>0</v>
      </c>
      <c r="D127" s="381">
        <v>0</v>
      </c>
      <c r="E127" s="381">
        <v>0</v>
      </c>
      <c r="F127" s="381">
        <v>18943.685116316261</v>
      </c>
      <c r="G127" s="381">
        <v>472575.48113496724</v>
      </c>
      <c r="H127" s="381">
        <v>0</v>
      </c>
      <c r="I127" s="381">
        <v>491519.16625128349</v>
      </c>
      <c r="J127" s="381"/>
      <c r="K127" s="381"/>
      <c r="L127" s="381">
        <f t="shared" si="114"/>
        <v>491519.16625128326</v>
      </c>
      <c r="M127" s="381"/>
      <c r="N127" s="679">
        <f t="shared" si="99"/>
        <v>-715341.08333333337</v>
      </c>
      <c r="O127" s="679">
        <f t="shared" si="100"/>
        <v>-705333.33333333337</v>
      </c>
      <c r="P127" s="565">
        <f>Breakout!$L$16/12</f>
        <v>3704106.7714663036</v>
      </c>
      <c r="Q127" s="557">
        <f>'wholesale services'!$D$110*'wholesale services'!$M$111/12</f>
        <v>3250582.4999999995</v>
      </c>
      <c r="R127" s="557">
        <v>3320487.5</v>
      </c>
      <c r="S127" s="565">
        <f>Breakout!$L$27/12</f>
        <v>131232.927124882</v>
      </c>
      <c r="T127" s="557">
        <f>'wholesale services'!$D$113*'wholesale services'!$M$114/12</f>
        <v>172908.15903411602</v>
      </c>
      <c r="U127" s="557">
        <v>176436.89697358778</v>
      </c>
      <c r="V127" s="565">
        <f>Breakout!$L$38/12</f>
        <v>66058.027920196371</v>
      </c>
      <c r="W127" s="496">
        <f>Breakout!$L$39/12</f>
        <v>75637.701466581333</v>
      </c>
      <c r="X127" s="496">
        <v>76451.01008450157</v>
      </c>
      <c r="Y127" s="565">
        <f>Breakout!$L$49/12</f>
        <v>480510.33410934295</v>
      </c>
      <c r="Z127" s="566">
        <f>Breakout!$L$50/12</f>
        <v>458858.29797164747</v>
      </c>
      <c r="AA127" s="566">
        <v>481998.75334291131</v>
      </c>
      <c r="AB127" s="565">
        <f>Breakout!$L$60/12</f>
        <v>442105.92372305627</v>
      </c>
      <c r="AC127" s="566">
        <f>Breakout!$L$61/12</f>
        <v>454595.66285157675</v>
      </c>
      <c r="AD127" s="566">
        <v>468770.13786253909</v>
      </c>
      <c r="AE127" s="565">
        <f>Breakout!$L$71/12</f>
        <v>335434.18774308823</v>
      </c>
      <c r="AF127" s="566">
        <f>Breakout!$L$72/12</f>
        <v>316520.66666666669</v>
      </c>
      <c r="AG127" s="566">
        <v>316520.66666666669</v>
      </c>
      <c r="AH127" s="565">
        <f>Breakout!$L$82/12</f>
        <v>22078.217887766154</v>
      </c>
      <c r="AI127" s="566">
        <f>Breakout!$L$83/12</f>
        <v>0</v>
      </c>
      <c r="AJ127" s="566">
        <v>0</v>
      </c>
      <c r="AK127" s="571">
        <f>Breakout!$L$91/12</f>
        <v>296858.28275896347</v>
      </c>
      <c r="AL127" s="571">
        <v>296858.28275896347</v>
      </c>
      <c r="AM127" s="567">
        <f>(Breakout!$L$107/12)*-1</f>
        <v>55221.25</v>
      </c>
      <c r="AN127" s="567">
        <v>55221.25</v>
      </c>
      <c r="AO127" s="578">
        <f t="shared" si="120"/>
        <v>5181526.3899746351</v>
      </c>
      <c r="AP127" s="578">
        <f t="shared" si="121"/>
        <v>5118497.4511317778</v>
      </c>
      <c r="AQ127" s="548">
        <f t="shared" si="122"/>
        <v>340852.02554917213</v>
      </c>
      <c r="AR127" s="496"/>
      <c r="AS127" s="553">
        <f t="shared" si="123"/>
        <v>202596.05936751526</v>
      </c>
      <c r="AT127" s="496"/>
      <c r="AU127" s="557">
        <f>'wholesale services'!$M$110/12</f>
        <v>39106610.706018515</v>
      </c>
      <c r="AV127" s="557">
        <f>'wholesale services'!$M$113/12</f>
        <v>17613.255833333333</v>
      </c>
      <c r="AW127" s="496"/>
      <c r="AX127" s="552">
        <f t="shared" si="124"/>
        <v>-715341.08333333337</v>
      </c>
      <c r="AY127" s="381">
        <f t="shared" si="125"/>
        <v>-705333.33333333337</v>
      </c>
      <c r="AZ127" s="496"/>
      <c r="BA127" s="438">
        <f t="shared" si="126"/>
        <v>682007.01997418783</v>
      </c>
      <c r="BB127" s="438">
        <f t="shared" si="127"/>
        <v>-29649.824093029609</v>
      </c>
      <c r="BC127" s="438">
        <f t="shared" si="128"/>
        <v>-9579.6735463849618</v>
      </c>
      <c r="BD127" s="438">
        <f t="shared" si="101"/>
        <v>21652.036137695482</v>
      </c>
      <c r="BE127" s="438">
        <f t="shared" si="102"/>
        <v>-12489.739128520479</v>
      </c>
      <c r="BF127" s="438">
        <f t="shared" si="103"/>
        <v>18913.521076421544</v>
      </c>
      <c r="BG127" s="438">
        <f t="shared" si="104"/>
        <v>22078.217887766154</v>
      </c>
      <c r="BH127" s="438">
        <f t="shared" si="105"/>
        <v>-296858.28275896347</v>
      </c>
      <c r="BI127" s="438">
        <f t="shared" si="106"/>
        <v>-55221.25</v>
      </c>
      <c r="BL127" s="438">
        <f t="shared" si="129"/>
        <v>837900.94813735073</v>
      </c>
      <c r="BM127" s="438">
        <f t="shared" si="130"/>
        <v>-24126.652711620096</v>
      </c>
      <c r="BN127" s="438">
        <f t="shared" si="131"/>
        <v>-6799.5038335354766</v>
      </c>
      <c r="BO127" s="438">
        <f t="shared" si="132"/>
        <v>41875.16903557512</v>
      </c>
      <c r="BP127" s="438">
        <f t="shared" si="133"/>
        <v>6117.0757841360755</v>
      </c>
      <c r="BQ127" s="438">
        <f t="shared" si="134"/>
        <v>33030.866065046052</v>
      </c>
      <c r="BR127" s="438">
        <f t="shared" si="135"/>
        <v>23007.418995001935</v>
      </c>
      <c r="BS127" s="438">
        <f t="shared" si="107"/>
        <v>-296858.28275896347</v>
      </c>
      <c r="BT127" s="438">
        <f t="shared" si="108"/>
        <v>-55221.25</v>
      </c>
      <c r="BW127" s="565">
        <f>Breakout!$L$15/12</f>
        <v>3860000.6996294665</v>
      </c>
      <c r="BX127" s="565">
        <f>Breakout!$L$26/12</f>
        <v>136756.09850629151</v>
      </c>
      <c r="BY127" s="565">
        <f>Breakout!$L$37/12</f>
        <v>68838.197633045856</v>
      </c>
      <c r="BZ127" s="565">
        <f>Breakout!$L$48/12</f>
        <v>500733.46700722259</v>
      </c>
      <c r="CA127" s="565">
        <f>Breakout!$L$59/12</f>
        <v>460712.73863571283</v>
      </c>
      <c r="CB127" s="565">
        <f>Breakout!$L$70/12</f>
        <v>349551.53273171274</v>
      </c>
      <c r="CC127" s="565">
        <f>Breakout!$L$81/12</f>
        <v>23007.418995001935</v>
      </c>
      <c r="CE127" s="634">
        <f t="shared" si="90"/>
        <v>3858444.5536107332</v>
      </c>
      <c r="CF127" s="634">
        <f t="shared" si="91"/>
        <v>136700.96575508543</v>
      </c>
      <c r="CG127" s="634">
        <f t="shared" si="92"/>
        <v>68810.445750204555</v>
      </c>
      <c r="CI127" s="634">
        <f t="shared" si="93"/>
        <v>-715341.08333333337</v>
      </c>
      <c r="CJ127" s="634">
        <f t="shared" si="94"/>
        <v>-705333.33333333337</v>
      </c>
      <c r="CL127" s="438">
        <f>'account mgt'!$L$23/12</f>
        <v>-58858.309004648821</v>
      </c>
      <c r="CN127" s="438">
        <v>0</v>
      </c>
      <c r="CT127" s="438">
        <f t="shared" si="111"/>
        <v>0</v>
      </c>
      <c r="CU127" s="438">
        <f t="shared" si="112"/>
        <v>0</v>
      </c>
      <c r="CV127" s="438">
        <f>IF(CT127&lt;0.1,0,PPMT($L$3,A127-14,unwinds!$B$8*12,$K$5))</f>
        <v>0</v>
      </c>
      <c r="CW127" s="438">
        <f t="shared" si="109"/>
        <v>0</v>
      </c>
      <c r="CX127" s="438">
        <f t="shared" si="110"/>
        <v>0</v>
      </c>
      <c r="DA127" s="438">
        <f t="shared" si="116"/>
        <v>2419410.6481129285</v>
      </c>
      <c r="DB127" s="438">
        <f t="shared" si="117"/>
        <v>19093.182364691194</v>
      </c>
      <c r="DC127" s="438">
        <f t="shared" si="118"/>
        <v>476304.88930692372</v>
      </c>
      <c r="DD127" s="438">
        <f t="shared" si="119"/>
        <v>1943105.7588060047</v>
      </c>
      <c r="DE127" s="438">
        <f t="shared" si="136"/>
        <v>1943105.7588060047</v>
      </c>
      <c r="DH127" s="944">
        <v>-715341.08333333337</v>
      </c>
      <c r="DI127" s="944">
        <v>-705333.33333333337</v>
      </c>
      <c r="DJ127" s="944"/>
      <c r="DL127" s="381">
        <f t="shared" si="115"/>
        <v>474832.92700924521</v>
      </c>
      <c r="DN127" s="944">
        <f t="shared" si="95"/>
        <v>-715341.08333333337</v>
      </c>
      <c r="DO127" s="944">
        <f t="shared" si="96"/>
        <v>474832.92700924521</v>
      </c>
      <c r="DQ127" s="438">
        <f t="shared" si="97"/>
        <v>609418.19962946698</v>
      </c>
      <c r="DR127" s="438">
        <f t="shared" si="98"/>
        <v>-36152.060527824506</v>
      </c>
      <c r="DS127" s="438"/>
      <c r="DT127" s="438"/>
      <c r="DU127" s="438"/>
      <c r="DV127" s="438"/>
      <c r="DW127" s="438"/>
      <c r="DX127" s="438"/>
    </row>
    <row r="128" spans="1:128" x14ac:dyDescent="0.2">
      <c r="A128" s="383">
        <v>117</v>
      </c>
      <c r="B128" s="631">
        <v>40057</v>
      </c>
      <c r="C128" s="381">
        <v>0</v>
      </c>
      <c r="D128" s="381">
        <v>0</v>
      </c>
      <c r="E128" s="381">
        <v>0</v>
      </c>
      <c r="F128" s="381">
        <v>15214.276944359488</v>
      </c>
      <c r="G128" s="381">
        <v>476304.88930692401</v>
      </c>
      <c r="H128" s="381">
        <v>0</v>
      </c>
      <c r="I128" s="381">
        <v>491519.16625128349</v>
      </c>
      <c r="J128" s="381"/>
      <c r="K128" s="381"/>
      <c r="L128" s="381">
        <f t="shared" si="114"/>
        <v>491519.16625128326</v>
      </c>
      <c r="M128" s="381"/>
      <c r="N128" s="679">
        <f t="shared" si="99"/>
        <v>-715341.08333333337</v>
      </c>
      <c r="O128" s="679">
        <f t="shared" si="100"/>
        <v>-705333.33333333337</v>
      </c>
      <c r="P128" s="565">
        <f>Breakout!$L$16/12</f>
        <v>3704106.7714663036</v>
      </c>
      <c r="Q128" s="557">
        <f>'wholesale services'!$D$110*'wholesale services'!$M$111/12</f>
        <v>3250582.4999999995</v>
      </c>
      <c r="R128" s="557">
        <v>3320487.5</v>
      </c>
      <c r="S128" s="565">
        <f>Breakout!$L$27/12</f>
        <v>131232.927124882</v>
      </c>
      <c r="T128" s="557">
        <f>'wholesale services'!$D$113*'wholesale services'!$M$114/12</f>
        <v>172908.15903411602</v>
      </c>
      <c r="U128" s="557">
        <v>176436.89697358778</v>
      </c>
      <c r="V128" s="565">
        <f>Breakout!$L$38/12</f>
        <v>66058.027920196371</v>
      </c>
      <c r="W128" s="496">
        <f>Breakout!$L$39/12</f>
        <v>75637.701466581333</v>
      </c>
      <c r="X128" s="496">
        <v>76451.01008450157</v>
      </c>
      <c r="Y128" s="565">
        <f>Breakout!$L$49/12</f>
        <v>480510.33410934295</v>
      </c>
      <c r="Z128" s="566">
        <f>Breakout!$L$50/12</f>
        <v>458858.29797164747</v>
      </c>
      <c r="AA128" s="566">
        <v>481998.75334291131</v>
      </c>
      <c r="AB128" s="565">
        <f>Breakout!$L$60/12</f>
        <v>442105.92372305627</v>
      </c>
      <c r="AC128" s="566">
        <f>Breakout!$L$61/12</f>
        <v>454595.66285157675</v>
      </c>
      <c r="AD128" s="566">
        <v>468770.13786253909</v>
      </c>
      <c r="AE128" s="565">
        <f>Breakout!$L$71/12</f>
        <v>335434.18774308823</v>
      </c>
      <c r="AF128" s="566">
        <f>Breakout!$L$72/12</f>
        <v>316520.66666666669</v>
      </c>
      <c r="AG128" s="566">
        <v>316520.66666666669</v>
      </c>
      <c r="AH128" s="565">
        <f>Breakout!$L$82/12</f>
        <v>22078.217887766154</v>
      </c>
      <c r="AI128" s="566">
        <f>Breakout!$L$83/12</f>
        <v>0</v>
      </c>
      <c r="AJ128" s="566">
        <v>0</v>
      </c>
      <c r="AK128" s="571">
        <f>Breakout!$L$91/12</f>
        <v>296858.28275896347</v>
      </c>
      <c r="AL128" s="571">
        <v>296858.28275896347</v>
      </c>
      <c r="AM128" s="567">
        <f>(Breakout!$L$107/12)*-1</f>
        <v>55221.25</v>
      </c>
      <c r="AN128" s="567">
        <v>55221.25</v>
      </c>
      <c r="AO128" s="578">
        <f t="shared" si="120"/>
        <v>5181526.3899746351</v>
      </c>
      <c r="AP128" s="578">
        <f t="shared" si="121"/>
        <v>5118497.4511317778</v>
      </c>
      <c r="AQ128" s="548">
        <f t="shared" si="122"/>
        <v>340852.02554917213</v>
      </c>
      <c r="AR128" s="496"/>
      <c r="AS128" s="553">
        <f t="shared" si="123"/>
        <v>202596.05936751526</v>
      </c>
      <c r="AT128" s="496"/>
      <c r="AU128" s="557">
        <f>'wholesale services'!$M$110/12</f>
        <v>39106610.706018515</v>
      </c>
      <c r="AV128" s="557">
        <f>'wholesale services'!$M$113/12</f>
        <v>17613.255833333333</v>
      </c>
      <c r="AW128" s="496"/>
      <c r="AX128" s="552">
        <f t="shared" si="124"/>
        <v>-715341.08333333337</v>
      </c>
      <c r="AY128" s="381">
        <f t="shared" si="125"/>
        <v>-705333.33333333337</v>
      </c>
      <c r="AZ128" s="496"/>
      <c r="BA128" s="438">
        <f t="shared" si="126"/>
        <v>682007.01997418783</v>
      </c>
      <c r="BB128" s="438">
        <f t="shared" si="127"/>
        <v>-29649.824093029609</v>
      </c>
      <c r="BC128" s="438">
        <f t="shared" si="128"/>
        <v>-9579.6735463849618</v>
      </c>
      <c r="BD128" s="438">
        <f t="shared" si="101"/>
        <v>21652.036137695482</v>
      </c>
      <c r="BE128" s="438">
        <f t="shared" si="102"/>
        <v>-12489.739128520479</v>
      </c>
      <c r="BF128" s="438">
        <f t="shared" si="103"/>
        <v>18913.521076421544</v>
      </c>
      <c r="BG128" s="438">
        <f t="shared" si="104"/>
        <v>22078.217887766154</v>
      </c>
      <c r="BH128" s="438">
        <f t="shared" si="105"/>
        <v>-296858.28275896347</v>
      </c>
      <c r="BI128" s="438">
        <f t="shared" si="106"/>
        <v>-55221.25</v>
      </c>
      <c r="BL128" s="438">
        <f t="shared" si="129"/>
        <v>837900.94813735073</v>
      </c>
      <c r="BM128" s="438">
        <f t="shared" si="130"/>
        <v>-24126.652711620096</v>
      </c>
      <c r="BN128" s="438">
        <f t="shared" si="131"/>
        <v>-6799.5038335354766</v>
      </c>
      <c r="BO128" s="438">
        <f t="shared" si="132"/>
        <v>41875.16903557512</v>
      </c>
      <c r="BP128" s="438">
        <f t="shared" si="133"/>
        <v>6117.0757841360755</v>
      </c>
      <c r="BQ128" s="438">
        <f t="shared" si="134"/>
        <v>33030.866065046052</v>
      </c>
      <c r="BR128" s="438">
        <f t="shared" si="135"/>
        <v>23007.418995001935</v>
      </c>
      <c r="BS128" s="438">
        <f t="shared" si="107"/>
        <v>-296858.28275896347</v>
      </c>
      <c r="BT128" s="438">
        <f t="shared" si="108"/>
        <v>-55221.25</v>
      </c>
      <c r="BW128" s="565">
        <f>Breakout!$L$15/12</f>
        <v>3860000.6996294665</v>
      </c>
      <c r="BX128" s="565">
        <f>Breakout!$L$26/12</f>
        <v>136756.09850629151</v>
      </c>
      <c r="BY128" s="565">
        <f>Breakout!$L$37/12</f>
        <v>68838.197633045856</v>
      </c>
      <c r="BZ128" s="565">
        <f>Breakout!$L$48/12</f>
        <v>500733.46700722259</v>
      </c>
      <c r="CA128" s="565">
        <f>Breakout!$L$59/12</f>
        <v>460712.73863571283</v>
      </c>
      <c r="CB128" s="565">
        <f>Breakout!$L$70/12</f>
        <v>349551.53273171274</v>
      </c>
      <c r="CC128" s="565">
        <f>Breakout!$L$81/12</f>
        <v>23007.418995001935</v>
      </c>
      <c r="CE128" s="634">
        <f t="shared" si="90"/>
        <v>3858444.5536107332</v>
      </c>
      <c r="CF128" s="634">
        <f t="shared" si="91"/>
        <v>136700.96575508543</v>
      </c>
      <c r="CG128" s="634">
        <f t="shared" si="92"/>
        <v>68810.445750204555</v>
      </c>
      <c r="CI128" s="634">
        <f t="shared" si="93"/>
        <v>-715341.08333333337</v>
      </c>
      <c r="CJ128" s="634">
        <f t="shared" si="94"/>
        <v>-705333.33333333337</v>
      </c>
      <c r="CL128" s="438">
        <f>'account mgt'!$L$23/12</f>
        <v>-58858.309004648821</v>
      </c>
      <c r="CN128" s="438">
        <v>0</v>
      </c>
      <c r="CT128" s="438">
        <f t="shared" si="111"/>
        <v>0</v>
      </c>
      <c r="CU128" s="438">
        <f t="shared" si="112"/>
        <v>0</v>
      </c>
      <c r="CV128" s="438">
        <f>IF(CT128&lt;0.1,0,PPMT($L$3,A128-14,unwinds!$B$8*12,$K$5))</f>
        <v>0</v>
      </c>
      <c r="CW128" s="438">
        <f t="shared" si="109"/>
        <v>0</v>
      </c>
      <c r="CX128" s="438">
        <f t="shared" si="110"/>
        <v>0</v>
      </c>
      <c r="DA128" s="438">
        <f t="shared" si="116"/>
        <v>1943105.7588060047</v>
      </c>
      <c r="DB128" s="438">
        <f t="shared" si="117"/>
        <v>15334.342946577386</v>
      </c>
      <c r="DC128" s="438">
        <f t="shared" si="118"/>
        <v>480063.72872503736</v>
      </c>
      <c r="DD128" s="438">
        <f t="shared" si="119"/>
        <v>1463042.0300809673</v>
      </c>
      <c r="DE128" s="438">
        <f t="shared" si="136"/>
        <v>1463042.0300809673</v>
      </c>
      <c r="DH128" s="944">
        <v>-715341.08333333337</v>
      </c>
      <c r="DI128" s="944">
        <v>-705333.33333333337</v>
      </c>
      <c r="DJ128" s="944"/>
      <c r="DL128" s="381">
        <f t="shared" si="115"/>
        <v>474832.92700924521</v>
      </c>
      <c r="DN128" s="944">
        <f t="shared" si="95"/>
        <v>-715341.08333333337</v>
      </c>
      <c r="DO128" s="944">
        <f t="shared" si="96"/>
        <v>474832.92700924521</v>
      </c>
      <c r="DQ128" s="438">
        <f t="shared" si="97"/>
        <v>609418.19962946698</v>
      </c>
      <c r="DR128" s="438">
        <f t="shared" si="98"/>
        <v>-36152.060527824506</v>
      </c>
      <c r="DS128" s="438"/>
      <c r="DT128" s="438"/>
      <c r="DU128" s="438"/>
      <c r="DV128" s="438"/>
      <c r="DW128" s="438"/>
      <c r="DX128" s="438"/>
    </row>
    <row r="129" spans="1:128" x14ac:dyDescent="0.2">
      <c r="A129" s="383">
        <v>118</v>
      </c>
      <c r="B129" s="631">
        <v>40087</v>
      </c>
      <c r="C129" s="381">
        <v>0</v>
      </c>
      <c r="D129" s="381">
        <v>0</v>
      </c>
      <c r="E129" s="381">
        <v>0</v>
      </c>
      <c r="F129" s="381">
        <v>11455.437526245847</v>
      </c>
      <c r="G129" s="381">
        <v>480063.72872503765</v>
      </c>
      <c r="H129" s="381">
        <v>0</v>
      </c>
      <c r="I129" s="381">
        <v>491519.16625128349</v>
      </c>
      <c r="J129" s="381"/>
      <c r="K129" s="381"/>
      <c r="L129" s="381">
        <f t="shared" si="114"/>
        <v>491519.16625128326</v>
      </c>
      <c r="M129" s="381"/>
      <c r="N129" s="679">
        <f t="shared" si="99"/>
        <v>-715341.08333333337</v>
      </c>
      <c r="O129" s="679">
        <f t="shared" si="100"/>
        <v>-705333.33333333337</v>
      </c>
      <c r="P129" s="565">
        <f>Breakout!$L$16/12</f>
        <v>3704106.7714663036</v>
      </c>
      <c r="Q129" s="557">
        <f>'wholesale services'!$D$110*'wholesale services'!$M$111/12</f>
        <v>3250582.4999999995</v>
      </c>
      <c r="R129" s="557">
        <v>3320487.5</v>
      </c>
      <c r="S129" s="565">
        <f>Breakout!$L$27/12</f>
        <v>131232.927124882</v>
      </c>
      <c r="T129" s="557">
        <f>'wholesale services'!$D$113*'wholesale services'!$M$114/12</f>
        <v>172908.15903411602</v>
      </c>
      <c r="U129" s="557">
        <v>176436.89697358778</v>
      </c>
      <c r="V129" s="565">
        <f>Breakout!$L$38/12</f>
        <v>66058.027920196371</v>
      </c>
      <c r="W129" s="496">
        <f>Breakout!$L$39/12</f>
        <v>75637.701466581333</v>
      </c>
      <c r="X129" s="496">
        <v>76451.01008450157</v>
      </c>
      <c r="Y129" s="565">
        <f>Breakout!$L$49/12</f>
        <v>480510.33410934295</v>
      </c>
      <c r="Z129" s="566">
        <f>Breakout!$L$50/12</f>
        <v>458858.29797164747</v>
      </c>
      <c r="AA129" s="566">
        <v>481998.75334291131</v>
      </c>
      <c r="AB129" s="565">
        <f>Breakout!$L$60/12</f>
        <v>442105.92372305627</v>
      </c>
      <c r="AC129" s="566">
        <f>Breakout!$L$61/12</f>
        <v>454595.66285157675</v>
      </c>
      <c r="AD129" s="566">
        <v>468770.13786253909</v>
      </c>
      <c r="AE129" s="565">
        <f>Breakout!$L$71/12</f>
        <v>335434.18774308823</v>
      </c>
      <c r="AF129" s="566">
        <f>Breakout!$L$72/12</f>
        <v>316520.66666666669</v>
      </c>
      <c r="AG129" s="566">
        <v>316520.66666666669</v>
      </c>
      <c r="AH129" s="565">
        <f>Breakout!$L$82/12</f>
        <v>22078.217887766154</v>
      </c>
      <c r="AI129" s="566">
        <f>Breakout!$L$83/12</f>
        <v>0</v>
      </c>
      <c r="AJ129" s="566">
        <v>0</v>
      </c>
      <c r="AK129" s="571">
        <f>Breakout!$L$91/12</f>
        <v>296858.28275896347</v>
      </c>
      <c r="AL129" s="571">
        <v>296858.28275896347</v>
      </c>
      <c r="AM129" s="567">
        <f>(Breakout!$L$107/12)*-1</f>
        <v>55221.25</v>
      </c>
      <c r="AN129" s="567">
        <v>55221.25</v>
      </c>
      <c r="AO129" s="578">
        <f t="shared" si="120"/>
        <v>5181526.3899746351</v>
      </c>
      <c r="AP129" s="578">
        <f t="shared" si="121"/>
        <v>5118497.4511317778</v>
      </c>
      <c r="AQ129" s="548">
        <f t="shared" si="122"/>
        <v>340852.02554917213</v>
      </c>
      <c r="AR129" s="496"/>
      <c r="AS129" s="553">
        <f t="shared" si="123"/>
        <v>202596.05936751526</v>
      </c>
      <c r="AT129" s="496"/>
      <c r="AU129" s="557">
        <f>'wholesale services'!$M$110/12</f>
        <v>39106610.706018515</v>
      </c>
      <c r="AV129" s="557">
        <f>'wholesale services'!$M$113/12</f>
        <v>17613.255833333333</v>
      </c>
      <c r="AW129" s="496"/>
      <c r="AX129" s="552">
        <f t="shared" si="124"/>
        <v>-715341.08333333337</v>
      </c>
      <c r="AY129" s="381">
        <f t="shared" si="125"/>
        <v>-705333.33333333337</v>
      </c>
      <c r="AZ129" s="496"/>
      <c r="BA129" s="438">
        <f t="shared" si="126"/>
        <v>682007.01997418783</v>
      </c>
      <c r="BB129" s="438">
        <f t="shared" si="127"/>
        <v>-29649.824093029609</v>
      </c>
      <c r="BC129" s="438">
        <f t="shared" si="128"/>
        <v>-9579.6735463849618</v>
      </c>
      <c r="BD129" s="438">
        <f t="shared" si="101"/>
        <v>21652.036137695482</v>
      </c>
      <c r="BE129" s="438">
        <f t="shared" si="102"/>
        <v>-12489.739128520479</v>
      </c>
      <c r="BF129" s="438">
        <f t="shared" si="103"/>
        <v>18913.521076421544</v>
      </c>
      <c r="BG129" s="438">
        <f t="shared" si="104"/>
        <v>22078.217887766154</v>
      </c>
      <c r="BH129" s="438">
        <f t="shared" si="105"/>
        <v>-296858.28275896347</v>
      </c>
      <c r="BI129" s="438">
        <f t="shared" si="106"/>
        <v>-55221.25</v>
      </c>
      <c r="BL129" s="438">
        <f t="shared" si="129"/>
        <v>837900.94813735073</v>
      </c>
      <c r="BM129" s="438">
        <f t="shared" si="130"/>
        <v>-24126.652711620096</v>
      </c>
      <c r="BN129" s="438">
        <f t="shared" si="131"/>
        <v>-6799.5038335354766</v>
      </c>
      <c r="BO129" s="438">
        <f t="shared" si="132"/>
        <v>41875.16903557512</v>
      </c>
      <c r="BP129" s="438">
        <f t="shared" si="133"/>
        <v>6117.0757841360755</v>
      </c>
      <c r="BQ129" s="438">
        <f t="shared" si="134"/>
        <v>33030.866065046052</v>
      </c>
      <c r="BR129" s="438">
        <f t="shared" si="135"/>
        <v>23007.418995001935</v>
      </c>
      <c r="BS129" s="438">
        <f t="shared" si="107"/>
        <v>-296858.28275896347</v>
      </c>
      <c r="BT129" s="438">
        <f t="shared" si="108"/>
        <v>-55221.25</v>
      </c>
      <c r="BW129" s="565">
        <f>Breakout!$L$15/12</f>
        <v>3860000.6996294665</v>
      </c>
      <c r="BX129" s="565">
        <f>Breakout!$L$26/12</f>
        <v>136756.09850629151</v>
      </c>
      <c r="BY129" s="565">
        <f>Breakout!$L$37/12</f>
        <v>68838.197633045856</v>
      </c>
      <c r="BZ129" s="565">
        <f>Breakout!$L$48/12</f>
        <v>500733.46700722259</v>
      </c>
      <c r="CA129" s="565">
        <f>Breakout!$L$59/12</f>
        <v>460712.73863571283</v>
      </c>
      <c r="CB129" s="565">
        <f>Breakout!$L$70/12</f>
        <v>349551.53273171274</v>
      </c>
      <c r="CC129" s="565">
        <f>Breakout!$L$81/12</f>
        <v>23007.418995001935</v>
      </c>
      <c r="CE129" s="634">
        <f t="shared" si="90"/>
        <v>3858444.5536107332</v>
      </c>
      <c r="CF129" s="634">
        <f t="shared" si="91"/>
        <v>136700.96575508543</v>
      </c>
      <c r="CG129" s="634">
        <f t="shared" si="92"/>
        <v>68810.445750204555</v>
      </c>
      <c r="CI129" s="634">
        <f t="shared" si="93"/>
        <v>-715341.08333333337</v>
      </c>
      <c r="CJ129" s="634">
        <f t="shared" si="94"/>
        <v>-705333.33333333337</v>
      </c>
      <c r="CL129" s="438">
        <f>'account mgt'!$L$23/12</f>
        <v>-58858.309004648821</v>
      </c>
      <c r="CN129" s="438">
        <v>0</v>
      </c>
      <c r="CT129" s="438">
        <f t="shared" si="111"/>
        <v>0</v>
      </c>
      <c r="CU129" s="438">
        <f t="shared" si="112"/>
        <v>0</v>
      </c>
      <c r="CV129" s="438">
        <f>IF(CT129&lt;0.1,0,PPMT($L$3,A129-14,unwinds!$B$8*12,$K$5))</f>
        <v>0</v>
      </c>
      <c r="CW129" s="438">
        <f t="shared" si="109"/>
        <v>0</v>
      </c>
      <c r="CX129" s="438">
        <f t="shared" si="110"/>
        <v>0</v>
      </c>
      <c r="DA129" s="438">
        <f t="shared" si="116"/>
        <v>1463042.0300809673</v>
      </c>
      <c r="DB129" s="438">
        <f t="shared" si="117"/>
        <v>11545.8400207223</v>
      </c>
      <c r="DC129" s="438">
        <f t="shared" si="118"/>
        <v>483852.23165089253</v>
      </c>
      <c r="DD129" s="438">
        <f t="shared" si="119"/>
        <v>979189.79843007482</v>
      </c>
      <c r="DE129" s="438">
        <f t="shared" si="136"/>
        <v>979189.79843007482</v>
      </c>
      <c r="DH129" s="944">
        <v>-715341.08333333337</v>
      </c>
      <c r="DI129" s="944">
        <v>-705333.33333333337</v>
      </c>
      <c r="DJ129" s="944"/>
      <c r="DL129" s="381">
        <f t="shared" si="115"/>
        <v>474832.92700924521</v>
      </c>
      <c r="DN129" s="944">
        <f t="shared" si="95"/>
        <v>-715341.08333333337</v>
      </c>
      <c r="DO129" s="944">
        <f t="shared" si="96"/>
        <v>474832.92700924521</v>
      </c>
      <c r="DQ129" s="438">
        <f t="shared" si="97"/>
        <v>609418.19962946698</v>
      </c>
      <c r="DR129" s="438">
        <f t="shared" si="98"/>
        <v>-36152.060527824506</v>
      </c>
      <c r="DS129" s="438"/>
      <c r="DT129" s="438"/>
      <c r="DU129" s="438"/>
      <c r="DV129" s="438"/>
      <c r="DW129" s="438"/>
      <c r="DX129" s="438"/>
    </row>
    <row r="130" spans="1:128" x14ac:dyDescent="0.2">
      <c r="A130" s="383">
        <v>119</v>
      </c>
      <c r="B130" s="631">
        <v>40118</v>
      </c>
      <c r="C130" s="381">
        <v>0</v>
      </c>
      <c r="D130" s="381">
        <v>0</v>
      </c>
      <c r="E130" s="381">
        <v>0</v>
      </c>
      <c r="F130" s="381">
        <v>7666.9346003905757</v>
      </c>
      <c r="G130" s="381">
        <v>483852.23165089294</v>
      </c>
      <c r="H130" s="381">
        <v>0</v>
      </c>
      <c r="I130" s="381">
        <v>491519.16625128349</v>
      </c>
      <c r="J130" s="381"/>
      <c r="K130" s="381"/>
      <c r="L130" s="381">
        <f t="shared" si="114"/>
        <v>491519.16625128326</v>
      </c>
      <c r="M130" s="381"/>
      <c r="N130" s="679">
        <f t="shared" si="99"/>
        <v>-715341.08333333337</v>
      </c>
      <c r="O130" s="679">
        <f t="shared" si="100"/>
        <v>-705333.33333333337</v>
      </c>
      <c r="P130" s="565">
        <f>Breakout!$L$16/12</f>
        <v>3704106.7714663036</v>
      </c>
      <c r="Q130" s="557">
        <f>'wholesale services'!$D$110*'wholesale services'!$M$111/12</f>
        <v>3250582.4999999995</v>
      </c>
      <c r="R130" s="557">
        <v>3320487.5</v>
      </c>
      <c r="S130" s="565">
        <f>Breakout!$L$27/12</f>
        <v>131232.927124882</v>
      </c>
      <c r="T130" s="557">
        <f>'wholesale services'!$D$113*'wholesale services'!$M$114/12</f>
        <v>172908.15903411602</v>
      </c>
      <c r="U130" s="557">
        <v>176436.89697358778</v>
      </c>
      <c r="V130" s="565">
        <f>Breakout!$L$38/12</f>
        <v>66058.027920196371</v>
      </c>
      <c r="W130" s="496">
        <f>Breakout!$L$39/12</f>
        <v>75637.701466581333</v>
      </c>
      <c r="X130" s="496">
        <v>76451.01008450157</v>
      </c>
      <c r="Y130" s="565">
        <f>Breakout!$L$49/12</f>
        <v>480510.33410934295</v>
      </c>
      <c r="Z130" s="566">
        <f>Breakout!$L$50/12</f>
        <v>458858.29797164747</v>
      </c>
      <c r="AA130" s="566">
        <v>481998.75334291131</v>
      </c>
      <c r="AB130" s="565">
        <f>Breakout!$L$60/12</f>
        <v>442105.92372305627</v>
      </c>
      <c r="AC130" s="566">
        <f>Breakout!$L$61/12</f>
        <v>454595.66285157675</v>
      </c>
      <c r="AD130" s="566">
        <v>468770.13786253909</v>
      </c>
      <c r="AE130" s="565">
        <f>Breakout!$L$71/12</f>
        <v>335434.18774308823</v>
      </c>
      <c r="AF130" s="566">
        <f>Breakout!$L$72/12</f>
        <v>316520.66666666669</v>
      </c>
      <c r="AG130" s="566">
        <v>316520.66666666669</v>
      </c>
      <c r="AH130" s="565">
        <f>Breakout!$L$82/12</f>
        <v>22078.217887766154</v>
      </c>
      <c r="AI130" s="566">
        <f>Breakout!$L$83/12</f>
        <v>0</v>
      </c>
      <c r="AJ130" s="566">
        <v>0</v>
      </c>
      <c r="AK130" s="571">
        <f>Breakout!$L$91/12</f>
        <v>296858.28275896347</v>
      </c>
      <c r="AL130" s="571">
        <v>296858.28275896347</v>
      </c>
      <c r="AM130" s="567">
        <f>(Breakout!$L$107/12)*-1</f>
        <v>55221.25</v>
      </c>
      <c r="AN130" s="567">
        <v>55221.25</v>
      </c>
      <c r="AO130" s="578">
        <f t="shared" si="120"/>
        <v>5181526.3899746351</v>
      </c>
      <c r="AP130" s="578">
        <f t="shared" si="121"/>
        <v>5118497.4511317778</v>
      </c>
      <c r="AQ130" s="548">
        <f t="shared" si="122"/>
        <v>340852.02554917213</v>
      </c>
      <c r="AR130" s="496"/>
      <c r="AS130" s="553">
        <f t="shared" si="123"/>
        <v>202596.05936751526</v>
      </c>
      <c r="AT130" s="496"/>
      <c r="AU130" s="557">
        <f>'wholesale services'!$M$110/12</f>
        <v>39106610.706018515</v>
      </c>
      <c r="AV130" s="557">
        <f>'wholesale services'!$M$113/12</f>
        <v>17613.255833333333</v>
      </c>
      <c r="AW130" s="496"/>
      <c r="AX130" s="552">
        <f t="shared" si="124"/>
        <v>-715341.08333333337</v>
      </c>
      <c r="AY130" s="381">
        <f t="shared" si="125"/>
        <v>-705333.33333333337</v>
      </c>
      <c r="AZ130" s="496"/>
      <c r="BA130" s="438">
        <f t="shared" si="126"/>
        <v>682007.01997418783</v>
      </c>
      <c r="BB130" s="438">
        <f t="shared" si="127"/>
        <v>-29649.824093029609</v>
      </c>
      <c r="BC130" s="438">
        <f t="shared" si="128"/>
        <v>-9579.6735463849618</v>
      </c>
      <c r="BD130" s="438">
        <f t="shared" si="101"/>
        <v>21652.036137695482</v>
      </c>
      <c r="BE130" s="438">
        <f t="shared" si="102"/>
        <v>-12489.739128520479</v>
      </c>
      <c r="BF130" s="438">
        <f t="shared" si="103"/>
        <v>18913.521076421544</v>
      </c>
      <c r="BG130" s="438">
        <f t="shared" si="104"/>
        <v>22078.217887766154</v>
      </c>
      <c r="BH130" s="438">
        <f t="shared" si="105"/>
        <v>-296858.28275896347</v>
      </c>
      <c r="BI130" s="438">
        <f t="shared" si="106"/>
        <v>-55221.25</v>
      </c>
      <c r="BL130" s="438">
        <f t="shared" si="129"/>
        <v>837900.94813735073</v>
      </c>
      <c r="BM130" s="438">
        <f t="shared" si="130"/>
        <v>-24126.652711620096</v>
      </c>
      <c r="BN130" s="438">
        <f t="shared" si="131"/>
        <v>-6799.5038335354766</v>
      </c>
      <c r="BO130" s="438">
        <f t="shared" si="132"/>
        <v>41875.16903557512</v>
      </c>
      <c r="BP130" s="438">
        <f t="shared" si="133"/>
        <v>6117.0757841360755</v>
      </c>
      <c r="BQ130" s="438">
        <f t="shared" si="134"/>
        <v>33030.866065046052</v>
      </c>
      <c r="BR130" s="438">
        <f t="shared" si="135"/>
        <v>23007.418995001935</v>
      </c>
      <c r="BS130" s="438">
        <f t="shared" si="107"/>
        <v>-296858.28275896347</v>
      </c>
      <c r="BT130" s="438">
        <f t="shared" si="108"/>
        <v>-55221.25</v>
      </c>
      <c r="BW130" s="565">
        <f>Breakout!$L$15/12</f>
        <v>3860000.6996294665</v>
      </c>
      <c r="BX130" s="565">
        <f>Breakout!$L$26/12</f>
        <v>136756.09850629151</v>
      </c>
      <c r="BY130" s="565">
        <f>Breakout!$L$37/12</f>
        <v>68838.197633045856</v>
      </c>
      <c r="BZ130" s="565">
        <f>Breakout!$L$48/12</f>
        <v>500733.46700722259</v>
      </c>
      <c r="CA130" s="565">
        <f>Breakout!$L$59/12</f>
        <v>460712.73863571283</v>
      </c>
      <c r="CB130" s="565">
        <f>Breakout!$L$70/12</f>
        <v>349551.53273171274</v>
      </c>
      <c r="CC130" s="565">
        <f>Breakout!$L$81/12</f>
        <v>23007.418995001935</v>
      </c>
      <c r="CE130" s="634">
        <f t="shared" si="90"/>
        <v>3858444.5536107332</v>
      </c>
      <c r="CF130" s="634">
        <f t="shared" si="91"/>
        <v>136700.96575508543</v>
      </c>
      <c r="CG130" s="634">
        <f t="shared" si="92"/>
        <v>68810.445750204555</v>
      </c>
      <c r="CI130" s="634">
        <f t="shared" si="93"/>
        <v>-715341.08333333337</v>
      </c>
      <c r="CJ130" s="634">
        <f t="shared" si="94"/>
        <v>-705333.33333333337</v>
      </c>
      <c r="CL130" s="438">
        <f>'account mgt'!$L$23/12</f>
        <v>-58858.309004648821</v>
      </c>
      <c r="CN130" s="438">
        <v>0</v>
      </c>
      <c r="CT130" s="438">
        <f t="shared" si="111"/>
        <v>0</v>
      </c>
      <c r="CU130" s="438">
        <f t="shared" si="112"/>
        <v>0</v>
      </c>
      <c r="CV130" s="438">
        <f>IF(CT130&lt;0.1,0,PPMT($L$3,A130-14,unwinds!$B$8*12,$K$5))</f>
        <v>0</v>
      </c>
      <c r="CW130" s="438">
        <f t="shared" si="109"/>
        <v>0</v>
      </c>
      <c r="CX130" s="438">
        <f t="shared" si="110"/>
        <v>0</v>
      </c>
      <c r="DA130" s="438">
        <f t="shared" si="116"/>
        <v>979189.79843007482</v>
      </c>
      <c r="DB130" s="438">
        <f t="shared" si="117"/>
        <v>7727.4394926106734</v>
      </c>
      <c r="DC130" s="438">
        <f t="shared" si="118"/>
        <v>487670.63217900402</v>
      </c>
      <c r="DD130" s="438">
        <f t="shared" si="119"/>
        <v>491519.1662510708</v>
      </c>
      <c r="DE130" s="438">
        <f t="shared" si="136"/>
        <v>491519.1662510708</v>
      </c>
      <c r="DH130" s="944">
        <v>-715341.08333333337</v>
      </c>
      <c r="DI130" s="944">
        <v>-705333.33333333337</v>
      </c>
      <c r="DJ130" s="944"/>
      <c r="DL130" s="381">
        <f t="shared" si="115"/>
        <v>474832.92700924521</v>
      </c>
      <c r="DN130" s="944">
        <f t="shared" si="95"/>
        <v>-715341.08333333337</v>
      </c>
      <c r="DO130" s="944">
        <f t="shared" si="96"/>
        <v>474832.92700924521</v>
      </c>
      <c r="DQ130" s="438">
        <f t="shared" si="97"/>
        <v>609418.19962946698</v>
      </c>
      <c r="DR130" s="438">
        <f t="shared" si="98"/>
        <v>-36152.060527824506</v>
      </c>
      <c r="DS130" s="438"/>
      <c r="DT130" s="438"/>
      <c r="DU130" s="438"/>
      <c r="DV130" s="438"/>
      <c r="DW130" s="438"/>
      <c r="DX130" s="438"/>
    </row>
    <row r="131" spans="1:128" s="676" customFormat="1" x14ac:dyDescent="0.2">
      <c r="A131" s="667">
        <v>120</v>
      </c>
      <c r="B131" s="668">
        <v>40148</v>
      </c>
      <c r="C131" s="669">
        <v>0</v>
      </c>
      <c r="D131" s="669">
        <v>0</v>
      </c>
      <c r="E131" s="669">
        <v>0</v>
      </c>
      <c r="F131" s="381">
        <v>3848.5340722790943</v>
      </c>
      <c r="G131" s="381">
        <v>487670.63217900437</v>
      </c>
      <c r="H131" s="381">
        <v>0</v>
      </c>
      <c r="I131" s="381">
        <v>491519.16625128349</v>
      </c>
      <c r="J131" s="669"/>
      <c r="K131" s="669"/>
      <c r="L131" s="381">
        <f t="shared" si="114"/>
        <v>491519.16625128326</v>
      </c>
      <c r="M131" s="669"/>
      <c r="N131" s="679">
        <f t="shared" si="99"/>
        <v>-715341.08333333337</v>
      </c>
      <c r="O131" s="679">
        <f t="shared" si="100"/>
        <v>-705333.33333333337</v>
      </c>
      <c r="P131" s="670">
        <f>Breakout!$L$16/12</f>
        <v>3704106.7714663036</v>
      </c>
      <c r="Q131" s="671">
        <f>'wholesale services'!$D$110*'wholesale services'!$M$111/12</f>
        <v>3250582.4999999995</v>
      </c>
      <c r="R131" s="671">
        <v>3320487.5</v>
      </c>
      <c r="S131" s="670">
        <f>Breakout!$L$27/12</f>
        <v>131232.927124882</v>
      </c>
      <c r="T131" s="671">
        <f>'wholesale services'!$D$113*'wholesale services'!$M$114/12</f>
        <v>172908.15903411602</v>
      </c>
      <c r="U131" s="671">
        <v>176436.89697358778</v>
      </c>
      <c r="V131" s="670">
        <f>Breakout!$L$38/12</f>
        <v>66058.027920196371</v>
      </c>
      <c r="W131" s="672">
        <f>Breakout!$L$39/12</f>
        <v>75637.701466581333</v>
      </c>
      <c r="X131" s="672">
        <v>76451.01008450157</v>
      </c>
      <c r="Y131" s="670">
        <f>Breakout!$L$49/12</f>
        <v>480510.33410934295</v>
      </c>
      <c r="Z131" s="671">
        <f>Breakout!$L$50/12</f>
        <v>458858.29797164747</v>
      </c>
      <c r="AA131" s="671">
        <v>481998.75334291131</v>
      </c>
      <c r="AB131" s="670">
        <f>Breakout!$L$60/12</f>
        <v>442105.92372305627</v>
      </c>
      <c r="AC131" s="671">
        <f>Breakout!$L$61/12</f>
        <v>454595.66285157675</v>
      </c>
      <c r="AD131" s="671">
        <v>468770.13786253909</v>
      </c>
      <c r="AE131" s="670">
        <f>Breakout!$L$71/12</f>
        <v>335434.18774308823</v>
      </c>
      <c r="AF131" s="671">
        <f>Breakout!$L$72/12</f>
        <v>316520.66666666669</v>
      </c>
      <c r="AG131" s="671">
        <v>316520.66666666669</v>
      </c>
      <c r="AH131" s="670">
        <f>Breakout!$L$82/12</f>
        <v>22078.217887766154</v>
      </c>
      <c r="AI131" s="671">
        <f>Breakout!$L$83/12</f>
        <v>0</v>
      </c>
      <c r="AJ131" s="671">
        <v>0</v>
      </c>
      <c r="AK131" s="673">
        <f>Breakout!$L$91/12</f>
        <v>296858.28275896347</v>
      </c>
      <c r="AL131" s="673">
        <v>296858.28275896347</v>
      </c>
      <c r="AM131" s="673">
        <f>(Breakout!$L$107/12)*-1</f>
        <v>55221.25</v>
      </c>
      <c r="AN131" s="673">
        <v>55221.25</v>
      </c>
      <c r="AO131" s="674">
        <f t="shared" si="120"/>
        <v>5181526.3899746351</v>
      </c>
      <c r="AP131" s="674">
        <f t="shared" si="121"/>
        <v>5118497.4511317778</v>
      </c>
      <c r="AQ131" s="548">
        <f t="shared" si="122"/>
        <v>340852.02554917213</v>
      </c>
      <c r="AR131" s="672">
        <f>SUM(AQ120:AQ131)</f>
        <v>4090224.3065900649</v>
      </c>
      <c r="AS131" s="553">
        <f t="shared" si="123"/>
        <v>202596.05936751526</v>
      </c>
      <c r="AT131" s="672">
        <f>SUM(AS120:AS131)</f>
        <v>2431152.7124101827</v>
      </c>
      <c r="AU131" s="671">
        <f>'wholesale services'!$M$110/12</f>
        <v>39106610.706018515</v>
      </c>
      <c r="AV131" s="671">
        <f>'wholesale services'!$M$113/12</f>
        <v>17613.255833333333</v>
      </c>
      <c r="AW131" s="672"/>
      <c r="AX131" s="552">
        <f t="shared" si="124"/>
        <v>-715341.08333333337</v>
      </c>
      <c r="AY131" s="381">
        <f t="shared" si="125"/>
        <v>-705333.33333333337</v>
      </c>
      <c r="AZ131" s="672"/>
      <c r="BA131" s="438">
        <f t="shared" si="126"/>
        <v>682007.01997418783</v>
      </c>
      <c r="BB131" s="438">
        <f t="shared" si="127"/>
        <v>-29649.824093029609</v>
      </c>
      <c r="BC131" s="438">
        <f t="shared" si="128"/>
        <v>-9579.6735463849618</v>
      </c>
      <c r="BD131" s="438">
        <f t="shared" si="101"/>
        <v>21652.036137695482</v>
      </c>
      <c r="BE131" s="438">
        <f t="shared" si="102"/>
        <v>-12489.739128520479</v>
      </c>
      <c r="BF131" s="438">
        <f t="shared" si="103"/>
        <v>18913.521076421544</v>
      </c>
      <c r="BG131" s="438">
        <f t="shared" si="104"/>
        <v>22078.217887766154</v>
      </c>
      <c r="BH131" s="438">
        <f t="shared" si="105"/>
        <v>-296858.28275896347</v>
      </c>
      <c r="BI131" s="438">
        <f t="shared" si="106"/>
        <v>-55221.25</v>
      </c>
      <c r="BJ131" s="672"/>
      <c r="BK131" s="496"/>
      <c r="BL131" s="438">
        <f t="shared" si="129"/>
        <v>837900.94813735073</v>
      </c>
      <c r="BM131" s="438">
        <f t="shared" si="130"/>
        <v>-24126.652711620096</v>
      </c>
      <c r="BN131" s="438">
        <f t="shared" si="131"/>
        <v>-6799.5038335354766</v>
      </c>
      <c r="BO131" s="438">
        <f t="shared" si="132"/>
        <v>41875.16903557512</v>
      </c>
      <c r="BP131" s="438">
        <f t="shared" si="133"/>
        <v>6117.0757841360755</v>
      </c>
      <c r="BQ131" s="438">
        <f t="shared" si="134"/>
        <v>33030.866065046052</v>
      </c>
      <c r="BR131" s="438">
        <f t="shared" si="135"/>
        <v>23007.418995001935</v>
      </c>
      <c r="BS131" s="438">
        <f t="shared" si="107"/>
        <v>-296858.28275896347</v>
      </c>
      <c r="BT131" s="438">
        <f t="shared" si="108"/>
        <v>-55221.25</v>
      </c>
      <c r="BU131" s="672"/>
      <c r="BV131" s="672"/>
      <c r="BW131" s="670">
        <f>Breakout!$L$15/12</f>
        <v>3860000.6996294665</v>
      </c>
      <c r="BX131" s="670">
        <f>Breakout!$L$26/12</f>
        <v>136756.09850629151</v>
      </c>
      <c r="BY131" s="670">
        <f>Breakout!$L$37/12</f>
        <v>68838.197633045856</v>
      </c>
      <c r="BZ131" s="670">
        <f>Breakout!$L$48/12</f>
        <v>500733.46700722259</v>
      </c>
      <c r="CA131" s="670">
        <f>Breakout!$L$59/12</f>
        <v>460712.73863571283</v>
      </c>
      <c r="CB131" s="670">
        <f>Breakout!$L$70/12</f>
        <v>349551.53273171274</v>
      </c>
      <c r="CC131" s="670">
        <f>Breakout!$L$81/12</f>
        <v>23007.418995001935</v>
      </c>
      <c r="CD131" s="672"/>
      <c r="CE131" s="675">
        <f t="shared" si="90"/>
        <v>3858444.5536107332</v>
      </c>
      <c r="CF131" s="675">
        <f t="shared" si="91"/>
        <v>136700.96575508543</v>
      </c>
      <c r="CG131" s="675">
        <f t="shared" si="92"/>
        <v>68810.445750204555</v>
      </c>
      <c r="CH131" s="672"/>
      <c r="CI131" s="675">
        <f t="shared" si="93"/>
        <v>-715341.08333333337</v>
      </c>
      <c r="CJ131" s="675">
        <f t="shared" si="94"/>
        <v>-705333.33333333337</v>
      </c>
      <c r="CK131" s="672"/>
      <c r="CL131" s="672">
        <f>'account mgt'!$L$23/12</f>
        <v>-58858.309004648821</v>
      </c>
      <c r="CM131" s="672"/>
      <c r="CN131" s="438">
        <v>0</v>
      </c>
      <c r="CO131" s="672"/>
      <c r="CP131" s="672"/>
      <c r="CQ131" s="496"/>
      <c r="CR131" s="496"/>
      <c r="CS131" s="496"/>
      <c r="CT131" s="438">
        <f t="shared" si="111"/>
        <v>0</v>
      </c>
      <c r="CU131" s="438">
        <f t="shared" si="112"/>
        <v>0</v>
      </c>
      <c r="CV131" s="438">
        <f>IF(CT131&lt;0.1,0,PPMT($L$3,A131-14,unwinds!$B$8*12,$K$5))</f>
        <v>0</v>
      </c>
      <c r="CW131" s="438">
        <f t="shared" si="109"/>
        <v>0</v>
      </c>
      <c r="CX131" s="438">
        <f t="shared" si="110"/>
        <v>0</v>
      </c>
      <c r="CY131" s="672">
        <f>CX131</f>
        <v>0</v>
      </c>
      <c r="CZ131" s="438"/>
      <c r="DA131" s="438">
        <f t="shared" si="116"/>
        <v>491519.1662510708</v>
      </c>
      <c r="DB131" s="438">
        <f t="shared" si="117"/>
        <v>3878.9054203313672</v>
      </c>
      <c r="DC131" s="438">
        <f t="shared" si="118"/>
        <v>491519.16625128331</v>
      </c>
      <c r="DD131" s="438">
        <f t="shared" si="119"/>
        <v>-2.125161699950695E-7</v>
      </c>
      <c r="DE131" s="438">
        <f t="shared" si="136"/>
        <v>-2.125161699950695E-7</v>
      </c>
      <c r="DF131" s="672">
        <f>DE131</f>
        <v>-2.125161699950695E-7</v>
      </c>
      <c r="DG131" s="672"/>
      <c r="DH131" s="944">
        <v>-715341.08333333337</v>
      </c>
      <c r="DI131" s="944">
        <v>-705333.33333333337</v>
      </c>
      <c r="DJ131" s="944"/>
      <c r="DK131" s="672"/>
      <c r="DL131" s="381">
        <f t="shared" si="115"/>
        <v>474832.92700924521</v>
      </c>
      <c r="DM131" s="672"/>
      <c r="DN131" s="944">
        <f t="shared" si="95"/>
        <v>-715341.08333333337</v>
      </c>
      <c r="DO131" s="944">
        <f t="shared" si="96"/>
        <v>474832.92700924521</v>
      </c>
      <c r="DP131" s="672"/>
      <c r="DQ131" s="438">
        <f t="shared" si="97"/>
        <v>609418.19962946698</v>
      </c>
      <c r="DR131" s="438">
        <f t="shared" si="98"/>
        <v>-36152.060527824506</v>
      </c>
      <c r="DS131" s="672"/>
      <c r="DT131" s="672"/>
      <c r="DU131" s="672"/>
      <c r="DV131" s="672"/>
      <c r="DW131" s="672"/>
      <c r="DX131" s="672"/>
    </row>
    <row r="132" spans="1:128" s="532" customFormat="1" x14ac:dyDescent="0.2">
      <c r="A132" s="528">
        <v>121</v>
      </c>
      <c r="B132" s="633">
        <v>40179</v>
      </c>
      <c r="C132" s="530">
        <v>0</v>
      </c>
      <c r="D132" s="530">
        <v>0</v>
      </c>
      <c r="E132" s="530">
        <v>0</v>
      </c>
      <c r="F132" s="530">
        <v>0</v>
      </c>
      <c r="G132" s="530">
        <v>0</v>
      </c>
      <c r="H132" s="530">
        <v>0</v>
      </c>
      <c r="I132" s="530">
        <v>0</v>
      </c>
      <c r="J132" s="530"/>
      <c r="K132" s="530"/>
      <c r="L132" s="530"/>
      <c r="M132" s="530"/>
      <c r="N132" s="530"/>
      <c r="O132" s="530"/>
      <c r="P132" s="562">
        <f t="shared" ref="P132:P143" si="137">(1/0.96)*2929230.56</f>
        <v>3051281.8333333335</v>
      </c>
      <c r="Q132" s="560"/>
      <c r="R132" s="555"/>
      <c r="S132" s="562">
        <f t="shared" ref="S132:S143" si="138">(1/0.96)*123939.2</f>
        <v>129103.33333333334</v>
      </c>
      <c r="T132" s="560"/>
      <c r="U132" s="555"/>
      <c r="V132" s="562">
        <f t="shared" ref="V132:V143" si="139">(1/0.96)*54324</f>
        <v>56587.500000000007</v>
      </c>
      <c r="W132" s="531"/>
      <c r="X132" s="555"/>
      <c r="Y132" s="564"/>
      <c r="Z132" s="564"/>
      <c r="AA132" s="560"/>
      <c r="AB132" s="564"/>
      <c r="AC132" s="560"/>
      <c r="AD132" s="564"/>
      <c r="AE132" s="560"/>
      <c r="AF132" s="564"/>
      <c r="AG132" s="560"/>
      <c r="AH132" s="570"/>
      <c r="AI132" s="570"/>
      <c r="AJ132" s="580"/>
      <c r="AK132" s="580"/>
      <c r="AL132" s="573"/>
      <c r="AM132" s="531"/>
      <c r="AN132" s="575"/>
      <c r="AO132" s="531"/>
      <c r="AP132" s="531"/>
      <c r="AQ132" s="531"/>
      <c r="AR132" s="531"/>
      <c r="AS132" s="531"/>
      <c r="AT132" s="531"/>
      <c r="AU132" s="531"/>
      <c r="AV132" s="531"/>
      <c r="AW132" s="531"/>
      <c r="AX132" s="531"/>
      <c r="AY132" s="531"/>
      <c r="AZ132" s="531"/>
      <c r="BA132" s="438"/>
      <c r="BB132" s="531"/>
      <c r="BC132" s="531"/>
      <c r="BD132" s="531"/>
      <c r="BE132" s="531"/>
      <c r="BF132" s="531"/>
      <c r="BG132" s="531"/>
      <c r="BH132" s="531"/>
      <c r="BI132" s="531"/>
      <c r="BJ132" s="531"/>
      <c r="BK132" s="531"/>
      <c r="BL132" s="531"/>
      <c r="BM132" s="531"/>
      <c r="BN132" s="531"/>
      <c r="BO132" s="531"/>
      <c r="BP132" s="531"/>
      <c r="BQ132" s="531"/>
      <c r="BR132" s="531"/>
      <c r="BS132" s="531"/>
      <c r="BT132" s="531"/>
      <c r="BU132" s="531"/>
      <c r="BV132" s="531"/>
      <c r="BW132" s="531"/>
      <c r="BX132" s="531"/>
      <c r="BY132" s="531"/>
      <c r="BZ132" s="531"/>
      <c r="CA132" s="531"/>
      <c r="CB132" s="531"/>
      <c r="CC132" s="531"/>
      <c r="CD132" s="531"/>
      <c r="CE132" s="531"/>
      <c r="CF132" s="531"/>
      <c r="CG132" s="531"/>
      <c r="CH132" s="531"/>
      <c r="CI132" s="531"/>
      <c r="CJ132" s="531"/>
      <c r="CK132" s="531"/>
      <c r="CL132" s="531"/>
      <c r="CM132" s="531"/>
      <c r="CN132" s="531"/>
      <c r="CO132" s="531"/>
      <c r="CP132" s="531"/>
      <c r="CQ132" s="496"/>
      <c r="CR132" s="496"/>
      <c r="CS132" s="496"/>
      <c r="CT132" s="496"/>
      <c r="CU132" s="496"/>
      <c r="CV132" s="438"/>
      <c r="CW132" s="531"/>
      <c r="CX132" s="531"/>
      <c r="CY132" s="531"/>
      <c r="CZ132" s="531"/>
      <c r="DA132" s="496"/>
      <c r="DB132" s="496"/>
      <c r="DC132" s="438"/>
      <c r="DD132" s="531"/>
      <c r="DE132" s="531"/>
      <c r="DF132" s="531"/>
      <c r="DG132" s="531"/>
      <c r="DH132" s="944">
        <v>0</v>
      </c>
      <c r="DI132" s="944">
        <v>0</v>
      </c>
      <c r="DJ132" s="944"/>
      <c r="DK132" s="531"/>
      <c r="DL132" s="381"/>
      <c r="DM132" s="531"/>
      <c r="DN132" s="944"/>
      <c r="DO132" s="944"/>
      <c r="DP132" s="531"/>
      <c r="DQ132" s="531"/>
      <c r="DR132" s="531"/>
      <c r="DS132" s="531"/>
    </row>
    <row r="133" spans="1:128" x14ac:dyDescent="0.2">
      <c r="A133" s="383">
        <v>122</v>
      </c>
      <c r="B133" s="631">
        <v>40210</v>
      </c>
      <c r="C133" s="381">
        <v>0</v>
      </c>
      <c r="D133" s="381">
        <v>0</v>
      </c>
      <c r="E133" s="381">
        <v>0</v>
      </c>
      <c r="F133" s="381">
        <v>0</v>
      </c>
      <c r="G133" s="381">
        <v>0</v>
      </c>
      <c r="H133" s="381">
        <v>0</v>
      </c>
      <c r="I133" s="381">
        <v>0</v>
      </c>
      <c r="J133" s="381"/>
      <c r="K133" s="381"/>
      <c r="L133" s="381"/>
      <c r="M133" s="381"/>
      <c r="N133" s="381"/>
      <c r="O133" s="381"/>
      <c r="P133" s="562">
        <f t="shared" si="137"/>
        <v>3051281.8333333335</v>
      </c>
      <c r="S133" s="562">
        <f t="shared" si="138"/>
        <v>129103.33333333334</v>
      </c>
      <c r="V133" s="562">
        <f t="shared" si="139"/>
        <v>56587.500000000007</v>
      </c>
      <c r="Z133" s="562"/>
      <c r="AA133" s="557"/>
      <c r="AB133" s="562"/>
      <c r="AC133" s="557"/>
      <c r="AD133" s="562"/>
      <c r="AE133" s="557"/>
      <c r="AF133" s="562"/>
      <c r="AG133" s="557"/>
      <c r="AI133" s="567"/>
      <c r="AK133" s="578"/>
      <c r="AL133" s="548"/>
      <c r="AM133" s="438"/>
      <c r="AN133" s="553"/>
      <c r="DH133" s="944">
        <v>0</v>
      </c>
      <c r="DI133" s="944">
        <v>0</v>
      </c>
      <c r="DJ133" s="944"/>
      <c r="DL133" s="381"/>
      <c r="DN133" s="944"/>
      <c r="DO133" s="944"/>
      <c r="DS133" s="438"/>
    </row>
    <row r="134" spans="1:128" x14ac:dyDescent="0.2">
      <c r="A134" s="383">
        <v>123</v>
      </c>
      <c r="B134" s="631">
        <v>40238</v>
      </c>
      <c r="C134" s="381">
        <v>0</v>
      </c>
      <c r="D134" s="381">
        <v>0</v>
      </c>
      <c r="E134" s="381">
        <v>0</v>
      </c>
      <c r="F134" s="381">
        <v>0</v>
      </c>
      <c r="G134" s="381">
        <v>0</v>
      </c>
      <c r="H134" s="381">
        <v>0</v>
      </c>
      <c r="I134" s="381">
        <v>0</v>
      </c>
      <c r="J134" s="381"/>
      <c r="K134" s="381"/>
      <c r="L134" s="381"/>
      <c r="M134" s="381"/>
      <c r="N134" s="381"/>
      <c r="O134" s="381"/>
      <c r="P134" s="562">
        <f t="shared" si="137"/>
        <v>3051281.8333333335</v>
      </c>
      <c r="S134" s="562">
        <f t="shared" si="138"/>
        <v>129103.33333333334</v>
      </c>
      <c r="V134" s="562">
        <f t="shared" si="139"/>
        <v>56587.500000000007</v>
      </c>
      <c r="Z134" s="562"/>
      <c r="AA134" s="557"/>
      <c r="AB134" s="562"/>
      <c r="AC134" s="557"/>
      <c r="AD134" s="562"/>
      <c r="AE134" s="557"/>
      <c r="AF134" s="562"/>
      <c r="AG134" s="557"/>
      <c r="AI134" s="567"/>
      <c r="AK134" s="578"/>
      <c r="AL134" s="548"/>
      <c r="AM134" s="438"/>
      <c r="AN134" s="553"/>
      <c r="DH134" s="944">
        <v>0</v>
      </c>
      <c r="DI134" s="944">
        <v>0</v>
      </c>
      <c r="DJ134" s="944"/>
      <c r="DL134" s="381"/>
      <c r="DN134" s="944"/>
      <c r="DO134" s="944"/>
      <c r="DS134" s="438"/>
    </row>
    <row r="135" spans="1:128" x14ac:dyDescent="0.2">
      <c r="A135" s="383">
        <v>124</v>
      </c>
      <c r="B135" s="631">
        <v>40269</v>
      </c>
      <c r="C135" s="381">
        <v>0</v>
      </c>
      <c r="D135" s="381">
        <v>0</v>
      </c>
      <c r="E135" s="381">
        <v>0</v>
      </c>
      <c r="F135" s="381">
        <v>0</v>
      </c>
      <c r="G135" s="381">
        <v>0</v>
      </c>
      <c r="H135" s="381">
        <v>0</v>
      </c>
      <c r="I135" s="381">
        <v>0</v>
      </c>
      <c r="J135" s="381"/>
      <c r="K135" s="381"/>
      <c r="L135" s="381"/>
      <c r="M135" s="381"/>
      <c r="N135" s="381"/>
      <c r="O135" s="381"/>
      <c r="P135" s="562">
        <f t="shared" si="137"/>
        <v>3051281.8333333335</v>
      </c>
      <c r="S135" s="562">
        <f t="shared" si="138"/>
        <v>129103.33333333334</v>
      </c>
      <c r="V135" s="562">
        <f t="shared" si="139"/>
        <v>56587.500000000007</v>
      </c>
      <c r="Z135" s="562"/>
      <c r="AA135" s="557"/>
      <c r="AB135" s="562"/>
      <c r="AC135" s="557"/>
      <c r="AD135" s="562"/>
      <c r="AE135" s="557"/>
      <c r="AF135" s="562"/>
      <c r="AG135" s="557"/>
      <c r="AI135" s="567"/>
      <c r="AK135" s="578"/>
      <c r="AL135" s="548"/>
      <c r="AM135" s="438"/>
      <c r="AN135" s="553"/>
      <c r="DH135" s="944">
        <v>0</v>
      </c>
      <c r="DI135" s="944">
        <v>0</v>
      </c>
      <c r="DJ135" s="944"/>
      <c r="DL135" s="381"/>
      <c r="DN135" s="944"/>
      <c r="DO135" s="944"/>
      <c r="DS135" s="438"/>
    </row>
    <row r="136" spans="1:128" x14ac:dyDescent="0.2">
      <c r="A136" s="383">
        <v>125</v>
      </c>
      <c r="B136" s="631">
        <v>40299</v>
      </c>
      <c r="C136" s="381">
        <v>0</v>
      </c>
      <c r="D136" s="381">
        <v>0</v>
      </c>
      <c r="E136" s="381">
        <v>0</v>
      </c>
      <c r="F136" s="381">
        <v>0</v>
      </c>
      <c r="G136" s="381">
        <v>0</v>
      </c>
      <c r="H136" s="381">
        <v>0</v>
      </c>
      <c r="I136" s="381">
        <v>0</v>
      </c>
      <c r="J136" s="381"/>
      <c r="K136" s="381"/>
      <c r="L136" s="381"/>
      <c r="M136" s="381"/>
      <c r="N136" s="381"/>
      <c r="O136" s="381"/>
      <c r="P136" s="562">
        <f t="shared" si="137"/>
        <v>3051281.8333333335</v>
      </c>
      <c r="S136" s="562">
        <f t="shared" si="138"/>
        <v>129103.33333333334</v>
      </c>
      <c r="V136" s="562">
        <f t="shared" si="139"/>
        <v>56587.500000000007</v>
      </c>
      <c r="Z136" s="562"/>
      <c r="AA136" s="557"/>
      <c r="AB136" s="562"/>
      <c r="AC136" s="557"/>
      <c r="AD136" s="562"/>
      <c r="AE136" s="557"/>
      <c r="AF136" s="562"/>
      <c r="AG136" s="557"/>
      <c r="AI136" s="567"/>
      <c r="AK136" s="578"/>
      <c r="AL136" s="548"/>
      <c r="AM136" s="438"/>
      <c r="AN136" s="553"/>
      <c r="DH136" s="944">
        <v>0</v>
      </c>
      <c r="DI136" s="944">
        <v>0</v>
      </c>
      <c r="DJ136" s="944"/>
      <c r="DL136" s="381"/>
      <c r="DN136" s="944"/>
      <c r="DO136" s="944"/>
      <c r="DS136" s="438"/>
    </row>
    <row r="137" spans="1:128" x14ac:dyDescent="0.2">
      <c r="A137" s="383">
        <v>126</v>
      </c>
      <c r="B137" s="631">
        <v>40330</v>
      </c>
      <c r="C137" s="381">
        <v>0</v>
      </c>
      <c r="D137" s="381">
        <v>0</v>
      </c>
      <c r="E137" s="381">
        <v>0</v>
      </c>
      <c r="F137" s="381">
        <v>0</v>
      </c>
      <c r="G137" s="381">
        <v>0</v>
      </c>
      <c r="H137" s="381">
        <v>0</v>
      </c>
      <c r="I137" s="381">
        <v>0</v>
      </c>
      <c r="J137" s="381"/>
      <c r="K137" s="381"/>
      <c r="L137" s="381"/>
      <c r="M137" s="381"/>
      <c r="N137" s="381"/>
      <c r="O137" s="381"/>
      <c r="P137" s="562">
        <f t="shared" si="137"/>
        <v>3051281.8333333335</v>
      </c>
      <c r="S137" s="562">
        <f t="shared" si="138"/>
        <v>129103.33333333334</v>
      </c>
      <c r="V137" s="562">
        <f t="shared" si="139"/>
        <v>56587.500000000007</v>
      </c>
      <c r="DH137" s="944">
        <v>0</v>
      </c>
      <c r="DI137" s="944">
        <v>0</v>
      </c>
      <c r="DJ137" s="944"/>
      <c r="DL137" s="381"/>
      <c r="DN137" s="944"/>
      <c r="DO137" s="944"/>
    </row>
    <row r="138" spans="1:128" x14ac:dyDescent="0.2">
      <c r="A138" s="383">
        <v>127</v>
      </c>
      <c r="B138" s="631">
        <v>40360</v>
      </c>
      <c r="C138" s="381">
        <v>0</v>
      </c>
      <c r="D138" s="381">
        <v>0</v>
      </c>
      <c r="E138" s="381">
        <v>0</v>
      </c>
      <c r="F138" s="381">
        <v>0</v>
      </c>
      <c r="G138" s="381">
        <v>0</v>
      </c>
      <c r="H138" s="381">
        <v>0</v>
      </c>
      <c r="I138" s="381">
        <v>0</v>
      </c>
      <c r="J138" s="381"/>
      <c r="K138" s="381"/>
      <c r="L138" s="381"/>
      <c r="M138" s="381"/>
      <c r="N138" s="381"/>
      <c r="O138" s="381"/>
      <c r="P138" s="562">
        <f t="shared" si="137"/>
        <v>3051281.8333333335</v>
      </c>
      <c r="S138" s="562">
        <f t="shared" si="138"/>
        <v>129103.33333333334</v>
      </c>
      <c r="V138" s="562">
        <f t="shared" si="139"/>
        <v>56587.500000000007</v>
      </c>
      <c r="DH138" s="944">
        <v>0</v>
      </c>
      <c r="DI138" s="944">
        <v>0</v>
      </c>
      <c r="DJ138" s="944"/>
      <c r="DL138" s="381"/>
      <c r="DN138" s="944"/>
      <c r="DO138" s="944"/>
    </row>
    <row r="139" spans="1:128" x14ac:dyDescent="0.2">
      <c r="A139" s="383">
        <v>128</v>
      </c>
      <c r="B139" s="631">
        <v>40391</v>
      </c>
      <c r="C139" s="381">
        <v>0</v>
      </c>
      <c r="D139" s="381">
        <v>0</v>
      </c>
      <c r="E139" s="381">
        <v>0</v>
      </c>
      <c r="F139" s="381">
        <v>0</v>
      </c>
      <c r="G139" s="381">
        <v>0</v>
      </c>
      <c r="H139" s="381">
        <v>0</v>
      </c>
      <c r="I139" s="381">
        <v>0</v>
      </c>
      <c r="J139" s="381"/>
      <c r="K139" s="381"/>
      <c r="L139" s="381"/>
      <c r="M139" s="381"/>
      <c r="N139" s="381"/>
      <c r="O139" s="381"/>
      <c r="P139" s="562">
        <f t="shared" si="137"/>
        <v>3051281.8333333335</v>
      </c>
      <c r="S139" s="562">
        <f t="shared" si="138"/>
        <v>129103.33333333334</v>
      </c>
      <c r="V139" s="562">
        <f t="shared" si="139"/>
        <v>56587.500000000007</v>
      </c>
      <c r="DH139" s="944">
        <v>0</v>
      </c>
      <c r="DI139" s="944">
        <v>0</v>
      </c>
      <c r="DJ139" s="944"/>
      <c r="DL139" s="381"/>
      <c r="DN139" s="944"/>
      <c r="DO139" s="944"/>
    </row>
    <row r="140" spans="1:128" x14ac:dyDescent="0.2">
      <c r="A140" s="383">
        <v>129</v>
      </c>
      <c r="B140" s="631">
        <v>40422</v>
      </c>
      <c r="C140" s="381">
        <v>0</v>
      </c>
      <c r="D140" s="381">
        <v>0</v>
      </c>
      <c r="E140" s="381">
        <v>0</v>
      </c>
      <c r="F140" s="381">
        <v>0</v>
      </c>
      <c r="G140" s="381">
        <v>0</v>
      </c>
      <c r="H140" s="381">
        <v>0</v>
      </c>
      <c r="I140" s="381">
        <v>0</v>
      </c>
      <c r="J140" s="381"/>
      <c r="K140" s="381"/>
      <c r="L140" s="381"/>
      <c r="M140" s="381"/>
      <c r="N140" s="381"/>
      <c r="O140" s="381"/>
      <c r="P140" s="562">
        <f t="shared" si="137"/>
        <v>3051281.8333333335</v>
      </c>
      <c r="S140" s="562">
        <f t="shared" si="138"/>
        <v>129103.33333333334</v>
      </c>
      <c r="V140" s="562">
        <f t="shared" si="139"/>
        <v>56587.500000000007</v>
      </c>
      <c r="DH140" s="944">
        <v>0</v>
      </c>
      <c r="DI140" s="944">
        <v>0</v>
      </c>
      <c r="DJ140" s="944"/>
      <c r="DL140" s="381"/>
      <c r="DN140" s="944"/>
      <c r="DO140" s="944"/>
    </row>
    <row r="141" spans="1:128" x14ac:dyDescent="0.2">
      <c r="A141" s="383">
        <v>130</v>
      </c>
      <c r="B141" s="631">
        <v>40452</v>
      </c>
      <c r="C141" s="381">
        <v>0</v>
      </c>
      <c r="D141" s="381">
        <v>0</v>
      </c>
      <c r="E141" s="381">
        <v>0</v>
      </c>
      <c r="F141" s="381">
        <v>0</v>
      </c>
      <c r="G141" s="381">
        <v>0</v>
      </c>
      <c r="H141" s="381">
        <v>0</v>
      </c>
      <c r="I141" s="381">
        <v>0</v>
      </c>
      <c r="J141" s="381"/>
      <c r="K141" s="381"/>
      <c r="L141" s="381"/>
      <c r="M141" s="381"/>
      <c r="N141" s="381"/>
      <c r="O141" s="381"/>
      <c r="P141" s="562">
        <f t="shared" si="137"/>
        <v>3051281.8333333335</v>
      </c>
      <c r="S141" s="562">
        <f t="shared" si="138"/>
        <v>129103.33333333334</v>
      </c>
      <c r="V141" s="562">
        <f t="shared" si="139"/>
        <v>56587.500000000007</v>
      </c>
      <c r="DH141" s="944">
        <v>0</v>
      </c>
      <c r="DI141" s="944">
        <v>0</v>
      </c>
      <c r="DJ141" s="944"/>
      <c r="DL141" s="381"/>
      <c r="DN141" s="944"/>
      <c r="DO141" s="944"/>
    </row>
    <row r="142" spans="1:128" x14ac:dyDescent="0.2">
      <c r="A142" s="383">
        <v>131</v>
      </c>
      <c r="B142" s="631">
        <v>40483</v>
      </c>
      <c r="C142" s="381">
        <v>0</v>
      </c>
      <c r="D142" s="381">
        <v>0</v>
      </c>
      <c r="E142" s="381">
        <v>0</v>
      </c>
      <c r="F142" s="381">
        <v>0</v>
      </c>
      <c r="G142" s="381">
        <v>0</v>
      </c>
      <c r="H142" s="381">
        <v>0</v>
      </c>
      <c r="I142" s="381">
        <v>0</v>
      </c>
      <c r="J142" s="381"/>
      <c r="K142" s="381"/>
      <c r="L142" s="381"/>
      <c r="M142" s="381"/>
      <c r="N142" s="381"/>
      <c r="O142" s="381"/>
      <c r="P142" s="562">
        <f t="shared" si="137"/>
        <v>3051281.8333333335</v>
      </c>
      <c r="S142" s="562">
        <f t="shared" si="138"/>
        <v>129103.33333333334</v>
      </c>
      <c r="V142" s="562">
        <f t="shared" si="139"/>
        <v>56587.500000000007</v>
      </c>
      <c r="DH142" s="944">
        <v>0</v>
      </c>
      <c r="DI142" s="944">
        <v>0</v>
      </c>
      <c r="DJ142" s="944"/>
      <c r="DL142" s="381"/>
      <c r="DN142" s="944"/>
      <c r="DO142" s="944"/>
    </row>
    <row r="143" spans="1:128" s="525" customFormat="1" x14ac:dyDescent="0.2">
      <c r="A143" s="521">
        <v>132</v>
      </c>
      <c r="B143" s="632">
        <v>40513</v>
      </c>
      <c r="C143" s="523">
        <v>0</v>
      </c>
      <c r="D143" s="523">
        <v>0</v>
      </c>
      <c r="E143" s="523">
        <v>0</v>
      </c>
      <c r="F143" s="523">
        <v>0</v>
      </c>
      <c r="G143" s="523">
        <v>0</v>
      </c>
      <c r="H143" s="523">
        <v>0</v>
      </c>
      <c r="I143" s="523">
        <v>0</v>
      </c>
      <c r="J143" s="523"/>
      <c r="K143" s="523"/>
      <c r="L143" s="523"/>
      <c r="M143" s="523"/>
      <c r="N143" s="523"/>
      <c r="O143" s="523"/>
      <c r="P143" s="562">
        <f t="shared" si="137"/>
        <v>3051281.8333333335</v>
      </c>
      <c r="Q143" s="561"/>
      <c r="R143" s="556"/>
      <c r="S143" s="562">
        <f t="shared" si="138"/>
        <v>129103.33333333334</v>
      </c>
      <c r="T143" s="561"/>
      <c r="U143" s="556"/>
      <c r="V143" s="562">
        <f t="shared" si="139"/>
        <v>56587.500000000007</v>
      </c>
      <c r="W143" s="524"/>
      <c r="X143" s="556"/>
      <c r="Y143" s="563"/>
      <c r="Z143" s="561"/>
      <c r="AA143" s="563"/>
      <c r="AB143" s="561"/>
      <c r="AC143" s="563"/>
      <c r="AD143" s="561"/>
      <c r="AE143" s="563"/>
      <c r="AF143" s="561"/>
      <c r="AG143" s="569"/>
      <c r="AH143" s="569"/>
      <c r="AI143" s="581"/>
      <c r="AJ143" s="581"/>
      <c r="AK143" s="574"/>
      <c r="AL143" s="524"/>
      <c r="AM143" s="576"/>
      <c r="AN143" s="524"/>
      <c r="AO143" s="524"/>
      <c r="AP143" s="524"/>
      <c r="AQ143" s="524"/>
      <c r="AR143" s="524"/>
      <c r="AS143" s="524"/>
      <c r="AT143" s="524"/>
      <c r="AU143" s="524"/>
      <c r="AV143" s="524"/>
      <c r="AW143" s="524"/>
      <c r="AX143" s="524"/>
      <c r="AY143" s="524"/>
      <c r="AZ143" s="524"/>
      <c r="BA143" s="524"/>
      <c r="BB143" s="524"/>
      <c r="BC143" s="524"/>
      <c r="BD143" s="524"/>
      <c r="BE143" s="524"/>
      <c r="BF143" s="524"/>
      <c r="BG143" s="524"/>
      <c r="BH143" s="524"/>
      <c r="BI143" s="524"/>
      <c r="BJ143" s="524"/>
      <c r="BK143" s="524"/>
      <c r="BL143" s="524"/>
      <c r="BM143" s="524"/>
      <c r="BN143" s="524"/>
      <c r="BO143" s="524"/>
      <c r="BP143" s="524"/>
      <c r="BQ143" s="524"/>
      <c r="BR143" s="524"/>
      <c r="BS143" s="524"/>
      <c r="BT143" s="524"/>
      <c r="BU143" s="524"/>
      <c r="BV143" s="524"/>
      <c r="BW143" s="524"/>
      <c r="BX143" s="524"/>
      <c r="BY143" s="524"/>
      <c r="BZ143" s="524"/>
      <c r="CA143" s="524"/>
      <c r="CB143" s="524"/>
      <c r="CC143" s="524"/>
      <c r="CD143" s="524"/>
      <c r="CE143" s="524"/>
      <c r="CF143" s="524"/>
      <c r="CG143" s="524"/>
      <c r="CH143" s="524"/>
      <c r="CI143" s="524"/>
      <c r="CJ143" s="524"/>
      <c r="CK143" s="524"/>
      <c r="CL143" s="524"/>
      <c r="CM143" s="524"/>
      <c r="CN143" s="524"/>
      <c r="CO143" s="524"/>
      <c r="CP143" s="524"/>
      <c r="CQ143" s="524"/>
      <c r="CR143" s="524"/>
      <c r="CS143" s="524"/>
      <c r="CT143" s="524"/>
      <c r="CU143" s="524"/>
      <c r="CV143" s="524"/>
      <c r="CW143" s="524"/>
      <c r="CX143" s="524"/>
      <c r="CY143" s="524"/>
      <c r="CZ143" s="524"/>
      <c r="DA143" s="524"/>
      <c r="DB143" s="524"/>
      <c r="DC143" s="524"/>
      <c r="DD143" s="524"/>
      <c r="DE143" s="524"/>
      <c r="DF143" s="524"/>
      <c r="DG143" s="524"/>
      <c r="DH143" s="944">
        <v>0</v>
      </c>
      <c r="DI143" s="944">
        <v>0</v>
      </c>
      <c r="DJ143" s="944"/>
      <c r="DK143" s="524"/>
      <c r="DL143" s="381"/>
      <c r="DM143" s="524"/>
      <c r="DN143" s="944"/>
      <c r="DO143" s="944"/>
      <c r="DP143" s="524"/>
      <c r="DQ143" s="524"/>
      <c r="DR143" s="524"/>
    </row>
    <row r="144" spans="1:128" s="532" customFormat="1" x14ac:dyDescent="0.2">
      <c r="A144" s="528">
        <v>133</v>
      </c>
      <c r="B144" s="633">
        <v>40544</v>
      </c>
      <c r="C144" s="530">
        <v>0</v>
      </c>
      <c r="D144" s="530">
        <v>0</v>
      </c>
      <c r="E144" s="530">
        <v>0</v>
      </c>
      <c r="F144" s="530">
        <v>0</v>
      </c>
      <c r="G144" s="530">
        <v>0</v>
      </c>
      <c r="H144" s="530">
        <v>0</v>
      </c>
      <c r="I144" s="530">
        <v>0</v>
      </c>
      <c r="J144" s="530"/>
      <c r="K144" s="530"/>
      <c r="L144" s="530"/>
      <c r="M144" s="530"/>
      <c r="N144" s="530"/>
      <c r="O144" s="530"/>
      <c r="P144" s="562">
        <f t="shared" ref="P144:P155" si="140">(1/0.96)*2959599.70699273</f>
        <v>3082916.3614507657</v>
      </c>
      <c r="Q144" s="560"/>
      <c r="R144" s="555"/>
      <c r="S144" s="562">
        <f t="shared" ref="S144:S155" si="141">(1/0.96)*125224.154429453</f>
        <v>130441.82753068054</v>
      </c>
      <c r="T144" s="560"/>
      <c r="U144" s="555"/>
      <c r="V144" s="562">
        <f t="shared" ref="V144:V155" si="142">(1/0.96)*54887.2105453773</f>
        <v>57174.177651434649</v>
      </c>
      <c r="W144" s="531"/>
      <c r="X144" s="555"/>
      <c r="Y144" s="564"/>
      <c r="Z144" s="560"/>
      <c r="AA144" s="564"/>
      <c r="AB144" s="560"/>
      <c r="AC144" s="564"/>
      <c r="AD144" s="560"/>
      <c r="AE144" s="564"/>
      <c r="AF144" s="560"/>
      <c r="AG144" s="570"/>
      <c r="AH144" s="570"/>
      <c r="AI144" s="580"/>
      <c r="AJ144" s="580"/>
      <c r="AK144" s="573"/>
      <c r="AL144" s="531"/>
      <c r="AM144" s="575"/>
      <c r="AN144" s="531"/>
      <c r="AO144" s="531"/>
      <c r="AP144" s="531"/>
      <c r="AQ144" s="531"/>
      <c r="AR144" s="531"/>
      <c r="AS144" s="531"/>
      <c r="AT144" s="531"/>
      <c r="AU144" s="531"/>
      <c r="AV144" s="531"/>
      <c r="AW144" s="531"/>
      <c r="AX144" s="531"/>
      <c r="AY144" s="531"/>
      <c r="AZ144" s="531"/>
      <c r="BA144" s="531"/>
      <c r="BB144" s="531"/>
      <c r="BC144" s="531"/>
      <c r="BD144" s="531"/>
      <c r="BE144" s="531"/>
      <c r="BF144" s="531"/>
      <c r="BG144" s="531"/>
      <c r="BH144" s="531"/>
      <c r="BI144" s="531"/>
      <c r="BJ144" s="531"/>
      <c r="BK144" s="531"/>
      <c r="BL144" s="531"/>
      <c r="BM144" s="531"/>
      <c r="BN144" s="531"/>
      <c r="BO144" s="531"/>
      <c r="BP144" s="531"/>
      <c r="BQ144" s="531"/>
      <c r="BR144" s="531"/>
      <c r="BS144" s="531"/>
      <c r="BT144" s="531"/>
      <c r="BU144" s="531"/>
      <c r="BV144" s="531"/>
      <c r="BW144" s="531"/>
      <c r="BX144" s="531"/>
      <c r="BY144" s="531"/>
      <c r="BZ144" s="531"/>
      <c r="CA144" s="531"/>
      <c r="CB144" s="531"/>
      <c r="CC144" s="531"/>
      <c r="CD144" s="531"/>
      <c r="CE144" s="531"/>
      <c r="CF144" s="531"/>
      <c r="CG144" s="531"/>
      <c r="CH144" s="531"/>
      <c r="CI144" s="531"/>
      <c r="CJ144" s="531"/>
      <c r="CK144" s="531"/>
      <c r="CL144" s="531"/>
      <c r="CM144" s="531"/>
      <c r="CN144" s="531"/>
      <c r="CO144" s="531"/>
      <c r="CP144" s="531"/>
      <c r="CQ144" s="531"/>
      <c r="CR144" s="531"/>
      <c r="CS144" s="531"/>
      <c r="CT144" s="531"/>
      <c r="CU144" s="531"/>
      <c r="CV144" s="531"/>
      <c r="CW144" s="531"/>
      <c r="CX144" s="531"/>
      <c r="CY144" s="531"/>
      <c r="CZ144" s="531"/>
      <c r="DA144" s="531"/>
      <c r="DB144" s="531"/>
      <c r="DC144" s="531"/>
      <c r="DD144" s="531"/>
      <c r="DE144" s="531"/>
      <c r="DF144" s="531"/>
      <c r="DG144" s="531"/>
      <c r="DH144" s="944">
        <v>0</v>
      </c>
      <c r="DI144" s="944">
        <v>0</v>
      </c>
      <c r="DJ144" s="944"/>
      <c r="DK144" s="531"/>
      <c r="DL144" s="381"/>
      <c r="DM144" s="531"/>
      <c r="DN144" s="944"/>
      <c r="DO144" s="944"/>
      <c r="DP144" s="531"/>
      <c r="DQ144" s="531"/>
      <c r="DR144" s="531"/>
    </row>
    <row r="145" spans="1:122" x14ac:dyDescent="0.2">
      <c r="A145" s="383">
        <v>134</v>
      </c>
      <c r="B145" s="631">
        <v>40575</v>
      </c>
      <c r="C145" s="381">
        <v>0</v>
      </c>
      <c r="D145" s="381">
        <v>0</v>
      </c>
      <c r="E145" s="381">
        <v>0</v>
      </c>
      <c r="F145" s="381">
        <v>0</v>
      </c>
      <c r="G145" s="381">
        <v>0</v>
      </c>
      <c r="H145" s="381">
        <v>0</v>
      </c>
      <c r="I145" s="381">
        <v>0</v>
      </c>
      <c r="J145" s="381"/>
      <c r="K145" s="381"/>
      <c r="L145" s="381"/>
      <c r="M145" s="381"/>
      <c r="N145" s="381"/>
      <c r="O145" s="381"/>
      <c r="P145" s="562">
        <f t="shared" si="140"/>
        <v>3082916.3614507657</v>
      </c>
      <c r="S145" s="562">
        <f t="shared" si="141"/>
        <v>130441.82753068054</v>
      </c>
      <c r="V145" s="562">
        <f t="shared" si="142"/>
        <v>57174.177651434649</v>
      </c>
      <c r="DH145" s="944">
        <v>0</v>
      </c>
      <c r="DI145" s="944">
        <v>0</v>
      </c>
      <c r="DJ145" s="944"/>
      <c r="DL145" s="381"/>
      <c r="DN145" s="944"/>
      <c r="DO145" s="944"/>
    </row>
    <row r="146" spans="1:122" x14ac:dyDescent="0.2">
      <c r="A146" s="383">
        <v>135</v>
      </c>
      <c r="B146" s="631">
        <v>40603</v>
      </c>
      <c r="C146" s="381">
        <v>0</v>
      </c>
      <c r="D146" s="381">
        <v>0</v>
      </c>
      <c r="E146" s="381">
        <v>0</v>
      </c>
      <c r="F146" s="381">
        <v>0</v>
      </c>
      <c r="G146" s="381">
        <v>0</v>
      </c>
      <c r="H146" s="381">
        <v>0</v>
      </c>
      <c r="I146" s="381">
        <v>0</v>
      </c>
      <c r="J146" s="381"/>
      <c r="K146" s="381"/>
      <c r="L146" s="381"/>
      <c r="M146" s="381"/>
      <c r="N146" s="381"/>
      <c r="O146" s="381"/>
      <c r="P146" s="562">
        <f t="shared" si="140"/>
        <v>3082916.3614507657</v>
      </c>
      <c r="S146" s="562">
        <f t="shared" si="141"/>
        <v>130441.82753068054</v>
      </c>
      <c r="V146" s="562">
        <f t="shared" si="142"/>
        <v>57174.177651434649</v>
      </c>
      <c r="DH146" s="944">
        <v>0</v>
      </c>
      <c r="DI146" s="944">
        <v>0</v>
      </c>
      <c r="DJ146" s="944"/>
      <c r="DL146" s="381"/>
      <c r="DN146" s="944"/>
      <c r="DO146" s="944"/>
    </row>
    <row r="147" spans="1:122" x14ac:dyDescent="0.2">
      <c r="A147" s="383">
        <v>136</v>
      </c>
      <c r="B147" s="631">
        <v>40634</v>
      </c>
      <c r="C147" s="381">
        <v>0</v>
      </c>
      <c r="D147" s="381">
        <v>0</v>
      </c>
      <c r="E147" s="381">
        <v>0</v>
      </c>
      <c r="F147" s="381">
        <v>0</v>
      </c>
      <c r="G147" s="381">
        <v>0</v>
      </c>
      <c r="H147" s="381">
        <v>0</v>
      </c>
      <c r="I147" s="381">
        <v>0</v>
      </c>
      <c r="J147" s="381"/>
      <c r="K147" s="381"/>
      <c r="L147" s="381"/>
      <c r="M147" s="381"/>
      <c r="N147" s="381"/>
      <c r="O147" s="381"/>
      <c r="P147" s="562">
        <f t="shared" si="140"/>
        <v>3082916.3614507657</v>
      </c>
      <c r="S147" s="562">
        <f t="shared" si="141"/>
        <v>130441.82753068054</v>
      </c>
      <c r="V147" s="562">
        <f t="shared" si="142"/>
        <v>57174.177651434649</v>
      </c>
      <c r="DH147" s="944">
        <v>0</v>
      </c>
      <c r="DI147" s="944">
        <v>0</v>
      </c>
      <c r="DJ147" s="944"/>
      <c r="DL147" s="381"/>
      <c r="DN147" s="944"/>
      <c r="DO147" s="944"/>
    </row>
    <row r="148" spans="1:122" x14ac:dyDescent="0.2">
      <c r="A148" s="383">
        <v>137</v>
      </c>
      <c r="B148" s="631">
        <v>40664</v>
      </c>
      <c r="C148" s="381">
        <v>0</v>
      </c>
      <c r="D148" s="381">
        <v>0</v>
      </c>
      <c r="E148" s="381">
        <v>0</v>
      </c>
      <c r="F148" s="381">
        <v>0</v>
      </c>
      <c r="G148" s="381">
        <v>0</v>
      </c>
      <c r="H148" s="381">
        <v>0</v>
      </c>
      <c r="I148" s="381">
        <v>0</v>
      </c>
      <c r="J148" s="381"/>
      <c r="K148" s="381"/>
      <c r="L148" s="381"/>
      <c r="M148" s="381"/>
      <c r="N148" s="381"/>
      <c r="O148" s="381"/>
      <c r="P148" s="562">
        <f t="shared" si="140"/>
        <v>3082916.3614507657</v>
      </c>
      <c r="S148" s="562">
        <f t="shared" si="141"/>
        <v>130441.82753068054</v>
      </c>
      <c r="V148" s="562">
        <f t="shared" si="142"/>
        <v>57174.177651434649</v>
      </c>
      <c r="DH148" s="944">
        <v>0</v>
      </c>
      <c r="DI148" s="944">
        <v>0</v>
      </c>
      <c r="DJ148" s="944"/>
      <c r="DL148" s="381"/>
      <c r="DN148" s="944"/>
      <c r="DO148" s="944"/>
    </row>
    <row r="149" spans="1:122" x14ac:dyDescent="0.2">
      <c r="A149" s="383">
        <v>138</v>
      </c>
      <c r="B149" s="631">
        <v>40695</v>
      </c>
      <c r="C149" s="381">
        <v>0</v>
      </c>
      <c r="D149" s="381">
        <v>0</v>
      </c>
      <c r="E149" s="381">
        <v>0</v>
      </c>
      <c r="F149" s="381">
        <v>0</v>
      </c>
      <c r="G149" s="381">
        <v>0</v>
      </c>
      <c r="H149" s="381">
        <v>0</v>
      </c>
      <c r="I149" s="381">
        <v>0</v>
      </c>
      <c r="J149" s="381"/>
      <c r="K149" s="381"/>
      <c r="L149" s="381"/>
      <c r="M149" s="381"/>
      <c r="N149" s="381"/>
      <c r="O149" s="381"/>
      <c r="P149" s="562">
        <f t="shared" si="140"/>
        <v>3082916.3614507657</v>
      </c>
      <c r="S149" s="562">
        <f t="shared" si="141"/>
        <v>130441.82753068054</v>
      </c>
      <c r="V149" s="562">
        <f t="shared" si="142"/>
        <v>57174.177651434649</v>
      </c>
      <c r="DH149" s="944">
        <v>0</v>
      </c>
      <c r="DI149" s="944">
        <v>0</v>
      </c>
      <c r="DJ149" s="944"/>
      <c r="DL149" s="381"/>
      <c r="DN149" s="944"/>
      <c r="DO149" s="944"/>
    </row>
    <row r="150" spans="1:122" x14ac:dyDescent="0.2">
      <c r="A150" s="383">
        <v>139</v>
      </c>
      <c r="B150" s="631">
        <v>40725</v>
      </c>
      <c r="C150" s="381">
        <v>0</v>
      </c>
      <c r="D150" s="381">
        <v>0</v>
      </c>
      <c r="E150" s="381">
        <v>0</v>
      </c>
      <c r="F150" s="381">
        <v>0</v>
      </c>
      <c r="G150" s="381">
        <v>0</v>
      </c>
      <c r="H150" s="381">
        <v>0</v>
      </c>
      <c r="I150" s="381">
        <v>0</v>
      </c>
      <c r="J150" s="381"/>
      <c r="K150" s="381"/>
      <c r="L150" s="381"/>
      <c r="M150" s="381"/>
      <c r="N150" s="381"/>
      <c r="O150" s="381"/>
      <c r="P150" s="562">
        <f t="shared" si="140"/>
        <v>3082916.3614507657</v>
      </c>
      <c r="S150" s="562">
        <f t="shared" si="141"/>
        <v>130441.82753068054</v>
      </c>
      <c r="V150" s="562">
        <f t="shared" si="142"/>
        <v>57174.177651434649</v>
      </c>
      <c r="DH150" s="944">
        <v>0</v>
      </c>
      <c r="DI150" s="944">
        <v>0</v>
      </c>
      <c r="DJ150" s="944"/>
      <c r="DL150" s="381"/>
      <c r="DN150" s="944"/>
      <c r="DO150" s="944"/>
    </row>
    <row r="151" spans="1:122" x14ac:dyDescent="0.2">
      <c r="A151" s="383">
        <v>140</v>
      </c>
      <c r="B151" s="631">
        <v>40756</v>
      </c>
      <c r="C151" s="381">
        <v>0</v>
      </c>
      <c r="D151" s="381">
        <v>0</v>
      </c>
      <c r="E151" s="381">
        <v>0</v>
      </c>
      <c r="F151" s="381">
        <v>0</v>
      </c>
      <c r="G151" s="381">
        <v>0</v>
      </c>
      <c r="H151" s="381">
        <v>0</v>
      </c>
      <c r="I151" s="381">
        <v>0</v>
      </c>
      <c r="J151" s="381"/>
      <c r="K151" s="381"/>
      <c r="L151" s="381"/>
      <c r="M151" s="381"/>
      <c r="N151" s="381"/>
      <c r="O151" s="381"/>
      <c r="P151" s="562">
        <f t="shared" si="140"/>
        <v>3082916.3614507657</v>
      </c>
      <c r="S151" s="562">
        <f t="shared" si="141"/>
        <v>130441.82753068054</v>
      </c>
      <c r="V151" s="562">
        <f t="shared" si="142"/>
        <v>57174.177651434649</v>
      </c>
      <c r="DH151" s="944">
        <v>0</v>
      </c>
      <c r="DI151" s="944">
        <v>0</v>
      </c>
      <c r="DJ151" s="944"/>
      <c r="DL151" s="381"/>
      <c r="DN151" s="944"/>
      <c r="DO151" s="944"/>
    </row>
    <row r="152" spans="1:122" x14ac:dyDescent="0.2">
      <c r="A152" s="383">
        <v>141</v>
      </c>
      <c r="B152" s="631">
        <v>40787</v>
      </c>
      <c r="C152" s="381">
        <v>0</v>
      </c>
      <c r="D152" s="381">
        <v>0</v>
      </c>
      <c r="E152" s="381">
        <v>0</v>
      </c>
      <c r="F152" s="381">
        <v>0</v>
      </c>
      <c r="G152" s="381">
        <v>0</v>
      </c>
      <c r="H152" s="381">
        <v>0</v>
      </c>
      <c r="I152" s="381">
        <v>0</v>
      </c>
      <c r="J152" s="381"/>
      <c r="K152" s="381"/>
      <c r="L152" s="381"/>
      <c r="M152" s="381"/>
      <c r="N152" s="381"/>
      <c r="O152" s="381"/>
      <c r="P152" s="562">
        <f t="shared" si="140"/>
        <v>3082916.3614507657</v>
      </c>
      <c r="S152" s="562">
        <f t="shared" si="141"/>
        <v>130441.82753068054</v>
      </c>
      <c r="V152" s="562">
        <f t="shared" si="142"/>
        <v>57174.177651434649</v>
      </c>
      <c r="DH152" s="944">
        <v>0</v>
      </c>
      <c r="DI152" s="944">
        <v>0</v>
      </c>
      <c r="DJ152" s="944"/>
      <c r="DL152" s="381"/>
      <c r="DN152" s="944"/>
      <c r="DO152" s="944"/>
    </row>
    <row r="153" spans="1:122" x14ac:dyDescent="0.2">
      <c r="A153" s="383">
        <v>142</v>
      </c>
      <c r="B153" s="631">
        <v>40817</v>
      </c>
      <c r="C153" s="381">
        <v>0</v>
      </c>
      <c r="D153" s="381">
        <v>0</v>
      </c>
      <c r="E153" s="381">
        <v>0</v>
      </c>
      <c r="F153" s="381">
        <v>0</v>
      </c>
      <c r="G153" s="381">
        <v>0</v>
      </c>
      <c r="H153" s="381">
        <v>0</v>
      </c>
      <c r="I153" s="381">
        <v>0</v>
      </c>
      <c r="J153" s="381"/>
      <c r="K153" s="381"/>
      <c r="L153" s="381"/>
      <c r="M153" s="381"/>
      <c r="N153" s="381"/>
      <c r="O153" s="381"/>
      <c r="P153" s="562">
        <f t="shared" si="140"/>
        <v>3082916.3614507657</v>
      </c>
      <c r="S153" s="562">
        <f t="shared" si="141"/>
        <v>130441.82753068054</v>
      </c>
      <c r="V153" s="562">
        <f t="shared" si="142"/>
        <v>57174.177651434649</v>
      </c>
      <c r="DH153" s="944">
        <v>0</v>
      </c>
      <c r="DI153" s="944">
        <v>0</v>
      </c>
      <c r="DJ153" s="944"/>
      <c r="DL153" s="381"/>
      <c r="DN153" s="944"/>
      <c r="DO153" s="944"/>
    </row>
    <row r="154" spans="1:122" x14ac:dyDescent="0.2">
      <c r="A154" s="383">
        <v>143</v>
      </c>
      <c r="B154" s="631">
        <v>40848</v>
      </c>
      <c r="C154" s="381">
        <v>0</v>
      </c>
      <c r="D154" s="381">
        <v>0</v>
      </c>
      <c r="E154" s="381">
        <v>0</v>
      </c>
      <c r="F154" s="381">
        <v>0</v>
      </c>
      <c r="G154" s="381">
        <v>0</v>
      </c>
      <c r="H154" s="381">
        <v>0</v>
      </c>
      <c r="I154" s="381">
        <v>0</v>
      </c>
      <c r="J154" s="381"/>
      <c r="K154" s="381"/>
      <c r="L154" s="381"/>
      <c r="M154" s="381"/>
      <c r="N154" s="381"/>
      <c r="O154" s="381"/>
      <c r="P154" s="562">
        <f t="shared" si="140"/>
        <v>3082916.3614507657</v>
      </c>
      <c r="S154" s="562">
        <f t="shared" si="141"/>
        <v>130441.82753068054</v>
      </c>
      <c r="V154" s="562">
        <f t="shared" si="142"/>
        <v>57174.177651434649</v>
      </c>
      <c r="DH154" s="944">
        <v>0</v>
      </c>
      <c r="DI154" s="944">
        <v>0</v>
      </c>
      <c r="DJ154" s="944"/>
      <c r="DL154" s="381"/>
      <c r="DN154" s="944"/>
      <c r="DO154" s="944"/>
    </row>
    <row r="155" spans="1:122" s="525" customFormat="1" x14ac:dyDescent="0.2">
      <c r="A155" s="521">
        <v>144</v>
      </c>
      <c r="B155" s="632">
        <v>40878</v>
      </c>
      <c r="C155" s="523">
        <v>0</v>
      </c>
      <c r="D155" s="523">
        <v>0</v>
      </c>
      <c r="E155" s="523">
        <v>0</v>
      </c>
      <c r="F155" s="523">
        <v>0</v>
      </c>
      <c r="G155" s="523">
        <v>0</v>
      </c>
      <c r="H155" s="523">
        <v>0</v>
      </c>
      <c r="I155" s="523">
        <v>0</v>
      </c>
      <c r="J155" s="523"/>
      <c r="K155" s="523"/>
      <c r="L155" s="523"/>
      <c r="M155" s="523"/>
      <c r="N155" s="523"/>
      <c r="O155" s="523"/>
      <c r="P155" s="562">
        <f t="shared" si="140"/>
        <v>3082916.3614507657</v>
      </c>
      <c r="Q155" s="561"/>
      <c r="R155" s="556"/>
      <c r="S155" s="562">
        <f t="shared" si="141"/>
        <v>130441.82753068054</v>
      </c>
      <c r="T155" s="561"/>
      <c r="U155" s="556"/>
      <c r="V155" s="562">
        <f t="shared" si="142"/>
        <v>57174.177651434649</v>
      </c>
      <c r="W155" s="524"/>
      <c r="X155" s="556"/>
      <c r="Y155" s="563"/>
      <c r="Z155" s="561"/>
      <c r="AA155" s="563"/>
      <c r="AB155" s="561"/>
      <c r="AC155" s="563"/>
      <c r="AD155" s="561"/>
      <c r="AE155" s="563"/>
      <c r="AF155" s="561"/>
      <c r="AG155" s="569"/>
      <c r="AH155" s="569"/>
      <c r="AI155" s="581"/>
      <c r="AJ155" s="581"/>
      <c r="AK155" s="574"/>
      <c r="AL155" s="524"/>
      <c r="AM155" s="576"/>
      <c r="AN155" s="524"/>
      <c r="AO155" s="524"/>
      <c r="AP155" s="524"/>
      <c r="AQ155" s="524"/>
      <c r="AR155" s="524"/>
      <c r="AS155" s="524"/>
      <c r="AT155" s="524"/>
      <c r="AU155" s="524"/>
      <c r="AV155" s="524"/>
      <c r="AW155" s="524"/>
      <c r="AX155" s="524"/>
      <c r="AY155" s="524"/>
      <c r="AZ155" s="524"/>
      <c r="BA155" s="524"/>
      <c r="BB155" s="524"/>
      <c r="BC155" s="524"/>
      <c r="BD155" s="524"/>
      <c r="BE155" s="524"/>
      <c r="BF155" s="524"/>
      <c r="BG155" s="524"/>
      <c r="BH155" s="524"/>
      <c r="BI155" s="524"/>
      <c r="BJ155" s="524"/>
      <c r="BK155" s="524"/>
      <c r="BL155" s="524"/>
      <c r="BM155" s="524"/>
      <c r="BN155" s="524"/>
      <c r="BO155" s="524"/>
      <c r="BP155" s="524"/>
      <c r="BQ155" s="524"/>
      <c r="BR155" s="524"/>
      <c r="BS155" s="524"/>
      <c r="BT155" s="524"/>
      <c r="BU155" s="524"/>
      <c r="BV155" s="524"/>
      <c r="BW155" s="524"/>
      <c r="BX155" s="524"/>
      <c r="BY155" s="524"/>
      <c r="BZ155" s="524"/>
      <c r="CA155" s="524"/>
      <c r="CB155" s="524"/>
      <c r="CC155" s="524"/>
      <c r="CD155" s="524"/>
      <c r="CE155" s="524"/>
      <c r="CF155" s="524"/>
      <c r="CG155" s="524"/>
      <c r="CH155" s="524"/>
      <c r="CI155" s="524"/>
      <c r="CJ155" s="524"/>
      <c r="CK155" s="524"/>
      <c r="CL155" s="524"/>
      <c r="CM155" s="524"/>
      <c r="CN155" s="524"/>
      <c r="CO155" s="524"/>
      <c r="CP155" s="524"/>
      <c r="CQ155" s="524"/>
      <c r="CR155" s="524"/>
      <c r="CS155" s="524"/>
      <c r="CT155" s="524"/>
      <c r="CU155" s="524"/>
      <c r="CV155" s="524"/>
      <c r="CW155" s="524"/>
      <c r="CX155" s="524"/>
      <c r="CY155" s="524"/>
      <c r="CZ155" s="524"/>
      <c r="DA155" s="524"/>
      <c r="DB155" s="524"/>
      <c r="DC155" s="524"/>
      <c r="DD155" s="524"/>
      <c r="DE155" s="524"/>
      <c r="DF155" s="524"/>
      <c r="DG155" s="524"/>
      <c r="DH155" s="944">
        <v>0</v>
      </c>
      <c r="DI155" s="944">
        <v>0</v>
      </c>
      <c r="DJ155" s="944"/>
      <c r="DK155" s="524"/>
      <c r="DL155" s="381"/>
      <c r="DM155" s="524"/>
      <c r="DN155" s="944"/>
      <c r="DO155" s="944"/>
      <c r="DP155" s="524"/>
      <c r="DQ155" s="524"/>
      <c r="DR155" s="524"/>
    </row>
    <row r="156" spans="1:122" s="532" customFormat="1" x14ac:dyDescent="0.2">
      <c r="A156" s="528">
        <v>145</v>
      </c>
      <c r="B156" s="633">
        <v>40909</v>
      </c>
      <c r="C156" s="530">
        <v>0</v>
      </c>
      <c r="D156" s="530">
        <v>0</v>
      </c>
      <c r="E156" s="530">
        <v>0</v>
      </c>
      <c r="F156" s="530">
        <v>0</v>
      </c>
      <c r="G156" s="530">
        <v>0</v>
      </c>
      <c r="H156" s="530">
        <v>0</v>
      </c>
      <c r="I156" s="530">
        <v>0</v>
      </c>
      <c r="J156" s="530"/>
      <c r="K156" s="530"/>
      <c r="L156" s="530"/>
      <c r="M156" s="530"/>
      <c r="N156" s="530"/>
      <c r="O156" s="530"/>
      <c r="P156" s="562">
        <f t="shared" ref="P156:P167" si="143">(1/0.96)*2989654.69828643</f>
        <v>3114223.644048369</v>
      </c>
      <c r="Q156" s="560"/>
      <c r="R156" s="555"/>
      <c r="S156" s="562">
        <f t="shared" ref="S156:S167" si="144">(1/0.96)*126495.816560736</f>
        <v>131766.4755841</v>
      </c>
      <c r="T156" s="560"/>
      <c r="U156" s="555"/>
      <c r="V156" s="562">
        <f t="shared" ref="V156:V167" si="145">(1/0.96)*55444.5949211018</f>
        <v>57754.786376147727</v>
      </c>
      <c r="W156" s="531"/>
      <c r="X156" s="555"/>
      <c r="Y156" s="564"/>
      <c r="Z156" s="560"/>
      <c r="AA156" s="564"/>
      <c r="AB156" s="560"/>
      <c r="AC156" s="564"/>
      <c r="AD156" s="560"/>
      <c r="AE156" s="564"/>
      <c r="AF156" s="560"/>
      <c r="AG156" s="570"/>
      <c r="AH156" s="570"/>
      <c r="AI156" s="580"/>
      <c r="AJ156" s="580"/>
      <c r="AK156" s="573"/>
      <c r="AL156" s="531"/>
      <c r="AM156" s="575"/>
      <c r="AN156" s="531"/>
      <c r="AO156" s="531"/>
      <c r="AP156" s="531"/>
      <c r="AQ156" s="531"/>
      <c r="AR156" s="531"/>
      <c r="AS156" s="531"/>
      <c r="AT156" s="531"/>
      <c r="AU156" s="531"/>
      <c r="AV156" s="531"/>
      <c r="AW156" s="531"/>
      <c r="AX156" s="531"/>
      <c r="AY156" s="531"/>
      <c r="AZ156" s="531"/>
      <c r="BA156" s="531"/>
      <c r="BB156" s="531"/>
      <c r="BC156" s="531"/>
      <c r="BD156" s="531"/>
      <c r="BE156" s="531"/>
      <c r="BF156" s="531"/>
      <c r="BG156" s="531"/>
      <c r="BH156" s="531"/>
      <c r="BI156" s="531"/>
      <c r="BJ156" s="531"/>
      <c r="BK156" s="531"/>
      <c r="BL156" s="531"/>
      <c r="BM156" s="531"/>
      <c r="BN156" s="531"/>
      <c r="BO156" s="531"/>
      <c r="BP156" s="531"/>
      <c r="BQ156" s="531"/>
      <c r="BR156" s="531"/>
      <c r="BS156" s="531"/>
      <c r="BT156" s="531"/>
      <c r="BU156" s="531"/>
      <c r="BV156" s="531"/>
      <c r="BW156" s="531"/>
      <c r="BX156" s="531"/>
      <c r="BY156" s="531"/>
      <c r="BZ156" s="531"/>
      <c r="CA156" s="531"/>
      <c r="CB156" s="531"/>
      <c r="CC156" s="531"/>
      <c r="CD156" s="531"/>
      <c r="CE156" s="531"/>
      <c r="CF156" s="531"/>
      <c r="CG156" s="531"/>
      <c r="CH156" s="531"/>
      <c r="CI156" s="531"/>
      <c r="CJ156" s="531"/>
      <c r="CK156" s="531"/>
      <c r="CL156" s="531"/>
      <c r="CM156" s="531"/>
      <c r="CN156" s="531"/>
      <c r="CO156" s="531"/>
      <c r="CP156" s="531"/>
      <c r="CQ156" s="531"/>
      <c r="CR156" s="531"/>
      <c r="CS156" s="531"/>
      <c r="CT156" s="531"/>
      <c r="CU156" s="531"/>
      <c r="CV156" s="531"/>
      <c r="CW156" s="531"/>
      <c r="CX156" s="531"/>
      <c r="CY156" s="531"/>
      <c r="CZ156" s="531"/>
      <c r="DA156" s="531"/>
      <c r="DB156" s="531"/>
      <c r="DC156" s="531"/>
      <c r="DD156" s="531"/>
      <c r="DE156" s="531"/>
      <c r="DF156" s="531"/>
      <c r="DG156" s="531"/>
      <c r="DH156" s="944">
        <v>0</v>
      </c>
      <c r="DI156" s="944">
        <v>0</v>
      </c>
      <c r="DJ156" s="944"/>
      <c r="DK156" s="531"/>
      <c r="DL156" s="381"/>
      <c r="DM156" s="531"/>
      <c r="DN156" s="944"/>
      <c r="DO156" s="944"/>
      <c r="DP156" s="531"/>
      <c r="DQ156" s="531"/>
      <c r="DR156" s="531"/>
    </row>
    <row r="157" spans="1:122" x14ac:dyDescent="0.2">
      <c r="A157" s="383">
        <v>146</v>
      </c>
      <c r="B157" s="631">
        <v>40940</v>
      </c>
      <c r="C157" s="381">
        <v>0</v>
      </c>
      <c r="D157" s="381">
        <v>0</v>
      </c>
      <c r="E157" s="381">
        <v>0</v>
      </c>
      <c r="F157" s="381">
        <v>0</v>
      </c>
      <c r="G157" s="381">
        <v>0</v>
      </c>
      <c r="H157" s="381">
        <v>0</v>
      </c>
      <c r="I157" s="381">
        <v>0</v>
      </c>
      <c r="J157" s="381"/>
      <c r="K157" s="381"/>
      <c r="L157" s="381"/>
      <c r="M157" s="381"/>
      <c r="N157" s="381"/>
      <c r="O157" s="381"/>
      <c r="P157" s="562">
        <f t="shared" si="143"/>
        <v>3114223.644048369</v>
      </c>
      <c r="S157" s="562">
        <f t="shared" si="144"/>
        <v>131766.4755841</v>
      </c>
      <c r="V157" s="562">
        <f t="shared" si="145"/>
        <v>57754.786376147727</v>
      </c>
      <c r="DH157" s="944">
        <v>0</v>
      </c>
      <c r="DI157" s="944">
        <v>0</v>
      </c>
      <c r="DJ157" s="944"/>
      <c r="DL157" s="381"/>
      <c r="DN157" s="944"/>
      <c r="DO157" s="944"/>
    </row>
    <row r="158" spans="1:122" x14ac:dyDescent="0.2">
      <c r="A158" s="383">
        <v>147</v>
      </c>
      <c r="B158" s="631">
        <v>40969</v>
      </c>
      <c r="C158" s="381">
        <v>0</v>
      </c>
      <c r="D158" s="381">
        <v>0</v>
      </c>
      <c r="E158" s="381">
        <v>0</v>
      </c>
      <c r="F158" s="381">
        <v>0</v>
      </c>
      <c r="G158" s="381">
        <v>0</v>
      </c>
      <c r="H158" s="381">
        <v>0</v>
      </c>
      <c r="I158" s="381">
        <v>0</v>
      </c>
      <c r="J158" s="381"/>
      <c r="K158" s="381"/>
      <c r="L158" s="381"/>
      <c r="M158" s="381"/>
      <c r="N158" s="381"/>
      <c r="O158" s="381"/>
      <c r="P158" s="562">
        <f t="shared" si="143"/>
        <v>3114223.644048369</v>
      </c>
      <c r="S158" s="562">
        <f t="shared" si="144"/>
        <v>131766.4755841</v>
      </c>
      <c r="V158" s="562">
        <f t="shared" si="145"/>
        <v>57754.786376147727</v>
      </c>
      <c r="DH158" s="944">
        <v>0</v>
      </c>
      <c r="DI158" s="944">
        <v>0</v>
      </c>
      <c r="DJ158" s="944"/>
      <c r="DL158" s="381"/>
      <c r="DN158" s="944"/>
      <c r="DO158" s="944"/>
    </row>
    <row r="159" spans="1:122" x14ac:dyDescent="0.2">
      <c r="A159" s="383">
        <v>148</v>
      </c>
      <c r="B159" s="631">
        <v>41000</v>
      </c>
      <c r="C159" s="381">
        <v>0</v>
      </c>
      <c r="D159" s="381">
        <v>0</v>
      </c>
      <c r="E159" s="381">
        <v>0</v>
      </c>
      <c r="F159" s="381">
        <v>0</v>
      </c>
      <c r="G159" s="381">
        <v>0</v>
      </c>
      <c r="H159" s="381">
        <v>0</v>
      </c>
      <c r="I159" s="381">
        <v>0</v>
      </c>
      <c r="J159" s="381"/>
      <c r="K159" s="381"/>
      <c r="L159" s="381"/>
      <c r="M159" s="381"/>
      <c r="N159" s="381"/>
      <c r="O159" s="381"/>
      <c r="P159" s="562">
        <f t="shared" si="143"/>
        <v>3114223.644048369</v>
      </c>
      <c r="S159" s="562">
        <f t="shared" si="144"/>
        <v>131766.4755841</v>
      </c>
      <c r="V159" s="562">
        <f t="shared" si="145"/>
        <v>57754.786376147727</v>
      </c>
      <c r="DH159" s="944">
        <v>0</v>
      </c>
      <c r="DI159" s="944">
        <v>0</v>
      </c>
      <c r="DJ159" s="944"/>
      <c r="DL159" s="381"/>
      <c r="DN159" s="944"/>
      <c r="DO159" s="944"/>
    </row>
    <row r="160" spans="1:122" x14ac:dyDescent="0.2">
      <c r="A160" s="383">
        <v>149</v>
      </c>
      <c r="B160" s="631">
        <v>41030</v>
      </c>
      <c r="C160" s="381">
        <v>0</v>
      </c>
      <c r="D160" s="381">
        <v>0</v>
      </c>
      <c r="E160" s="381">
        <v>0</v>
      </c>
      <c r="F160" s="381">
        <v>0</v>
      </c>
      <c r="G160" s="381">
        <v>0</v>
      </c>
      <c r="H160" s="381">
        <v>0</v>
      </c>
      <c r="I160" s="381">
        <v>0</v>
      </c>
      <c r="J160" s="381"/>
      <c r="K160" s="381"/>
      <c r="L160" s="381"/>
      <c r="M160" s="381"/>
      <c r="N160" s="381"/>
      <c r="O160" s="381"/>
      <c r="P160" s="562">
        <f t="shared" si="143"/>
        <v>3114223.644048369</v>
      </c>
      <c r="S160" s="562">
        <f t="shared" si="144"/>
        <v>131766.4755841</v>
      </c>
      <c r="V160" s="562">
        <f t="shared" si="145"/>
        <v>57754.786376147727</v>
      </c>
      <c r="DH160" s="944">
        <v>0</v>
      </c>
      <c r="DI160" s="944">
        <v>0</v>
      </c>
      <c r="DJ160" s="944"/>
      <c r="DL160" s="381"/>
      <c r="DN160" s="944"/>
      <c r="DO160" s="944"/>
    </row>
    <row r="161" spans="1:122" x14ac:dyDescent="0.2">
      <c r="A161" s="383">
        <v>150</v>
      </c>
      <c r="B161" s="631">
        <v>41061</v>
      </c>
      <c r="C161" s="381">
        <v>0</v>
      </c>
      <c r="D161" s="381">
        <v>0</v>
      </c>
      <c r="E161" s="381">
        <v>0</v>
      </c>
      <c r="F161" s="381">
        <v>0</v>
      </c>
      <c r="G161" s="381">
        <v>0</v>
      </c>
      <c r="H161" s="381">
        <v>0</v>
      </c>
      <c r="I161" s="381">
        <v>0</v>
      </c>
      <c r="J161" s="381"/>
      <c r="K161" s="381"/>
      <c r="L161" s="381"/>
      <c r="M161" s="381"/>
      <c r="N161" s="381"/>
      <c r="O161" s="381"/>
      <c r="P161" s="562">
        <f t="shared" si="143"/>
        <v>3114223.644048369</v>
      </c>
      <c r="S161" s="562">
        <f t="shared" si="144"/>
        <v>131766.4755841</v>
      </c>
      <c r="V161" s="562">
        <f t="shared" si="145"/>
        <v>57754.786376147727</v>
      </c>
      <c r="DH161" s="944">
        <v>0</v>
      </c>
      <c r="DI161" s="944">
        <v>0</v>
      </c>
      <c r="DJ161" s="944"/>
      <c r="DL161" s="381"/>
      <c r="DN161" s="944"/>
      <c r="DO161" s="944"/>
    </row>
    <row r="162" spans="1:122" x14ac:dyDescent="0.2">
      <c r="A162" s="383">
        <v>151</v>
      </c>
      <c r="B162" s="631">
        <v>41091</v>
      </c>
      <c r="C162" s="381">
        <v>0</v>
      </c>
      <c r="D162" s="381">
        <v>0</v>
      </c>
      <c r="E162" s="381">
        <v>0</v>
      </c>
      <c r="F162" s="381">
        <v>0</v>
      </c>
      <c r="G162" s="381">
        <v>0</v>
      </c>
      <c r="H162" s="381">
        <v>0</v>
      </c>
      <c r="I162" s="381">
        <v>0</v>
      </c>
      <c r="J162" s="381"/>
      <c r="K162" s="381"/>
      <c r="L162" s="381"/>
      <c r="M162" s="381"/>
      <c r="N162" s="381"/>
      <c r="O162" s="381"/>
      <c r="P162" s="562">
        <f t="shared" si="143"/>
        <v>3114223.644048369</v>
      </c>
      <c r="S162" s="562">
        <f t="shared" si="144"/>
        <v>131766.4755841</v>
      </c>
      <c r="V162" s="562">
        <f t="shared" si="145"/>
        <v>57754.786376147727</v>
      </c>
      <c r="DH162" s="944">
        <v>0</v>
      </c>
      <c r="DI162" s="944">
        <v>0</v>
      </c>
      <c r="DJ162" s="944"/>
      <c r="DL162" s="381"/>
      <c r="DN162" s="944"/>
      <c r="DO162" s="944"/>
    </row>
    <row r="163" spans="1:122" x14ac:dyDescent="0.2">
      <c r="A163" s="383">
        <v>152</v>
      </c>
      <c r="B163" s="631">
        <v>41122</v>
      </c>
      <c r="C163" s="381">
        <v>0</v>
      </c>
      <c r="D163" s="381">
        <v>0</v>
      </c>
      <c r="E163" s="381">
        <v>0</v>
      </c>
      <c r="F163" s="381">
        <v>0</v>
      </c>
      <c r="G163" s="381">
        <v>0</v>
      </c>
      <c r="H163" s="381">
        <v>0</v>
      </c>
      <c r="I163" s="381">
        <v>0</v>
      </c>
      <c r="J163" s="381"/>
      <c r="K163" s="381"/>
      <c r="L163" s="381"/>
      <c r="M163" s="381"/>
      <c r="N163" s="381"/>
      <c r="O163" s="381"/>
      <c r="P163" s="562">
        <f t="shared" si="143"/>
        <v>3114223.644048369</v>
      </c>
      <c r="S163" s="562">
        <f t="shared" si="144"/>
        <v>131766.4755841</v>
      </c>
      <c r="V163" s="562">
        <f t="shared" si="145"/>
        <v>57754.786376147727</v>
      </c>
      <c r="DH163" s="944">
        <v>0</v>
      </c>
      <c r="DI163" s="944">
        <v>0</v>
      </c>
      <c r="DJ163" s="944"/>
      <c r="DL163" s="381"/>
      <c r="DN163" s="944"/>
      <c r="DO163" s="944"/>
    </row>
    <row r="164" spans="1:122" x14ac:dyDescent="0.2">
      <c r="A164" s="383">
        <v>153</v>
      </c>
      <c r="B164" s="631">
        <v>41153</v>
      </c>
      <c r="C164" s="381">
        <v>0</v>
      </c>
      <c r="D164" s="381">
        <v>0</v>
      </c>
      <c r="E164" s="381">
        <v>0</v>
      </c>
      <c r="F164" s="381">
        <v>0</v>
      </c>
      <c r="G164" s="381">
        <v>0</v>
      </c>
      <c r="H164" s="381">
        <v>0</v>
      </c>
      <c r="I164" s="381">
        <v>0</v>
      </c>
      <c r="J164" s="381"/>
      <c r="K164" s="381"/>
      <c r="L164" s="381"/>
      <c r="M164" s="381"/>
      <c r="N164" s="381"/>
      <c r="O164" s="381"/>
      <c r="P164" s="562">
        <f t="shared" si="143"/>
        <v>3114223.644048369</v>
      </c>
      <c r="S164" s="562">
        <f t="shared" si="144"/>
        <v>131766.4755841</v>
      </c>
      <c r="V164" s="562">
        <f t="shared" si="145"/>
        <v>57754.786376147727</v>
      </c>
      <c r="DH164" s="944">
        <v>0</v>
      </c>
      <c r="DI164" s="944">
        <v>0</v>
      </c>
      <c r="DJ164" s="944"/>
      <c r="DL164" s="381"/>
      <c r="DN164" s="944"/>
      <c r="DO164" s="944"/>
    </row>
    <row r="165" spans="1:122" x14ac:dyDescent="0.2">
      <c r="A165" s="383">
        <v>154</v>
      </c>
      <c r="B165" s="631">
        <v>41183</v>
      </c>
      <c r="C165" s="381">
        <v>0</v>
      </c>
      <c r="D165" s="381">
        <v>0</v>
      </c>
      <c r="E165" s="381">
        <v>0</v>
      </c>
      <c r="F165" s="381">
        <v>0</v>
      </c>
      <c r="G165" s="381">
        <v>0</v>
      </c>
      <c r="H165" s="381">
        <v>0</v>
      </c>
      <c r="I165" s="381">
        <v>0</v>
      </c>
      <c r="J165" s="381"/>
      <c r="K165" s="381"/>
      <c r="L165" s="381"/>
      <c r="M165" s="381"/>
      <c r="N165" s="381"/>
      <c r="O165" s="381"/>
      <c r="P165" s="562">
        <f t="shared" si="143"/>
        <v>3114223.644048369</v>
      </c>
      <c r="S165" s="562">
        <f t="shared" si="144"/>
        <v>131766.4755841</v>
      </c>
      <c r="V165" s="562">
        <f t="shared" si="145"/>
        <v>57754.786376147727</v>
      </c>
      <c r="DH165" s="944">
        <v>0</v>
      </c>
      <c r="DI165" s="944">
        <v>0</v>
      </c>
      <c r="DJ165" s="944"/>
      <c r="DL165" s="381"/>
      <c r="DN165" s="944"/>
      <c r="DO165" s="944"/>
    </row>
    <row r="166" spans="1:122" x14ac:dyDescent="0.2">
      <c r="A166" s="383">
        <v>155</v>
      </c>
      <c r="B166" s="631">
        <v>41214</v>
      </c>
      <c r="C166" s="381">
        <v>0</v>
      </c>
      <c r="D166" s="381">
        <v>0</v>
      </c>
      <c r="E166" s="381">
        <v>0</v>
      </c>
      <c r="F166" s="381">
        <v>0</v>
      </c>
      <c r="G166" s="381">
        <v>0</v>
      </c>
      <c r="H166" s="381">
        <v>0</v>
      </c>
      <c r="I166" s="381">
        <v>0</v>
      </c>
      <c r="J166" s="381"/>
      <c r="K166" s="381"/>
      <c r="L166" s="381"/>
      <c r="M166" s="381"/>
      <c r="N166" s="381"/>
      <c r="O166" s="381"/>
      <c r="P166" s="562">
        <f t="shared" si="143"/>
        <v>3114223.644048369</v>
      </c>
      <c r="S166" s="562">
        <f t="shared" si="144"/>
        <v>131766.4755841</v>
      </c>
      <c r="V166" s="562">
        <f t="shared" si="145"/>
        <v>57754.786376147727</v>
      </c>
      <c r="DH166" s="944">
        <v>0</v>
      </c>
      <c r="DI166" s="944">
        <v>0</v>
      </c>
      <c r="DJ166" s="944"/>
      <c r="DL166" s="381"/>
      <c r="DN166" s="944"/>
      <c r="DO166" s="944"/>
    </row>
    <row r="167" spans="1:122" s="525" customFormat="1" x14ac:dyDescent="0.2">
      <c r="A167" s="521">
        <v>156</v>
      </c>
      <c r="B167" s="632">
        <v>41244</v>
      </c>
      <c r="C167" s="523">
        <v>0</v>
      </c>
      <c r="D167" s="523">
        <v>0</v>
      </c>
      <c r="E167" s="523">
        <v>0</v>
      </c>
      <c r="F167" s="523">
        <v>0</v>
      </c>
      <c r="G167" s="523">
        <v>0</v>
      </c>
      <c r="H167" s="523">
        <v>0</v>
      </c>
      <c r="I167" s="523">
        <v>0</v>
      </c>
      <c r="J167" s="523"/>
      <c r="K167" s="523"/>
      <c r="L167" s="523"/>
      <c r="M167" s="523"/>
      <c r="N167" s="523"/>
      <c r="O167" s="523"/>
      <c r="P167" s="562">
        <f t="shared" si="143"/>
        <v>3114223.644048369</v>
      </c>
      <c r="Q167" s="561"/>
      <c r="R167" s="556"/>
      <c r="S167" s="562">
        <f t="shared" si="144"/>
        <v>131766.4755841</v>
      </c>
      <c r="T167" s="561"/>
      <c r="U167" s="556"/>
      <c r="V167" s="562">
        <f t="shared" si="145"/>
        <v>57754.786376147727</v>
      </c>
      <c r="W167" s="524"/>
      <c r="X167" s="556"/>
      <c r="Y167" s="563"/>
      <c r="Z167" s="561"/>
      <c r="AA167" s="563"/>
      <c r="AB167" s="561"/>
      <c r="AC167" s="563"/>
      <c r="AD167" s="561"/>
      <c r="AE167" s="563"/>
      <c r="AF167" s="561"/>
      <c r="AG167" s="569"/>
      <c r="AH167" s="569"/>
      <c r="AI167" s="581"/>
      <c r="AJ167" s="581"/>
      <c r="AK167" s="574"/>
      <c r="AL167" s="524"/>
      <c r="AM167" s="576"/>
      <c r="AN167" s="524"/>
      <c r="AO167" s="524"/>
      <c r="AP167" s="524"/>
      <c r="AQ167" s="524"/>
      <c r="AR167" s="524"/>
      <c r="AS167" s="524"/>
      <c r="AT167" s="524"/>
      <c r="AU167" s="524"/>
      <c r="AV167" s="524"/>
      <c r="AW167" s="524"/>
      <c r="AX167" s="524"/>
      <c r="AY167" s="524"/>
      <c r="AZ167" s="524"/>
      <c r="BA167" s="524"/>
      <c r="BB167" s="524"/>
      <c r="BC167" s="524"/>
      <c r="BD167" s="524"/>
      <c r="BE167" s="524"/>
      <c r="BF167" s="524"/>
      <c r="BG167" s="524"/>
      <c r="BH167" s="524"/>
      <c r="BI167" s="524"/>
      <c r="BJ167" s="524"/>
      <c r="BK167" s="524"/>
      <c r="BL167" s="524"/>
      <c r="BM167" s="524"/>
      <c r="BN167" s="524"/>
      <c r="BO167" s="524"/>
      <c r="BP167" s="524"/>
      <c r="BQ167" s="524"/>
      <c r="BR167" s="524"/>
      <c r="BS167" s="524"/>
      <c r="BT167" s="524"/>
      <c r="BU167" s="524"/>
      <c r="BV167" s="524"/>
      <c r="BW167" s="524"/>
      <c r="BX167" s="524"/>
      <c r="BY167" s="524"/>
      <c r="BZ167" s="524"/>
      <c r="CA167" s="524"/>
      <c r="CB167" s="524"/>
      <c r="CC167" s="524"/>
      <c r="CD167" s="524"/>
      <c r="CE167" s="524"/>
      <c r="CF167" s="524"/>
      <c r="CG167" s="524"/>
      <c r="CH167" s="524"/>
      <c r="CI167" s="524"/>
      <c r="CJ167" s="524"/>
      <c r="CK167" s="524"/>
      <c r="CL167" s="524"/>
      <c r="CM167" s="524"/>
      <c r="CN167" s="524"/>
      <c r="CO167" s="524"/>
      <c r="CP167" s="524"/>
      <c r="CQ167" s="524"/>
      <c r="CR167" s="524"/>
      <c r="CS167" s="524"/>
      <c r="CT167" s="524"/>
      <c r="CU167" s="524"/>
      <c r="CV167" s="524"/>
      <c r="CW167" s="524"/>
      <c r="CX167" s="524"/>
      <c r="CY167" s="524"/>
      <c r="CZ167" s="524"/>
      <c r="DA167" s="524"/>
      <c r="DB167" s="524"/>
      <c r="DC167" s="524"/>
      <c r="DD167" s="524"/>
      <c r="DE167" s="524"/>
      <c r="DF167" s="524"/>
      <c r="DG167" s="524"/>
      <c r="DH167" s="944">
        <v>0</v>
      </c>
      <c r="DI167" s="944">
        <v>0</v>
      </c>
      <c r="DJ167" s="944"/>
      <c r="DK167" s="524"/>
      <c r="DL167" s="381"/>
      <c r="DM167" s="524"/>
      <c r="DN167" s="944"/>
      <c r="DO167" s="944"/>
      <c r="DP167" s="524"/>
      <c r="DQ167" s="524"/>
      <c r="DR167" s="524"/>
    </row>
    <row r="168" spans="1:122" x14ac:dyDescent="0.2">
      <c r="A168" s="383">
        <v>157</v>
      </c>
      <c r="B168" s="631">
        <v>41275</v>
      </c>
      <c r="C168" s="381">
        <v>0</v>
      </c>
      <c r="D168" s="381">
        <v>0</v>
      </c>
      <c r="E168" s="381">
        <v>0</v>
      </c>
      <c r="F168" s="381">
        <v>0</v>
      </c>
      <c r="G168" s="381">
        <v>0</v>
      </c>
      <c r="H168" s="381">
        <v>0</v>
      </c>
      <c r="I168" s="381">
        <v>0</v>
      </c>
      <c r="J168" s="381"/>
      <c r="K168" s="381"/>
      <c r="L168" s="381"/>
      <c r="M168" s="381"/>
      <c r="N168" s="381"/>
      <c r="O168" s="381"/>
      <c r="P168" s="562">
        <f t="shared" ref="P168:P179" si="146">(1/0.96)*3020055.32198001</f>
        <v>3145890.9603958447</v>
      </c>
      <c r="S168" s="562">
        <f t="shared" ref="S168:S179" si="147">(1/0.96)*127782.102806528</f>
        <v>133106.3570901338</v>
      </c>
      <c r="V168" s="562">
        <f t="shared" ref="V168:V179" si="148">(1/0.96)*56008.3892171472</f>
        <v>58342.072101195008</v>
      </c>
      <c r="DH168" s="944">
        <v>0</v>
      </c>
      <c r="DI168" s="944">
        <v>0</v>
      </c>
      <c r="DJ168" s="944"/>
      <c r="DL168" s="381"/>
      <c r="DN168" s="944"/>
      <c r="DO168" s="944"/>
    </row>
    <row r="169" spans="1:122" x14ac:dyDescent="0.2">
      <c r="A169" s="383">
        <v>158</v>
      </c>
      <c r="B169" s="631">
        <v>41306</v>
      </c>
      <c r="C169" s="381">
        <v>0</v>
      </c>
      <c r="D169" s="381">
        <v>0</v>
      </c>
      <c r="E169" s="381">
        <v>0</v>
      </c>
      <c r="F169" s="381">
        <v>0</v>
      </c>
      <c r="G169" s="381">
        <v>0</v>
      </c>
      <c r="H169" s="381">
        <v>0</v>
      </c>
      <c r="I169" s="381">
        <v>0</v>
      </c>
      <c r="J169" s="381"/>
      <c r="K169" s="381"/>
      <c r="L169" s="381"/>
      <c r="M169" s="381"/>
      <c r="N169" s="381"/>
      <c r="O169" s="381"/>
      <c r="P169" s="562">
        <f t="shared" si="146"/>
        <v>3145890.9603958447</v>
      </c>
      <c r="S169" s="562">
        <f t="shared" si="147"/>
        <v>133106.3570901338</v>
      </c>
      <c r="V169" s="562">
        <f t="shared" si="148"/>
        <v>58342.072101195008</v>
      </c>
      <c r="DH169" s="944">
        <v>0</v>
      </c>
      <c r="DI169" s="944">
        <v>0</v>
      </c>
      <c r="DJ169" s="944"/>
      <c r="DL169" s="381"/>
      <c r="DN169" s="944"/>
      <c r="DO169" s="944"/>
    </row>
    <row r="170" spans="1:122" x14ac:dyDescent="0.2">
      <c r="A170" s="383">
        <v>159</v>
      </c>
      <c r="B170" s="631">
        <v>41334</v>
      </c>
      <c r="C170" s="381">
        <v>0</v>
      </c>
      <c r="D170" s="381">
        <v>0</v>
      </c>
      <c r="E170" s="381">
        <v>0</v>
      </c>
      <c r="F170" s="381">
        <v>0</v>
      </c>
      <c r="G170" s="381">
        <v>0</v>
      </c>
      <c r="H170" s="381">
        <v>0</v>
      </c>
      <c r="I170" s="381">
        <v>0</v>
      </c>
      <c r="J170" s="381"/>
      <c r="K170" s="381"/>
      <c r="L170" s="381"/>
      <c r="M170" s="381"/>
      <c r="N170" s="381"/>
      <c r="O170" s="381"/>
      <c r="P170" s="562">
        <f t="shared" si="146"/>
        <v>3145890.9603958447</v>
      </c>
      <c r="S170" s="562">
        <f t="shared" si="147"/>
        <v>133106.3570901338</v>
      </c>
      <c r="V170" s="562">
        <f t="shared" si="148"/>
        <v>58342.072101195008</v>
      </c>
      <c r="DH170" s="944">
        <v>0</v>
      </c>
      <c r="DI170" s="944">
        <v>0</v>
      </c>
      <c r="DJ170" s="944"/>
      <c r="DL170" s="381"/>
      <c r="DN170" s="944"/>
      <c r="DO170" s="944"/>
    </row>
    <row r="171" spans="1:122" x14ac:dyDescent="0.2">
      <c r="A171" s="383">
        <v>160</v>
      </c>
      <c r="B171" s="631">
        <v>41365</v>
      </c>
      <c r="C171" s="381">
        <v>0</v>
      </c>
      <c r="D171" s="381">
        <v>0</v>
      </c>
      <c r="E171" s="381">
        <v>0</v>
      </c>
      <c r="F171" s="381">
        <v>0</v>
      </c>
      <c r="G171" s="381">
        <v>0</v>
      </c>
      <c r="H171" s="381">
        <v>0</v>
      </c>
      <c r="I171" s="381">
        <v>0</v>
      </c>
      <c r="J171" s="381"/>
      <c r="K171" s="381"/>
      <c r="L171" s="381"/>
      <c r="M171" s="381"/>
      <c r="N171" s="381"/>
      <c r="O171" s="381"/>
      <c r="P171" s="562">
        <f t="shared" si="146"/>
        <v>3145890.9603958447</v>
      </c>
      <c r="S171" s="562">
        <f t="shared" si="147"/>
        <v>133106.3570901338</v>
      </c>
      <c r="V171" s="562">
        <f t="shared" si="148"/>
        <v>58342.072101195008</v>
      </c>
      <c r="DH171" s="944">
        <v>0</v>
      </c>
      <c r="DI171" s="944">
        <v>0</v>
      </c>
      <c r="DJ171" s="944"/>
      <c r="DL171" s="381"/>
      <c r="DN171" s="944"/>
      <c r="DO171" s="944"/>
    </row>
    <row r="172" spans="1:122" x14ac:dyDescent="0.2">
      <c r="A172" s="383">
        <v>161</v>
      </c>
      <c r="B172" s="631">
        <v>41395</v>
      </c>
      <c r="C172" s="381">
        <v>0</v>
      </c>
      <c r="D172" s="381">
        <v>0</v>
      </c>
      <c r="E172" s="381">
        <v>0</v>
      </c>
      <c r="F172" s="381">
        <v>0</v>
      </c>
      <c r="G172" s="381">
        <v>0</v>
      </c>
      <c r="H172" s="381">
        <v>0</v>
      </c>
      <c r="I172" s="381">
        <v>0</v>
      </c>
      <c r="J172" s="381"/>
      <c r="K172" s="381"/>
      <c r="L172" s="381"/>
      <c r="M172" s="381"/>
      <c r="N172" s="381"/>
      <c r="O172" s="381"/>
      <c r="P172" s="562">
        <f t="shared" si="146"/>
        <v>3145890.9603958447</v>
      </c>
      <c r="S172" s="562">
        <f t="shared" si="147"/>
        <v>133106.3570901338</v>
      </c>
      <c r="V172" s="562">
        <f t="shared" si="148"/>
        <v>58342.072101195008</v>
      </c>
      <c r="DH172" s="944">
        <v>0</v>
      </c>
      <c r="DI172" s="944">
        <v>0</v>
      </c>
      <c r="DJ172" s="944"/>
      <c r="DL172" s="381"/>
      <c r="DN172" s="944"/>
      <c r="DO172" s="944"/>
    </row>
    <row r="173" spans="1:122" x14ac:dyDescent="0.2">
      <c r="A173" s="383">
        <v>162</v>
      </c>
      <c r="B173" s="631">
        <v>41426</v>
      </c>
      <c r="C173" s="381">
        <v>0</v>
      </c>
      <c r="D173" s="381">
        <v>0</v>
      </c>
      <c r="E173" s="381">
        <v>0</v>
      </c>
      <c r="F173" s="381">
        <v>0</v>
      </c>
      <c r="G173" s="381">
        <v>0</v>
      </c>
      <c r="H173" s="381">
        <v>0</v>
      </c>
      <c r="I173" s="381">
        <v>0</v>
      </c>
      <c r="J173" s="381"/>
      <c r="K173" s="381"/>
      <c r="L173" s="381"/>
      <c r="M173" s="381"/>
      <c r="N173" s="381"/>
      <c r="O173" s="381"/>
      <c r="P173" s="562">
        <f t="shared" si="146"/>
        <v>3145890.9603958447</v>
      </c>
      <c r="S173" s="562">
        <f t="shared" si="147"/>
        <v>133106.3570901338</v>
      </c>
      <c r="V173" s="562">
        <f t="shared" si="148"/>
        <v>58342.072101195008</v>
      </c>
      <c r="DH173" s="944">
        <v>0</v>
      </c>
      <c r="DI173" s="944">
        <v>0</v>
      </c>
      <c r="DJ173" s="944"/>
      <c r="DL173" s="381"/>
      <c r="DN173" s="944"/>
      <c r="DO173" s="944"/>
    </row>
    <row r="174" spans="1:122" x14ac:dyDescent="0.2">
      <c r="A174" s="383">
        <v>163</v>
      </c>
      <c r="B174" s="631">
        <v>41456</v>
      </c>
      <c r="C174" s="381">
        <v>0</v>
      </c>
      <c r="D174" s="381">
        <v>0</v>
      </c>
      <c r="E174" s="381">
        <v>0</v>
      </c>
      <c r="F174" s="381">
        <v>0</v>
      </c>
      <c r="G174" s="381">
        <v>0</v>
      </c>
      <c r="H174" s="381">
        <v>0</v>
      </c>
      <c r="I174" s="381">
        <v>0</v>
      </c>
      <c r="J174" s="381"/>
      <c r="K174" s="381"/>
      <c r="L174" s="381"/>
      <c r="M174" s="381"/>
      <c r="N174" s="381"/>
      <c r="O174" s="381"/>
      <c r="P174" s="562">
        <f t="shared" si="146"/>
        <v>3145890.9603958447</v>
      </c>
      <c r="S174" s="562">
        <f t="shared" si="147"/>
        <v>133106.3570901338</v>
      </c>
      <c r="V174" s="562">
        <f t="shared" si="148"/>
        <v>58342.072101195008</v>
      </c>
      <c r="DH174" s="944">
        <v>0</v>
      </c>
      <c r="DI174" s="944">
        <v>0</v>
      </c>
      <c r="DJ174" s="944"/>
      <c r="DL174" s="381"/>
      <c r="DN174" s="944"/>
      <c r="DO174" s="944"/>
    </row>
    <row r="175" spans="1:122" x14ac:dyDescent="0.2">
      <c r="A175" s="383">
        <v>164</v>
      </c>
      <c r="B175" s="631">
        <v>41487</v>
      </c>
      <c r="C175" s="381">
        <v>0</v>
      </c>
      <c r="D175" s="381">
        <v>0</v>
      </c>
      <c r="E175" s="381">
        <v>0</v>
      </c>
      <c r="F175" s="381">
        <v>0</v>
      </c>
      <c r="G175" s="381">
        <v>0</v>
      </c>
      <c r="H175" s="381">
        <v>0</v>
      </c>
      <c r="I175" s="381">
        <v>0</v>
      </c>
      <c r="J175" s="381"/>
      <c r="K175" s="381"/>
      <c r="L175" s="381"/>
      <c r="M175" s="381"/>
      <c r="N175" s="381"/>
      <c r="O175" s="381"/>
      <c r="P175" s="562">
        <f t="shared" si="146"/>
        <v>3145890.9603958447</v>
      </c>
      <c r="S175" s="562">
        <f t="shared" si="147"/>
        <v>133106.3570901338</v>
      </c>
      <c r="V175" s="562">
        <f t="shared" si="148"/>
        <v>58342.072101195008</v>
      </c>
      <c r="DH175" s="944">
        <v>0</v>
      </c>
      <c r="DI175" s="944">
        <v>0</v>
      </c>
      <c r="DJ175" s="944"/>
      <c r="DL175" s="381"/>
      <c r="DN175" s="944"/>
      <c r="DO175" s="944"/>
    </row>
    <row r="176" spans="1:122" x14ac:dyDescent="0.2">
      <c r="A176" s="383">
        <v>165</v>
      </c>
      <c r="B176" s="631">
        <v>41518</v>
      </c>
      <c r="C176" s="381">
        <v>0</v>
      </c>
      <c r="D176" s="381">
        <v>0</v>
      </c>
      <c r="E176" s="381">
        <v>0</v>
      </c>
      <c r="F176" s="381">
        <v>0</v>
      </c>
      <c r="G176" s="381">
        <v>0</v>
      </c>
      <c r="H176" s="381">
        <v>0</v>
      </c>
      <c r="I176" s="381">
        <v>0</v>
      </c>
      <c r="J176" s="381"/>
      <c r="K176" s="381"/>
      <c r="L176" s="381"/>
      <c r="M176" s="381"/>
      <c r="N176" s="381"/>
      <c r="O176" s="381"/>
      <c r="P176" s="562">
        <f t="shared" si="146"/>
        <v>3145890.9603958447</v>
      </c>
      <c r="S176" s="562">
        <f t="shared" si="147"/>
        <v>133106.3570901338</v>
      </c>
      <c r="V176" s="562">
        <f t="shared" si="148"/>
        <v>58342.072101195008</v>
      </c>
      <c r="DH176" s="944">
        <v>0</v>
      </c>
      <c r="DI176" s="944">
        <v>0</v>
      </c>
      <c r="DJ176" s="944"/>
      <c r="DL176" s="381"/>
      <c r="DN176" s="944"/>
      <c r="DO176" s="944"/>
    </row>
    <row r="177" spans="1:122" x14ac:dyDescent="0.2">
      <c r="A177" s="383">
        <v>166</v>
      </c>
      <c r="B177" s="631">
        <v>41548</v>
      </c>
      <c r="C177" s="381">
        <v>0</v>
      </c>
      <c r="D177" s="381">
        <v>0</v>
      </c>
      <c r="E177" s="381">
        <v>0</v>
      </c>
      <c r="F177" s="381">
        <v>0</v>
      </c>
      <c r="G177" s="381">
        <v>0</v>
      </c>
      <c r="H177" s="381">
        <v>0</v>
      </c>
      <c r="I177" s="381">
        <v>0</v>
      </c>
      <c r="J177" s="381"/>
      <c r="K177" s="381"/>
      <c r="L177" s="381"/>
      <c r="M177" s="381"/>
      <c r="N177" s="381"/>
      <c r="O177" s="381"/>
      <c r="P177" s="562">
        <f t="shared" si="146"/>
        <v>3145890.9603958447</v>
      </c>
      <c r="S177" s="562">
        <f t="shared" si="147"/>
        <v>133106.3570901338</v>
      </c>
      <c r="V177" s="562">
        <f t="shared" si="148"/>
        <v>58342.072101195008</v>
      </c>
      <c r="DH177" s="944">
        <v>0</v>
      </c>
      <c r="DI177" s="944">
        <v>0</v>
      </c>
      <c r="DJ177" s="944"/>
      <c r="DL177" s="381"/>
      <c r="DN177" s="944"/>
      <c r="DO177" s="944"/>
    </row>
    <row r="178" spans="1:122" x14ac:dyDescent="0.2">
      <c r="A178" s="383">
        <v>167</v>
      </c>
      <c r="B178" s="631">
        <v>41579</v>
      </c>
      <c r="C178" s="381">
        <v>0</v>
      </c>
      <c r="D178" s="381">
        <v>0</v>
      </c>
      <c r="E178" s="381">
        <v>0</v>
      </c>
      <c r="F178" s="381">
        <v>0</v>
      </c>
      <c r="G178" s="381">
        <v>0</v>
      </c>
      <c r="H178" s="381">
        <v>0</v>
      </c>
      <c r="I178" s="381">
        <v>0</v>
      </c>
      <c r="J178" s="381"/>
      <c r="K178" s="381"/>
      <c r="L178" s="381"/>
      <c r="M178" s="381"/>
      <c r="N178" s="381"/>
      <c r="O178" s="381"/>
      <c r="P178" s="562">
        <f t="shared" si="146"/>
        <v>3145890.9603958447</v>
      </c>
      <c r="S178" s="562">
        <f t="shared" si="147"/>
        <v>133106.3570901338</v>
      </c>
      <c r="V178" s="562">
        <f t="shared" si="148"/>
        <v>58342.072101195008</v>
      </c>
      <c r="DH178" s="944">
        <v>0</v>
      </c>
      <c r="DI178" s="944">
        <v>0</v>
      </c>
      <c r="DJ178" s="944"/>
      <c r="DL178" s="381"/>
      <c r="DN178" s="944"/>
      <c r="DO178" s="944"/>
    </row>
    <row r="179" spans="1:122" s="525" customFormat="1" x14ac:dyDescent="0.2">
      <c r="A179" s="521">
        <v>168</v>
      </c>
      <c r="B179" s="632">
        <v>41609</v>
      </c>
      <c r="C179" s="523">
        <v>0</v>
      </c>
      <c r="D179" s="523">
        <v>0</v>
      </c>
      <c r="E179" s="523">
        <v>0</v>
      </c>
      <c r="F179" s="523">
        <v>0</v>
      </c>
      <c r="G179" s="523">
        <v>0</v>
      </c>
      <c r="H179" s="523">
        <v>0</v>
      </c>
      <c r="I179" s="523">
        <v>0</v>
      </c>
      <c r="J179" s="523"/>
      <c r="K179" s="523"/>
      <c r="L179" s="523"/>
      <c r="M179" s="523"/>
      <c r="N179" s="523"/>
      <c r="O179" s="523"/>
      <c r="P179" s="562">
        <f t="shared" si="146"/>
        <v>3145890.9603958447</v>
      </c>
      <c r="Q179" s="561"/>
      <c r="R179" s="556"/>
      <c r="S179" s="562">
        <f t="shared" si="147"/>
        <v>133106.3570901338</v>
      </c>
      <c r="T179" s="561"/>
      <c r="U179" s="556"/>
      <c r="V179" s="562">
        <f t="shared" si="148"/>
        <v>58342.072101195008</v>
      </c>
      <c r="W179" s="524"/>
      <c r="X179" s="556"/>
      <c r="Y179" s="563"/>
      <c r="Z179" s="561"/>
      <c r="AA179" s="563"/>
      <c r="AB179" s="561"/>
      <c r="AC179" s="563"/>
      <c r="AD179" s="561"/>
      <c r="AE179" s="563"/>
      <c r="AF179" s="561"/>
      <c r="AG179" s="569"/>
      <c r="AH179" s="569"/>
      <c r="AI179" s="581"/>
      <c r="AJ179" s="581"/>
      <c r="AK179" s="574"/>
      <c r="AL179" s="524"/>
      <c r="AM179" s="576"/>
      <c r="AN179" s="524"/>
      <c r="AO179" s="524"/>
      <c r="AP179" s="524"/>
      <c r="AQ179" s="524"/>
      <c r="AR179" s="524"/>
      <c r="AS179" s="524"/>
      <c r="AT179" s="524"/>
      <c r="AU179" s="524"/>
      <c r="AV179" s="524"/>
      <c r="AW179" s="524"/>
      <c r="AX179" s="524"/>
      <c r="AY179" s="524"/>
      <c r="AZ179" s="524"/>
      <c r="BA179" s="524"/>
      <c r="BB179" s="524"/>
      <c r="BC179" s="524"/>
      <c r="BD179" s="524"/>
      <c r="BE179" s="524"/>
      <c r="BF179" s="524"/>
      <c r="BG179" s="524"/>
      <c r="BH179" s="524"/>
      <c r="BI179" s="524"/>
      <c r="BJ179" s="524"/>
      <c r="BK179" s="524"/>
      <c r="BL179" s="524"/>
      <c r="BM179" s="524"/>
      <c r="BN179" s="524"/>
      <c r="BO179" s="524"/>
      <c r="BP179" s="524"/>
      <c r="BQ179" s="524"/>
      <c r="BR179" s="524"/>
      <c r="BS179" s="524"/>
      <c r="BT179" s="524"/>
      <c r="BU179" s="524"/>
      <c r="BV179" s="524"/>
      <c r="BW179" s="524"/>
      <c r="BX179" s="524"/>
      <c r="BY179" s="524"/>
      <c r="BZ179" s="524"/>
      <c r="CA179" s="524"/>
      <c r="CB179" s="524"/>
      <c r="CC179" s="524"/>
      <c r="CD179" s="524"/>
      <c r="CE179" s="524"/>
      <c r="CF179" s="524"/>
      <c r="CG179" s="524"/>
      <c r="CH179" s="524"/>
      <c r="CI179" s="524"/>
      <c r="CJ179" s="524"/>
      <c r="CK179" s="524"/>
      <c r="CL179" s="524"/>
      <c r="CM179" s="524"/>
      <c r="CN179" s="524"/>
      <c r="CO179" s="524"/>
      <c r="CP179" s="524"/>
      <c r="CQ179" s="524"/>
      <c r="CR179" s="524"/>
      <c r="CS179" s="524"/>
      <c r="CT179" s="524"/>
      <c r="CU179" s="524"/>
      <c r="CV179" s="524"/>
      <c r="CW179" s="524"/>
      <c r="CX179" s="524"/>
      <c r="CY179" s="524"/>
      <c r="CZ179" s="524"/>
      <c r="DA179" s="524"/>
      <c r="DB179" s="524"/>
      <c r="DC179" s="524"/>
      <c r="DD179" s="524"/>
      <c r="DE179" s="524"/>
      <c r="DF179" s="524"/>
      <c r="DG179" s="524"/>
      <c r="DH179" s="944">
        <v>0</v>
      </c>
      <c r="DI179" s="944">
        <v>0</v>
      </c>
      <c r="DJ179" s="944"/>
      <c r="DK179" s="524"/>
      <c r="DL179" s="381"/>
      <c r="DM179" s="524"/>
      <c r="DN179" s="944"/>
      <c r="DO179" s="944"/>
      <c r="DP179" s="524"/>
      <c r="DQ179" s="524"/>
      <c r="DR179" s="524"/>
    </row>
    <row r="180" spans="1:122" x14ac:dyDescent="0.2">
      <c r="A180" s="383">
        <v>169</v>
      </c>
      <c r="B180" s="631">
        <v>41640</v>
      </c>
      <c r="C180" s="381">
        <v>0</v>
      </c>
      <c r="D180" s="381">
        <v>0</v>
      </c>
      <c r="E180" s="381">
        <v>0</v>
      </c>
      <c r="F180" s="381">
        <v>0</v>
      </c>
      <c r="G180" s="381">
        <v>0</v>
      </c>
      <c r="H180" s="381">
        <v>0</v>
      </c>
      <c r="I180" s="381">
        <v>0</v>
      </c>
      <c r="J180" s="381"/>
      <c r="K180" s="381"/>
      <c r="L180" s="381"/>
      <c r="M180" s="381"/>
      <c r="N180" s="381"/>
      <c r="O180" s="381"/>
      <c r="P180" s="562">
        <f t="shared" ref="P180:P191" si="149">(1/0.96)*3050805.55284606</f>
        <v>3177922.4508813163</v>
      </c>
      <c r="S180" s="562">
        <f t="shared" ref="S180:S191" si="150">(1/0.96)*129083.181344147</f>
        <v>134461.64723348699</v>
      </c>
      <c r="V180" s="562">
        <f t="shared" ref="V180:V191" si="151">(1/0.96)*56578.6671475971</f>
        <v>58936.111612080334</v>
      </c>
      <c r="DH180" s="944">
        <v>0</v>
      </c>
      <c r="DI180" s="944">
        <v>0</v>
      </c>
      <c r="DJ180" s="944"/>
      <c r="DL180" s="381"/>
      <c r="DN180" s="944"/>
      <c r="DO180" s="944"/>
    </row>
    <row r="181" spans="1:122" x14ac:dyDescent="0.2">
      <c r="A181" s="383">
        <v>170</v>
      </c>
      <c r="B181" s="631">
        <v>41671</v>
      </c>
      <c r="C181" s="381">
        <v>0</v>
      </c>
      <c r="D181" s="381">
        <v>0</v>
      </c>
      <c r="E181" s="381">
        <v>0</v>
      </c>
      <c r="F181" s="381">
        <v>0</v>
      </c>
      <c r="G181" s="381">
        <v>0</v>
      </c>
      <c r="H181" s="381">
        <v>0</v>
      </c>
      <c r="I181" s="381">
        <v>0</v>
      </c>
      <c r="J181" s="381"/>
      <c r="K181" s="381"/>
      <c r="L181" s="381"/>
      <c r="M181" s="381"/>
      <c r="N181" s="381"/>
      <c r="O181" s="381"/>
      <c r="P181" s="562">
        <f t="shared" si="149"/>
        <v>3177922.4508813163</v>
      </c>
      <c r="S181" s="562">
        <f t="shared" si="150"/>
        <v>134461.64723348699</v>
      </c>
      <c r="V181" s="562">
        <f t="shared" si="151"/>
        <v>58936.111612080334</v>
      </c>
      <c r="DH181" s="944">
        <v>0</v>
      </c>
      <c r="DI181" s="944">
        <v>0</v>
      </c>
      <c r="DJ181" s="944"/>
      <c r="DL181" s="381"/>
      <c r="DN181" s="944"/>
      <c r="DO181" s="944"/>
    </row>
    <row r="182" spans="1:122" x14ac:dyDescent="0.2">
      <c r="A182" s="383">
        <v>171</v>
      </c>
      <c r="B182" s="631">
        <v>41699</v>
      </c>
      <c r="C182" s="381">
        <v>0</v>
      </c>
      <c r="D182" s="381">
        <v>0</v>
      </c>
      <c r="E182" s="381">
        <v>0</v>
      </c>
      <c r="F182" s="381">
        <v>0</v>
      </c>
      <c r="G182" s="381">
        <v>0</v>
      </c>
      <c r="H182" s="381">
        <v>0</v>
      </c>
      <c r="I182" s="381">
        <v>0</v>
      </c>
      <c r="J182" s="381"/>
      <c r="K182" s="381"/>
      <c r="L182" s="381"/>
      <c r="M182" s="381"/>
      <c r="N182" s="381"/>
      <c r="O182" s="381"/>
      <c r="P182" s="562">
        <f t="shared" si="149"/>
        <v>3177922.4508813163</v>
      </c>
      <c r="S182" s="562">
        <f t="shared" si="150"/>
        <v>134461.64723348699</v>
      </c>
      <c r="V182" s="562">
        <f t="shared" si="151"/>
        <v>58936.111612080334</v>
      </c>
      <c r="DH182" s="944">
        <v>0</v>
      </c>
      <c r="DI182" s="944">
        <v>0</v>
      </c>
      <c r="DJ182" s="944"/>
      <c r="DL182" s="381"/>
      <c r="DN182" s="944"/>
      <c r="DO182" s="944"/>
    </row>
    <row r="183" spans="1:122" x14ac:dyDescent="0.2">
      <c r="A183" s="383">
        <v>172</v>
      </c>
      <c r="B183" s="631">
        <v>41730</v>
      </c>
      <c r="C183" s="381">
        <v>0</v>
      </c>
      <c r="D183" s="381">
        <v>0</v>
      </c>
      <c r="E183" s="381">
        <v>0</v>
      </c>
      <c r="F183" s="381">
        <v>0</v>
      </c>
      <c r="G183" s="381">
        <v>0</v>
      </c>
      <c r="H183" s="381">
        <v>0</v>
      </c>
      <c r="I183" s="381">
        <v>0</v>
      </c>
      <c r="J183" s="381"/>
      <c r="K183" s="381"/>
      <c r="L183" s="381"/>
      <c r="M183" s="381"/>
      <c r="N183" s="381"/>
      <c r="O183" s="381"/>
      <c r="P183" s="562">
        <f t="shared" si="149"/>
        <v>3177922.4508813163</v>
      </c>
      <c r="S183" s="562">
        <f t="shared" si="150"/>
        <v>134461.64723348699</v>
      </c>
      <c r="V183" s="562">
        <f t="shared" si="151"/>
        <v>58936.111612080334</v>
      </c>
      <c r="DH183" s="944">
        <v>0</v>
      </c>
      <c r="DI183" s="944">
        <v>0</v>
      </c>
      <c r="DJ183" s="944"/>
      <c r="DL183" s="381"/>
      <c r="DN183" s="944"/>
      <c r="DO183" s="944"/>
    </row>
    <row r="184" spans="1:122" x14ac:dyDescent="0.2">
      <c r="A184" s="383">
        <v>173</v>
      </c>
      <c r="B184" s="631">
        <v>41760</v>
      </c>
      <c r="C184" s="381">
        <v>0</v>
      </c>
      <c r="D184" s="381">
        <v>0</v>
      </c>
      <c r="E184" s="381">
        <v>0</v>
      </c>
      <c r="F184" s="381">
        <v>0</v>
      </c>
      <c r="G184" s="381">
        <v>0</v>
      </c>
      <c r="H184" s="381">
        <v>0</v>
      </c>
      <c r="I184" s="381">
        <v>0</v>
      </c>
      <c r="J184" s="381"/>
      <c r="K184" s="381"/>
      <c r="L184" s="381"/>
      <c r="M184" s="381"/>
      <c r="N184" s="381"/>
      <c r="O184" s="381"/>
      <c r="P184" s="562">
        <f t="shared" si="149"/>
        <v>3177922.4508813163</v>
      </c>
      <c r="S184" s="562">
        <f t="shared" si="150"/>
        <v>134461.64723348699</v>
      </c>
      <c r="V184" s="562">
        <f t="shared" si="151"/>
        <v>58936.111612080334</v>
      </c>
      <c r="DH184" s="944">
        <v>0</v>
      </c>
      <c r="DI184" s="944">
        <v>0</v>
      </c>
      <c r="DJ184" s="944"/>
      <c r="DL184" s="381"/>
      <c r="DN184" s="944"/>
      <c r="DO184" s="944"/>
    </row>
    <row r="185" spans="1:122" x14ac:dyDescent="0.2">
      <c r="A185" s="383">
        <v>174</v>
      </c>
      <c r="B185" s="631">
        <v>41791</v>
      </c>
      <c r="C185" s="381">
        <v>0</v>
      </c>
      <c r="D185" s="381">
        <v>0</v>
      </c>
      <c r="E185" s="381">
        <v>0</v>
      </c>
      <c r="F185" s="381">
        <v>0</v>
      </c>
      <c r="G185" s="381">
        <v>0</v>
      </c>
      <c r="H185" s="381">
        <v>0</v>
      </c>
      <c r="I185" s="381">
        <v>0</v>
      </c>
      <c r="J185" s="381"/>
      <c r="K185" s="381"/>
      <c r="L185" s="381"/>
      <c r="M185" s="381"/>
      <c r="N185" s="381"/>
      <c r="O185" s="381"/>
      <c r="P185" s="562">
        <f t="shared" si="149"/>
        <v>3177922.4508813163</v>
      </c>
      <c r="S185" s="562">
        <f t="shared" si="150"/>
        <v>134461.64723348699</v>
      </c>
      <c r="V185" s="562">
        <f t="shared" si="151"/>
        <v>58936.111612080334</v>
      </c>
      <c r="DH185" s="944">
        <v>0</v>
      </c>
      <c r="DI185" s="944">
        <v>0</v>
      </c>
      <c r="DJ185" s="944"/>
      <c r="DL185" s="381"/>
      <c r="DN185" s="944"/>
      <c r="DO185" s="944"/>
    </row>
    <row r="186" spans="1:122" x14ac:dyDescent="0.2">
      <c r="A186" s="383">
        <v>175</v>
      </c>
      <c r="B186" s="631">
        <v>41821</v>
      </c>
      <c r="C186" s="381">
        <v>0</v>
      </c>
      <c r="D186" s="381">
        <v>0</v>
      </c>
      <c r="E186" s="381">
        <v>0</v>
      </c>
      <c r="F186" s="381">
        <v>0</v>
      </c>
      <c r="G186" s="381">
        <v>0</v>
      </c>
      <c r="H186" s="381">
        <v>0</v>
      </c>
      <c r="I186" s="381">
        <v>0</v>
      </c>
      <c r="J186" s="381"/>
      <c r="K186" s="381"/>
      <c r="L186" s="381"/>
      <c r="M186" s="381"/>
      <c r="N186" s="381"/>
      <c r="O186" s="381"/>
      <c r="P186" s="562">
        <f t="shared" si="149"/>
        <v>3177922.4508813163</v>
      </c>
      <c r="S186" s="562">
        <f t="shared" si="150"/>
        <v>134461.64723348699</v>
      </c>
      <c r="V186" s="562">
        <f t="shared" si="151"/>
        <v>58936.111612080334</v>
      </c>
      <c r="DH186" s="944">
        <v>0</v>
      </c>
      <c r="DI186" s="944">
        <v>0</v>
      </c>
      <c r="DJ186" s="944"/>
      <c r="DL186" s="381"/>
      <c r="DN186" s="944"/>
      <c r="DO186" s="944"/>
    </row>
    <row r="187" spans="1:122" x14ac:dyDescent="0.2">
      <c r="A187" s="383">
        <v>176</v>
      </c>
      <c r="B187" s="631">
        <v>41852</v>
      </c>
      <c r="C187" s="381">
        <v>0</v>
      </c>
      <c r="D187" s="381">
        <v>0</v>
      </c>
      <c r="E187" s="381">
        <v>0</v>
      </c>
      <c r="F187" s="381">
        <v>0</v>
      </c>
      <c r="G187" s="381">
        <v>0</v>
      </c>
      <c r="H187" s="381">
        <v>0</v>
      </c>
      <c r="I187" s="381">
        <v>0</v>
      </c>
      <c r="J187" s="381"/>
      <c r="K187" s="381"/>
      <c r="L187" s="381"/>
      <c r="M187" s="381"/>
      <c r="N187" s="381"/>
      <c r="O187" s="381"/>
      <c r="P187" s="562">
        <f t="shared" si="149"/>
        <v>3177922.4508813163</v>
      </c>
      <c r="S187" s="562">
        <f t="shared" si="150"/>
        <v>134461.64723348699</v>
      </c>
      <c r="V187" s="562">
        <f t="shared" si="151"/>
        <v>58936.111612080334</v>
      </c>
      <c r="DH187" s="944">
        <v>0</v>
      </c>
      <c r="DI187" s="944">
        <v>0</v>
      </c>
      <c r="DJ187" s="944"/>
      <c r="DL187" s="381"/>
      <c r="DN187" s="944"/>
      <c r="DO187" s="944"/>
    </row>
    <row r="188" spans="1:122" x14ac:dyDescent="0.2">
      <c r="A188" s="383">
        <v>177</v>
      </c>
      <c r="B188" s="631">
        <v>41883</v>
      </c>
      <c r="C188" s="381">
        <v>0</v>
      </c>
      <c r="D188" s="381">
        <v>0</v>
      </c>
      <c r="E188" s="381">
        <v>0</v>
      </c>
      <c r="F188" s="381">
        <v>0</v>
      </c>
      <c r="G188" s="381">
        <v>0</v>
      </c>
      <c r="H188" s="381">
        <v>0</v>
      </c>
      <c r="I188" s="381">
        <v>0</v>
      </c>
      <c r="J188" s="381"/>
      <c r="K188" s="381"/>
      <c r="L188" s="381"/>
      <c r="M188" s="381"/>
      <c r="N188" s="381"/>
      <c r="O188" s="381"/>
      <c r="P188" s="562">
        <f t="shared" si="149"/>
        <v>3177922.4508813163</v>
      </c>
      <c r="S188" s="562">
        <f t="shared" si="150"/>
        <v>134461.64723348699</v>
      </c>
      <c r="V188" s="562">
        <f t="shared" si="151"/>
        <v>58936.111612080334</v>
      </c>
      <c r="DH188" s="944">
        <v>0</v>
      </c>
      <c r="DI188" s="944">
        <v>0</v>
      </c>
      <c r="DJ188" s="944"/>
      <c r="DL188" s="381"/>
      <c r="DN188" s="944"/>
      <c r="DO188" s="944"/>
    </row>
    <row r="189" spans="1:122" x14ac:dyDescent="0.2">
      <c r="A189" s="383">
        <v>178</v>
      </c>
      <c r="B189" s="631">
        <v>41913</v>
      </c>
      <c r="C189" s="381">
        <v>0</v>
      </c>
      <c r="D189" s="381">
        <v>0</v>
      </c>
      <c r="E189" s="381">
        <v>0</v>
      </c>
      <c r="F189" s="381">
        <v>0</v>
      </c>
      <c r="G189" s="381">
        <v>0</v>
      </c>
      <c r="H189" s="381">
        <v>0</v>
      </c>
      <c r="I189" s="381">
        <v>0</v>
      </c>
      <c r="J189" s="381"/>
      <c r="K189" s="381"/>
      <c r="L189" s="381"/>
      <c r="M189" s="381"/>
      <c r="N189" s="381"/>
      <c r="O189" s="381"/>
      <c r="P189" s="562">
        <f t="shared" si="149"/>
        <v>3177922.4508813163</v>
      </c>
      <c r="S189" s="562">
        <f t="shared" si="150"/>
        <v>134461.64723348699</v>
      </c>
      <c r="V189" s="562">
        <f t="shared" si="151"/>
        <v>58936.111612080334</v>
      </c>
      <c r="DH189" s="944">
        <v>0</v>
      </c>
      <c r="DI189" s="944">
        <v>0</v>
      </c>
      <c r="DJ189" s="944"/>
      <c r="DL189" s="381"/>
      <c r="DN189" s="944"/>
      <c r="DO189" s="944"/>
    </row>
    <row r="190" spans="1:122" x14ac:dyDescent="0.2">
      <c r="A190" s="383">
        <v>179</v>
      </c>
      <c r="B190" s="631">
        <v>41944</v>
      </c>
      <c r="C190" s="381">
        <v>0</v>
      </c>
      <c r="D190" s="381">
        <v>0</v>
      </c>
      <c r="E190" s="381">
        <v>0</v>
      </c>
      <c r="F190" s="381">
        <v>0</v>
      </c>
      <c r="G190" s="381">
        <v>0</v>
      </c>
      <c r="H190" s="381">
        <v>0</v>
      </c>
      <c r="I190" s="381">
        <v>0</v>
      </c>
      <c r="J190" s="381"/>
      <c r="K190" s="381"/>
      <c r="L190" s="381"/>
      <c r="M190" s="381"/>
      <c r="N190" s="381"/>
      <c r="O190" s="381"/>
      <c r="P190" s="562">
        <f t="shared" si="149"/>
        <v>3177922.4508813163</v>
      </c>
      <c r="S190" s="562">
        <f t="shared" si="150"/>
        <v>134461.64723348699</v>
      </c>
      <c r="V190" s="562">
        <f t="shared" si="151"/>
        <v>58936.111612080334</v>
      </c>
      <c r="DH190" s="944">
        <v>0</v>
      </c>
      <c r="DI190" s="944">
        <v>0</v>
      </c>
      <c r="DJ190" s="944"/>
      <c r="DL190" s="381"/>
      <c r="DN190" s="944"/>
      <c r="DO190" s="944"/>
    </row>
    <row r="191" spans="1:122" x14ac:dyDescent="0.2">
      <c r="A191" s="383">
        <v>180</v>
      </c>
      <c r="B191" s="631">
        <v>41974</v>
      </c>
      <c r="C191" s="381">
        <v>0</v>
      </c>
      <c r="D191" s="381">
        <v>0</v>
      </c>
      <c r="E191" s="381">
        <v>0</v>
      </c>
      <c r="F191" s="381">
        <v>0</v>
      </c>
      <c r="G191" s="381">
        <v>0</v>
      </c>
      <c r="H191" s="381">
        <v>0</v>
      </c>
      <c r="I191" s="381">
        <v>0</v>
      </c>
      <c r="J191" s="381"/>
      <c r="K191" s="381"/>
      <c r="L191" s="381"/>
      <c r="M191" s="381"/>
      <c r="N191" s="381"/>
      <c r="O191" s="381"/>
      <c r="P191" s="562">
        <f t="shared" si="149"/>
        <v>3177922.4508813163</v>
      </c>
      <c r="S191" s="562">
        <f t="shared" si="150"/>
        <v>134461.64723348699</v>
      </c>
      <c r="V191" s="562">
        <f t="shared" si="151"/>
        <v>58936.111612080334</v>
      </c>
      <c r="DH191" s="944">
        <v>0</v>
      </c>
      <c r="DI191" s="944">
        <v>0</v>
      </c>
      <c r="DJ191" s="944"/>
      <c r="DL191" s="381"/>
      <c r="DN191" s="944"/>
      <c r="DO191" s="944"/>
    </row>
    <row r="192" spans="1:122" x14ac:dyDescent="0.2">
      <c r="A192" s="383">
        <v>181</v>
      </c>
      <c r="B192" s="631">
        <v>42005</v>
      </c>
      <c r="C192" s="381">
        <v>0</v>
      </c>
      <c r="D192" s="381">
        <v>0</v>
      </c>
      <c r="E192" s="381">
        <v>0</v>
      </c>
      <c r="F192" s="381">
        <v>0</v>
      </c>
      <c r="G192" s="381">
        <v>0</v>
      </c>
      <c r="H192" s="381">
        <v>0</v>
      </c>
      <c r="I192" s="381">
        <v>0</v>
      </c>
      <c r="J192" s="381"/>
      <c r="K192" s="381"/>
      <c r="L192" s="381"/>
      <c r="M192" s="381"/>
      <c r="N192" s="381"/>
      <c r="O192" s="381"/>
      <c r="P192" s="562">
        <f t="shared" ref="P192:P203" si="152">(1/0.96)*3081909.41136708</f>
        <v>3210322.3035073704</v>
      </c>
      <c r="S192" s="562">
        <f t="shared" ref="S192:S203" si="153">(1/0.96)*130399.222284949</f>
        <v>135832.52321348872</v>
      </c>
      <c r="V192" s="562">
        <f t="shared" ref="V192:V203" si="154">(1/0.96)*57155.5032742472</f>
        <v>59536.98257734083</v>
      </c>
      <c r="DH192" s="944">
        <v>0</v>
      </c>
      <c r="DI192" s="944">
        <v>0</v>
      </c>
      <c r="DJ192" s="944"/>
      <c r="DL192" s="381"/>
      <c r="DN192" s="944"/>
      <c r="DO192" s="944"/>
    </row>
    <row r="193" spans="1:119" x14ac:dyDescent="0.2">
      <c r="A193" s="383">
        <v>182</v>
      </c>
      <c r="B193" s="631">
        <v>42036</v>
      </c>
      <c r="C193" s="381">
        <v>0</v>
      </c>
      <c r="D193" s="381">
        <v>0</v>
      </c>
      <c r="E193" s="381">
        <v>0</v>
      </c>
      <c r="F193" s="381">
        <v>0</v>
      </c>
      <c r="G193" s="381">
        <v>0</v>
      </c>
      <c r="H193" s="381">
        <v>0</v>
      </c>
      <c r="I193" s="381">
        <v>0</v>
      </c>
      <c r="J193" s="381"/>
      <c r="K193" s="381"/>
      <c r="L193" s="381"/>
      <c r="M193" s="381"/>
      <c r="N193" s="381"/>
      <c r="O193" s="381"/>
      <c r="P193" s="562">
        <f t="shared" si="152"/>
        <v>3210322.3035073704</v>
      </c>
      <c r="S193" s="562">
        <f t="shared" si="153"/>
        <v>135832.52321348872</v>
      </c>
      <c r="V193" s="562">
        <f t="shared" si="154"/>
        <v>59536.98257734083</v>
      </c>
      <c r="DH193" s="944">
        <v>0</v>
      </c>
      <c r="DI193" s="944">
        <v>0</v>
      </c>
      <c r="DJ193" s="944"/>
      <c r="DL193" s="381"/>
      <c r="DN193" s="944"/>
      <c r="DO193" s="944"/>
    </row>
    <row r="194" spans="1:119" x14ac:dyDescent="0.2">
      <c r="A194" s="383">
        <v>183</v>
      </c>
      <c r="B194" s="631">
        <v>42064</v>
      </c>
      <c r="C194" s="381">
        <v>0</v>
      </c>
      <c r="D194" s="381">
        <v>0</v>
      </c>
      <c r="E194" s="381">
        <v>0</v>
      </c>
      <c r="F194" s="381">
        <v>0</v>
      </c>
      <c r="G194" s="381">
        <v>0</v>
      </c>
      <c r="H194" s="381">
        <v>0</v>
      </c>
      <c r="I194" s="381">
        <v>0</v>
      </c>
      <c r="J194" s="381"/>
      <c r="K194" s="381"/>
      <c r="L194" s="381"/>
      <c r="M194" s="381"/>
      <c r="N194" s="381"/>
      <c r="O194" s="381"/>
      <c r="P194" s="562">
        <f t="shared" si="152"/>
        <v>3210322.3035073704</v>
      </c>
      <c r="S194" s="562">
        <f t="shared" si="153"/>
        <v>135832.52321348872</v>
      </c>
      <c r="V194" s="562">
        <f t="shared" si="154"/>
        <v>59536.98257734083</v>
      </c>
      <c r="DH194" s="944">
        <v>0</v>
      </c>
      <c r="DI194" s="944">
        <v>0</v>
      </c>
      <c r="DJ194" s="944"/>
      <c r="DL194" s="381"/>
      <c r="DN194" s="944"/>
      <c r="DO194" s="944"/>
    </row>
    <row r="195" spans="1:119" x14ac:dyDescent="0.2">
      <c r="A195" s="383">
        <v>184</v>
      </c>
      <c r="B195" s="631">
        <v>42095</v>
      </c>
      <c r="C195" s="381">
        <v>0</v>
      </c>
      <c r="D195" s="381">
        <v>0</v>
      </c>
      <c r="E195" s="381">
        <v>0</v>
      </c>
      <c r="F195" s="381">
        <v>0</v>
      </c>
      <c r="G195" s="381">
        <v>0</v>
      </c>
      <c r="H195" s="381">
        <v>0</v>
      </c>
      <c r="I195" s="381">
        <v>0</v>
      </c>
      <c r="J195" s="381"/>
      <c r="K195" s="381"/>
      <c r="L195" s="381"/>
      <c r="M195" s="381"/>
      <c r="N195" s="381"/>
      <c r="O195" s="381"/>
      <c r="P195" s="562">
        <f t="shared" si="152"/>
        <v>3210322.3035073704</v>
      </c>
      <c r="S195" s="562">
        <f t="shared" si="153"/>
        <v>135832.52321348872</v>
      </c>
      <c r="V195" s="562">
        <f t="shared" si="154"/>
        <v>59536.98257734083</v>
      </c>
      <c r="DH195" s="944">
        <v>0</v>
      </c>
      <c r="DI195" s="944">
        <v>0</v>
      </c>
      <c r="DJ195" s="944"/>
      <c r="DL195" s="381"/>
      <c r="DN195" s="944"/>
      <c r="DO195" s="944"/>
    </row>
    <row r="196" spans="1:119" x14ac:dyDescent="0.2">
      <c r="A196" s="383">
        <v>185</v>
      </c>
      <c r="B196" s="631">
        <v>42125</v>
      </c>
      <c r="C196" s="381">
        <v>0</v>
      </c>
      <c r="D196" s="381">
        <v>0</v>
      </c>
      <c r="E196" s="381">
        <v>0</v>
      </c>
      <c r="F196" s="381">
        <v>0</v>
      </c>
      <c r="G196" s="381">
        <v>0</v>
      </c>
      <c r="H196" s="381">
        <v>0</v>
      </c>
      <c r="I196" s="381">
        <v>0</v>
      </c>
      <c r="J196" s="381"/>
      <c r="K196" s="381"/>
      <c r="L196" s="381"/>
      <c r="M196" s="381"/>
      <c r="N196" s="381"/>
      <c r="O196" s="381"/>
      <c r="P196" s="562">
        <f t="shared" si="152"/>
        <v>3210322.3035073704</v>
      </c>
      <c r="S196" s="562">
        <f t="shared" si="153"/>
        <v>135832.52321348872</v>
      </c>
      <c r="V196" s="562">
        <f t="shared" si="154"/>
        <v>59536.98257734083</v>
      </c>
      <c r="DH196" s="944">
        <v>0</v>
      </c>
      <c r="DI196" s="944">
        <v>0</v>
      </c>
      <c r="DJ196" s="944"/>
      <c r="DL196" s="381"/>
      <c r="DN196" s="944"/>
      <c r="DO196" s="944"/>
    </row>
    <row r="197" spans="1:119" x14ac:dyDescent="0.2">
      <c r="A197" s="383">
        <v>186</v>
      </c>
      <c r="B197" s="631">
        <v>42156</v>
      </c>
      <c r="C197" s="381">
        <v>0</v>
      </c>
      <c r="D197" s="381">
        <v>0</v>
      </c>
      <c r="E197" s="381">
        <v>0</v>
      </c>
      <c r="F197" s="381">
        <v>0</v>
      </c>
      <c r="G197" s="381">
        <v>0</v>
      </c>
      <c r="H197" s="381">
        <v>0</v>
      </c>
      <c r="I197" s="381">
        <v>0</v>
      </c>
      <c r="J197" s="381"/>
      <c r="K197" s="381"/>
      <c r="L197" s="381"/>
      <c r="M197" s="381"/>
      <c r="N197" s="381"/>
      <c r="O197" s="381"/>
      <c r="P197" s="562">
        <f t="shared" si="152"/>
        <v>3210322.3035073704</v>
      </c>
      <c r="S197" s="562">
        <f t="shared" si="153"/>
        <v>135832.52321348872</v>
      </c>
      <c r="V197" s="562">
        <f t="shared" si="154"/>
        <v>59536.98257734083</v>
      </c>
      <c r="DH197" s="944">
        <v>0</v>
      </c>
      <c r="DI197" s="944">
        <v>0</v>
      </c>
      <c r="DJ197" s="944"/>
      <c r="DL197" s="381"/>
      <c r="DN197" s="944"/>
      <c r="DO197" s="944"/>
    </row>
    <row r="198" spans="1:119" x14ac:dyDescent="0.2">
      <c r="A198" s="383">
        <v>187</v>
      </c>
      <c r="B198" s="631">
        <v>42186</v>
      </c>
      <c r="C198" s="381">
        <v>0</v>
      </c>
      <c r="D198" s="381">
        <v>0</v>
      </c>
      <c r="E198" s="381">
        <v>0</v>
      </c>
      <c r="F198" s="381">
        <v>0</v>
      </c>
      <c r="G198" s="381">
        <v>0</v>
      </c>
      <c r="H198" s="381">
        <v>0</v>
      </c>
      <c r="I198" s="381">
        <v>0</v>
      </c>
      <c r="J198" s="381"/>
      <c r="K198" s="381"/>
      <c r="L198" s="381"/>
      <c r="M198" s="381"/>
      <c r="N198" s="381"/>
      <c r="O198" s="381"/>
      <c r="P198" s="562">
        <f t="shared" si="152"/>
        <v>3210322.3035073704</v>
      </c>
      <c r="S198" s="562">
        <f t="shared" si="153"/>
        <v>135832.52321348872</v>
      </c>
      <c r="V198" s="562">
        <f t="shared" si="154"/>
        <v>59536.98257734083</v>
      </c>
      <c r="DH198" s="944">
        <v>0</v>
      </c>
      <c r="DI198" s="944">
        <v>0</v>
      </c>
      <c r="DJ198" s="944"/>
      <c r="DL198" s="381"/>
      <c r="DN198" s="944"/>
      <c r="DO198" s="944"/>
    </row>
    <row r="199" spans="1:119" x14ac:dyDescent="0.2">
      <c r="A199" s="383">
        <v>188</v>
      </c>
      <c r="B199" s="631">
        <v>42217</v>
      </c>
      <c r="C199" s="381">
        <v>0</v>
      </c>
      <c r="D199" s="381">
        <v>0</v>
      </c>
      <c r="E199" s="381">
        <v>0</v>
      </c>
      <c r="F199" s="381">
        <v>0</v>
      </c>
      <c r="G199" s="381">
        <v>0</v>
      </c>
      <c r="H199" s="381">
        <v>0</v>
      </c>
      <c r="I199" s="381">
        <v>0</v>
      </c>
      <c r="J199" s="381"/>
      <c r="K199" s="381"/>
      <c r="L199" s="381"/>
      <c r="M199" s="381"/>
      <c r="N199" s="381"/>
      <c r="O199" s="381"/>
      <c r="P199" s="562">
        <f t="shared" si="152"/>
        <v>3210322.3035073704</v>
      </c>
      <c r="S199" s="562">
        <f t="shared" si="153"/>
        <v>135832.52321348872</v>
      </c>
      <c r="V199" s="562">
        <f t="shared" si="154"/>
        <v>59536.98257734083</v>
      </c>
      <c r="DH199" s="944">
        <v>0</v>
      </c>
      <c r="DI199" s="944">
        <v>0</v>
      </c>
      <c r="DJ199" s="944"/>
      <c r="DL199" s="381"/>
      <c r="DN199" s="944"/>
      <c r="DO199" s="944"/>
    </row>
    <row r="200" spans="1:119" x14ac:dyDescent="0.2">
      <c r="A200" s="383">
        <v>189</v>
      </c>
      <c r="B200" s="631">
        <v>42248</v>
      </c>
      <c r="C200" s="381">
        <v>0</v>
      </c>
      <c r="D200" s="381">
        <v>0</v>
      </c>
      <c r="E200" s="381">
        <v>0</v>
      </c>
      <c r="F200" s="381">
        <v>0</v>
      </c>
      <c r="G200" s="381">
        <v>0</v>
      </c>
      <c r="H200" s="381">
        <v>0</v>
      </c>
      <c r="I200" s="381">
        <v>0</v>
      </c>
      <c r="J200" s="381"/>
      <c r="K200" s="381"/>
      <c r="L200" s="381"/>
      <c r="M200" s="381"/>
      <c r="N200" s="381"/>
      <c r="O200" s="381"/>
      <c r="P200" s="562">
        <f t="shared" si="152"/>
        <v>3210322.3035073704</v>
      </c>
      <c r="S200" s="562">
        <f t="shared" si="153"/>
        <v>135832.52321348872</v>
      </c>
      <c r="V200" s="562">
        <f t="shared" si="154"/>
        <v>59536.98257734083</v>
      </c>
      <c r="DH200" s="944">
        <v>0</v>
      </c>
      <c r="DI200" s="944">
        <v>0</v>
      </c>
      <c r="DJ200" s="944"/>
      <c r="DL200" s="381"/>
      <c r="DN200" s="944"/>
      <c r="DO200" s="944"/>
    </row>
    <row r="201" spans="1:119" x14ac:dyDescent="0.2">
      <c r="A201" s="383">
        <v>190</v>
      </c>
      <c r="B201" s="631">
        <v>42278</v>
      </c>
      <c r="C201" s="381">
        <v>0</v>
      </c>
      <c r="D201" s="381">
        <v>0</v>
      </c>
      <c r="E201" s="381">
        <v>0</v>
      </c>
      <c r="F201" s="381">
        <v>0</v>
      </c>
      <c r="G201" s="381">
        <v>0</v>
      </c>
      <c r="H201" s="381">
        <v>0</v>
      </c>
      <c r="I201" s="381">
        <v>0</v>
      </c>
      <c r="J201" s="381"/>
      <c r="K201" s="381"/>
      <c r="L201" s="381"/>
      <c r="M201" s="381"/>
      <c r="N201" s="381"/>
      <c r="O201" s="381"/>
      <c r="P201" s="562">
        <f t="shared" si="152"/>
        <v>3210322.3035073704</v>
      </c>
      <c r="S201" s="562">
        <f t="shared" si="153"/>
        <v>135832.52321348872</v>
      </c>
      <c r="V201" s="562">
        <f t="shared" si="154"/>
        <v>59536.98257734083</v>
      </c>
      <c r="DH201" s="944">
        <v>0</v>
      </c>
      <c r="DI201" s="944">
        <v>0</v>
      </c>
      <c r="DJ201" s="944"/>
      <c r="DL201" s="381"/>
      <c r="DN201" s="944"/>
      <c r="DO201" s="944"/>
    </row>
    <row r="202" spans="1:119" x14ac:dyDescent="0.2">
      <c r="A202" s="383">
        <v>191</v>
      </c>
      <c r="B202" s="631">
        <v>42309</v>
      </c>
      <c r="C202" s="381">
        <v>0</v>
      </c>
      <c r="D202" s="381">
        <v>0</v>
      </c>
      <c r="E202" s="381">
        <v>0</v>
      </c>
      <c r="F202" s="381">
        <v>0</v>
      </c>
      <c r="G202" s="381">
        <v>0</v>
      </c>
      <c r="H202" s="381">
        <v>0</v>
      </c>
      <c r="I202" s="381">
        <v>0</v>
      </c>
      <c r="J202" s="381"/>
      <c r="K202" s="381"/>
      <c r="L202" s="381"/>
      <c r="M202" s="381"/>
      <c r="N202" s="381"/>
      <c r="O202" s="381"/>
      <c r="P202" s="562">
        <f t="shared" si="152"/>
        <v>3210322.3035073704</v>
      </c>
      <c r="S202" s="562">
        <f t="shared" si="153"/>
        <v>135832.52321348872</v>
      </c>
      <c r="V202" s="562">
        <f t="shared" si="154"/>
        <v>59536.98257734083</v>
      </c>
      <c r="DH202" s="944">
        <v>0</v>
      </c>
      <c r="DI202" s="944">
        <v>0</v>
      </c>
      <c r="DJ202" s="944"/>
      <c r="DL202" s="381"/>
      <c r="DN202" s="944"/>
      <c r="DO202" s="944"/>
    </row>
    <row r="203" spans="1:119" x14ac:dyDescent="0.2">
      <c r="A203" s="383">
        <v>192</v>
      </c>
      <c r="B203" s="631">
        <v>42339</v>
      </c>
      <c r="C203" s="381">
        <v>0</v>
      </c>
      <c r="D203" s="381">
        <v>0</v>
      </c>
      <c r="E203" s="381">
        <v>0</v>
      </c>
      <c r="F203" s="381">
        <v>0</v>
      </c>
      <c r="G203" s="381">
        <v>0</v>
      </c>
      <c r="H203" s="381">
        <v>0</v>
      </c>
      <c r="I203" s="381">
        <v>0</v>
      </c>
      <c r="J203" s="381"/>
      <c r="K203" s="381"/>
      <c r="L203" s="381"/>
      <c r="M203" s="381"/>
      <c r="N203" s="381"/>
      <c r="O203" s="381"/>
      <c r="P203" s="562">
        <f t="shared" si="152"/>
        <v>3210322.3035073704</v>
      </c>
      <c r="S203" s="562">
        <f t="shared" si="153"/>
        <v>135832.52321348872</v>
      </c>
      <c r="V203" s="562">
        <f t="shared" si="154"/>
        <v>59536.98257734083</v>
      </c>
      <c r="DH203" s="944">
        <v>0</v>
      </c>
      <c r="DI203" s="944">
        <v>0</v>
      </c>
      <c r="DJ203" s="944"/>
      <c r="DL203" s="381"/>
      <c r="DN203" s="944"/>
      <c r="DO203" s="944"/>
    </row>
    <row r="204" spans="1:119" x14ac:dyDescent="0.2">
      <c r="A204" s="383">
        <v>193</v>
      </c>
      <c r="B204" s="631">
        <v>42370</v>
      </c>
      <c r="C204" s="381">
        <v>0</v>
      </c>
      <c r="D204" s="381">
        <v>0</v>
      </c>
      <c r="E204" s="381">
        <v>0</v>
      </c>
      <c r="F204" s="381">
        <v>0</v>
      </c>
      <c r="G204" s="381">
        <v>0</v>
      </c>
      <c r="H204" s="381">
        <v>0</v>
      </c>
      <c r="I204" s="381">
        <v>0</v>
      </c>
      <c r="J204" s="381"/>
      <c r="K204" s="381"/>
      <c r="L204" s="381"/>
      <c r="M204" s="381"/>
      <c r="N204" s="381"/>
      <c r="O204" s="381"/>
      <c r="P204" s="562">
        <f t="shared" ref="P204:P215" si="155">(1/0.96)*3113370.96426108</f>
        <v>3243094.7544386243</v>
      </c>
      <c r="S204" s="562">
        <f t="shared" ref="S204:S215" si="156">(1/0.96)*131730.39769657</f>
        <v>137219.16426726049</v>
      </c>
      <c r="V204" s="562">
        <f t="shared" ref="V204:V215" si="157">(1/0.96)*57738.9730163538</f>
        <v>60144.763558701838</v>
      </c>
      <c r="DH204" s="944">
        <v>0</v>
      </c>
      <c r="DI204" s="944">
        <v>0</v>
      </c>
      <c r="DJ204" s="944"/>
      <c r="DL204" s="381"/>
      <c r="DN204" s="944"/>
      <c r="DO204" s="944"/>
    </row>
    <row r="205" spans="1:119" x14ac:dyDescent="0.2">
      <c r="A205" s="383">
        <v>194</v>
      </c>
      <c r="B205" s="631">
        <v>42401</v>
      </c>
      <c r="C205" s="381">
        <v>0</v>
      </c>
      <c r="D205" s="381">
        <v>0</v>
      </c>
      <c r="E205" s="381">
        <v>0</v>
      </c>
      <c r="F205" s="381">
        <v>0</v>
      </c>
      <c r="G205" s="381">
        <v>0</v>
      </c>
      <c r="H205" s="381">
        <v>0</v>
      </c>
      <c r="I205" s="381">
        <v>0</v>
      </c>
      <c r="J205" s="381"/>
      <c r="K205" s="381"/>
      <c r="L205" s="381"/>
      <c r="M205" s="381"/>
      <c r="N205" s="381"/>
      <c r="O205" s="381"/>
      <c r="P205" s="562">
        <f t="shared" si="155"/>
        <v>3243094.7544386243</v>
      </c>
      <c r="S205" s="562">
        <f t="shared" si="156"/>
        <v>137219.16426726049</v>
      </c>
      <c r="V205" s="562">
        <f t="shared" si="157"/>
        <v>60144.763558701838</v>
      </c>
      <c r="DH205" s="944">
        <v>0</v>
      </c>
      <c r="DI205" s="944">
        <v>0</v>
      </c>
      <c r="DJ205" s="944"/>
      <c r="DL205" s="381"/>
      <c r="DN205" s="944"/>
      <c r="DO205" s="944"/>
    </row>
    <row r="206" spans="1:119" x14ac:dyDescent="0.2">
      <c r="A206" s="383">
        <v>195</v>
      </c>
      <c r="B206" s="631">
        <v>42430</v>
      </c>
      <c r="C206" s="381">
        <v>0</v>
      </c>
      <c r="D206" s="381">
        <v>0</v>
      </c>
      <c r="E206" s="381">
        <v>0</v>
      </c>
      <c r="F206" s="381">
        <v>0</v>
      </c>
      <c r="G206" s="381">
        <v>0</v>
      </c>
      <c r="H206" s="381">
        <v>0</v>
      </c>
      <c r="I206" s="381">
        <v>0</v>
      </c>
      <c r="J206" s="381"/>
      <c r="K206" s="381"/>
      <c r="L206" s="381"/>
      <c r="M206" s="381"/>
      <c r="N206" s="381"/>
      <c r="O206" s="381"/>
      <c r="P206" s="562">
        <f t="shared" si="155"/>
        <v>3243094.7544386243</v>
      </c>
      <c r="S206" s="562">
        <f t="shared" si="156"/>
        <v>137219.16426726049</v>
      </c>
      <c r="V206" s="562">
        <f t="shared" si="157"/>
        <v>60144.763558701838</v>
      </c>
      <c r="DH206" s="944">
        <v>0</v>
      </c>
      <c r="DI206" s="944">
        <v>0</v>
      </c>
      <c r="DJ206" s="944"/>
      <c r="DL206" s="381"/>
      <c r="DN206" s="944"/>
      <c r="DO206" s="944"/>
    </row>
    <row r="207" spans="1:119" x14ac:dyDescent="0.2">
      <c r="A207" s="383">
        <v>196</v>
      </c>
      <c r="B207" s="631">
        <v>42461</v>
      </c>
      <c r="C207" s="381">
        <v>0</v>
      </c>
      <c r="D207" s="381">
        <v>0</v>
      </c>
      <c r="E207" s="381">
        <v>0</v>
      </c>
      <c r="F207" s="381">
        <v>0</v>
      </c>
      <c r="G207" s="381">
        <v>0</v>
      </c>
      <c r="H207" s="381">
        <v>0</v>
      </c>
      <c r="I207" s="381">
        <v>0</v>
      </c>
      <c r="J207" s="381"/>
      <c r="K207" s="381"/>
      <c r="L207" s="381"/>
      <c r="M207" s="381"/>
      <c r="N207" s="381"/>
      <c r="O207" s="381"/>
      <c r="P207" s="562">
        <f t="shared" si="155"/>
        <v>3243094.7544386243</v>
      </c>
      <c r="S207" s="562">
        <f t="shared" si="156"/>
        <v>137219.16426726049</v>
      </c>
      <c r="V207" s="562">
        <f t="shared" si="157"/>
        <v>60144.763558701838</v>
      </c>
      <c r="DH207" s="944">
        <v>0</v>
      </c>
      <c r="DI207" s="944">
        <v>0</v>
      </c>
      <c r="DJ207" s="944"/>
      <c r="DL207" s="381"/>
      <c r="DN207" s="944"/>
      <c r="DO207" s="944"/>
    </row>
    <row r="208" spans="1:119" x14ac:dyDescent="0.2">
      <c r="A208" s="383">
        <v>197</v>
      </c>
      <c r="B208" s="631">
        <v>42491</v>
      </c>
      <c r="C208" s="381">
        <v>0</v>
      </c>
      <c r="D208" s="381">
        <v>0</v>
      </c>
      <c r="E208" s="381">
        <v>0</v>
      </c>
      <c r="F208" s="381">
        <v>0</v>
      </c>
      <c r="G208" s="381">
        <v>0</v>
      </c>
      <c r="H208" s="381">
        <v>0</v>
      </c>
      <c r="I208" s="381">
        <v>0</v>
      </c>
      <c r="J208" s="381"/>
      <c r="K208" s="381"/>
      <c r="L208" s="381"/>
      <c r="M208" s="381"/>
      <c r="N208" s="381"/>
      <c r="O208" s="381"/>
      <c r="P208" s="562">
        <f t="shared" si="155"/>
        <v>3243094.7544386243</v>
      </c>
      <c r="S208" s="562">
        <f t="shared" si="156"/>
        <v>137219.16426726049</v>
      </c>
      <c r="V208" s="562">
        <f t="shared" si="157"/>
        <v>60144.763558701838</v>
      </c>
      <c r="DH208" s="944">
        <v>0</v>
      </c>
      <c r="DI208" s="944">
        <v>0</v>
      </c>
      <c r="DJ208" s="944"/>
      <c r="DL208" s="381"/>
      <c r="DN208" s="944"/>
      <c r="DO208" s="944"/>
    </row>
    <row r="209" spans="1:119" x14ac:dyDescent="0.2">
      <c r="A209" s="383">
        <v>198</v>
      </c>
      <c r="B209" s="631">
        <v>42522</v>
      </c>
      <c r="C209" s="381">
        <v>0</v>
      </c>
      <c r="D209" s="381">
        <v>0</v>
      </c>
      <c r="E209" s="381">
        <v>0</v>
      </c>
      <c r="F209" s="381">
        <v>0</v>
      </c>
      <c r="G209" s="381">
        <v>0</v>
      </c>
      <c r="H209" s="381">
        <v>0</v>
      </c>
      <c r="I209" s="381">
        <v>0</v>
      </c>
      <c r="J209" s="381"/>
      <c r="K209" s="381"/>
      <c r="L209" s="381"/>
      <c r="M209" s="381"/>
      <c r="N209" s="381"/>
      <c r="O209" s="381"/>
      <c r="P209" s="562">
        <f t="shared" si="155"/>
        <v>3243094.7544386243</v>
      </c>
      <c r="S209" s="562">
        <f t="shared" si="156"/>
        <v>137219.16426726049</v>
      </c>
      <c r="V209" s="562">
        <f t="shared" si="157"/>
        <v>60144.763558701838</v>
      </c>
      <c r="DH209" s="944">
        <v>0</v>
      </c>
      <c r="DI209" s="944">
        <v>0</v>
      </c>
      <c r="DJ209" s="944"/>
      <c r="DL209" s="381"/>
      <c r="DN209" s="944"/>
      <c r="DO209" s="944"/>
    </row>
    <row r="210" spans="1:119" x14ac:dyDescent="0.2">
      <c r="A210" s="383">
        <v>199</v>
      </c>
      <c r="B210" s="631">
        <v>42552</v>
      </c>
      <c r="C210" s="381">
        <v>0</v>
      </c>
      <c r="D210" s="381">
        <v>0</v>
      </c>
      <c r="E210" s="381">
        <v>0</v>
      </c>
      <c r="F210" s="381">
        <v>0</v>
      </c>
      <c r="G210" s="381">
        <v>0</v>
      </c>
      <c r="H210" s="381">
        <v>0</v>
      </c>
      <c r="I210" s="381">
        <v>0</v>
      </c>
      <c r="J210" s="381"/>
      <c r="K210" s="381"/>
      <c r="L210" s="381"/>
      <c r="M210" s="381"/>
      <c r="N210" s="381"/>
      <c r="O210" s="381"/>
      <c r="P210" s="562">
        <f t="shared" si="155"/>
        <v>3243094.7544386243</v>
      </c>
      <c r="S210" s="562">
        <f t="shared" si="156"/>
        <v>137219.16426726049</v>
      </c>
      <c r="V210" s="562">
        <f t="shared" si="157"/>
        <v>60144.763558701838</v>
      </c>
      <c r="DH210" s="944">
        <v>0</v>
      </c>
      <c r="DI210" s="944">
        <v>0</v>
      </c>
      <c r="DJ210" s="944"/>
      <c r="DL210" s="381"/>
      <c r="DN210" s="944"/>
      <c r="DO210" s="944"/>
    </row>
    <row r="211" spans="1:119" x14ac:dyDescent="0.2">
      <c r="A211" s="383">
        <v>200</v>
      </c>
      <c r="B211" s="631">
        <v>42583</v>
      </c>
      <c r="C211" s="381">
        <v>0</v>
      </c>
      <c r="D211" s="381">
        <v>0</v>
      </c>
      <c r="E211" s="381">
        <v>0</v>
      </c>
      <c r="F211" s="381">
        <v>0</v>
      </c>
      <c r="G211" s="381">
        <v>0</v>
      </c>
      <c r="H211" s="381">
        <v>0</v>
      </c>
      <c r="I211" s="381">
        <v>0</v>
      </c>
      <c r="J211" s="381"/>
      <c r="K211" s="381"/>
      <c r="L211" s="381"/>
      <c r="M211" s="381"/>
      <c r="N211" s="381"/>
      <c r="O211" s="381"/>
      <c r="P211" s="562">
        <f t="shared" si="155"/>
        <v>3243094.7544386243</v>
      </c>
      <c r="S211" s="562">
        <f t="shared" si="156"/>
        <v>137219.16426726049</v>
      </c>
      <c r="V211" s="562">
        <f t="shared" si="157"/>
        <v>60144.763558701838</v>
      </c>
      <c r="DH211" s="944">
        <v>0</v>
      </c>
      <c r="DI211" s="944">
        <v>0</v>
      </c>
      <c r="DJ211" s="944"/>
      <c r="DL211" s="381"/>
      <c r="DN211" s="944"/>
      <c r="DO211" s="944"/>
    </row>
    <row r="212" spans="1:119" x14ac:dyDescent="0.2">
      <c r="A212" s="383">
        <v>201</v>
      </c>
      <c r="B212" s="631">
        <v>42614</v>
      </c>
      <c r="C212" s="381">
        <v>0</v>
      </c>
      <c r="D212" s="381">
        <v>0</v>
      </c>
      <c r="E212" s="381">
        <v>0</v>
      </c>
      <c r="F212" s="381">
        <v>0</v>
      </c>
      <c r="G212" s="381">
        <v>0</v>
      </c>
      <c r="H212" s="381">
        <v>0</v>
      </c>
      <c r="I212" s="381">
        <v>0</v>
      </c>
      <c r="J212" s="381"/>
      <c r="K212" s="381"/>
      <c r="L212" s="381"/>
      <c r="M212" s="381"/>
      <c r="N212" s="381"/>
      <c r="O212" s="381"/>
      <c r="P212" s="562">
        <f t="shared" si="155"/>
        <v>3243094.7544386243</v>
      </c>
      <c r="S212" s="562">
        <f t="shared" si="156"/>
        <v>137219.16426726049</v>
      </c>
      <c r="V212" s="562">
        <f t="shared" si="157"/>
        <v>60144.763558701838</v>
      </c>
      <c r="DH212" s="944">
        <v>0</v>
      </c>
      <c r="DI212" s="944">
        <v>0</v>
      </c>
      <c r="DJ212" s="944"/>
      <c r="DL212" s="381"/>
      <c r="DN212" s="944"/>
      <c r="DO212" s="944"/>
    </row>
    <row r="213" spans="1:119" x14ac:dyDescent="0.2">
      <c r="A213" s="383">
        <v>202</v>
      </c>
      <c r="B213" s="631">
        <v>42644</v>
      </c>
      <c r="C213" s="381">
        <v>0</v>
      </c>
      <c r="D213" s="381">
        <v>0</v>
      </c>
      <c r="E213" s="381">
        <v>0</v>
      </c>
      <c r="F213" s="381">
        <v>0</v>
      </c>
      <c r="G213" s="381">
        <v>0</v>
      </c>
      <c r="H213" s="381">
        <v>0</v>
      </c>
      <c r="I213" s="381">
        <v>0</v>
      </c>
      <c r="J213" s="381"/>
      <c r="K213" s="381"/>
      <c r="L213" s="381"/>
      <c r="M213" s="381"/>
      <c r="N213" s="381"/>
      <c r="O213" s="381"/>
      <c r="P213" s="562">
        <f t="shared" si="155"/>
        <v>3243094.7544386243</v>
      </c>
      <c r="S213" s="562">
        <f t="shared" si="156"/>
        <v>137219.16426726049</v>
      </c>
      <c r="V213" s="562">
        <f t="shared" si="157"/>
        <v>60144.763558701838</v>
      </c>
      <c r="DH213" s="944">
        <v>0</v>
      </c>
      <c r="DI213" s="944">
        <v>0</v>
      </c>
      <c r="DJ213" s="944"/>
      <c r="DL213" s="381"/>
      <c r="DN213" s="944"/>
      <c r="DO213" s="944"/>
    </row>
    <row r="214" spans="1:119" x14ac:dyDescent="0.2">
      <c r="A214" s="383">
        <v>203</v>
      </c>
      <c r="B214" s="631">
        <v>42675</v>
      </c>
      <c r="C214" s="381">
        <v>0</v>
      </c>
      <c r="D214" s="381">
        <v>0</v>
      </c>
      <c r="E214" s="381">
        <v>0</v>
      </c>
      <c r="F214" s="381">
        <v>0</v>
      </c>
      <c r="G214" s="381">
        <v>0</v>
      </c>
      <c r="H214" s="381">
        <v>0</v>
      </c>
      <c r="I214" s="381">
        <v>0</v>
      </c>
      <c r="J214" s="381"/>
      <c r="K214" s="381"/>
      <c r="L214" s="381"/>
      <c r="M214" s="381"/>
      <c r="N214" s="381"/>
      <c r="O214" s="381"/>
      <c r="P214" s="562">
        <f t="shared" si="155"/>
        <v>3243094.7544386243</v>
      </c>
      <c r="S214" s="562">
        <f t="shared" si="156"/>
        <v>137219.16426726049</v>
      </c>
      <c r="V214" s="562">
        <f t="shared" si="157"/>
        <v>60144.763558701838</v>
      </c>
      <c r="DH214" s="944">
        <v>0</v>
      </c>
      <c r="DI214" s="944">
        <v>0</v>
      </c>
      <c r="DJ214" s="944"/>
      <c r="DL214" s="381"/>
      <c r="DN214" s="944"/>
      <c r="DO214" s="944"/>
    </row>
    <row r="215" spans="1:119" x14ac:dyDescent="0.2">
      <c r="A215" s="383">
        <v>204</v>
      </c>
      <c r="B215" s="631">
        <v>42705</v>
      </c>
      <c r="C215" s="381">
        <v>0</v>
      </c>
      <c r="D215" s="381">
        <v>0</v>
      </c>
      <c r="E215" s="381">
        <v>0</v>
      </c>
      <c r="F215" s="381">
        <v>0</v>
      </c>
      <c r="G215" s="381">
        <v>0</v>
      </c>
      <c r="H215" s="381">
        <v>0</v>
      </c>
      <c r="I215" s="381">
        <v>0</v>
      </c>
      <c r="J215" s="381"/>
      <c r="K215" s="381"/>
      <c r="L215" s="381"/>
      <c r="M215" s="381"/>
      <c r="N215" s="381"/>
      <c r="O215" s="381"/>
      <c r="P215" s="562">
        <f t="shared" si="155"/>
        <v>3243094.7544386243</v>
      </c>
      <c r="S215" s="562">
        <f t="shared" si="156"/>
        <v>137219.16426726049</v>
      </c>
      <c r="V215" s="562">
        <f t="shared" si="157"/>
        <v>60144.763558701838</v>
      </c>
      <c r="DH215" s="944">
        <v>0</v>
      </c>
      <c r="DI215" s="944">
        <v>0</v>
      </c>
      <c r="DJ215" s="944"/>
      <c r="DL215" s="381"/>
      <c r="DN215" s="944"/>
      <c r="DO215" s="944"/>
    </row>
    <row r="216" spans="1:119" x14ac:dyDescent="0.2">
      <c r="A216" s="383">
        <v>205</v>
      </c>
      <c r="B216" s="631">
        <v>42736</v>
      </c>
      <c r="C216" s="381">
        <v>0</v>
      </c>
      <c r="D216" s="381">
        <v>0</v>
      </c>
      <c r="E216" s="381">
        <v>0</v>
      </c>
      <c r="F216" s="381">
        <v>0</v>
      </c>
      <c r="G216" s="381">
        <v>0</v>
      </c>
      <c r="H216" s="381">
        <v>0</v>
      </c>
      <c r="I216" s="381">
        <v>0</v>
      </c>
      <c r="J216" s="381"/>
      <c r="K216" s="381"/>
      <c r="L216" s="381"/>
      <c r="M216" s="381"/>
      <c r="N216" s="381"/>
      <c r="O216" s="381"/>
      <c r="P216" s="562">
        <f t="shared" ref="P216:P227" si="158">(1/0.96)*3145194.32501336</f>
        <v>3276244.0885555879</v>
      </c>
      <c r="S216" s="562">
        <f t="shared" ref="S216:S227" si="159">(1/0.96)*133076.881625425</f>
        <v>138621.75169315064</v>
      </c>
      <c r="V216" s="562">
        <f t="shared" ref="V216:V227" si="160">(1/0.96)*58329.1526604945</f>
        <v>60759.534021348489</v>
      </c>
      <c r="DH216" s="944">
        <v>0</v>
      </c>
      <c r="DI216" s="944">
        <v>0</v>
      </c>
      <c r="DJ216" s="944"/>
      <c r="DL216" s="381"/>
      <c r="DN216" s="944"/>
      <c r="DO216" s="944"/>
    </row>
    <row r="217" spans="1:119" x14ac:dyDescent="0.2">
      <c r="A217" s="383">
        <v>206</v>
      </c>
      <c r="B217" s="631">
        <v>42767</v>
      </c>
      <c r="C217" s="381">
        <v>0</v>
      </c>
      <c r="D217" s="381">
        <v>0</v>
      </c>
      <c r="E217" s="381">
        <v>0</v>
      </c>
      <c r="F217" s="381">
        <v>0</v>
      </c>
      <c r="G217" s="381">
        <v>0</v>
      </c>
      <c r="H217" s="381">
        <v>0</v>
      </c>
      <c r="I217" s="381">
        <v>0</v>
      </c>
      <c r="J217" s="381"/>
      <c r="K217" s="381"/>
      <c r="L217" s="381"/>
      <c r="M217" s="381"/>
      <c r="N217" s="381"/>
      <c r="O217" s="381"/>
      <c r="P217" s="562">
        <f t="shared" si="158"/>
        <v>3276244.0885555879</v>
      </c>
      <c r="S217" s="562">
        <f t="shared" si="159"/>
        <v>138621.75169315064</v>
      </c>
      <c r="V217" s="562">
        <f t="shared" si="160"/>
        <v>60759.534021348489</v>
      </c>
      <c r="DH217" s="944">
        <v>0</v>
      </c>
      <c r="DI217" s="944">
        <v>0</v>
      </c>
      <c r="DJ217" s="944"/>
      <c r="DL217" s="381"/>
      <c r="DN217" s="944"/>
      <c r="DO217" s="944"/>
    </row>
    <row r="218" spans="1:119" x14ac:dyDescent="0.2">
      <c r="A218" s="383">
        <v>207</v>
      </c>
      <c r="B218" s="631">
        <v>42795</v>
      </c>
      <c r="C218" s="381">
        <v>0</v>
      </c>
      <c r="D218" s="381">
        <v>0</v>
      </c>
      <c r="E218" s="381">
        <v>0</v>
      </c>
      <c r="F218" s="381">
        <v>0</v>
      </c>
      <c r="G218" s="381">
        <v>0</v>
      </c>
      <c r="H218" s="381">
        <v>0</v>
      </c>
      <c r="I218" s="381">
        <v>0</v>
      </c>
      <c r="J218" s="381"/>
      <c r="K218" s="381"/>
      <c r="L218" s="381"/>
      <c r="M218" s="381"/>
      <c r="N218" s="381"/>
      <c r="O218" s="381"/>
      <c r="P218" s="562">
        <f t="shared" si="158"/>
        <v>3276244.0885555879</v>
      </c>
      <c r="S218" s="562">
        <f t="shared" si="159"/>
        <v>138621.75169315064</v>
      </c>
      <c r="V218" s="562">
        <f t="shared" si="160"/>
        <v>60759.534021348489</v>
      </c>
      <c r="DH218" s="944">
        <v>0</v>
      </c>
      <c r="DI218" s="944">
        <v>0</v>
      </c>
      <c r="DJ218" s="944"/>
      <c r="DL218" s="381"/>
      <c r="DN218" s="944"/>
      <c r="DO218" s="944"/>
    </row>
    <row r="219" spans="1:119" x14ac:dyDescent="0.2">
      <c r="A219" s="383">
        <v>208</v>
      </c>
      <c r="B219" s="631">
        <v>42826</v>
      </c>
      <c r="C219" s="381">
        <v>0</v>
      </c>
      <c r="D219" s="381">
        <v>0</v>
      </c>
      <c r="E219" s="381">
        <v>0</v>
      </c>
      <c r="F219" s="381">
        <v>0</v>
      </c>
      <c r="G219" s="381">
        <v>0</v>
      </c>
      <c r="H219" s="381">
        <v>0</v>
      </c>
      <c r="I219" s="381">
        <v>0</v>
      </c>
      <c r="J219" s="381"/>
      <c r="K219" s="381"/>
      <c r="L219" s="381"/>
      <c r="M219" s="381"/>
      <c r="N219" s="381"/>
      <c r="O219" s="381"/>
      <c r="P219" s="562">
        <f t="shared" si="158"/>
        <v>3276244.0885555879</v>
      </c>
      <c r="S219" s="562">
        <f t="shared" si="159"/>
        <v>138621.75169315064</v>
      </c>
      <c r="V219" s="562">
        <f t="shared" si="160"/>
        <v>60759.534021348489</v>
      </c>
      <c r="DH219" s="944">
        <v>0</v>
      </c>
      <c r="DI219" s="944">
        <v>0</v>
      </c>
      <c r="DJ219" s="944"/>
      <c r="DL219" s="381"/>
      <c r="DN219" s="944"/>
      <c r="DO219" s="944"/>
    </row>
    <row r="220" spans="1:119" x14ac:dyDescent="0.2">
      <c r="A220" s="383">
        <v>209</v>
      </c>
      <c r="B220" s="631">
        <v>42856</v>
      </c>
      <c r="C220" s="381">
        <v>0</v>
      </c>
      <c r="D220" s="381">
        <v>0</v>
      </c>
      <c r="E220" s="381">
        <v>0</v>
      </c>
      <c r="F220" s="381">
        <v>0</v>
      </c>
      <c r="G220" s="381">
        <v>0</v>
      </c>
      <c r="H220" s="381">
        <v>0</v>
      </c>
      <c r="I220" s="381">
        <v>0</v>
      </c>
      <c r="J220" s="381"/>
      <c r="K220" s="381"/>
      <c r="L220" s="381"/>
      <c r="M220" s="381"/>
      <c r="N220" s="381"/>
      <c r="O220" s="381"/>
      <c r="P220" s="562">
        <f t="shared" si="158"/>
        <v>3276244.0885555879</v>
      </c>
      <c r="S220" s="562">
        <f t="shared" si="159"/>
        <v>138621.75169315064</v>
      </c>
      <c r="V220" s="562">
        <f t="shared" si="160"/>
        <v>60759.534021348489</v>
      </c>
      <c r="DH220" s="944">
        <v>0</v>
      </c>
      <c r="DI220" s="944">
        <v>0</v>
      </c>
      <c r="DJ220" s="944"/>
      <c r="DL220" s="381"/>
      <c r="DN220" s="944"/>
      <c r="DO220" s="944"/>
    </row>
    <row r="221" spans="1:119" x14ac:dyDescent="0.2">
      <c r="A221" s="383">
        <v>210</v>
      </c>
      <c r="B221" s="631">
        <v>42887</v>
      </c>
      <c r="C221" s="381">
        <v>0</v>
      </c>
      <c r="D221" s="381">
        <v>0</v>
      </c>
      <c r="E221" s="381">
        <v>0</v>
      </c>
      <c r="F221" s="381">
        <v>0</v>
      </c>
      <c r="G221" s="381">
        <v>0</v>
      </c>
      <c r="H221" s="381">
        <v>0</v>
      </c>
      <c r="I221" s="381">
        <v>0</v>
      </c>
      <c r="J221" s="381"/>
      <c r="K221" s="381"/>
      <c r="L221" s="381"/>
      <c r="M221" s="381"/>
      <c r="N221" s="381"/>
      <c r="O221" s="381"/>
      <c r="P221" s="562">
        <f t="shared" si="158"/>
        <v>3276244.0885555879</v>
      </c>
      <c r="S221" s="562">
        <f t="shared" si="159"/>
        <v>138621.75169315064</v>
      </c>
      <c r="V221" s="562">
        <f t="shared" si="160"/>
        <v>60759.534021348489</v>
      </c>
      <c r="DH221" s="944">
        <v>0</v>
      </c>
      <c r="DI221" s="944">
        <v>0</v>
      </c>
      <c r="DJ221" s="944"/>
      <c r="DL221" s="381"/>
      <c r="DN221" s="944"/>
      <c r="DO221" s="944"/>
    </row>
    <row r="222" spans="1:119" x14ac:dyDescent="0.2">
      <c r="A222" s="383">
        <v>211</v>
      </c>
      <c r="B222" s="631">
        <v>42917</v>
      </c>
      <c r="C222" s="381">
        <v>0</v>
      </c>
      <c r="D222" s="381">
        <v>0</v>
      </c>
      <c r="E222" s="381">
        <v>0</v>
      </c>
      <c r="F222" s="381">
        <v>0</v>
      </c>
      <c r="G222" s="381">
        <v>0</v>
      </c>
      <c r="H222" s="381">
        <v>0</v>
      </c>
      <c r="I222" s="381">
        <v>0</v>
      </c>
      <c r="J222" s="381"/>
      <c r="K222" s="381"/>
      <c r="L222" s="381"/>
      <c r="M222" s="381"/>
      <c r="N222" s="381"/>
      <c r="O222" s="381"/>
      <c r="P222" s="562">
        <f t="shared" si="158"/>
        <v>3276244.0885555879</v>
      </c>
      <c r="S222" s="562">
        <f t="shared" si="159"/>
        <v>138621.75169315064</v>
      </c>
      <c r="V222" s="562">
        <f t="shared" si="160"/>
        <v>60759.534021348489</v>
      </c>
      <c r="DH222" s="944">
        <v>0</v>
      </c>
      <c r="DI222" s="944">
        <v>0</v>
      </c>
      <c r="DJ222" s="944"/>
      <c r="DL222" s="381"/>
      <c r="DN222" s="944"/>
      <c r="DO222" s="944"/>
    </row>
    <row r="223" spans="1:119" x14ac:dyDescent="0.2">
      <c r="A223" s="383">
        <v>212</v>
      </c>
      <c r="B223" s="631">
        <v>42948</v>
      </c>
      <c r="C223" s="381">
        <v>0</v>
      </c>
      <c r="D223" s="381">
        <v>0</v>
      </c>
      <c r="E223" s="381">
        <v>0</v>
      </c>
      <c r="F223" s="381">
        <v>0</v>
      </c>
      <c r="G223" s="381">
        <v>0</v>
      </c>
      <c r="H223" s="381">
        <v>0</v>
      </c>
      <c r="I223" s="381">
        <v>0</v>
      </c>
      <c r="J223" s="381"/>
      <c r="K223" s="381"/>
      <c r="L223" s="381"/>
      <c r="M223" s="381"/>
      <c r="N223" s="381"/>
      <c r="O223" s="381"/>
      <c r="P223" s="562">
        <f t="shared" si="158"/>
        <v>3276244.0885555879</v>
      </c>
      <c r="S223" s="562">
        <f t="shared" si="159"/>
        <v>138621.75169315064</v>
      </c>
      <c r="V223" s="562">
        <f t="shared" si="160"/>
        <v>60759.534021348489</v>
      </c>
      <c r="DH223" s="944">
        <v>0</v>
      </c>
      <c r="DI223" s="944">
        <v>0</v>
      </c>
      <c r="DJ223" s="944"/>
      <c r="DL223" s="381"/>
      <c r="DN223" s="944"/>
      <c r="DO223" s="944"/>
    </row>
    <row r="224" spans="1:119" x14ac:dyDescent="0.2">
      <c r="A224" s="383">
        <v>213</v>
      </c>
      <c r="B224" s="631">
        <v>42979</v>
      </c>
      <c r="C224" s="381">
        <v>0</v>
      </c>
      <c r="D224" s="381">
        <v>0</v>
      </c>
      <c r="E224" s="381">
        <v>0</v>
      </c>
      <c r="F224" s="381">
        <v>0</v>
      </c>
      <c r="G224" s="381">
        <v>0</v>
      </c>
      <c r="H224" s="381">
        <v>0</v>
      </c>
      <c r="I224" s="381">
        <v>0</v>
      </c>
      <c r="J224" s="381"/>
      <c r="K224" s="381"/>
      <c r="L224" s="381"/>
      <c r="M224" s="381"/>
      <c r="N224" s="381"/>
      <c r="O224" s="381"/>
      <c r="P224" s="562">
        <f t="shared" si="158"/>
        <v>3276244.0885555879</v>
      </c>
      <c r="S224" s="562">
        <f t="shared" si="159"/>
        <v>138621.75169315064</v>
      </c>
      <c r="V224" s="562">
        <f t="shared" si="160"/>
        <v>60759.534021348489</v>
      </c>
      <c r="DH224" s="944">
        <v>0</v>
      </c>
      <c r="DI224" s="944">
        <v>0</v>
      </c>
      <c r="DJ224" s="944"/>
      <c r="DL224" s="381"/>
      <c r="DN224" s="944"/>
      <c r="DO224" s="944"/>
    </row>
    <row r="225" spans="1:119" x14ac:dyDescent="0.2">
      <c r="A225" s="383">
        <v>214</v>
      </c>
      <c r="B225" s="631">
        <v>43009</v>
      </c>
      <c r="C225" s="381">
        <v>0</v>
      </c>
      <c r="D225" s="381">
        <v>0</v>
      </c>
      <c r="E225" s="381">
        <v>0</v>
      </c>
      <c r="F225" s="381">
        <v>0</v>
      </c>
      <c r="G225" s="381">
        <v>0</v>
      </c>
      <c r="H225" s="381">
        <v>0</v>
      </c>
      <c r="I225" s="381">
        <v>0</v>
      </c>
      <c r="J225" s="381"/>
      <c r="K225" s="381"/>
      <c r="L225" s="381"/>
      <c r="M225" s="381"/>
      <c r="N225" s="381"/>
      <c r="O225" s="381"/>
      <c r="P225" s="562">
        <f t="shared" si="158"/>
        <v>3276244.0885555879</v>
      </c>
      <c r="S225" s="562">
        <f t="shared" si="159"/>
        <v>138621.75169315064</v>
      </c>
      <c r="V225" s="562">
        <f t="shared" si="160"/>
        <v>60759.534021348489</v>
      </c>
      <c r="DH225" s="944">
        <v>0</v>
      </c>
      <c r="DI225" s="944">
        <v>0</v>
      </c>
      <c r="DJ225" s="944"/>
      <c r="DL225" s="381"/>
      <c r="DN225" s="944"/>
      <c r="DO225" s="944"/>
    </row>
    <row r="226" spans="1:119" x14ac:dyDescent="0.2">
      <c r="A226" s="383">
        <v>215</v>
      </c>
      <c r="B226" s="631">
        <v>43040</v>
      </c>
      <c r="C226" s="381">
        <v>0</v>
      </c>
      <c r="D226" s="381">
        <v>0</v>
      </c>
      <c r="E226" s="381">
        <v>0</v>
      </c>
      <c r="F226" s="381">
        <v>0</v>
      </c>
      <c r="G226" s="381">
        <v>0</v>
      </c>
      <c r="H226" s="381">
        <v>0</v>
      </c>
      <c r="I226" s="381">
        <v>0</v>
      </c>
      <c r="J226" s="381"/>
      <c r="K226" s="381"/>
      <c r="L226" s="381"/>
      <c r="M226" s="381"/>
      <c r="N226" s="381"/>
      <c r="O226" s="381"/>
      <c r="P226" s="562">
        <f t="shared" si="158"/>
        <v>3276244.0885555879</v>
      </c>
      <c r="S226" s="562">
        <f t="shared" si="159"/>
        <v>138621.75169315064</v>
      </c>
      <c r="V226" s="562">
        <f t="shared" si="160"/>
        <v>60759.534021348489</v>
      </c>
      <c r="DH226" s="944">
        <v>0</v>
      </c>
      <c r="DI226" s="944">
        <v>0</v>
      </c>
      <c r="DJ226" s="944"/>
      <c r="DL226" s="381"/>
      <c r="DN226" s="944"/>
      <c r="DO226" s="944"/>
    </row>
    <row r="227" spans="1:119" x14ac:dyDescent="0.2">
      <c r="A227" s="383">
        <v>216</v>
      </c>
      <c r="B227" s="631">
        <v>43070</v>
      </c>
      <c r="C227" s="381">
        <v>0</v>
      </c>
      <c r="D227" s="381">
        <v>0</v>
      </c>
      <c r="E227" s="381">
        <v>0</v>
      </c>
      <c r="F227" s="381">
        <v>0</v>
      </c>
      <c r="G227" s="381">
        <v>0</v>
      </c>
      <c r="H227" s="381">
        <v>0</v>
      </c>
      <c r="I227" s="381">
        <v>0</v>
      </c>
      <c r="J227" s="381"/>
      <c r="K227" s="381"/>
      <c r="L227" s="381"/>
      <c r="M227" s="381"/>
      <c r="N227" s="381"/>
      <c r="O227" s="381"/>
      <c r="P227" s="562">
        <f t="shared" si="158"/>
        <v>3276244.0885555879</v>
      </c>
      <c r="S227" s="562">
        <f t="shared" si="159"/>
        <v>138621.75169315064</v>
      </c>
      <c r="V227" s="562">
        <f t="shared" si="160"/>
        <v>60759.534021348489</v>
      </c>
      <c r="DH227" s="944">
        <v>0</v>
      </c>
      <c r="DI227" s="944">
        <v>0</v>
      </c>
      <c r="DJ227" s="944"/>
      <c r="DL227" s="381"/>
      <c r="DN227" s="944"/>
      <c r="DO227" s="944"/>
    </row>
    <row r="228" spans="1:119" x14ac:dyDescent="0.2">
      <c r="A228" s="383">
        <v>217</v>
      </c>
      <c r="B228" s="631">
        <v>43101</v>
      </c>
      <c r="C228" s="381">
        <v>0</v>
      </c>
      <c r="D228" s="381">
        <v>0</v>
      </c>
      <c r="E228" s="381">
        <v>0</v>
      </c>
      <c r="F228" s="381">
        <v>0</v>
      </c>
      <c r="G228" s="381">
        <v>0</v>
      </c>
      <c r="H228" s="381">
        <v>0</v>
      </c>
      <c r="I228" s="381">
        <v>0</v>
      </c>
      <c r="J228" s="381"/>
      <c r="K228" s="381"/>
      <c r="L228" s="381"/>
      <c r="M228" s="381"/>
      <c r="N228" s="381"/>
      <c r="O228" s="381"/>
      <c r="P228" s="562">
        <f t="shared" ref="P228:P239" si="161">(1/0.96)*3177383.6544143</f>
        <v>3309774.6400148966</v>
      </c>
      <c r="S228" s="562">
        <f t="shared" ref="S228:S239" si="162">(1/0.96)*134438.850119461</f>
        <v>140040.46887443852</v>
      </c>
      <c r="V228" s="562">
        <f t="shared" ref="V228:V239" si="163">(1/0.96)*58926.119370543</f>
        <v>61381.374344315584</v>
      </c>
      <c r="DH228" s="944">
        <v>0</v>
      </c>
      <c r="DI228" s="944">
        <v>0</v>
      </c>
      <c r="DJ228" s="944"/>
      <c r="DL228" s="381"/>
      <c r="DN228" s="944"/>
      <c r="DO228" s="944"/>
    </row>
    <row r="229" spans="1:119" x14ac:dyDescent="0.2">
      <c r="A229" s="383">
        <v>218</v>
      </c>
      <c r="B229" s="631">
        <v>43132</v>
      </c>
      <c r="C229" s="381">
        <v>0</v>
      </c>
      <c r="D229" s="381">
        <v>0</v>
      </c>
      <c r="E229" s="381">
        <v>0</v>
      </c>
      <c r="F229" s="381">
        <v>0</v>
      </c>
      <c r="G229" s="381">
        <v>0</v>
      </c>
      <c r="H229" s="381">
        <v>0</v>
      </c>
      <c r="I229" s="381">
        <v>0</v>
      </c>
      <c r="J229" s="381"/>
      <c r="K229" s="381"/>
      <c r="L229" s="381"/>
      <c r="M229" s="381"/>
      <c r="N229" s="381"/>
      <c r="O229" s="381"/>
      <c r="P229" s="562">
        <f t="shared" si="161"/>
        <v>3309774.6400148966</v>
      </c>
      <c r="S229" s="562">
        <f t="shared" si="162"/>
        <v>140040.46887443852</v>
      </c>
      <c r="V229" s="562">
        <f t="shared" si="163"/>
        <v>61381.374344315584</v>
      </c>
      <c r="DH229" s="944">
        <v>0</v>
      </c>
      <c r="DI229" s="944">
        <v>0</v>
      </c>
      <c r="DJ229" s="944"/>
      <c r="DL229" s="381"/>
      <c r="DN229" s="944"/>
      <c r="DO229" s="944"/>
    </row>
    <row r="230" spans="1:119" x14ac:dyDescent="0.2">
      <c r="A230" s="383">
        <v>219</v>
      </c>
      <c r="B230" s="631">
        <v>43160</v>
      </c>
      <c r="C230" s="381">
        <v>0</v>
      </c>
      <c r="D230" s="381">
        <v>0</v>
      </c>
      <c r="E230" s="381">
        <v>0</v>
      </c>
      <c r="F230" s="381">
        <v>0</v>
      </c>
      <c r="G230" s="381">
        <v>0</v>
      </c>
      <c r="H230" s="381">
        <v>0</v>
      </c>
      <c r="I230" s="381">
        <v>0</v>
      </c>
      <c r="J230" s="381"/>
      <c r="K230" s="381"/>
      <c r="L230" s="381"/>
      <c r="M230" s="381"/>
      <c r="N230" s="381"/>
      <c r="O230" s="381"/>
      <c r="P230" s="562">
        <f t="shared" si="161"/>
        <v>3309774.6400148966</v>
      </c>
      <c r="S230" s="562">
        <f t="shared" si="162"/>
        <v>140040.46887443852</v>
      </c>
      <c r="V230" s="562">
        <f t="shared" si="163"/>
        <v>61381.374344315584</v>
      </c>
      <c r="DH230" s="944">
        <v>0</v>
      </c>
      <c r="DI230" s="944">
        <v>0</v>
      </c>
      <c r="DJ230" s="944"/>
      <c r="DL230" s="381"/>
      <c r="DN230" s="944"/>
      <c r="DO230" s="944"/>
    </row>
    <row r="231" spans="1:119" x14ac:dyDescent="0.2">
      <c r="A231" s="383">
        <v>220</v>
      </c>
      <c r="B231" s="631">
        <v>43191</v>
      </c>
      <c r="C231" s="381">
        <v>0</v>
      </c>
      <c r="D231" s="381">
        <v>0</v>
      </c>
      <c r="E231" s="381">
        <v>0</v>
      </c>
      <c r="F231" s="381">
        <v>0</v>
      </c>
      <c r="G231" s="381">
        <v>0</v>
      </c>
      <c r="H231" s="381">
        <v>0</v>
      </c>
      <c r="I231" s="381">
        <v>0</v>
      </c>
      <c r="J231" s="381"/>
      <c r="K231" s="381"/>
      <c r="L231" s="381"/>
      <c r="M231" s="381"/>
      <c r="N231" s="381"/>
      <c r="O231" s="381"/>
      <c r="P231" s="562">
        <f t="shared" si="161"/>
        <v>3309774.6400148966</v>
      </c>
      <c r="S231" s="562">
        <f t="shared" si="162"/>
        <v>140040.46887443852</v>
      </c>
      <c r="V231" s="562">
        <f t="shared" si="163"/>
        <v>61381.374344315584</v>
      </c>
      <c r="DH231" s="944">
        <v>0</v>
      </c>
      <c r="DI231" s="944">
        <v>0</v>
      </c>
      <c r="DJ231" s="944"/>
      <c r="DL231" s="381"/>
      <c r="DN231" s="944"/>
      <c r="DO231" s="944"/>
    </row>
    <row r="232" spans="1:119" x14ac:dyDescent="0.2">
      <c r="A232" s="383">
        <v>221</v>
      </c>
      <c r="B232" s="631">
        <v>43221</v>
      </c>
      <c r="C232" s="381">
        <v>0</v>
      </c>
      <c r="D232" s="381">
        <v>0</v>
      </c>
      <c r="E232" s="381">
        <v>0</v>
      </c>
      <c r="F232" s="381">
        <v>0</v>
      </c>
      <c r="G232" s="381">
        <v>0</v>
      </c>
      <c r="H232" s="381">
        <v>0</v>
      </c>
      <c r="I232" s="381">
        <v>0</v>
      </c>
      <c r="J232" s="381"/>
      <c r="K232" s="381"/>
      <c r="L232" s="381"/>
      <c r="M232" s="381"/>
      <c r="N232" s="381"/>
      <c r="O232" s="381"/>
      <c r="P232" s="562">
        <f t="shared" si="161"/>
        <v>3309774.6400148966</v>
      </c>
      <c r="S232" s="562">
        <f t="shared" si="162"/>
        <v>140040.46887443852</v>
      </c>
      <c r="V232" s="562">
        <f t="shared" si="163"/>
        <v>61381.374344315584</v>
      </c>
      <c r="DH232" s="944">
        <v>0</v>
      </c>
      <c r="DI232" s="944">
        <v>0</v>
      </c>
      <c r="DJ232" s="944"/>
      <c r="DL232" s="381"/>
      <c r="DN232" s="944"/>
      <c r="DO232" s="944"/>
    </row>
    <row r="233" spans="1:119" x14ac:dyDescent="0.2">
      <c r="A233" s="383">
        <v>222</v>
      </c>
      <c r="B233" s="631">
        <v>43252</v>
      </c>
      <c r="C233" s="381">
        <v>0</v>
      </c>
      <c r="D233" s="381">
        <v>0</v>
      </c>
      <c r="E233" s="381">
        <v>0</v>
      </c>
      <c r="F233" s="381">
        <v>0</v>
      </c>
      <c r="G233" s="381">
        <v>0</v>
      </c>
      <c r="H233" s="381">
        <v>0</v>
      </c>
      <c r="I233" s="381">
        <v>0</v>
      </c>
      <c r="J233" s="381"/>
      <c r="K233" s="381"/>
      <c r="L233" s="381"/>
      <c r="M233" s="381"/>
      <c r="N233" s="381"/>
      <c r="O233" s="381"/>
      <c r="P233" s="562">
        <f t="shared" si="161"/>
        <v>3309774.6400148966</v>
      </c>
      <c r="S233" s="562">
        <f t="shared" si="162"/>
        <v>140040.46887443852</v>
      </c>
      <c r="V233" s="562">
        <f t="shared" si="163"/>
        <v>61381.374344315584</v>
      </c>
      <c r="DH233" s="944">
        <v>0</v>
      </c>
      <c r="DI233" s="944">
        <v>0</v>
      </c>
      <c r="DJ233" s="944"/>
      <c r="DL233" s="381"/>
      <c r="DN233" s="944"/>
      <c r="DO233" s="944"/>
    </row>
    <row r="234" spans="1:119" x14ac:dyDescent="0.2">
      <c r="A234" s="383">
        <v>223</v>
      </c>
      <c r="B234" s="631">
        <v>43282</v>
      </c>
      <c r="C234" s="381">
        <v>0</v>
      </c>
      <c r="D234" s="381">
        <v>0</v>
      </c>
      <c r="E234" s="381">
        <v>0</v>
      </c>
      <c r="F234" s="381">
        <v>0</v>
      </c>
      <c r="G234" s="381">
        <v>0</v>
      </c>
      <c r="H234" s="381">
        <v>0</v>
      </c>
      <c r="I234" s="381">
        <v>0</v>
      </c>
      <c r="J234" s="381"/>
      <c r="K234" s="381"/>
      <c r="L234" s="381"/>
      <c r="M234" s="381"/>
      <c r="N234" s="381"/>
      <c r="O234" s="381"/>
      <c r="P234" s="562">
        <f t="shared" si="161"/>
        <v>3309774.6400148966</v>
      </c>
      <c r="S234" s="562">
        <f t="shared" si="162"/>
        <v>140040.46887443852</v>
      </c>
      <c r="V234" s="562">
        <f t="shared" si="163"/>
        <v>61381.374344315584</v>
      </c>
      <c r="DH234" s="944">
        <v>0</v>
      </c>
      <c r="DI234" s="944">
        <v>0</v>
      </c>
      <c r="DJ234" s="944"/>
      <c r="DL234" s="381"/>
      <c r="DN234" s="944"/>
      <c r="DO234" s="944"/>
    </row>
    <row r="235" spans="1:119" x14ac:dyDescent="0.2">
      <c r="A235" s="383">
        <v>224</v>
      </c>
      <c r="B235" s="631">
        <v>43313</v>
      </c>
      <c r="C235" s="381">
        <v>0</v>
      </c>
      <c r="D235" s="381">
        <v>0</v>
      </c>
      <c r="E235" s="381">
        <v>0</v>
      </c>
      <c r="F235" s="381">
        <v>0</v>
      </c>
      <c r="G235" s="381">
        <v>0</v>
      </c>
      <c r="H235" s="381">
        <v>0</v>
      </c>
      <c r="I235" s="381">
        <v>0</v>
      </c>
      <c r="J235" s="381"/>
      <c r="K235" s="381"/>
      <c r="L235" s="381"/>
      <c r="M235" s="381"/>
      <c r="N235" s="381"/>
      <c r="O235" s="381"/>
      <c r="P235" s="562">
        <f t="shared" si="161"/>
        <v>3309774.6400148966</v>
      </c>
      <c r="S235" s="562">
        <f t="shared" si="162"/>
        <v>140040.46887443852</v>
      </c>
      <c r="V235" s="562">
        <f t="shared" si="163"/>
        <v>61381.374344315584</v>
      </c>
      <c r="DH235" s="944">
        <v>0</v>
      </c>
      <c r="DI235" s="944">
        <v>0</v>
      </c>
      <c r="DJ235" s="944"/>
      <c r="DL235" s="381"/>
      <c r="DN235" s="944"/>
      <c r="DO235" s="944"/>
    </row>
    <row r="236" spans="1:119" x14ac:dyDescent="0.2">
      <c r="A236" s="383">
        <v>225</v>
      </c>
      <c r="B236" s="631">
        <v>43344</v>
      </c>
      <c r="C236" s="381">
        <v>0</v>
      </c>
      <c r="D236" s="381">
        <v>0</v>
      </c>
      <c r="E236" s="381">
        <v>0</v>
      </c>
      <c r="F236" s="381">
        <v>0</v>
      </c>
      <c r="G236" s="381">
        <v>0</v>
      </c>
      <c r="H236" s="381">
        <v>0</v>
      </c>
      <c r="I236" s="381">
        <v>0</v>
      </c>
      <c r="J236" s="381"/>
      <c r="K236" s="381"/>
      <c r="L236" s="381"/>
      <c r="M236" s="381"/>
      <c r="N236" s="381"/>
      <c r="O236" s="381"/>
      <c r="P236" s="562">
        <f t="shared" si="161"/>
        <v>3309774.6400148966</v>
      </c>
      <c r="S236" s="562">
        <f t="shared" si="162"/>
        <v>140040.46887443852</v>
      </c>
      <c r="V236" s="562">
        <f t="shared" si="163"/>
        <v>61381.374344315584</v>
      </c>
      <c r="DH236" s="944">
        <v>0</v>
      </c>
      <c r="DI236" s="944">
        <v>0</v>
      </c>
      <c r="DJ236" s="944"/>
      <c r="DL236" s="381"/>
      <c r="DN236" s="944"/>
      <c r="DO236" s="944"/>
    </row>
    <row r="237" spans="1:119" x14ac:dyDescent="0.2">
      <c r="A237" s="383">
        <v>226</v>
      </c>
      <c r="B237" s="631">
        <v>43374</v>
      </c>
      <c r="C237" s="381">
        <v>0</v>
      </c>
      <c r="D237" s="381">
        <v>0</v>
      </c>
      <c r="E237" s="381">
        <v>0</v>
      </c>
      <c r="F237" s="381">
        <v>0</v>
      </c>
      <c r="G237" s="381">
        <v>0</v>
      </c>
      <c r="H237" s="381">
        <v>0</v>
      </c>
      <c r="I237" s="381">
        <v>0</v>
      </c>
      <c r="J237" s="381"/>
      <c r="K237" s="381"/>
      <c r="L237" s="381"/>
      <c r="M237" s="381"/>
      <c r="N237" s="381"/>
      <c r="O237" s="381"/>
      <c r="P237" s="562">
        <f t="shared" si="161"/>
        <v>3309774.6400148966</v>
      </c>
      <c r="S237" s="562">
        <f t="shared" si="162"/>
        <v>140040.46887443852</v>
      </c>
      <c r="V237" s="562">
        <f t="shared" si="163"/>
        <v>61381.374344315584</v>
      </c>
      <c r="DH237" s="944">
        <v>0</v>
      </c>
      <c r="DI237" s="944">
        <v>0</v>
      </c>
      <c r="DJ237" s="944"/>
      <c r="DL237" s="381"/>
      <c r="DN237" s="944"/>
      <c r="DO237" s="944"/>
    </row>
    <row r="238" spans="1:119" x14ac:dyDescent="0.2">
      <c r="A238" s="383">
        <v>227</v>
      </c>
      <c r="B238" s="631">
        <v>43405</v>
      </c>
      <c r="C238" s="381">
        <v>0</v>
      </c>
      <c r="D238" s="381">
        <v>0</v>
      </c>
      <c r="E238" s="381">
        <v>0</v>
      </c>
      <c r="F238" s="381">
        <v>0</v>
      </c>
      <c r="G238" s="381">
        <v>0</v>
      </c>
      <c r="H238" s="381">
        <v>0</v>
      </c>
      <c r="I238" s="381">
        <v>0</v>
      </c>
      <c r="J238" s="381"/>
      <c r="K238" s="381"/>
      <c r="L238" s="381"/>
      <c r="M238" s="381"/>
      <c r="N238" s="381"/>
      <c r="O238" s="381"/>
      <c r="P238" s="562">
        <f t="shared" si="161"/>
        <v>3309774.6400148966</v>
      </c>
      <c r="S238" s="562">
        <f t="shared" si="162"/>
        <v>140040.46887443852</v>
      </c>
      <c r="V238" s="562">
        <f t="shared" si="163"/>
        <v>61381.374344315584</v>
      </c>
      <c r="DH238" s="944">
        <v>0</v>
      </c>
      <c r="DI238" s="944">
        <v>0</v>
      </c>
      <c r="DJ238" s="944"/>
      <c r="DL238" s="381"/>
      <c r="DN238" s="944"/>
      <c r="DO238" s="944"/>
    </row>
    <row r="239" spans="1:119" x14ac:dyDescent="0.2">
      <c r="A239" s="383">
        <v>228</v>
      </c>
      <c r="B239" s="631">
        <v>43435</v>
      </c>
      <c r="C239" s="381">
        <v>0</v>
      </c>
      <c r="D239" s="381">
        <v>0</v>
      </c>
      <c r="E239" s="381">
        <v>0</v>
      </c>
      <c r="F239" s="381">
        <v>0</v>
      </c>
      <c r="G239" s="381">
        <v>0</v>
      </c>
      <c r="H239" s="381">
        <v>0</v>
      </c>
      <c r="I239" s="381">
        <v>0</v>
      </c>
      <c r="J239" s="381"/>
      <c r="K239" s="381"/>
      <c r="L239" s="381"/>
      <c r="M239" s="381"/>
      <c r="N239" s="381"/>
      <c r="O239" s="381"/>
      <c r="P239" s="562">
        <f t="shared" si="161"/>
        <v>3309774.6400148966</v>
      </c>
      <c r="S239" s="562">
        <f t="shared" si="162"/>
        <v>140040.46887443852</v>
      </c>
      <c r="V239" s="562">
        <f t="shared" si="163"/>
        <v>61381.374344315584</v>
      </c>
      <c r="DH239" s="944">
        <v>0</v>
      </c>
      <c r="DI239" s="944">
        <v>0</v>
      </c>
      <c r="DJ239" s="944"/>
      <c r="DL239" s="381"/>
      <c r="DN239" s="944"/>
      <c r="DO239" s="944"/>
    </row>
    <row r="240" spans="1:119" x14ac:dyDescent="0.2">
      <c r="A240" s="383">
        <v>229</v>
      </c>
      <c r="B240" s="631">
        <v>43466</v>
      </c>
      <c r="C240" s="381">
        <v>0</v>
      </c>
      <c r="D240" s="381">
        <v>0</v>
      </c>
      <c r="E240" s="381">
        <v>0</v>
      </c>
      <c r="F240" s="381">
        <v>0</v>
      </c>
      <c r="G240" s="381">
        <v>0</v>
      </c>
      <c r="H240" s="381">
        <v>0</v>
      </c>
      <c r="I240" s="381">
        <v>0</v>
      </c>
      <c r="J240" s="381"/>
      <c r="K240" s="381"/>
      <c r="L240" s="381"/>
      <c r="M240" s="381"/>
      <c r="N240" s="381"/>
      <c r="O240" s="381"/>
      <c r="P240" s="562">
        <f t="shared" ref="P240:P251" si="164">(1/0.96)*3209943.16110335</f>
        <v>3343690.792815987</v>
      </c>
      <c r="S240" s="562">
        <f t="shared" ref="S240:S251" si="165">(1/0.96)*135816.481251179</f>
        <v>141475.5013033112</v>
      </c>
      <c r="V240" s="562">
        <f t="shared" ref="V240:V251" si="166">(1/0.96)*59529.9511977569</f>
        <v>62010.365830996787</v>
      </c>
      <c r="DH240" s="944">
        <v>0</v>
      </c>
      <c r="DI240" s="944">
        <v>0</v>
      </c>
      <c r="DJ240" s="944"/>
      <c r="DL240" s="381"/>
      <c r="DN240" s="944"/>
      <c r="DO240" s="944"/>
    </row>
    <row r="241" spans="1:119" x14ac:dyDescent="0.2">
      <c r="A241" s="383">
        <v>230</v>
      </c>
      <c r="B241" s="631">
        <v>43497</v>
      </c>
      <c r="C241" s="381">
        <v>0</v>
      </c>
      <c r="D241" s="381">
        <v>0</v>
      </c>
      <c r="E241" s="381">
        <v>0</v>
      </c>
      <c r="F241" s="381">
        <v>0</v>
      </c>
      <c r="G241" s="381">
        <v>0</v>
      </c>
      <c r="H241" s="381">
        <v>0</v>
      </c>
      <c r="I241" s="381">
        <v>0</v>
      </c>
      <c r="J241" s="381"/>
      <c r="K241" s="381"/>
      <c r="L241" s="381"/>
      <c r="M241" s="381"/>
      <c r="N241" s="381"/>
      <c r="O241" s="381"/>
      <c r="P241" s="562">
        <f t="shared" si="164"/>
        <v>3343690.792815987</v>
      </c>
      <c r="S241" s="562">
        <f t="shared" si="165"/>
        <v>141475.5013033112</v>
      </c>
      <c r="V241" s="562">
        <f t="shared" si="166"/>
        <v>62010.365830996787</v>
      </c>
      <c r="DH241" s="944">
        <v>0</v>
      </c>
      <c r="DI241" s="944">
        <v>0</v>
      </c>
      <c r="DJ241" s="944"/>
      <c r="DL241" s="381"/>
      <c r="DN241" s="944"/>
      <c r="DO241" s="944"/>
    </row>
    <row r="242" spans="1:119" x14ac:dyDescent="0.2">
      <c r="A242" s="383">
        <v>231</v>
      </c>
      <c r="B242" s="631">
        <v>43525</v>
      </c>
      <c r="C242" s="381">
        <v>0</v>
      </c>
      <c r="D242" s="381">
        <v>0</v>
      </c>
      <c r="E242" s="381">
        <v>0</v>
      </c>
      <c r="F242" s="381">
        <v>0</v>
      </c>
      <c r="G242" s="381">
        <v>0</v>
      </c>
      <c r="H242" s="381">
        <v>0</v>
      </c>
      <c r="I242" s="381">
        <v>0</v>
      </c>
      <c r="J242" s="381"/>
      <c r="K242" s="381"/>
      <c r="L242" s="381"/>
      <c r="M242" s="381"/>
      <c r="N242" s="381"/>
      <c r="O242" s="381"/>
      <c r="P242" s="562">
        <f t="shared" si="164"/>
        <v>3343690.792815987</v>
      </c>
      <c r="S242" s="562">
        <f t="shared" si="165"/>
        <v>141475.5013033112</v>
      </c>
      <c r="V242" s="562">
        <f t="shared" si="166"/>
        <v>62010.365830996787</v>
      </c>
      <c r="DH242" s="944">
        <v>0</v>
      </c>
      <c r="DI242" s="944">
        <v>0</v>
      </c>
      <c r="DJ242" s="944"/>
      <c r="DL242" s="381"/>
      <c r="DN242" s="944"/>
      <c r="DO242" s="944"/>
    </row>
    <row r="243" spans="1:119" x14ac:dyDescent="0.2">
      <c r="A243" s="383">
        <v>232</v>
      </c>
      <c r="B243" s="631">
        <v>43556</v>
      </c>
      <c r="C243" s="381">
        <v>0</v>
      </c>
      <c r="D243" s="381">
        <v>0</v>
      </c>
      <c r="E243" s="381">
        <v>0</v>
      </c>
      <c r="F243" s="381">
        <v>0</v>
      </c>
      <c r="G243" s="381">
        <v>0</v>
      </c>
      <c r="H243" s="381">
        <v>0</v>
      </c>
      <c r="I243" s="381">
        <v>0</v>
      </c>
      <c r="J243" s="381"/>
      <c r="K243" s="381"/>
      <c r="L243" s="381"/>
      <c r="M243" s="381"/>
      <c r="N243" s="381"/>
      <c r="O243" s="381"/>
      <c r="P243" s="562">
        <f t="shared" si="164"/>
        <v>3343690.792815987</v>
      </c>
      <c r="S243" s="562">
        <f t="shared" si="165"/>
        <v>141475.5013033112</v>
      </c>
      <c r="V243" s="562">
        <f t="shared" si="166"/>
        <v>62010.365830996787</v>
      </c>
      <c r="DH243" s="944">
        <v>0</v>
      </c>
      <c r="DI243" s="944">
        <v>0</v>
      </c>
      <c r="DJ243" s="944"/>
      <c r="DL243" s="381"/>
      <c r="DN243" s="944"/>
      <c r="DO243" s="944"/>
    </row>
    <row r="244" spans="1:119" x14ac:dyDescent="0.2">
      <c r="A244" s="383">
        <v>233</v>
      </c>
      <c r="B244" s="631">
        <v>43586</v>
      </c>
      <c r="C244" s="381">
        <v>0</v>
      </c>
      <c r="D244" s="381">
        <v>0</v>
      </c>
      <c r="E244" s="381">
        <v>0</v>
      </c>
      <c r="F244" s="381">
        <v>0</v>
      </c>
      <c r="G244" s="381">
        <v>0</v>
      </c>
      <c r="H244" s="381">
        <v>0</v>
      </c>
      <c r="I244" s="381">
        <v>0</v>
      </c>
      <c r="J244" s="381"/>
      <c r="K244" s="381"/>
      <c r="L244" s="381"/>
      <c r="M244" s="381"/>
      <c r="N244" s="381"/>
      <c r="O244" s="381"/>
      <c r="P244" s="562">
        <f t="shared" si="164"/>
        <v>3343690.792815987</v>
      </c>
      <c r="S244" s="562">
        <f t="shared" si="165"/>
        <v>141475.5013033112</v>
      </c>
      <c r="V244" s="562">
        <f t="shared" si="166"/>
        <v>62010.365830996787</v>
      </c>
      <c r="DH244" s="944">
        <v>0</v>
      </c>
      <c r="DI244" s="944">
        <v>0</v>
      </c>
      <c r="DJ244" s="944"/>
      <c r="DL244" s="381"/>
      <c r="DN244" s="944"/>
      <c r="DO244" s="944"/>
    </row>
    <row r="245" spans="1:119" x14ac:dyDescent="0.2">
      <c r="A245" s="383">
        <v>234</v>
      </c>
      <c r="B245" s="631">
        <v>43617</v>
      </c>
      <c r="C245" s="381">
        <v>0</v>
      </c>
      <c r="D245" s="381">
        <v>0</v>
      </c>
      <c r="E245" s="381">
        <v>0</v>
      </c>
      <c r="F245" s="381">
        <v>0</v>
      </c>
      <c r="G245" s="381">
        <v>0</v>
      </c>
      <c r="H245" s="381">
        <v>0</v>
      </c>
      <c r="I245" s="381">
        <v>0</v>
      </c>
      <c r="J245" s="381"/>
      <c r="K245" s="381"/>
      <c r="L245" s="381"/>
      <c r="M245" s="381"/>
      <c r="N245" s="381"/>
      <c r="O245" s="381"/>
      <c r="P245" s="562">
        <f t="shared" si="164"/>
        <v>3343690.792815987</v>
      </c>
      <c r="S245" s="562">
        <f t="shared" si="165"/>
        <v>141475.5013033112</v>
      </c>
      <c r="V245" s="562">
        <f t="shared" si="166"/>
        <v>62010.365830996787</v>
      </c>
      <c r="DH245" s="944">
        <v>0</v>
      </c>
      <c r="DI245" s="944">
        <v>0</v>
      </c>
      <c r="DJ245" s="944"/>
      <c r="DL245" s="381"/>
      <c r="DN245" s="944"/>
      <c r="DO245" s="944"/>
    </row>
    <row r="246" spans="1:119" x14ac:dyDescent="0.2">
      <c r="A246" s="383">
        <v>235</v>
      </c>
      <c r="B246" s="631">
        <v>43647</v>
      </c>
      <c r="C246" s="381">
        <v>0</v>
      </c>
      <c r="D246" s="381">
        <v>0</v>
      </c>
      <c r="E246" s="381">
        <v>0</v>
      </c>
      <c r="F246" s="381">
        <v>0</v>
      </c>
      <c r="G246" s="381">
        <v>0</v>
      </c>
      <c r="H246" s="381">
        <v>0</v>
      </c>
      <c r="I246" s="381">
        <v>0</v>
      </c>
      <c r="J246" s="381"/>
      <c r="K246" s="381"/>
      <c r="L246" s="381"/>
      <c r="M246" s="381"/>
      <c r="N246" s="381"/>
      <c r="O246" s="381"/>
      <c r="P246" s="562">
        <f t="shared" si="164"/>
        <v>3343690.792815987</v>
      </c>
      <c r="S246" s="562">
        <f t="shared" si="165"/>
        <v>141475.5013033112</v>
      </c>
      <c r="V246" s="562">
        <f t="shared" si="166"/>
        <v>62010.365830996787</v>
      </c>
      <c r="DH246" s="944">
        <v>0</v>
      </c>
      <c r="DI246" s="944">
        <v>0</v>
      </c>
      <c r="DJ246" s="944"/>
      <c r="DL246" s="381"/>
      <c r="DN246" s="944"/>
      <c r="DO246" s="944"/>
    </row>
    <row r="247" spans="1:119" x14ac:dyDescent="0.2">
      <c r="A247" s="383">
        <v>236</v>
      </c>
      <c r="B247" s="631">
        <v>43678</v>
      </c>
      <c r="C247" s="381">
        <v>0</v>
      </c>
      <c r="D247" s="381">
        <v>0</v>
      </c>
      <c r="E247" s="381">
        <v>0</v>
      </c>
      <c r="F247" s="381">
        <v>0</v>
      </c>
      <c r="G247" s="381">
        <v>0</v>
      </c>
      <c r="H247" s="381">
        <v>0</v>
      </c>
      <c r="I247" s="381">
        <v>0</v>
      </c>
      <c r="J247" s="381"/>
      <c r="K247" s="381"/>
      <c r="L247" s="381"/>
      <c r="M247" s="381"/>
      <c r="N247" s="381"/>
      <c r="O247" s="381"/>
      <c r="P247" s="562">
        <f t="shared" si="164"/>
        <v>3343690.792815987</v>
      </c>
      <c r="S247" s="562">
        <f t="shared" si="165"/>
        <v>141475.5013033112</v>
      </c>
      <c r="V247" s="562">
        <f t="shared" si="166"/>
        <v>62010.365830996787</v>
      </c>
      <c r="DH247" s="944">
        <v>0</v>
      </c>
      <c r="DI247" s="944">
        <v>0</v>
      </c>
      <c r="DJ247" s="944"/>
      <c r="DL247" s="381"/>
      <c r="DN247" s="944"/>
      <c r="DO247" s="944"/>
    </row>
    <row r="248" spans="1:119" x14ac:dyDescent="0.2">
      <c r="A248" s="383">
        <v>237</v>
      </c>
      <c r="B248" s="631">
        <v>43709</v>
      </c>
      <c r="C248" s="381">
        <v>0</v>
      </c>
      <c r="D248" s="381">
        <v>0</v>
      </c>
      <c r="E248" s="381">
        <v>0</v>
      </c>
      <c r="F248" s="381">
        <v>0</v>
      </c>
      <c r="G248" s="381">
        <v>0</v>
      </c>
      <c r="H248" s="381">
        <v>0</v>
      </c>
      <c r="I248" s="381">
        <v>0</v>
      </c>
      <c r="J248" s="381"/>
      <c r="K248" s="381"/>
      <c r="L248" s="381"/>
      <c r="M248" s="381"/>
      <c r="N248" s="381"/>
      <c r="O248" s="381"/>
      <c r="P248" s="562">
        <f t="shared" si="164"/>
        <v>3343690.792815987</v>
      </c>
      <c r="S248" s="562">
        <f t="shared" si="165"/>
        <v>141475.5013033112</v>
      </c>
      <c r="V248" s="562">
        <f t="shared" si="166"/>
        <v>62010.365830996787</v>
      </c>
      <c r="DH248" s="944">
        <v>0</v>
      </c>
      <c r="DI248" s="944">
        <v>0</v>
      </c>
      <c r="DJ248" s="944"/>
      <c r="DL248" s="381"/>
      <c r="DN248" s="944"/>
      <c r="DO248" s="944"/>
    </row>
    <row r="249" spans="1:119" x14ac:dyDescent="0.2">
      <c r="A249" s="383">
        <v>238</v>
      </c>
      <c r="B249" s="631">
        <v>43739</v>
      </c>
      <c r="C249" s="381">
        <v>0</v>
      </c>
      <c r="D249" s="381">
        <v>0</v>
      </c>
      <c r="E249" s="381">
        <v>0</v>
      </c>
      <c r="F249" s="381">
        <v>0</v>
      </c>
      <c r="G249" s="381">
        <v>0</v>
      </c>
      <c r="H249" s="381">
        <v>0</v>
      </c>
      <c r="I249" s="381">
        <v>0</v>
      </c>
      <c r="J249" s="381"/>
      <c r="K249" s="381"/>
      <c r="L249" s="381"/>
      <c r="M249" s="381"/>
      <c r="N249" s="381"/>
      <c r="O249" s="381"/>
      <c r="P249" s="562">
        <f t="shared" si="164"/>
        <v>3343690.792815987</v>
      </c>
      <c r="S249" s="562">
        <f t="shared" si="165"/>
        <v>141475.5013033112</v>
      </c>
      <c r="V249" s="562">
        <f t="shared" si="166"/>
        <v>62010.365830996787</v>
      </c>
      <c r="DH249" s="944">
        <v>0</v>
      </c>
      <c r="DI249" s="944">
        <v>0</v>
      </c>
      <c r="DJ249" s="944"/>
      <c r="DL249" s="381"/>
      <c r="DN249" s="944"/>
      <c r="DO249" s="944"/>
    </row>
    <row r="250" spans="1:119" x14ac:dyDescent="0.2">
      <c r="A250" s="383">
        <v>239</v>
      </c>
      <c r="B250" s="631">
        <v>43770</v>
      </c>
      <c r="C250" s="381">
        <v>0</v>
      </c>
      <c r="D250" s="381">
        <v>0</v>
      </c>
      <c r="E250" s="381">
        <v>0</v>
      </c>
      <c r="F250" s="381">
        <v>0</v>
      </c>
      <c r="G250" s="381">
        <v>0</v>
      </c>
      <c r="H250" s="381">
        <v>0</v>
      </c>
      <c r="I250" s="381">
        <v>0</v>
      </c>
      <c r="J250" s="381"/>
      <c r="K250" s="381"/>
      <c r="L250" s="381"/>
      <c r="M250" s="381"/>
      <c r="N250" s="381"/>
      <c r="O250" s="381"/>
      <c r="P250" s="562">
        <f t="shared" si="164"/>
        <v>3343690.792815987</v>
      </c>
      <c r="S250" s="562">
        <f t="shared" si="165"/>
        <v>141475.5013033112</v>
      </c>
      <c r="V250" s="562">
        <f t="shared" si="166"/>
        <v>62010.365830996787</v>
      </c>
      <c r="DH250" s="944">
        <v>0</v>
      </c>
      <c r="DI250" s="944">
        <v>0</v>
      </c>
      <c r="DJ250" s="944"/>
      <c r="DL250" s="381"/>
      <c r="DN250" s="944"/>
      <c r="DO250" s="944"/>
    </row>
    <row r="251" spans="1:119" x14ac:dyDescent="0.2">
      <c r="A251" s="383">
        <v>240</v>
      </c>
      <c r="B251" s="631">
        <v>43800</v>
      </c>
      <c r="C251" s="381">
        <v>0</v>
      </c>
      <c r="D251" s="381">
        <v>0</v>
      </c>
      <c r="E251" s="381">
        <v>0</v>
      </c>
      <c r="F251" s="381">
        <v>0</v>
      </c>
      <c r="G251" s="381">
        <v>0</v>
      </c>
      <c r="H251" s="381">
        <v>0</v>
      </c>
      <c r="I251" s="381">
        <v>0</v>
      </c>
      <c r="J251" s="381"/>
      <c r="K251" s="381"/>
      <c r="L251" s="381"/>
      <c r="M251" s="381"/>
      <c r="N251" s="381"/>
      <c r="O251" s="381"/>
      <c r="P251" s="562">
        <f t="shared" si="164"/>
        <v>3343690.792815987</v>
      </c>
      <c r="S251" s="562">
        <f t="shared" si="165"/>
        <v>141475.5013033112</v>
      </c>
      <c r="V251" s="562">
        <f t="shared" si="166"/>
        <v>62010.365830996787</v>
      </c>
      <c r="DH251" s="944">
        <v>0</v>
      </c>
      <c r="DI251" s="944">
        <v>0</v>
      </c>
      <c r="DJ251" s="944"/>
      <c r="DL251" s="381"/>
      <c r="DN251" s="944"/>
      <c r="DO251" s="944"/>
    </row>
    <row r="252" spans="1:119" x14ac:dyDescent="0.2">
      <c r="A252" s="383">
        <v>241</v>
      </c>
      <c r="B252" s="631">
        <v>43831</v>
      </c>
      <c r="C252" s="381">
        <v>0</v>
      </c>
      <c r="D252" s="381">
        <v>0</v>
      </c>
      <c r="E252" s="381">
        <v>0</v>
      </c>
      <c r="F252" s="381">
        <v>0</v>
      </c>
      <c r="G252" s="381">
        <v>0</v>
      </c>
      <c r="H252" s="381">
        <v>0</v>
      </c>
      <c r="I252" s="381">
        <v>0</v>
      </c>
      <c r="J252" s="381"/>
      <c r="K252" s="381"/>
      <c r="L252" s="381"/>
      <c r="M252" s="381"/>
      <c r="N252" s="381"/>
      <c r="O252" s="381"/>
      <c r="DH252" s="944">
        <v>0</v>
      </c>
      <c r="DI252" s="944">
        <v>0</v>
      </c>
      <c r="DJ252" s="944"/>
      <c r="DL252" s="381"/>
      <c r="DN252" s="944"/>
      <c r="DO252" s="944"/>
    </row>
    <row r="253" spans="1:119" x14ac:dyDescent="0.2">
      <c r="A253" s="383">
        <v>242</v>
      </c>
      <c r="B253" s="631">
        <v>43862</v>
      </c>
      <c r="C253" s="381">
        <v>0</v>
      </c>
      <c r="D253" s="381">
        <v>0</v>
      </c>
      <c r="E253" s="381">
        <v>0</v>
      </c>
      <c r="F253" s="381">
        <v>0</v>
      </c>
      <c r="G253" s="381">
        <v>0</v>
      </c>
      <c r="H253" s="381">
        <v>0</v>
      </c>
      <c r="I253" s="381">
        <v>0</v>
      </c>
      <c r="J253" s="381"/>
      <c r="K253" s="381"/>
      <c r="L253" s="381"/>
      <c r="M253" s="381"/>
      <c r="N253" s="381"/>
      <c r="O253" s="381"/>
      <c r="DH253" s="944">
        <v>0</v>
      </c>
      <c r="DI253" s="944">
        <v>0</v>
      </c>
      <c r="DJ253" s="944"/>
      <c r="DL253" s="381"/>
      <c r="DN253" s="944"/>
      <c r="DO253" s="944"/>
    </row>
    <row r="254" spans="1:119" x14ac:dyDescent="0.2">
      <c r="A254" s="383">
        <v>243</v>
      </c>
      <c r="B254" s="631">
        <v>43891</v>
      </c>
      <c r="C254" s="381">
        <v>0</v>
      </c>
      <c r="D254" s="381">
        <v>0</v>
      </c>
      <c r="E254" s="381">
        <v>0</v>
      </c>
      <c r="F254" s="381">
        <v>0</v>
      </c>
      <c r="G254" s="381">
        <v>0</v>
      </c>
      <c r="H254" s="381">
        <v>0</v>
      </c>
      <c r="I254" s="381">
        <v>0</v>
      </c>
      <c r="J254" s="381"/>
      <c r="K254" s="381"/>
      <c r="L254" s="381"/>
      <c r="M254" s="381"/>
      <c r="N254" s="381"/>
      <c r="O254" s="381"/>
      <c r="DH254" s="944">
        <v>0</v>
      </c>
      <c r="DI254" s="944">
        <v>0</v>
      </c>
      <c r="DJ254" s="944"/>
      <c r="DL254" s="381"/>
      <c r="DN254" s="944"/>
      <c r="DO254" s="944"/>
    </row>
    <row r="255" spans="1:119" x14ac:dyDescent="0.2">
      <c r="A255" s="383">
        <v>244</v>
      </c>
      <c r="B255" s="631">
        <v>43922</v>
      </c>
      <c r="C255" s="381">
        <v>0</v>
      </c>
      <c r="D255" s="381">
        <v>0</v>
      </c>
      <c r="E255" s="381">
        <v>0</v>
      </c>
      <c r="F255" s="381">
        <v>0</v>
      </c>
      <c r="G255" s="381">
        <v>0</v>
      </c>
      <c r="H255" s="381">
        <v>0</v>
      </c>
      <c r="I255" s="381">
        <v>0</v>
      </c>
      <c r="J255" s="381"/>
      <c r="K255" s="381"/>
      <c r="L255" s="381"/>
      <c r="M255" s="381"/>
      <c r="N255" s="381"/>
      <c r="O255" s="381"/>
      <c r="DH255" s="944">
        <v>0</v>
      </c>
      <c r="DI255" s="944">
        <v>0</v>
      </c>
      <c r="DJ255" s="944"/>
      <c r="DL255" s="381"/>
      <c r="DN255" s="944"/>
      <c r="DO255" s="944"/>
    </row>
    <row r="256" spans="1:119" x14ac:dyDescent="0.2">
      <c r="A256" s="383">
        <v>245</v>
      </c>
      <c r="B256" s="631">
        <v>43952</v>
      </c>
      <c r="C256" s="381">
        <v>0</v>
      </c>
      <c r="D256" s="381">
        <v>0</v>
      </c>
      <c r="E256" s="381">
        <v>0</v>
      </c>
      <c r="F256" s="381">
        <v>0</v>
      </c>
      <c r="G256" s="381">
        <v>0</v>
      </c>
      <c r="H256" s="381">
        <v>0</v>
      </c>
      <c r="I256" s="381">
        <v>0</v>
      </c>
      <c r="J256" s="381"/>
      <c r="K256" s="381"/>
      <c r="L256" s="381"/>
      <c r="M256" s="381"/>
      <c r="N256" s="381"/>
      <c r="O256" s="381"/>
      <c r="DH256" s="944">
        <v>0</v>
      </c>
      <c r="DI256" s="944">
        <v>0</v>
      </c>
      <c r="DJ256" s="944"/>
      <c r="DL256" s="381"/>
      <c r="DN256" s="944"/>
      <c r="DO256" s="944"/>
    </row>
    <row r="257" spans="1:119" x14ac:dyDescent="0.2">
      <c r="A257" s="383">
        <v>246</v>
      </c>
      <c r="B257" s="631">
        <v>43983</v>
      </c>
      <c r="C257" s="381">
        <v>0</v>
      </c>
      <c r="D257" s="381">
        <v>0</v>
      </c>
      <c r="E257" s="381">
        <v>0</v>
      </c>
      <c r="F257" s="381">
        <v>0</v>
      </c>
      <c r="G257" s="381">
        <v>0</v>
      </c>
      <c r="H257" s="381">
        <v>0</v>
      </c>
      <c r="I257" s="381">
        <v>0</v>
      </c>
      <c r="J257" s="381"/>
      <c r="K257" s="381"/>
      <c r="L257" s="381"/>
      <c r="M257" s="381"/>
      <c r="N257" s="381"/>
      <c r="O257" s="381"/>
      <c r="DH257" s="944">
        <v>0</v>
      </c>
      <c r="DI257" s="944">
        <v>0</v>
      </c>
      <c r="DJ257" s="944"/>
      <c r="DL257" s="381"/>
      <c r="DN257" s="944"/>
      <c r="DO257" s="944"/>
    </row>
    <row r="258" spans="1:119" x14ac:dyDescent="0.2">
      <c r="A258" s="383">
        <v>247</v>
      </c>
      <c r="B258" s="631">
        <v>44013</v>
      </c>
      <c r="C258" s="381">
        <v>0</v>
      </c>
      <c r="D258" s="381">
        <v>0</v>
      </c>
      <c r="E258" s="381">
        <v>0</v>
      </c>
      <c r="F258" s="381">
        <v>0</v>
      </c>
      <c r="G258" s="381">
        <v>0</v>
      </c>
      <c r="H258" s="381">
        <v>0</v>
      </c>
      <c r="I258" s="381">
        <v>0</v>
      </c>
      <c r="J258" s="381"/>
      <c r="K258" s="381"/>
      <c r="L258" s="381"/>
      <c r="M258" s="381"/>
      <c r="N258" s="381"/>
      <c r="O258" s="381"/>
      <c r="DH258" s="944">
        <v>0</v>
      </c>
      <c r="DI258" s="944">
        <v>0</v>
      </c>
      <c r="DJ258" s="944"/>
      <c r="DL258" s="381"/>
      <c r="DN258" s="944"/>
      <c r="DO258" s="944"/>
    </row>
    <row r="259" spans="1:119" x14ac:dyDescent="0.2">
      <c r="A259" s="383">
        <v>248</v>
      </c>
      <c r="B259" s="631">
        <v>44044</v>
      </c>
      <c r="C259" s="381">
        <v>0</v>
      </c>
      <c r="D259" s="381">
        <v>0</v>
      </c>
      <c r="E259" s="381">
        <v>0</v>
      </c>
      <c r="F259" s="381">
        <v>0</v>
      </c>
      <c r="G259" s="381">
        <v>0</v>
      </c>
      <c r="H259" s="381">
        <v>0</v>
      </c>
      <c r="I259" s="381">
        <v>0</v>
      </c>
      <c r="J259" s="381"/>
      <c r="K259" s="381"/>
      <c r="L259" s="381"/>
      <c r="M259" s="381"/>
      <c r="N259" s="381"/>
      <c r="O259" s="381"/>
      <c r="DH259" s="944">
        <v>0</v>
      </c>
      <c r="DI259" s="944">
        <v>0</v>
      </c>
      <c r="DJ259" s="944"/>
      <c r="DL259" s="381"/>
      <c r="DN259" s="944"/>
      <c r="DO259" s="944"/>
    </row>
    <row r="260" spans="1:119" x14ac:dyDescent="0.2">
      <c r="A260" s="383">
        <v>249</v>
      </c>
      <c r="B260" s="631">
        <v>44075</v>
      </c>
      <c r="C260" s="381">
        <v>0</v>
      </c>
      <c r="D260" s="381">
        <v>0</v>
      </c>
      <c r="E260" s="381">
        <v>0</v>
      </c>
      <c r="F260" s="381">
        <v>0</v>
      </c>
      <c r="G260" s="381">
        <v>0</v>
      </c>
      <c r="H260" s="381">
        <v>0</v>
      </c>
      <c r="I260" s="381">
        <v>0</v>
      </c>
      <c r="J260" s="381"/>
      <c r="K260" s="381"/>
      <c r="L260" s="381"/>
      <c r="M260" s="381"/>
      <c r="N260" s="381"/>
      <c r="O260" s="381"/>
      <c r="DH260" s="944">
        <v>0</v>
      </c>
      <c r="DI260" s="944">
        <v>0</v>
      </c>
      <c r="DJ260" s="944"/>
      <c r="DL260" s="381"/>
      <c r="DN260" s="944"/>
      <c r="DO260" s="944"/>
    </row>
    <row r="261" spans="1:119" x14ac:dyDescent="0.2">
      <c r="A261" s="383">
        <v>250</v>
      </c>
      <c r="B261" s="631">
        <v>44105</v>
      </c>
      <c r="C261" s="381">
        <v>0</v>
      </c>
      <c r="D261" s="381">
        <v>0</v>
      </c>
      <c r="E261" s="381">
        <v>0</v>
      </c>
      <c r="F261" s="381">
        <v>0</v>
      </c>
      <c r="G261" s="381">
        <v>0</v>
      </c>
      <c r="H261" s="381">
        <v>0</v>
      </c>
      <c r="I261" s="381">
        <v>0</v>
      </c>
      <c r="J261" s="381"/>
      <c r="K261" s="381"/>
      <c r="L261" s="381"/>
      <c r="M261" s="381"/>
      <c r="N261" s="381"/>
      <c r="O261" s="381"/>
      <c r="DH261" s="944">
        <v>0</v>
      </c>
      <c r="DI261" s="944">
        <v>0</v>
      </c>
      <c r="DJ261" s="944"/>
      <c r="DL261" s="381"/>
      <c r="DN261" s="944"/>
      <c r="DO261" s="944"/>
    </row>
    <row r="262" spans="1:119" x14ac:dyDescent="0.2">
      <c r="A262" s="383">
        <v>251</v>
      </c>
      <c r="B262" s="631">
        <v>44136</v>
      </c>
      <c r="C262" s="381">
        <v>0</v>
      </c>
      <c r="D262" s="381">
        <v>0</v>
      </c>
      <c r="E262" s="381">
        <v>0</v>
      </c>
      <c r="F262" s="381">
        <v>0</v>
      </c>
      <c r="G262" s="381">
        <v>0</v>
      </c>
      <c r="H262" s="381">
        <v>0</v>
      </c>
      <c r="I262" s="381">
        <v>0</v>
      </c>
      <c r="J262" s="381"/>
      <c r="K262" s="381"/>
      <c r="L262" s="381"/>
      <c r="M262" s="381"/>
      <c r="N262" s="381"/>
      <c r="O262" s="381"/>
      <c r="DH262" s="944">
        <v>0</v>
      </c>
      <c r="DI262" s="944">
        <v>0</v>
      </c>
      <c r="DJ262" s="944"/>
      <c r="DL262" s="381"/>
      <c r="DN262" s="944"/>
      <c r="DO262" s="944"/>
    </row>
    <row r="263" spans="1:119" x14ac:dyDescent="0.2">
      <c r="A263" s="383">
        <v>252</v>
      </c>
      <c r="B263" s="631">
        <v>44166</v>
      </c>
      <c r="C263" s="381">
        <v>0</v>
      </c>
      <c r="D263" s="381">
        <v>0</v>
      </c>
      <c r="E263" s="381">
        <v>0</v>
      </c>
      <c r="F263" s="381">
        <v>0</v>
      </c>
      <c r="G263" s="381">
        <v>0</v>
      </c>
      <c r="H263" s="381">
        <v>0</v>
      </c>
      <c r="I263" s="381">
        <v>0</v>
      </c>
      <c r="J263" s="381"/>
      <c r="K263" s="381"/>
      <c r="L263" s="381"/>
      <c r="M263" s="381"/>
      <c r="N263" s="381"/>
      <c r="O263" s="381"/>
      <c r="DH263" s="944">
        <v>0</v>
      </c>
      <c r="DI263" s="944">
        <v>0</v>
      </c>
      <c r="DJ263" s="944"/>
      <c r="DL263" s="381"/>
      <c r="DN263" s="944"/>
      <c r="DO263" s="944"/>
    </row>
    <row r="264" spans="1:119" x14ac:dyDescent="0.2">
      <c r="DH264" s="944">
        <v>0</v>
      </c>
      <c r="DI264" s="944">
        <v>0</v>
      </c>
      <c r="DJ264" s="944"/>
      <c r="DL264" s="381"/>
      <c r="DN264" s="944"/>
      <c r="DO264" s="944"/>
    </row>
    <row r="265" spans="1:119" x14ac:dyDescent="0.2">
      <c r="DH265" s="944">
        <v>0</v>
      </c>
      <c r="DI265" s="944">
        <v>0</v>
      </c>
      <c r="DJ265" s="944"/>
      <c r="DL265" s="381"/>
      <c r="DN265" s="944"/>
      <c r="DO265" s="944"/>
    </row>
    <row r="266" spans="1:119" x14ac:dyDescent="0.2">
      <c r="DH266" s="944">
        <v>0</v>
      </c>
      <c r="DI266" s="944">
        <v>0</v>
      </c>
      <c r="DJ266" s="944"/>
      <c r="DL266" s="381"/>
      <c r="DN266" s="944"/>
      <c r="DO266" s="944"/>
    </row>
    <row r="267" spans="1:119" x14ac:dyDescent="0.2">
      <c r="DH267" s="944">
        <v>0</v>
      </c>
      <c r="DI267" s="944">
        <v>0</v>
      </c>
      <c r="DJ267" s="944"/>
      <c r="DL267" s="381"/>
      <c r="DN267" s="944"/>
      <c r="DO267" s="944"/>
    </row>
    <row r="268" spans="1:119" x14ac:dyDescent="0.2">
      <c r="DH268" s="944">
        <v>0</v>
      </c>
      <c r="DI268" s="944">
        <v>0</v>
      </c>
      <c r="DJ268" s="944"/>
      <c r="DL268" s="381"/>
      <c r="DN268" s="944"/>
      <c r="DO268" s="944"/>
    </row>
    <row r="269" spans="1:119" x14ac:dyDescent="0.2">
      <c r="DH269" s="944">
        <v>0</v>
      </c>
      <c r="DI269" s="944">
        <v>0</v>
      </c>
      <c r="DJ269" s="944"/>
      <c r="DL269" s="381"/>
      <c r="DN269" s="944"/>
      <c r="DO269" s="944"/>
    </row>
    <row r="270" spans="1:119" x14ac:dyDescent="0.2">
      <c r="DH270" s="944">
        <v>0</v>
      </c>
      <c r="DI270" s="944">
        <v>0</v>
      </c>
      <c r="DJ270" s="944"/>
      <c r="DL270" s="381"/>
      <c r="DN270" s="944"/>
      <c r="DO270" s="944"/>
    </row>
    <row r="271" spans="1:119" x14ac:dyDescent="0.2">
      <c r="DH271" s="944">
        <v>0</v>
      </c>
      <c r="DI271" s="944">
        <v>0</v>
      </c>
      <c r="DJ271" s="944"/>
      <c r="DL271" s="381"/>
      <c r="DN271" s="944"/>
      <c r="DO271" s="944"/>
    </row>
    <row r="272" spans="1:119" x14ac:dyDescent="0.2">
      <c r="DH272" s="944">
        <v>0</v>
      </c>
      <c r="DI272" s="944">
        <v>0</v>
      </c>
      <c r="DJ272" s="944"/>
      <c r="DL272" s="381"/>
      <c r="DN272" s="944"/>
      <c r="DO272" s="944"/>
    </row>
    <row r="273" spans="112:119" x14ac:dyDescent="0.2">
      <c r="DH273" s="944">
        <v>0</v>
      </c>
      <c r="DI273" s="944">
        <v>0</v>
      </c>
      <c r="DJ273" s="944"/>
      <c r="DL273" s="381"/>
      <c r="DN273" s="944"/>
      <c r="DO273" s="944"/>
    </row>
    <row r="274" spans="112:119" x14ac:dyDescent="0.2">
      <c r="DH274" s="944">
        <v>0</v>
      </c>
      <c r="DI274" s="944">
        <v>0</v>
      </c>
      <c r="DJ274" s="944"/>
      <c r="DL274" s="381"/>
      <c r="DN274" s="944"/>
      <c r="DO274" s="944"/>
    </row>
    <row r="275" spans="112:119" x14ac:dyDescent="0.2">
      <c r="DH275" s="944">
        <v>0</v>
      </c>
      <c r="DI275" s="944">
        <v>0</v>
      </c>
      <c r="DJ275" s="944"/>
      <c r="DL275" s="381"/>
      <c r="DN275" s="944"/>
      <c r="DO275" s="944"/>
    </row>
    <row r="276" spans="112:119" x14ac:dyDescent="0.2">
      <c r="DH276" s="944">
        <v>0</v>
      </c>
      <c r="DI276" s="944">
        <v>0</v>
      </c>
      <c r="DJ276" s="944"/>
      <c r="DL276" s="381"/>
      <c r="DN276" s="944"/>
      <c r="DO276" s="944"/>
    </row>
    <row r="277" spans="112:119" x14ac:dyDescent="0.2">
      <c r="DH277" s="944">
        <v>0</v>
      </c>
      <c r="DI277" s="944">
        <v>0</v>
      </c>
      <c r="DJ277" s="944"/>
      <c r="DL277" s="381"/>
      <c r="DN277" s="944"/>
      <c r="DO277" s="944"/>
    </row>
    <row r="278" spans="112:119" x14ac:dyDescent="0.2">
      <c r="DH278" s="944">
        <v>0</v>
      </c>
      <c r="DI278" s="944">
        <v>0</v>
      </c>
      <c r="DJ278" s="944"/>
      <c r="DL278" s="381"/>
      <c r="DN278" s="944"/>
      <c r="DO278" s="944"/>
    </row>
    <row r="279" spans="112:119" x14ac:dyDescent="0.2">
      <c r="DH279" s="944">
        <v>0</v>
      </c>
      <c r="DI279" s="944">
        <v>0</v>
      </c>
      <c r="DJ279" s="944"/>
      <c r="DL279" s="381"/>
      <c r="DN279" s="944"/>
      <c r="DO279" s="944"/>
    </row>
    <row r="280" spans="112:119" x14ac:dyDescent="0.2">
      <c r="DH280" s="944">
        <v>0</v>
      </c>
      <c r="DI280" s="944">
        <v>0</v>
      </c>
      <c r="DJ280" s="944"/>
      <c r="DL280" s="381"/>
      <c r="DN280" s="944"/>
      <c r="DO280" s="944"/>
    </row>
    <row r="281" spans="112:119" x14ac:dyDescent="0.2">
      <c r="DH281" s="944">
        <v>0</v>
      </c>
      <c r="DI281" s="944">
        <v>0</v>
      </c>
      <c r="DJ281" s="944"/>
      <c r="DL281" s="381"/>
      <c r="DN281" s="944"/>
      <c r="DO281" s="944"/>
    </row>
    <row r="282" spans="112:119" x14ac:dyDescent="0.2">
      <c r="DH282" s="944">
        <v>0</v>
      </c>
      <c r="DI282" s="944">
        <v>0</v>
      </c>
      <c r="DJ282" s="944"/>
      <c r="DL282" s="381"/>
      <c r="DN282" s="944"/>
      <c r="DO282" s="944"/>
    </row>
    <row r="283" spans="112:119" x14ac:dyDescent="0.2">
      <c r="DH283" s="944">
        <v>0</v>
      </c>
      <c r="DI283" s="944">
        <v>0</v>
      </c>
      <c r="DJ283" s="944"/>
      <c r="DL283" s="381"/>
      <c r="DN283" s="944"/>
      <c r="DO283" s="944"/>
    </row>
    <row r="284" spans="112:119" x14ac:dyDescent="0.2">
      <c r="DH284" s="944">
        <v>0</v>
      </c>
      <c r="DI284" s="944">
        <v>0</v>
      </c>
      <c r="DJ284" s="944"/>
      <c r="DL284" s="381"/>
      <c r="DN284" s="944"/>
      <c r="DO284" s="944"/>
    </row>
    <row r="285" spans="112:119" x14ac:dyDescent="0.2">
      <c r="DH285" s="944">
        <v>0</v>
      </c>
      <c r="DI285" s="944">
        <v>0</v>
      </c>
      <c r="DJ285" s="944"/>
      <c r="DL285" s="381"/>
      <c r="DN285" s="944"/>
      <c r="DO285" s="944"/>
    </row>
    <row r="286" spans="112:119" x14ac:dyDescent="0.2">
      <c r="DH286" s="944">
        <v>0</v>
      </c>
      <c r="DI286" s="944">
        <v>0</v>
      </c>
      <c r="DJ286" s="944"/>
      <c r="DL286" s="381"/>
      <c r="DN286" s="944"/>
      <c r="DO286" s="944"/>
    </row>
    <row r="287" spans="112:119" x14ac:dyDescent="0.2">
      <c r="DH287" s="944">
        <v>0</v>
      </c>
      <c r="DI287" s="944">
        <v>0</v>
      </c>
      <c r="DJ287" s="944"/>
      <c r="DL287" s="381"/>
      <c r="DN287" s="944"/>
      <c r="DO287" s="944"/>
    </row>
    <row r="288" spans="112:119" x14ac:dyDescent="0.2">
      <c r="DH288" s="944">
        <v>0</v>
      </c>
      <c r="DI288" s="944">
        <v>0</v>
      </c>
      <c r="DJ288" s="944"/>
      <c r="DL288" s="381"/>
      <c r="DN288" s="944"/>
      <c r="DO288" s="944"/>
    </row>
    <row r="289" spans="112:119" x14ac:dyDescent="0.2">
      <c r="DH289" s="944">
        <v>0</v>
      </c>
      <c r="DI289" s="944">
        <v>0</v>
      </c>
      <c r="DJ289" s="944"/>
      <c r="DL289" s="381"/>
      <c r="DN289" s="944"/>
      <c r="DO289" s="944"/>
    </row>
    <row r="290" spans="112:119" x14ac:dyDescent="0.2">
      <c r="DH290" s="944">
        <v>0</v>
      </c>
      <c r="DI290" s="944">
        <v>0</v>
      </c>
      <c r="DJ290" s="944"/>
      <c r="DL290" s="381"/>
      <c r="DN290" s="944"/>
      <c r="DO290" s="944"/>
    </row>
    <row r="291" spans="112:119" x14ac:dyDescent="0.2">
      <c r="DH291" s="944">
        <v>0</v>
      </c>
      <c r="DI291" s="944">
        <v>0</v>
      </c>
      <c r="DJ291" s="944"/>
      <c r="DL291" s="381"/>
      <c r="DN291" s="944"/>
      <c r="DO291" s="944"/>
    </row>
    <row r="292" spans="112:119" x14ac:dyDescent="0.2">
      <c r="DH292" s="944">
        <v>0</v>
      </c>
      <c r="DI292" s="944">
        <v>0</v>
      </c>
      <c r="DJ292" s="944"/>
      <c r="DL292" s="381"/>
      <c r="DN292" s="944"/>
      <c r="DO292" s="944"/>
    </row>
    <row r="293" spans="112:119" x14ac:dyDescent="0.2">
      <c r="DH293" s="944">
        <v>0</v>
      </c>
      <c r="DI293" s="944">
        <v>0</v>
      </c>
      <c r="DJ293" s="944"/>
      <c r="DL293" s="381"/>
      <c r="DN293" s="944"/>
      <c r="DO293" s="944"/>
    </row>
    <row r="294" spans="112:119" x14ac:dyDescent="0.2">
      <c r="DH294" s="944">
        <v>0</v>
      </c>
      <c r="DI294" s="944">
        <v>0</v>
      </c>
      <c r="DJ294" s="944"/>
      <c r="DL294" s="381"/>
      <c r="DN294" s="944"/>
      <c r="DO294" s="944"/>
    </row>
    <row r="295" spans="112:119" x14ac:dyDescent="0.2">
      <c r="DH295" s="944">
        <v>0</v>
      </c>
      <c r="DI295" s="944">
        <v>0</v>
      </c>
      <c r="DJ295" s="944"/>
      <c r="DL295" s="381"/>
      <c r="DN295" s="944"/>
      <c r="DO295" s="944"/>
    </row>
    <row r="296" spans="112:119" x14ac:dyDescent="0.2">
      <c r="DH296" s="944">
        <v>0</v>
      </c>
      <c r="DI296" s="944">
        <v>0</v>
      </c>
      <c r="DJ296" s="944"/>
      <c r="DL296" s="381"/>
      <c r="DN296" s="944"/>
      <c r="DO296" s="944"/>
    </row>
    <row r="297" spans="112:119" x14ac:dyDescent="0.2">
      <c r="DH297" s="944">
        <v>0</v>
      </c>
      <c r="DI297" s="944">
        <v>0</v>
      </c>
      <c r="DJ297" s="944"/>
      <c r="DL297" s="381"/>
      <c r="DN297" s="944"/>
      <c r="DO297" s="944"/>
    </row>
    <row r="298" spans="112:119" x14ac:dyDescent="0.2">
      <c r="DH298" s="944">
        <v>0</v>
      </c>
      <c r="DI298" s="944">
        <v>0</v>
      </c>
      <c r="DJ298" s="944"/>
      <c r="DL298" s="381"/>
      <c r="DN298" s="944"/>
      <c r="DO298" s="944"/>
    </row>
    <row r="299" spans="112:119" x14ac:dyDescent="0.2">
      <c r="DH299" s="944">
        <v>0</v>
      </c>
      <c r="DI299" s="944">
        <v>0</v>
      </c>
      <c r="DJ299" s="944"/>
      <c r="DL299" s="381"/>
      <c r="DN299" s="944"/>
      <c r="DO299" s="944"/>
    </row>
    <row r="300" spans="112:119" x14ac:dyDescent="0.2">
      <c r="DH300" s="944">
        <v>0</v>
      </c>
      <c r="DI300" s="944">
        <v>0</v>
      </c>
      <c r="DJ300" s="944"/>
      <c r="DL300" s="381"/>
      <c r="DN300" s="944"/>
      <c r="DO300" s="944"/>
    </row>
    <row r="301" spans="112:119" x14ac:dyDescent="0.2">
      <c r="DH301" s="944">
        <v>0</v>
      </c>
      <c r="DI301" s="944">
        <v>0</v>
      </c>
      <c r="DJ301" s="944"/>
      <c r="DL301" s="381"/>
      <c r="DN301" s="944"/>
      <c r="DO301" s="944"/>
    </row>
    <row r="302" spans="112:119" x14ac:dyDescent="0.2">
      <c r="DH302" s="944">
        <v>0</v>
      </c>
      <c r="DI302" s="944">
        <v>0</v>
      </c>
      <c r="DJ302" s="944"/>
      <c r="DL302" s="381"/>
      <c r="DN302" s="944"/>
      <c r="DO302" s="944"/>
    </row>
    <row r="303" spans="112:119" x14ac:dyDescent="0.2">
      <c r="DH303" s="944">
        <v>0</v>
      </c>
      <c r="DI303" s="944">
        <v>0</v>
      </c>
      <c r="DJ303" s="944"/>
      <c r="DL303" s="381"/>
      <c r="DN303" s="944"/>
      <c r="DO303" s="944"/>
    </row>
    <row r="304" spans="112:119" x14ac:dyDescent="0.2">
      <c r="DH304" s="944">
        <v>0</v>
      </c>
      <c r="DI304" s="944">
        <v>0</v>
      </c>
      <c r="DJ304" s="944"/>
      <c r="DL304" s="381"/>
      <c r="DN304" s="944"/>
      <c r="DO304" s="944"/>
    </row>
    <row r="305" spans="112:119" x14ac:dyDescent="0.2">
      <c r="DH305" s="944">
        <v>0</v>
      </c>
      <c r="DI305" s="944">
        <v>0</v>
      </c>
      <c r="DJ305" s="944"/>
      <c r="DL305" s="381"/>
      <c r="DN305" s="944"/>
      <c r="DO305" s="944"/>
    </row>
    <row r="306" spans="112:119" x14ac:dyDescent="0.2">
      <c r="DH306" s="944">
        <v>0</v>
      </c>
      <c r="DI306" s="944">
        <v>0</v>
      </c>
      <c r="DJ306" s="944"/>
      <c r="DL306" s="381"/>
      <c r="DN306" s="944"/>
      <c r="DO306" s="944"/>
    </row>
    <row r="307" spans="112:119" x14ac:dyDescent="0.2">
      <c r="DH307" s="944">
        <v>0</v>
      </c>
      <c r="DI307" s="944">
        <v>0</v>
      </c>
      <c r="DJ307" s="944"/>
      <c r="DL307" s="381"/>
      <c r="DN307" s="944"/>
      <c r="DO307" s="944"/>
    </row>
    <row r="308" spans="112:119" x14ac:dyDescent="0.2">
      <c r="DH308" s="944">
        <v>0</v>
      </c>
      <c r="DI308" s="944">
        <v>0</v>
      </c>
      <c r="DJ308" s="944"/>
      <c r="DL308" s="381"/>
      <c r="DN308" s="944"/>
      <c r="DO308" s="944"/>
    </row>
    <row r="309" spans="112:119" x14ac:dyDescent="0.2">
      <c r="DH309" s="944">
        <v>0</v>
      </c>
      <c r="DI309" s="944">
        <v>0</v>
      </c>
      <c r="DJ309" s="944"/>
      <c r="DL309" s="381"/>
      <c r="DN309" s="944"/>
      <c r="DO309" s="944"/>
    </row>
    <row r="310" spans="112:119" x14ac:dyDescent="0.2">
      <c r="DH310" s="944">
        <v>0</v>
      </c>
      <c r="DI310" s="944">
        <v>0</v>
      </c>
      <c r="DJ310" s="944"/>
      <c r="DL310" s="381"/>
      <c r="DN310" s="944"/>
      <c r="DO310" s="944"/>
    </row>
    <row r="311" spans="112:119" x14ac:dyDescent="0.2">
      <c r="DH311" s="944">
        <v>0</v>
      </c>
      <c r="DI311" s="944">
        <v>0</v>
      </c>
      <c r="DJ311" s="944"/>
      <c r="DL311" s="381"/>
      <c r="DN311" s="944"/>
      <c r="DO311" s="944"/>
    </row>
    <row r="312" spans="112:119" x14ac:dyDescent="0.2">
      <c r="DH312" s="944">
        <v>0</v>
      </c>
      <c r="DI312" s="944">
        <v>0</v>
      </c>
      <c r="DJ312" s="944"/>
      <c r="DL312" s="381"/>
      <c r="DN312" s="944"/>
      <c r="DO312" s="944"/>
    </row>
    <row r="313" spans="112:119" x14ac:dyDescent="0.2">
      <c r="DH313" s="944">
        <v>0</v>
      </c>
      <c r="DI313" s="944">
        <v>0</v>
      </c>
      <c r="DJ313" s="944"/>
      <c r="DL313" s="381"/>
      <c r="DN313" s="944"/>
      <c r="DO313" s="944"/>
    </row>
    <row r="314" spans="112:119" x14ac:dyDescent="0.2">
      <c r="DH314" s="944">
        <v>0</v>
      </c>
      <c r="DI314" s="944">
        <v>0</v>
      </c>
      <c r="DJ314" s="944"/>
      <c r="DL314" s="381"/>
      <c r="DN314" s="944"/>
      <c r="DO314" s="944"/>
    </row>
    <row r="315" spans="112:119" x14ac:dyDescent="0.2">
      <c r="DH315" s="944">
        <v>0</v>
      </c>
      <c r="DI315" s="944">
        <v>0</v>
      </c>
      <c r="DJ315" s="944"/>
      <c r="DL315" s="381"/>
      <c r="DN315" s="944"/>
      <c r="DO315" s="944"/>
    </row>
    <row r="316" spans="112:119" x14ac:dyDescent="0.2">
      <c r="DH316" s="944">
        <v>0</v>
      </c>
      <c r="DI316" s="944">
        <v>0</v>
      </c>
      <c r="DJ316" s="944"/>
      <c r="DL316" s="381"/>
      <c r="DN316" s="944"/>
      <c r="DO316" s="944"/>
    </row>
    <row r="317" spans="112:119" x14ac:dyDescent="0.2">
      <c r="DH317" s="944">
        <v>0</v>
      </c>
      <c r="DI317" s="944">
        <v>0</v>
      </c>
      <c r="DJ317" s="944"/>
      <c r="DL317" s="381"/>
      <c r="DN317" s="944"/>
      <c r="DO317" s="944"/>
    </row>
    <row r="318" spans="112:119" x14ac:dyDescent="0.2">
      <c r="DH318" s="944">
        <v>0</v>
      </c>
      <c r="DI318" s="944">
        <v>0</v>
      </c>
      <c r="DJ318" s="944"/>
      <c r="DL318" s="381"/>
      <c r="DN318" s="944"/>
      <c r="DO318" s="944"/>
    </row>
    <row r="319" spans="112:119" x14ac:dyDescent="0.2">
      <c r="DH319" s="944">
        <v>0</v>
      </c>
      <c r="DI319" s="944">
        <v>0</v>
      </c>
      <c r="DJ319" s="944"/>
      <c r="DL319" s="381"/>
      <c r="DN319" s="944"/>
      <c r="DO319" s="944"/>
    </row>
    <row r="320" spans="112:119" x14ac:dyDescent="0.2">
      <c r="DH320" s="944">
        <v>0</v>
      </c>
      <c r="DI320" s="944">
        <v>0</v>
      </c>
      <c r="DJ320" s="944"/>
      <c r="DL320" s="381"/>
      <c r="DN320" s="944"/>
      <c r="DO320" s="944"/>
    </row>
    <row r="321" spans="112:119" x14ac:dyDescent="0.2">
      <c r="DH321" s="944">
        <v>0</v>
      </c>
      <c r="DI321" s="944">
        <v>0</v>
      </c>
      <c r="DJ321" s="944"/>
      <c r="DL321" s="381"/>
      <c r="DN321" s="944"/>
      <c r="DO321" s="944"/>
    </row>
    <row r="322" spans="112:119" x14ac:dyDescent="0.2">
      <c r="DH322" s="944">
        <v>0</v>
      </c>
      <c r="DI322" s="944">
        <v>0</v>
      </c>
      <c r="DJ322" s="944"/>
      <c r="DL322" s="381"/>
      <c r="DN322" s="944"/>
      <c r="DO322" s="944"/>
    </row>
    <row r="323" spans="112:119" x14ac:dyDescent="0.2">
      <c r="DH323" s="944">
        <v>0</v>
      </c>
      <c r="DI323" s="944">
        <v>0</v>
      </c>
      <c r="DJ323" s="944"/>
      <c r="DL323" s="381"/>
      <c r="DN323" s="944"/>
      <c r="DO323" s="944"/>
    </row>
    <row r="324" spans="112:119" x14ac:dyDescent="0.2">
      <c r="DH324" s="944">
        <v>0</v>
      </c>
      <c r="DI324" s="944">
        <v>0</v>
      </c>
      <c r="DJ324" s="944"/>
      <c r="DL324" s="381"/>
      <c r="DN324" s="944"/>
      <c r="DO324" s="944"/>
    </row>
    <row r="325" spans="112:119" x14ac:dyDescent="0.2">
      <c r="DH325" s="944">
        <v>0</v>
      </c>
      <c r="DI325" s="944">
        <v>0</v>
      </c>
      <c r="DJ325" s="944"/>
      <c r="DL325" s="381"/>
      <c r="DN325" s="944"/>
      <c r="DO325" s="944"/>
    </row>
    <row r="326" spans="112:119" x14ac:dyDescent="0.2">
      <c r="DH326" s="944">
        <v>0</v>
      </c>
      <c r="DI326" s="944">
        <v>0</v>
      </c>
      <c r="DJ326" s="944"/>
      <c r="DL326" s="381"/>
      <c r="DN326" s="944"/>
      <c r="DO326" s="944"/>
    </row>
    <row r="327" spans="112:119" x14ac:dyDescent="0.2">
      <c r="DH327" s="944">
        <v>0</v>
      </c>
      <c r="DI327" s="944">
        <v>0</v>
      </c>
      <c r="DJ327" s="944"/>
      <c r="DL327" s="381"/>
      <c r="DN327" s="944"/>
      <c r="DO327" s="944"/>
    </row>
    <row r="328" spans="112:119" x14ac:dyDescent="0.2">
      <c r="DH328" s="944">
        <v>0</v>
      </c>
      <c r="DI328" s="944">
        <v>0</v>
      </c>
      <c r="DJ328" s="944"/>
      <c r="DL328" s="381"/>
      <c r="DN328" s="944"/>
      <c r="DO328" s="944"/>
    </row>
    <row r="329" spans="112:119" x14ac:dyDescent="0.2">
      <c r="DH329" s="944">
        <v>0</v>
      </c>
      <c r="DI329" s="944">
        <v>0</v>
      </c>
      <c r="DJ329" s="944"/>
      <c r="DL329" s="381"/>
      <c r="DN329" s="944"/>
      <c r="DO329" s="944"/>
    </row>
    <row r="330" spans="112:119" x14ac:dyDescent="0.2">
      <c r="DH330" s="944">
        <v>0</v>
      </c>
      <c r="DI330" s="944">
        <v>0</v>
      </c>
      <c r="DJ330" s="944"/>
      <c r="DL330" s="381"/>
      <c r="DN330" s="944"/>
      <c r="DO330" s="944"/>
    </row>
    <row r="331" spans="112:119" x14ac:dyDescent="0.2">
      <c r="DH331" s="944">
        <v>0</v>
      </c>
      <c r="DI331" s="944">
        <v>0</v>
      </c>
      <c r="DJ331" s="944"/>
      <c r="DL331" s="381"/>
      <c r="DN331" s="944"/>
      <c r="DO331" s="944"/>
    </row>
    <row r="332" spans="112:119" x14ac:dyDescent="0.2">
      <c r="DH332" s="944">
        <v>0</v>
      </c>
      <c r="DI332" s="944">
        <v>0</v>
      </c>
      <c r="DJ332" s="944"/>
      <c r="DL332" s="381"/>
      <c r="DN332" s="944"/>
      <c r="DO332" s="944"/>
    </row>
    <row r="333" spans="112:119" x14ac:dyDescent="0.2">
      <c r="DH333" s="944">
        <v>0</v>
      </c>
      <c r="DI333" s="944">
        <v>0</v>
      </c>
      <c r="DJ333" s="944"/>
      <c r="DL333" s="381"/>
      <c r="DN333" s="944"/>
      <c r="DO333" s="944"/>
    </row>
    <row r="334" spans="112:119" x14ac:dyDescent="0.2">
      <c r="DH334" s="944">
        <v>0</v>
      </c>
      <c r="DI334" s="944">
        <v>0</v>
      </c>
      <c r="DJ334" s="944"/>
      <c r="DL334" s="381"/>
      <c r="DN334" s="944"/>
      <c r="DO334" s="944"/>
    </row>
    <row r="335" spans="112:119" x14ac:dyDescent="0.2">
      <c r="DH335" s="944">
        <v>0</v>
      </c>
      <c r="DI335" s="944">
        <v>0</v>
      </c>
      <c r="DJ335" s="944"/>
      <c r="DL335" s="381"/>
      <c r="DN335" s="944"/>
      <c r="DO335" s="944"/>
    </row>
    <row r="336" spans="112:119" x14ac:dyDescent="0.2">
      <c r="DH336" s="944">
        <v>0</v>
      </c>
      <c r="DI336" s="944">
        <v>0</v>
      </c>
      <c r="DJ336" s="944"/>
      <c r="DL336" s="381"/>
      <c r="DN336" s="944"/>
      <c r="DO336" s="944"/>
    </row>
    <row r="337" spans="112:119" x14ac:dyDescent="0.2">
      <c r="DH337" s="944">
        <v>0</v>
      </c>
      <c r="DI337" s="944">
        <v>0</v>
      </c>
      <c r="DJ337" s="944"/>
      <c r="DL337" s="381"/>
      <c r="DN337" s="944"/>
      <c r="DO337" s="944"/>
    </row>
    <row r="338" spans="112:119" x14ac:dyDescent="0.2">
      <c r="DH338" s="944">
        <v>0</v>
      </c>
      <c r="DI338" s="944">
        <v>0</v>
      </c>
      <c r="DJ338" s="944"/>
      <c r="DL338" s="381"/>
      <c r="DN338" s="944"/>
      <c r="DO338" s="944"/>
    </row>
    <row r="339" spans="112:119" x14ac:dyDescent="0.2">
      <c r="DH339" s="944">
        <v>0</v>
      </c>
      <c r="DI339" s="944">
        <v>0</v>
      </c>
      <c r="DJ339" s="944"/>
      <c r="DN339" s="944"/>
      <c r="DO339" s="944"/>
    </row>
    <row r="340" spans="112:119" x14ac:dyDescent="0.2">
      <c r="DH340" s="944">
        <v>0</v>
      </c>
      <c r="DI340" s="944">
        <v>0</v>
      </c>
      <c r="DJ340" s="944"/>
      <c r="DN340" s="944"/>
      <c r="DO340" s="944"/>
    </row>
    <row r="341" spans="112:119" x14ac:dyDescent="0.2">
      <c r="DH341" s="944">
        <v>0</v>
      </c>
      <c r="DI341" s="944">
        <v>0</v>
      </c>
      <c r="DJ341" s="944"/>
      <c r="DN341" s="944"/>
      <c r="DO341" s="944"/>
    </row>
    <row r="342" spans="112:119" x14ac:dyDescent="0.2">
      <c r="DH342" s="944">
        <v>0</v>
      </c>
      <c r="DI342" s="944">
        <v>0</v>
      </c>
      <c r="DJ342" s="944"/>
      <c r="DN342" s="944"/>
      <c r="DO342" s="944"/>
    </row>
    <row r="343" spans="112:119" x14ac:dyDescent="0.2">
      <c r="DH343" s="944">
        <v>0</v>
      </c>
      <c r="DI343" s="944">
        <v>0</v>
      </c>
      <c r="DJ343" s="944"/>
      <c r="DN343" s="944"/>
      <c r="DO343" s="944"/>
    </row>
    <row r="344" spans="112:119" x14ac:dyDescent="0.2">
      <c r="DH344" s="944">
        <v>0</v>
      </c>
      <c r="DI344" s="944">
        <v>0</v>
      </c>
      <c r="DJ344" s="944"/>
      <c r="DN344" s="944"/>
      <c r="DO344" s="944"/>
    </row>
    <row r="345" spans="112:119" x14ac:dyDescent="0.2">
      <c r="DH345" s="944">
        <v>0</v>
      </c>
      <c r="DI345" s="944">
        <v>0</v>
      </c>
      <c r="DJ345" s="944"/>
      <c r="DN345" s="944"/>
      <c r="DO345" s="944"/>
    </row>
    <row r="346" spans="112:119" x14ac:dyDescent="0.2">
      <c r="DH346" s="944">
        <v>0</v>
      </c>
      <c r="DI346" s="944">
        <v>0</v>
      </c>
      <c r="DJ346" s="944"/>
      <c r="DN346" s="944"/>
      <c r="DO346" s="944"/>
    </row>
    <row r="347" spans="112:119" x14ac:dyDescent="0.2">
      <c r="DH347" s="944">
        <v>0</v>
      </c>
      <c r="DI347" s="944">
        <v>0</v>
      </c>
      <c r="DJ347" s="944"/>
      <c r="DN347" s="944"/>
      <c r="DO347" s="944"/>
    </row>
    <row r="348" spans="112:119" x14ac:dyDescent="0.2">
      <c r="DH348" s="944">
        <v>0</v>
      </c>
      <c r="DI348" s="944">
        <v>0</v>
      </c>
      <c r="DJ348" s="944"/>
      <c r="DN348" s="944"/>
      <c r="DO348" s="944"/>
    </row>
    <row r="349" spans="112:119" x14ac:dyDescent="0.2">
      <c r="DH349" s="944">
        <v>0</v>
      </c>
      <c r="DI349" s="944">
        <v>0</v>
      </c>
      <c r="DJ349" s="944"/>
      <c r="DN349" s="944"/>
      <c r="DO349" s="944"/>
    </row>
    <row r="350" spans="112:119" x14ac:dyDescent="0.2">
      <c r="DH350" s="944">
        <v>0</v>
      </c>
      <c r="DI350" s="944">
        <v>0</v>
      </c>
      <c r="DJ350" s="944"/>
      <c r="DN350" s="944"/>
      <c r="DO350" s="944"/>
    </row>
    <row r="351" spans="112:119" x14ac:dyDescent="0.2">
      <c r="DH351" s="944">
        <v>0</v>
      </c>
      <c r="DI351" s="944">
        <v>0</v>
      </c>
      <c r="DJ351" s="944"/>
      <c r="DN351" s="944"/>
      <c r="DO351" s="944"/>
    </row>
    <row r="352" spans="112:119" x14ac:dyDescent="0.2">
      <c r="DH352" s="944">
        <v>0</v>
      </c>
      <c r="DI352" s="944">
        <v>0</v>
      </c>
      <c r="DJ352" s="944"/>
      <c r="DN352" s="944"/>
      <c r="DO352" s="944"/>
    </row>
    <row r="353" spans="112:119" x14ac:dyDescent="0.2">
      <c r="DH353" s="944">
        <v>0</v>
      </c>
      <c r="DI353" s="944">
        <v>0</v>
      </c>
      <c r="DJ353" s="944"/>
      <c r="DN353" s="944"/>
      <c r="DO353" s="944"/>
    </row>
    <row r="354" spans="112:119" x14ac:dyDescent="0.2">
      <c r="DH354" s="944">
        <v>0</v>
      </c>
      <c r="DI354" s="944">
        <v>0</v>
      </c>
      <c r="DJ354" s="944"/>
      <c r="DN354" s="944"/>
      <c r="DO354" s="944"/>
    </row>
    <row r="355" spans="112:119" x14ac:dyDescent="0.2">
      <c r="DH355" s="944">
        <v>0</v>
      </c>
      <c r="DI355" s="944">
        <v>0</v>
      </c>
      <c r="DJ355" s="944"/>
      <c r="DN355" s="944"/>
      <c r="DO355" s="944"/>
    </row>
    <row r="356" spans="112:119" x14ac:dyDescent="0.2">
      <c r="DH356" s="944">
        <v>0</v>
      </c>
      <c r="DI356" s="944">
        <v>0</v>
      </c>
      <c r="DJ356" s="944"/>
      <c r="DN356" s="944"/>
      <c r="DO356" s="944"/>
    </row>
    <row r="357" spans="112:119" x14ac:dyDescent="0.2">
      <c r="DH357" s="944">
        <v>0</v>
      </c>
      <c r="DI357" s="944">
        <v>0</v>
      </c>
      <c r="DJ357" s="944"/>
      <c r="DN357" s="944"/>
      <c r="DO357" s="944"/>
    </row>
    <row r="358" spans="112:119" x14ac:dyDescent="0.2">
      <c r="DH358" s="944">
        <v>0</v>
      </c>
      <c r="DI358" s="944">
        <v>0</v>
      </c>
      <c r="DJ358" s="944"/>
      <c r="DN358" s="944"/>
      <c r="DO358" s="944"/>
    </row>
    <row r="359" spans="112:119" x14ac:dyDescent="0.2">
      <c r="DH359" s="944">
        <v>0</v>
      </c>
      <c r="DI359" s="944">
        <v>0</v>
      </c>
      <c r="DJ359" s="944"/>
      <c r="DN359" s="944"/>
      <c r="DO359" s="944"/>
    </row>
    <row r="360" spans="112:119" x14ac:dyDescent="0.2">
      <c r="DH360" s="944">
        <v>0</v>
      </c>
      <c r="DI360" s="944">
        <v>0</v>
      </c>
      <c r="DJ360" s="944"/>
      <c r="DN360" s="944"/>
      <c r="DO360" s="944"/>
    </row>
    <row r="361" spans="112:119" x14ac:dyDescent="0.2">
      <c r="DH361" s="944">
        <v>0</v>
      </c>
      <c r="DI361" s="944">
        <v>0</v>
      </c>
      <c r="DJ361" s="944"/>
      <c r="DN361" s="944"/>
      <c r="DO361" s="944"/>
    </row>
    <row r="362" spans="112:119" x14ac:dyDescent="0.2">
      <c r="DH362" s="944">
        <v>0</v>
      </c>
      <c r="DI362" s="944">
        <v>0</v>
      </c>
      <c r="DJ362" s="944"/>
      <c r="DN362" s="944"/>
      <c r="DO362" s="944"/>
    </row>
    <row r="363" spans="112:119" x14ac:dyDescent="0.2">
      <c r="DH363" s="944">
        <v>0</v>
      </c>
      <c r="DI363" s="944">
        <v>0</v>
      </c>
      <c r="DJ363" s="944"/>
      <c r="DN363" s="944"/>
      <c r="DO363" s="944"/>
    </row>
    <row r="364" spans="112:119" x14ac:dyDescent="0.2">
      <c r="DH364" s="944">
        <v>0</v>
      </c>
      <c r="DI364" s="944">
        <v>0</v>
      </c>
      <c r="DJ364" s="944"/>
      <c r="DN364" s="944"/>
      <c r="DO364" s="944"/>
    </row>
    <row r="365" spans="112:119" x14ac:dyDescent="0.2">
      <c r="DH365" s="944">
        <v>0</v>
      </c>
      <c r="DI365" s="944">
        <v>0</v>
      </c>
      <c r="DJ365" s="944"/>
      <c r="DN365" s="944"/>
      <c r="DO365" s="944"/>
    </row>
    <row r="366" spans="112:119" x14ac:dyDescent="0.2">
      <c r="DH366" s="944">
        <v>0</v>
      </c>
      <c r="DI366" s="944">
        <v>0</v>
      </c>
      <c r="DJ366" s="944"/>
      <c r="DN366" s="944"/>
      <c r="DO366" s="944"/>
    </row>
    <row r="367" spans="112:119" x14ac:dyDescent="0.2">
      <c r="DH367" s="944">
        <v>0</v>
      </c>
      <c r="DI367" s="944">
        <v>0</v>
      </c>
      <c r="DJ367" s="944"/>
      <c r="DN367" s="944"/>
      <c r="DO367" s="944"/>
    </row>
    <row r="368" spans="112:119" x14ac:dyDescent="0.2">
      <c r="DH368" s="944">
        <v>0</v>
      </c>
      <c r="DI368" s="944">
        <v>0</v>
      </c>
      <c r="DJ368" s="944"/>
      <c r="DN368" s="944"/>
      <c r="DO368" s="944"/>
    </row>
    <row r="369" spans="112:119" x14ac:dyDescent="0.2">
      <c r="DH369" s="944">
        <v>0</v>
      </c>
      <c r="DI369" s="944">
        <v>0</v>
      </c>
      <c r="DJ369" s="944"/>
      <c r="DN369" s="944"/>
      <c r="DO369" s="944"/>
    </row>
    <row r="370" spans="112:119" x14ac:dyDescent="0.2">
      <c r="DH370" s="944">
        <v>0</v>
      </c>
      <c r="DI370" s="944">
        <v>0</v>
      </c>
      <c r="DJ370" s="944"/>
      <c r="DN370" s="944"/>
      <c r="DO370" s="944"/>
    </row>
    <row r="371" spans="112:119" x14ac:dyDescent="0.2">
      <c r="DH371" s="944">
        <v>0</v>
      </c>
      <c r="DI371" s="944">
        <v>0</v>
      </c>
      <c r="DJ371" s="944"/>
      <c r="DN371" s="944"/>
      <c r="DO371" s="944"/>
    </row>
    <row r="372" spans="112:119" x14ac:dyDescent="0.2">
      <c r="DH372" s="944">
        <v>0</v>
      </c>
      <c r="DI372" s="944">
        <v>0</v>
      </c>
      <c r="DJ372" s="944"/>
      <c r="DN372" s="944"/>
      <c r="DO372" s="944"/>
    </row>
    <row r="373" spans="112:119" x14ac:dyDescent="0.2">
      <c r="DH373" s="944">
        <v>0</v>
      </c>
      <c r="DI373" s="944">
        <v>0</v>
      </c>
      <c r="DJ373" s="944"/>
      <c r="DN373" s="944"/>
      <c r="DO373" s="944"/>
    </row>
    <row r="374" spans="112:119" x14ac:dyDescent="0.2">
      <c r="DH374" s="944">
        <v>0</v>
      </c>
      <c r="DI374" s="944">
        <v>0</v>
      </c>
      <c r="DJ374" s="944"/>
      <c r="DN374" s="944"/>
      <c r="DO374" s="944"/>
    </row>
    <row r="375" spans="112:119" x14ac:dyDescent="0.2">
      <c r="DH375" s="944">
        <v>0</v>
      </c>
      <c r="DI375" s="944">
        <v>0</v>
      </c>
      <c r="DJ375" s="944"/>
      <c r="DN375" s="944"/>
      <c r="DO375" s="944"/>
    </row>
    <row r="376" spans="112:119" x14ac:dyDescent="0.2">
      <c r="DH376" s="944">
        <v>0</v>
      </c>
      <c r="DI376" s="944">
        <v>0</v>
      </c>
      <c r="DJ376" s="944"/>
      <c r="DN376" s="944"/>
      <c r="DO376" s="944"/>
    </row>
    <row r="377" spans="112:119" x14ac:dyDescent="0.2">
      <c r="DH377" s="944">
        <v>0</v>
      </c>
      <c r="DI377" s="944">
        <v>0</v>
      </c>
      <c r="DJ377" s="944"/>
      <c r="DN377" s="944"/>
      <c r="DO377" s="944"/>
    </row>
    <row r="378" spans="112:119" x14ac:dyDescent="0.2">
      <c r="DH378" s="944">
        <v>0</v>
      </c>
      <c r="DI378" s="944">
        <v>0</v>
      </c>
      <c r="DJ378" s="944"/>
      <c r="DN378" s="944"/>
      <c r="DO378" s="944"/>
    </row>
    <row r="379" spans="112:119" x14ac:dyDescent="0.2">
      <c r="DH379" s="944">
        <v>0</v>
      </c>
      <c r="DI379" s="944">
        <v>0</v>
      </c>
      <c r="DJ379" s="944"/>
      <c r="DN379" s="944"/>
      <c r="DO379" s="944"/>
    </row>
    <row r="380" spans="112:119" x14ac:dyDescent="0.2">
      <c r="DH380" s="944">
        <v>0</v>
      </c>
      <c r="DI380" s="944">
        <v>0</v>
      </c>
      <c r="DJ380" s="944"/>
      <c r="DN380" s="944"/>
      <c r="DO380" s="944"/>
    </row>
    <row r="381" spans="112:119" x14ac:dyDescent="0.2">
      <c r="DH381" s="944">
        <v>0</v>
      </c>
      <c r="DI381" s="944">
        <v>0</v>
      </c>
      <c r="DJ381" s="944"/>
      <c r="DN381" s="944"/>
      <c r="DO381" s="944"/>
    </row>
    <row r="382" spans="112:119" x14ac:dyDescent="0.2">
      <c r="DH382" s="944">
        <v>0</v>
      </c>
      <c r="DI382" s="944">
        <v>0</v>
      </c>
      <c r="DJ382" s="944"/>
      <c r="DN382" s="944"/>
      <c r="DO382" s="944"/>
    </row>
    <row r="383" spans="112:119" x14ac:dyDescent="0.2">
      <c r="DH383" s="944">
        <v>0</v>
      </c>
      <c r="DI383" s="944">
        <v>0</v>
      </c>
      <c r="DJ383" s="944"/>
      <c r="DN383" s="944"/>
      <c r="DO383" s="944"/>
    </row>
    <row r="384" spans="112:119" x14ac:dyDescent="0.2">
      <c r="DH384" s="944">
        <v>0</v>
      </c>
      <c r="DI384" s="944">
        <v>0</v>
      </c>
      <c r="DJ384" s="944"/>
      <c r="DN384" s="944"/>
      <c r="DO384" s="944"/>
    </row>
    <row r="385" spans="112:119" x14ac:dyDescent="0.2">
      <c r="DH385" s="944">
        <v>0</v>
      </c>
      <c r="DI385" s="944">
        <v>0</v>
      </c>
      <c r="DJ385" s="944"/>
      <c r="DN385" s="944"/>
      <c r="DO385" s="944"/>
    </row>
    <row r="386" spans="112:119" x14ac:dyDescent="0.2">
      <c r="DH386" s="944">
        <v>0</v>
      </c>
      <c r="DI386" s="944">
        <v>0</v>
      </c>
      <c r="DJ386" s="944"/>
      <c r="DN386" s="944"/>
      <c r="DO386" s="944"/>
    </row>
    <row r="387" spans="112:119" x14ac:dyDescent="0.2">
      <c r="DH387" s="944">
        <v>0</v>
      </c>
      <c r="DI387" s="944">
        <v>0</v>
      </c>
      <c r="DJ387" s="944"/>
      <c r="DN387" s="944"/>
      <c r="DO387" s="944"/>
    </row>
    <row r="388" spans="112:119" x14ac:dyDescent="0.2">
      <c r="DH388" s="944">
        <v>0</v>
      </c>
      <c r="DI388" s="944">
        <v>0</v>
      </c>
      <c r="DJ388" s="944"/>
      <c r="DN388" s="944"/>
      <c r="DO388" s="944"/>
    </row>
    <row r="389" spans="112:119" x14ac:dyDescent="0.2">
      <c r="DH389" s="944">
        <v>0</v>
      </c>
      <c r="DI389" s="944">
        <v>0</v>
      </c>
      <c r="DJ389" s="944"/>
      <c r="DN389" s="944"/>
      <c r="DO389" s="944"/>
    </row>
    <row r="390" spans="112:119" x14ac:dyDescent="0.2">
      <c r="DH390" s="944">
        <v>0</v>
      </c>
      <c r="DI390" s="944">
        <v>0</v>
      </c>
      <c r="DJ390" s="944"/>
      <c r="DN390" s="944"/>
      <c r="DO390" s="944"/>
    </row>
    <row r="391" spans="112:119" x14ac:dyDescent="0.2">
      <c r="DH391" s="944">
        <v>0</v>
      </c>
      <c r="DI391" s="944">
        <v>0</v>
      </c>
      <c r="DJ391" s="944"/>
      <c r="DN391" s="944"/>
      <c r="DO391" s="944"/>
    </row>
    <row r="392" spans="112:119" x14ac:dyDescent="0.2">
      <c r="DH392" s="944">
        <v>0</v>
      </c>
      <c r="DI392" s="944">
        <v>0</v>
      </c>
      <c r="DJ392" s="944"/>
      <c r="DN392" s="944"/>
      <c r="DO392" s="944"/>
    </row>
    <row r="393" spans="112:119" x14ac:dyDescent="0.2">
      <c r="DH393" s="944">
        <v>0</v>
      </c>
      <c r="DI393" s="944">
        <v>0</v>
      </c>
      <c r="DJ393" s="944"/>
      <c r="DN393" s="944"/>
      <c r="DO393" s="944"/>
    </row>
    <row r="394" spans="112:119" x14ac:dyDescent="0.2">
      <c r="DH394" s="944">
        <v>0</v>
      </c>
      <c r="DI394" s="944">
        <v>0</v>
      </c>
      <c r="DJ394" s="944"/>
      <c r="DN394" s="944"/>
      <c r="DO394" s="944"/>
    </row>
    <row r="395" spans="112:119" x14ac:dyDescent="0.2">
      <c r="DH395" s="944">
        <v>0</v>
      </c>
      <c r="DI395" s="944">
        <v>0</v>
      </c>
      <c r="DJ395" s="944"/>
      <c r="DN395" s="944"/>
      <c r="DO395" s="944"/>
    </row>
    <row r="396" spans="112:119" x14ac:dyDescent="0.2">
      <c r="DH396" s="944">
        <v>0</v>
      </c>
      <c r="DI396" s="944">
        <v>0</v>
      </c>
      <c r="DJ396" s="944"/>
      <c r="DN396" s="944"/>
      <c r="DO396" s="944"/>
    </row>
    <row r="397" spans="112:119" x14ac:dyDescent="0.2">
      <c r="DH397" s="944">
        <v>0</v>
      </c>
      <c r="DI397" s="944">
        <v>0</v>
      </c>
      <c r="DJ397" s="944"/>
      <c r="DN397" s="944"/>
      <c r="DO397" s="944"/>
    </row>
    <row r="398" spans="112:119" x14ac:dyDescent="0.2">
      <c r="DH398" s="944">
        <v>0</v>
      </c>
      <c r="DI398" s="944">
        <v>0</v>
      </c>
      <c r="DJ398" s="944"/>
      <c r="DN398" s="944"/>
      <c r="DO398" s="944"/>
    </row>
    <row r="399" spans="112:119" x14ac:dyDescent="0.2">
      <c r="DH399" s="944">
        <v>0</v>
      </c>
      <c r="DI399" s="944">
        <v>0</v>
      </c>
      <c r="DJ399" s="944"/>
      <c r="DN399" s="944"/>
      <c r="DO399" s="944"/>
    </row>
    <row r="400" spans="112:119" x14ac:dyDescent="0.2">
      <c r="DH400" s="944">
        <v>0</v>
      </c>
      <c r="DI400" s="944">
        <v>0</v>
      </c>
      <c r="DJ400" s="944"/>
      <c r="DN400" s="944"/>
      <c r="DO400" s="944"/>
    </row>
    <row r="401" spans="112:119" x14ac:dyDescent="0.2">
      <c r="DH401" s="944">
        <v>0</v>
      </c>
      <c r="DI401" s="944">
        <v>0</v>
      </c>
      <c r="DJ401" s="944"/>
      <c r="DN401" s="944"/>
      <c r="DO401" s="944"/>
    </row>
    <row r="402" spans="112:119" x14ac:dyDescent="0.2">
      <c r="DH402" s="944">
        <v>0</v>
      </c>
      <c r="DI402" s="944">
        <v>0</v>
      </c>
      <c r="DJ402" s="944"/>
      <c r="DN402" s="944"/>
      <c r="DO402" s="944"/>
    </row>
    <row r="403" spans="112:119" x14ac:dyDescent="0.2">
      <c r="DH403" s="944">
        <v>0</v>
      </c>
      <c r="DI403" s="944">
        <v>0</v>
      </c>
      <c r="DJ403" s="944"/>
      <c r="DN403" s="944"/>
      <c r="DO403" s="944"/>
    </row>
    <row r="404" spans="112:119" x14ac:dyDescent="0.2">
      <c r="DH404" s="944">
        <v>0</v>
      </c>
      <c r="DI404" s="944">
        <v>0</v>
      </c>
      <c r="DJ404" s="944"/>
      <c r="DN404" s="944"/>
      <c r="DO404" s="944"/>
    </row>
    <row r="405" spans="112:119" x14ac:dyDescent="0.2">
      <c r="DH405" s="944">
        <v>0</v>
      </c>
      <c r="DI405" s="944">
        <v>0</v>
      </c>
      <c r="DJ405" s="944"/>
      <c r="DN405" s="944"/>
      <c r="DO405" s="944"/>
    </row>
    <row r="406" spans="112:119" x14ac:dyDescent="0.2">
      <c r="DH406" s="944">
        <v>0</v>
      </c>
      <c r="DI406" s="944">
        <v>0</v>
      </c>
      <c r="DJ406" s="944"/>
      <c r="DN406" s="944"/>
      <c r="DO406" s="944"/>
    </row>
    <row r="407" spans="112:119" x14ac:dyDescent="0.2">
      <c r="DH407" s="944">
        <v>0</v>
      </c>
      <c r="DI407" s="944">
        <v>0</v>
      </c>
      <c r="DJ407" s="944"/>
      <c r="DN407" s="944"/>
      <c r="DO407" s="944"/>
    </row>
    <row r="408" spans="112:119" x14ac:dyDescent="0.2">
      <c r="DH408" s="944">
        <v>0</v>
      </c>
      <c r="DI408" s="944">
        <v>0</v>
      </c>
      <c r="DJ408" s="944"/>
      <c r="DN408" s="944"/>
      <c r="DO408" s="944"/>
    </row>
    <row r="409" spans="112:119" x14ac:dyDescent="0.2">
      <c r="DH409" s="944">
        <v>0</v>
      </c>
      <c r="DI409" s="944">
        <v>0</v>
      </c>
      <c r="DJ409" s="944"/>
      <c r="DN409" s="944"/>
      <c r="DO409" s="944"/>
    </row>
    <row r="410" spans="112:119" x14ac:dyDescent="0.2">
      <c r="DH410" s="944">
        <v>0</v>
      </c>
      <c r="DI410" s="944">
        <v>0</v>
      </c>
      <c r="DJ410" s="944"/>
      <c r="DN410" s="944"/>
      <c r="DO410" s="944"/>
    </row>
    <row r="411" spans="112:119" x14ac:dyDescent="0.2">
      <c r="DH411" s="944">
        <v>0</v>
      </c>
      <c r="DI411" s="944">
        <v>0</v>
      </c>
      <c r="DJ411" s="944"/>
      <c r="DN411" s="944"/>
      <c r="DO411" s="944"/>
    </row>
    <row r="412" spans="112:119" x14ac:dyDescent="0.2">
      <c r="DH412" s="944">
        <v>0</v>
      </c>
      <c r="DI412" s="944">
        <v>0</v>
      </c>
      <c r="DJ412" s="944"/>
      <c r="DN412" s="944"/>
      <c r="DO412" s="944"/>
    </row>
    <row r="413" spans="112:119" x14ac:dyDescent="0.2">
      <c r="DH413" s="944">
        <v>0</v>
      </c>
      <c r="DI413" s="944">
        <v>0</v>
      </c>
      <c r="DJ413" s="944"/>
      <c r="DN413" s="944"/>
      <c r="DO413" s="944"/>
    </row>
    <row r="414" spans="112:119" x14ac:dyDescent="0.2">
      <c r="DH414" s="944">
        <v>0</v>
      </c>
      <c r="DI414" s="944">
        <v>0</v>
      </c>
      <c r="DJ414" s="944"/>
      <c r="DN414" s="944"/>
      <c r="DO414" s="944"/>
    </row>
    <row r="415" spans="112:119" x14ac:dyDescent="0.2">
      <c r="DH415" s="944">
        <v>0</v>
      </c>
      <c r="DI415" s="944">
        <v>0</v>
      </c>
      <c r="DJ415" s="944"/>
      <c r="DN415" s="944"/>
      <c r="DO415" s="944"/>
    </row>
    <row r="416" spans="112:119" x14ac:dyDescent="0.2">
      <c r="DH416" s="944">
        <v>0</v>
      </c>
      <c r="DI416" s="944">
        <v>0</v>
      </c>
      <c r="DJ416" s="944"/>
      <c r="DN416" s="944"/>
      <c r="DO416" s="944"/>
    </row>
    <row r="417" spans="112:119" x14ac:dyDescent="0.2">
      <c r="DH417" s="944">
        <v>0</v>
      </c>
      <c r="DI417" s="944">
        <v>0</v>
      </c>
      <c r="DJ417" s="944"/>
      <c r="DN417" s="944"/>
      <c r="DO417" s="944"/>
    </row>
    <row r="418" spans="112:119" x14ac:dyDescent="0.2">
      <c r="DH418" s="944">
        <v>0</v>
      </c>
      <c r="DI418" s="944">
        <v>0</v>
      </c>
      <c r="DJ418" s="944"/>
      <c r="DN418" s="944"/>
      <c r="DO418" s="944"/>
    </row>
    <row r="419" spans="112:119" x14ac:dyDescent="0.2">
      <c r="DH419" s="944">
        <v>0</v>
      </c>
      <c r="DI419" s="944">
        <v>0</v>
      </c>
      <c r="DJ419" s="944"/>
      <c r="DN419" s="944"/>
      <c r="DO419" s="944"/>
    </row>
    <row r="420" spans="112:119" x14ac:dyDescent="0.2">
      <c r="DH420" s="944">
        <v>0</v>
      </c>
      <c r="DI420" s="944">
        <v>0</v>
      </c>
      <c r="DJ420" s="944"/>
      <c r="DN420" s="944"/>
      <c r="DO420" s="944"/>
    </row>
    <row r="421" spans="112:119" x14ac:dyDescent="0.2">
      <c r="DH421" s="944">
        <v>0</v>
      </c>
      <c r="DI421" s="944">
        <v>0</v>
      </c>
      <c r="DJ421" s="944"/>
      <c r="DN421" s="944"/>
      <c r="DO421" s="944"/>
    </row>
    <row r="422" spans="112:119" x14ac:dyDescent="0.2">
      <c r="DH422" s="944">
        <v>0</v>
      </c>
      <c r="DI422" s="944">
        <v>0</v>
      </c>
      <c r="DJ422" s="944"/>
      <c r="DN422" s="944"/>
      <c r="DO422" s="944"/>
    </row>
    <row r="423" spans="112:119" x14ac:dyDescent="0.2">
      <c r="DH423" s="944">
        <v>0</v>
      </c>
      <c r="DI423" s="944">
        <v>0</v>
      </c>
      <c r="DJ423" s="944"/>
      <c r="DN423" s="944"/>
      <c r="DO423" s="944"/>
    </row>
    <row r="424" spans="112:119" x14ac:dyDescent="0.2">
      <c r="DH424" s="944">
        <v>0</v>
      </c>
      <c r="DI424" s="944">
        <v>0</v>
      </c>
      <c r="DJ424" s="944"/>
      <c r="DN424" s="944"/>
      <c r="DO424" s="944"/>
    </row>
    <row r="425" spans="112:119" x14ac:dyDescent="0.2">
      <c r="DH425" s="944">
        <v>0</v>
      </c>
      <c r="DI425" s="944">
        <v>0</v>
      </c>
      <c r="DJ425" s="944"/>
      <c r="DN425" s="944"/>
      <c r="DO425" s="944"/>
    </row>
    <row r="426" spans="112:119" x14ac:dyDescent="0.2">
      <c r="DH426" s="944">
        <v>0</v>
      </c>
      <c r="DI426" s="944">
        <v>0</v>
      </c>
      <c r="DJ426" s="944"/>
      <c r="DN426" s="944"/>
      <c r="DO426" s="944"/>
    </row>
    <row r="427" spans="112:119" x14ac:dyDescent="0.2">
      <c r="DH427" s="944">
        <v>0</v>
      </c>
      <c r="DI427" s="944">
        <v>0</v>
      </c>
      <c r="DJ427" s="944"/>
      <c r="DN427" s="944"/>
      <c r="DO427" s="944"/>
    </row>
    <row r="428" spans="112:119" x14ac:dyDescent="0.2">
      <c r="DH428" s="944">
        <v>0</v>
      </c>
      <c r="DI428" s="944">
        <v>0</v>
      </c>
      <c r="DJ428" s="944"/>
      <c r="DN428" s="944"/>
      <c r="DO428" s="944"/>
    </row>
    <row r="429" spans="112:119" x14ac:dyDescent="0.2">
      <c r="DH429" s="944">
        <v>0</v>
      </c>
      <c r="DI429" s="944">
        <v>0</v>
      </c>
      <c r="DJ429" s="944"/>
      <c r="DN429" s="944"/>
      <c r="DO429" s="944"/>
    </row>
    <row r="430" spans="112:119" x14ac:dyDescent="0.2">
      <c r="DH430" s="944">
        <v>0</v>
      </c>
      <c r="DI430" s="944">
        <v>0</v>
      </c>
      <c r="DJ430" s="944"/>
      <c r="DN430" s="944"/>
      <c r="DO430" s="944"/>
    </row>
    <row r="431" spans="112:119" x14ac:dyDescent="0.2">
      <c r="DH431" s="944">
        <v>0</v>
      </c>
      <c r="DI431" s="944">
        <v>0</v>
      </c>
      <c r="DJ431" s="944"/>
      <c r="DN431" s="944"/>
      <c r="DO431" s="944"/>
    </row>
    <row r="432" spans="112:119" x14ac:dyDescent="0.2">
      <c r="DH432" s="944">
        <v>0</v>
      </c>
      <c r="DI432" s="944">
        <v>0</v>
      </c>
      <c r="DJ432" s="944"/>
      <c r="DN432" s="944"/>
      <c r="DO432" s="944"/>
    </row>
    <row r="433" spans="112:119" x14ac:dyDescent="0.2">
      <c r="DH433" s="944">
        <v>0</v>
      </c>
      <c r="DI433" s="944">
        <v>0</v>
      </c>
      <c r="DJ433" s="944"/>
      <c r="DN433" s="944"/>
      <c r="DO433" s="944"/>
    </row>
    <row r="434" spans="112:119" x14ac:dyDescent="0.2">
      <c r="DH434" s="944">
        <v>0</v>
      </c>
      <c r="DI434" s="944">
        <v>0</v>
      </c>
      <c r="DJ434" s="944"/>
      <c r="DN434" s="944"/>
      <c r="DO434" s="944"/>
    </row>
    <row r="435" spans="112:119" x14ac:dyDescent="0.2">
      <c r="DH435" s="944">
        <v>0</v>
      </c>
      <c r="DI435" s="944">
        <v>0</v>
      </c>
      <c r="DJ435" s="944"/>
      <c r="DN435" s="944"/>
      <c r="DO435" s="944"/>
    </row>
    <row r="436" spans="112:119" x14ac:dyDescent="0.2">
      <c r="DH436" s="944">
        <v>0</v>
      </c>
      <c r="DI436" s="944">
        <v>0</v>
      </c>
      <c r="DJ436" s="944"/>
      <c r="DN436" s="944"/>
      <c r="DO436" s="944"/>
    </row>
    <row r="437" spans="112:119" x14ac:dyDescent="0.2">
      <c r="DH437" s="944">
        <v>0</v>
      </c>
      <c r="DI437" s="944">
        <v>0</v>
      </c>
      <c r="DJ437" s="944"/>
      <c r="DN437" s="944"/>
      <c r="DO437" s="944"/>
    </row>
    <row r="438" spans="112:119" x14ac:dyDescent="0.2">
      <c r="DH438" s="944">
        <v>0</v>
      </c>
      <c r="DI438" s="944">
        <v>0</v>
      </c>
      <c r="DJ438" s="944"/>
      <c r="DN438" s="944"/>
      <c r="DO438" s="944"/>
    </row>
    <row r="439" spans="112:119" x14ac:dyDescent="0.2">
      <c r="DH439" s="944">
        <v>0</v>
      </c>
      <c r="DI439" s="944">
        <v>0</v>
      </c>
      <c r="DJ439" s="944"/>
      <c r="DN439" s="944"/>
      <c r="DO439" s="944"/>
    </row>
    <row r="440" spans="112:119" x14ac:dyDescent="0.2">
      <c r="DH440" s="944">
        <v>0</v>
      </c>
      <c r="DI440" s="944">
        <v>0</v>
      </c>
      <c r="DJ440" s="944"/>
      <c r="DN440" s="944"/>
      <c r="DO440" s="944"/>
    </row>
    <row r="441" spans="112:119" x14ac:dyDescent="0.2">
      <c r="DH441" s="944">
        <v>0</v>
      </c>
      <c r="DI441" s="944">
        <v>0</v>
      </c>
      <c r="DJ441" s="944"/>
      <c r="DN441" s="944"/>
      <c r="DO441" s="944"/>
    </row>
    <row r="442" spans="112:119" x14ac:dyDescent="0.2">
      <c r="DH442" s="944">
        <v>0</v>
      </c>
      <c r="DI442" s="944">
        <v>0</v>
      </c>
      <c r="DJ442" s="944"/>
      <c r="DN442" s="944"/>
      <c r="DO442" s="944"/>
    </row>
    <row r="443" spans="112:119" x14ac:dyDescent="0.2">
      <c r="DH443" s="944">
        <v>0</v>
      </c>
      <c r="DI443" s="944">
        <v>0</v>
      </c>
      <c r="DJ443" s="944"/>
      <c r="DN443" s="944"/>
      <c r="DO443" s="944"/>
    </row>
    <row r="444" spans="112:119" x14ac:dyDescent="0.2">
      <c r="DH444" s="944">
        <v>0</v>
      </c>
      <c r="DI444" s="944">
        <v>0</v>
      </c>
      <c r="DJ444" s="944"/>
      <c r="DN444" s="944"/>
      <c r="DO444" s="944"/>
    </row>
    <row r="445" spans="112:119" x14ac:dyDescent="0.2">
      <c r="DH445" s="944">
        <v>0</v>
      </c>
      <c r="DI445" s="944">
        <v>0</v>
      </c>
      <c r="DJ445" s="944"/>
      <c r="DN445" s="944"/>
      <c r="DO445" s="944"/>
    </row>
    <row r="446" spans="112:119" x14ac:dyDescent="0.2">
      <c r="DH446" s="944">
        <v>0</v>
      </c>
      <c r="DI446" s="944">
        <v>0</v>
      </c>
      <c r="DJ446" s="944"/>
      <c r="DN446" s="944"/>
      <c r="DO446" s="944"/>
    </row>
    <row r="447" spans="112:119" x14ac:dyDescent="0.2">
      <c r="DH447" s="944">
        <v>0</v>
      </c>
      <c r="DI447" s="944">
        <v>0</v>
      </c>
      <c r="DJ447" s="944"/>
      <c r="DN447" s="944"/>
      <c r="DO447" s="944"/>
    </row>
    <row r="448" spans="112:119" x14ac:dyDescent="0.2">
      <c r="DH448" s="944">
        <v>0</v>
      </c>
      <c r="DI448" s="944">
        <v>0</v>
      </c>
      <c r="DJ448" s="944"/>
      <c r="DN448" s="944"/>
      <c r="DO448" s="944"/>
    </row>
    <row r="449" spans="112:119" x14ac:dyDescent="0.2">
      <c r="DH449" s="944">
        <v>0</v>
      </c>
      <c r="DI449" s="944">
        <v>0</v>
      </c>
      <c r="DJ449" s="944"/>
      <c r="DN449" s="944"/>
      <c r="DO449" s="944"/>
    </row>
    <row r="450" spans="112:119" x14ac:dyDescent="0.2">
      <c r="DH450" s="944">
        <v>0</v>
      </c>
      <c r="DI450" s="944">
        <v>0</v>
      </c>
      <c r="DJ450" s="944"/>
      <c r="DN450" s="944"/>
      <c r="DO450" s="944"/>
    </row>
    <row r="451" spans="112:119" x14ac:dyDescent="0.2">
      <c r="DH451" s="944">
        <v>0</v>
      </c>
      <c r="DI451" s="944">
        <v>0</v>
      </c>
      <c r="DJ451" s="944"/>
      <c r="DN451" s="944"/>
      <c r="DO451" s="944"/>
    </row>
    <row r="452" spans="112:119" x14ac:dyDescent="0.2">
      <c r="DH452" s="944">
        <v>0</v>
      </c>
      <c r="DI452" s="944">
        <v>0</v>
      </c>
      <c r="DJ452" s="944"/>
      <c r="DN452" s="944"/>
      <c r="DO452" s="944"/>
    </row>
    <row r="453" spans="112:119" x14ac:dyDescent="0.2">
      <c r="DH453" s="944">
        <v>0</v>
      </c>
      <c r="DI453" s="944">
        <v>0</v>
      </c>
      <c r="DJ453" s="944"/>
      <c r="DN453" s="944"/>
      <c r="DO453" s="944"/>
    </row>
    <row r="454" spans="112:119" x14ac:dyDescent="0.2">
      <c r="DH454" s="944">
        <v>0</v>
      </c>
      <c r="DI454" s="944">
        <v>0</v>
      </c>
      <c r="DJ454" s="944"/>
      <c r="DN454" s="944"/>
      <c r="DO454" s="944"/>
    </row>
    <row r="455" spans="112:119" x14ac:dyDescent="0.2">
      <c r="DH455" s="944">
        <v>0</v>
      </c>
      <c r="DI455" s="944">
        <v>0</v>
      </c>
      <c r="DJ455" s="944"/>
      <c r="DN455" s="944"/>
      <c r="DO455" s="944"/>
    </row>
    <row r="456" spans="112:119" x14ac:dyDescent="0.2">
      <c r="DH456" s="944">
        <v>0</v>
      </c>
      <c r="DI456" s="944">
        <v>0</v>
      </c>
      <c r="DJ456" s="944"/>
      <c r="DN456" s="944"/>
      <c r="DO456" s="944"/>
    </row>
    <row r="457" spans="112:119" x14ac:dyDescent="0.2">
      <c r="DH457" s="944">
        <v>0</v>
      </c>
      <c r="DI457" s="944">
        <v>0</v>
      </c>
      <c r="DJ457" s="944"/>
      <c r="DN457" s="944"/>
      <c r="DO457" s="944"/>
    </row>
    <row r="458" spans="112:119" x14ac:dyDescent="0.2">
      <c r="DH458" s="944">
        <v>0</v>
      </c>
      <c r="DI458" s="944">
        <v>0</v>
      </c>
      <c r="DJ458" s="944"/>
      <c r="DN458" s="944"/>
      <c r="DO458" s="944"/>
    </row>
    <row r="459" spans="112:119" x14ac:dyDescent="0.2">
      <c r="DH459" s="944">
        <v>0</v>
      </c>
      <c r="DI459" s="944">
        <v>0</v>
      </c>
      <c r="DJ459" s="944"/>
      <c r="DN459" s="944"/>
      <c r="DO459" s="944"/>
    </row>
    <row r="460" spans="112:119" x14ac:dyDescent="0.2">
      <c r="DH460" s="944">
        <v>0</v>
      </c>
      <c r="DI460" s="944">
        <v>0</v>
      </c>
      <c r="DJ460" s="944"/>
      <c r="DN460" s="944"/>
      <c r="DO460" s="944"/>
    </row>
    <row r="461" spans="112:119" x14ac:dyDescent="0.2">
      <c r="DH461" s="944">
        <v>0</v>
      </c>
      <c r="DI461" s="944">
        <v>0</v>
      </c>
      <c r="DJ461" s="944"/>
      <c r="DN461" s="944"/>
      <c r="DO461" s="944"/>
    </row>
    <row r="462" spans="112:119" x14ac:dyDescent="0.2">
      <c r="DH462" s="944">
        <v>0</v>
      </c>
      <c r="DI462" s="944">
        <v>0</v>
      </c>
      <c r="DJ462" s="944"/>
      <c r="DN462" s="944"/>
      <c r="DO462" s="944"/>
    </row>
    <row r="463" spans="112:119" x14ac:dyDescent="0.2">
      <c r="DH463" s="944">
        <v>0</v>
      </c>
      <c r="DI463" s="944">
        <v>0</v>
      </c>
      <c r="DJ463" s="944"/>
      <c r="DN463" s="944"/>
      <c r="DO463" s="944"/>
    </row>
    <row r="464" spans="112:119" x14ac:dyDescent="0.2">
      <c r="DH464" s="944">
        <v>0</v>
      </c>
      <c r="DI464" s="944">
        <v>0</v>
      </c>
      <c r="DJ464" s="944"/>
      <c r="DN464" s="944"/>
      <c r="DO464" s="944"/>
    </row>
    <row r="465" spans="112:119" x14ac:dyDescent="0.2">
      <c r="DH465" s="944">
        <v>0</v>
      </c>
      <c r="DI465" s="944">
        <v>0</v>
      </c>
      <c r="DJ465" s="944"/>
      <c r="DN465" s="944"/>
      <c r="DO465" s="944"/>
    </row>
    <row r="466" spans="112:119" x14ac:dyDescent="0.2">
      <c r="DH466" s="944">
        <v>0</v>
      </c>
      <c r="DI466" s="944">
        <v>0</v>
      </c>
      <c r="DJ466" s="944"/>
      <c r="DN466" s="944"/>
      <c r="DO466" s="944"/>
    </row>
    <row r="467" spans="112:119" x14ac:dyDescent="0.2">
      <c r="DH467" s="944">
        <v>0</v>
      </c>
      <c r="DI467" s="944">
        <v>0</v>
      </c>
      <c r="DJ467" s="944"/>
      <c r="DN467" s="944"/>
      <c r="DO467" s="944"/>
    </row>
    <row r="468" spans="112:119" x14ac:dyDescent="0.2">
      <c r="DH468" s="944">
        <v>0</v>
      </c>
      <c r="DI468" s="944">
        <v>0</v>
      </c>
      <c r="DJ468" s="944"/>
      <c r="DN468" s="944"/>
      <c r="DO468" s="944"/>
    </row>
    <row r="469" spans="112:119" x14ac:dyDescent="0.2">
      <c r="DH469" s="944">
        <v>0</v>
      </c>
      <c r="DI469" s="944">
        <v>0</v>
      </c>
      <c r="DJ469" s="944"/>
      <c r="DN469" s="944"/>
      <c r="DO469" s="944"/>
    </row>
    <row r="470" spans="112:119" x14ac:dyDescent="0.2">
      <c r="DH470" s="944">
        <v>0</v>
      </c>
      <c r="DI470" s="944">
        <v>0</v>
      </c>
      <c r="DJ470" s="944"/>
      <c r="DN470" s="944"/>
      <c r="DO470" s="944"/>
    </row>
    <row r="471" spans="112:119" x14ac:dyDescent="0.2">
      <c r="DH471" s="944">
        <v>0</v>
      </c>
      <c r="DI471" s="944">
        <v>0</v>
      </c>
      <c r="DJ471" s="944"/>
      <c r="DN471" s="944"/>
      <c r="DO471" s="944"/>
    </row>
    <row r="472" spans="112:119" x14ac:dyDescent="0.2">
      <c r="DH472" s="944">
        <v>0</v>
      </c>
      <c r="DI472" s="944">
        <v>0</v>
      </c>
      <c r="DJ472" s="944"/>
      <c r="DN472" s="944"/>
      <c r="DO472" s="944"/>
    </row>
    <row r="473" spans="112:119" x14ac:dyDescent="0.2">
      <c r="DH473" s="944">
        <v>0</v>
      </c>
      <c r="DI473" s="944">
        <v>0</v>
      </c>
      <c r="DJ473" s="944"/>
      <c r="DN473" s="944"/>
      <c r="DO473" s="944"/>
    </row>
    <row r="474" spans="112:119" x14ac:dyDescent="0.2">
      <c r="DH474" s="944">
        <v>0</v>
      </c>
      <c r="DI474" s="944">
        <v>0</v>
      </c>
      <c r="DJ474" s="944"/>
      <c r="DN474" s="944"/>
      <c r="DO474" s="944"/>
    </row>
    <row r="475" spans="112:119" x14ac:dyDescent="0.2">
      <c r="DH475" s="944">
        <v>0</v>
      </c>
      <c r="DI475" s="944">
        <v>0</v>
      </c>
      <c r="DJ475" s="944"/>
      <c r="DN475" s="944"/>
      <c r="DO475" s="944"/>
    </row>
    <row r="476" spans="112:119" x14ac:dyDescent="0.2">
      <c r="DH476" s="944">
        <v>0</v>
      </c>
      <c r="DI476" s="944">
        <v>0</v>
      </c>
      <c r="DJ476" s="944"/>
      <c r="DN476" s="944"/>
      <c r="DO476" s="944"/>
    </row>
    <row r="477" spans="112:119" x14ac:dyDescent="0.2">
      <c r="DH477" s="944">
        <v>0</v>
      </c>
      <c r="DI477" s="944">
        <v>0</v>
      </c>
      <c r="DJ477" s="944"/>
      <c r="DN477" s="944"/>
      <c r="DO477" s="944"/>
    </row>
    <row r="478" spans="112:119" x14ac:dyDescent="0.2">
      <c r="DH478" s="944">
        <v>0</v>
      </c>
      <c r="DI478" s="944">
        <v>0</v>
      </c>
      <c r="DJ478" s="944"/>
      <c r="DN478" s="944"/>
      <c r="DO478" s="944"/>
    </row>
    <row r="479" spans="112:119" x14ac:dyDescent="0.2">
      <c r="DH479" s="944">
        <v>0</v>
      </c>
      <c r="DI479" s="944">
        <v>0</v>
      </c>
      <c r="DJ479" s="944"/>
      <c r="DN479" s="944"/>
      <c r="DO479" s="944"/>
    </row>
    <row r="480" spans="112:119" x14ac:dyDescent="0.2">
      <c r="DH480" s="944">
        <v>0</v>
      </c>
      <c r="DI480" s="944">
        <v>0</v>
      </c>
      <c r="DJ480" s="944"/>
      <c r="DN480" s="944"/>
      <c r="DO480" s="944"/>
    </row>
    <row r="481" spans="112:119" x14ac:dyDescent="0.2">
      <c r="DH481" s="944">
        <v>0</v>
      </c>
      <c r="DI481" s="944">
        <v>0</v>
      </c>
      <c r="DJ481" s="944"/>
      <c r="DN481" s="944"/>
      <c r="DO481" s="944"/>
    </row>
    <row r="482" spans="112:119" x14ac:dyDescent="0.2">
      <c r="DH482" s="944">
        <v>0</v>
      </c>
      <c r="DI482" s="944">
        <v>0</v>
      </c>
      <c r="DJ482" s="944"/>
      <c r="DN482" s="944"/>
      <c r="DO482" s="944"/>
    </row>
    <row r="483" spans="112:119" x14ac:dyDescent="0.2">
      <c r="DH483" s="944">
        <v>0</v>
      </c>
      <c r="DI483" s="944">
        <v>0</v>
      </c>
      <c r="DJ483" s="944"/>
      <c r="DN483" s="944"/>
      <c r="DO483" s="944"/>
    </row>
    <row r="484" spans="112:119" x14ac:dyDescent="0.2">
      <c r="DH484" s="944">
        <v>0</v>
      </c>
      <c r="DI484" s="944">
        <v>0</v>
      </c>
      <c r="DJ484" s="944"/>
      <c r="DN484" s="944"/>
      <c r="DO484" s="944"/>
    </row>
    <row r="485" spans="112:119" x14ac:dyDescent="0.2">
      <c r="DH485" s="944">
        <v>0</v>
      </c>
      <c r="DI485" s="944">
        <v>0</v>
      </c>
      <c r="DJ485" s="944"/>
      <c r="DN485" s="944"/>
      <c r="DO485" s="944"/>
    </row>
    <row r="486" spans="112:119" x14ac:dyDescent="0.2">
      <c r="DH486" s="944">
        <v>0</v>
      </c>
      <c r="DI486" s="944">
        <v>0</v>
      </c>
      <c r="DJ486" s="944"/>
      <c r="DN486" s="944"/>
      <c r="DO486" s="944"/>
    </row>
    <row r="487" spans="112:119" x14ac:dyDescent="0.2">
      <c r="DH487" s="944">
        <v>0</v>
      </c>
      <c r="DI487" s="944">
        <v>0</v>
      </c>
      <c r="DJ487" s="944"/>
      <c r="DN487" s="944"/>
      <c r="DO487" s="944"/>
    </row>
    <row r="488" spans="112:119" x14ac:dyDescent="0.2">
      <c r="DH488" s="944">
        <v>0</v>
      </c>
      <c r="DI488" s="944">
        <v>0</v>
      </c>
      <c r="DJ488" s="944"/>
      <c r="DN488" s="944"/>
      <c r="DO488" s="944"/>
    </row>
    <row r="489" spans="112:119" x14ac:dyDescent="0.2">
      <c r="DH489" s="944">
        <v>0</v>
      </c>
      <c r="DI489" s="944">
        <v>0</v>
      </c>
      <c r="DJ489" s="944"/>
      <c r="DN489" s="944"/>
      <c r="DO489" s="944"/>
    </row>
    <row r="490" spans="112:119" x14ac:dyDescent="0.2">
      <c r="DH490" s="944">
        <v>0</v>
      </c>
      <c r="DI490" s="944">
        <v>0</v>
      </c>
      <c r="DJ490" s="944"/>
      <c r="DN490" s="944"/>
      <c r="DO490" s="944"/>
    </row>
    <row r="491" spans="112:119" x14ac:dyDescent="0.2">
      <c r="DH491" s="944">
        <v>0</v>
      </c>
      <c r="DI491" s="944">
        <v>0</v>
      </c>
      <c r="DJ491" s="944"/>
      <c r="DN491" s="944"/>
      <c r="DO491" s="944"/>
    </row>
    <row r="492" spans="112:119" x14ac:dyDescent="0.2">
      <c r="DH492" s="944">
        <v>0</v>
      </c>
      <c r="DI492" s="944">
        <v>0</v>
      </c>
      <c r="DJ492" s="944"/>
      <c r="DN492" s="944"/>
      <c r="DO492" s="944"/>
    </row>
    <row r="493" spans="112:119" x14ac:dyDescent="0.2">
      <c r="DH493" s="944">
        <v>0</v>
      </c>
      <c r="DI493" s="944">
        <v>0</v>
      </c>
      <c r="DJ493" s="944"/>
      <c r="DN493" s="944"/>
      <c r="DO493" s="944"/>
    </row>
    <row r="494" spans="112:119" x14ac:dyDescent="0.2">
      <c r="DH494" s="944">
        <v>0</v>
      </c>
      <c r="DI494" s="944">
        <v>0</v>
      </c>
      <c r="DJ494" s="944"/>
      <c r="DN494" s="944"/>
      <c r="DO494" s="944"/>
    </row>
    <row r="495" spans="112:119" x14ac:dyDescent="0.2">
      <c r="DH495" s="944">
        <v>0</v>
      </c>
      <c r="DI495" s="944">
        <v>0</v>
      </c>
      <c r="DJ495" s="944"/>
      <c r="DN495" s="944"/>
      <c r="DO495" s="944"/>
    </row>
    <row r="496" spans="112:119" x14ac:dyDescent="0.2">
      <c r="DH496" s="944">
        <v>0</v>
      </c>
      <c r="DI496" s="944">
        <v>0</v>
      </c>
      <c r="DJ496" s="944"/>
      <c r="DN496" s="944"/>
      <c r="DO496" s="944"/>
    </row>
    <row r="497" spans="112:119" x14ac:dyDescent="0.2">
      <c r="DH497" s="944">
        <v>0</v>
      </c>
      <c r="DI497" s="944">
        <v>0</v>
      </c>
      <c r="DJ497" s="944"/>
      <c r="DN497" s="944"/>
      <c r="DO497" s="944"/>
    </row>
    <row r="498" spans="112:119" x14ac:dyDescent="0.2">
      <c r="DH498" s="944">
        <v>0</v>
      </c>
      <c r="DI498" s="944">
        <v>0</v>
      </c>
      <c r="DJ498" s="944"/>
      <c r="DN498" s="944"/>
      <c r="DO498" s="944"/>
    </row>
    <row r="499" spans="112:119" x14ac:dyDescent="0.2">
      <c r="DH499" s="944">
        <v>0</v>
      </c>
      <c r="DI499" s="944">
        <v>0</v>
      </c>
      <c r="DJ499" s="944"/>
      <c r="DN499" s="944"/>
      <c r="DO499" s="944"/>
    </row>
    <row r="500" spans="112:119" x14ac:dyDescent="0.2">
      <c r="DH500" s="944">
        <v>0</v>
      </c>
      <c r="DI500" s="944">
        <v>0</v>
      </c>
      <c r="DJ500" s="944"/>
      <c r="DN500" s="944"/>
      <c r="DO500" s="944"/>
    </row>
    <row r="501" spans="112:119" x14ac:dyDescent="0.2">
      <c r="DH501" s="944">
        <v>0</v>
      </c>
      <c r="DI501" s="944">
        <v>0</v>
      </c>
      <c r="DJ501" s="944"/>
      <c r="DN501" s="944"/>
      <c r="DO501" s="944"/>
    </row>
    <row r="502" spans="112:119" x14ac:dyDescent="0.2">
      <c r="DH502" s="944">
        <v>0</v>
      </c>
      <c r="DI502" s="944">
        <v>0</v>
      </c>
      <c r="DJ502" s="944"/>
      <c r="DN502" s="944"/>
      <c r="DO502" s="944"/>
    </row>
    <row r="503" spans="112:119" x14ac:dyDescent="0.2">
      <c r="DH503" s="944">
        <v>0</v>
      </c>
      <c r="DI503" s="944">
        <v>0</v>
      </c>
      <c r="DJ503" s="944"/>
      <c r="DN503" s="944"/>
      <c r="DO503" s="944"/>
    </row>
    <row r="504" spans="112:119" x14ac:dyDescent="0.2">
      <c r="DH504" s="944">
        <v>0</v>
      </c>
      <c r="DI504" s="944">
        <v>0</v>
      </c>
      <c r="DJ504" s="944"/>
      <c r="DN504" s="944"/>
      <c r="DO504" s="944"/>
    </row>
    <row r="505" spans="112:119" x14ac:dyDescent="0.2">
      <c r="DH505" s="944">
        <v>0</v>
      </c>
      <c r="DI505" s="944">
        <v>0</v>
      </c>
      <c r="DJ505" s="944"/>
      <c r="DN505" s="944"/>
      <c r="DO505" s="944"/>
    </row>
    <row r="506" spans="112:119" x14ac:dyDescent="0.2">
      <c r="DH506" s="944">
        <v>0</v>
      </c>
      <c r="DI506" s="944">
        <v>0</v>
      </c>
      <c r="DJ506" s="944"/>
      <c r="DN506" s="944"/>
      <c r="DO506" s="944"/>
    </row>
    <row r="507" spans="112:119" x14ac:dyDescent="0.2">
      <c r="DH507" s="944">
        <v>0</v>
      </c>
      <c r="DI507" s="944">
        <v>0</v>
      </c>
      <c r="DJ507" s="944"/>
      <c r="DN507" s="944"/>
      <c r="DO507" s="944"/>
    </row>
    <row r="508" spans="112:119" x14ac:dyDescent="0.2">
      <c r="DH508" s="944">
        <v>0</v>
      </c>
      <c r="DI508" s="944">
        <v>0</v>
      </c>
      <c r="DJ508" s="944"/>
      <c r="DN508" s="944"/>
      <c r="DO508" s="944"/>
    </row>
    <row r="509" spans="112:119" x14ac:dyDescent="0.2">
      <c r="DH509" s="944">
        <v>0</v>
      </c>
      <c r="DI509" s="944">
        <v>0</v>
      </c>
      <c r="DJ509" s="944"/>
      <c r="DN509" s="944"/>
      <c r="DO509" s="944"/>
    </row>
    <row r="510" spans="112:119" x14ac:dyDescent="0.2">
      <c r="DH510" s="944">
        <v>0</v>
      </c>
      <c r="DI510" s="944">
        <v>0</v>
      </c>
      <c r="DJ510" s="944"/>
      <c r="DN510" s="944"/>
      <c r="DO510" s="944"/>
    </row>
    <row r="511" spans="112:119" x14ac:dyDescent="0.2">
      <c r="DH511" s="944">
        <v>0</v>
      </c>
      <c r="DI511" s="944">
        <v>0</v>
      </c>
      <c r="DJ511" s="944"/>
      <c r="DN511" s="944"/>
      <c r="DO511" s="944"/>
    </row>
    <row r="512" spans="112:119" x14ac:dyDescent="0.2">
      <c r="DH512" s="944">
        <v>0</v>
      </c>
      <c r="DI512" s="944">
        <v>0</v>
      </c>
      <c r="DJ512" s="944"/>
      <c r="DN512" s="944"/>
      <c r="DO512" s="944"/>
    </row>
    <row r="513" spans="112:119" x14ac:dyDescent="0.2">
      <c r="DH513" s="944">
        <v>0</v>
      </c>
      <c r="DI513" s="944">
        <v>0</v>
      </c>
      <c r="DJ513" s="944"/>
      <c r="DN513" s="944"/>
      <c r="DO513" s="944"/>
    </row>
    <row r="514" spans="112:119" x14ac:dyDescent="0.2">
      <c r="DH514" s="944">
        <v>0</v>
      </c>
      <c r="DI514" s="944">
        <v>0</v>
      </c>
      <c r="DJ514" s="944"/>
      <c r="DN514" s="944"/>
      <c r="DO514" s="944"/>
    </row>
    <row r="515" spans="112:119" x14ac:dyDescent="0.2">
      <c r="DH515" s="944">
        <v>0</v>
      </c>
      <c r="DI515" s="944">
        <v>0</v>
      </c>
      <c r="DJ515" s="944"/>
      <c r="DN515" s="944"/>
      <c r="DO515" s="944"/>
    </row>
    <row r="516" spans="112:119" x14ac:dyDescent="0.2">
      <c r="DH516" s="944">
        <v>0</v>
      </c>
      <c r="DI516" s="944">
        <v>0</v>
      </c>
      <c r="DJ516" s="944"/>
      <c r="DN516" s="944"/>
      <c r="DO516" s="944"/>
    </row>
    <row r="517" spans="112:119" x14ac:dyDescent="0.2">
      <c r="DH517" s="944">
        <v>0</v>
      </c>
      <c r="DI517" s="944">
        <v>0</v>
      </c>
      <c r="DJ517" s="944"/>
      <c r="DN517" s="944"/>
      <c r="DO517" s="944"/>
    </row>
    <row r="518" spans="112:119" x14ac:dyDescent="0.2">
      <c r="DH518" s="944">
        <v>0</v>
      </c>
      <c r="DI518" s="944">
        <v>0</v>
      </c>
      <c r="DJ518" s="944"/>
      <c r="DN518" s="944"/>
      <c r="DO518" s="944"/>
    </row>
    <row r="519" spans="112:119" x14ac:dyDescent="0.2">
      <c r="DH519" s="944">
        <v>0</v>
      </c>
      <c r="DI519" s="944">
        <v>0</v>
      </c>
      <c r="DJ519" s="944"/>
      <c r="DN519" s="944"/>
      <c r="DO519" s="944"/>
    </row>
    <row r="520" spans="112:119" x14ac:dyDescent="0.2">
      <c r="DH520" s="944">
        <v>0</v>
      </c>
      <c r="DI520" s="944">
        <v>0</v>
      </c>
      <c r="DJ520" s="944"/>
      <c r="DN520" s="944"/>
      <c r="DO520" s="944"/>
    </row>
    <row r="521" spans="112:119" x14ac:dyDescent="0.2">
      <c r="DH521" s="944">
        <v>0</v>
      </c>
      <c r="DI521" s="944">
        <v>0</v>
      </c>
      <c r="DJ521" s="944"/>
      <c r="DN521" s="944"/>
      <c r="DO521" s="944"/>
    </row>
    <row r="522" spans="112:119" x14ac:dyDescent="0.2">
      <c r="DH522" s="944">
        <v>0</v>
      </c>
      <c r="DI522" s="944">
        <v>0</v>
      </c>
      <c r="DJ522" s="944"/>
      <c r="DN522" s="944"/>
      <c r="DO522" s="944"/>
    </row>
    <row r="523" spans="112:119" x14ac:dyDescent="0.2">
      <c r="DH523" s="944">
        <v>0</v>
      </c>
      <c r="DI523" s="944">
        <v>0</v>
      </c>
      <c r="DJ523" s="944"/>
      <c r="DN523" s="944"/>
      <c r="DO523" s="944"/>
    </row>
    <row r="524" spans="112:119" x14ac:dyDescent="0.2">
      <c r="DH524" s="944">
        <v>0</v>
      </c>
      <c r="DI524" s="944">
        <v>0</v>
      </c>
      <c r="DJ524" s="944"/>
      <c r="DN524" s="944"/>
      <c r="DO524" s="944"/>
    </row>
    <row r="525" spans="112:119" x14ac:dyDescent="0.2">
      <c r="DH525" s="944">
        <v>0</v>
      </c>
      <c r="DI525" s="944">
        <v>0</v>
      </c>
      <c r="DJ525" s="944"/>
      <c r="DN525" s="944"/>
      <c r="DO525" s="944"/>
    </row>
    <row r="526" spans="112:119" x14ac:dyDescent="0.2">
      <c r="DH526" s="944">
        <v>0</v>
      </c>
      <c r="DI526" s="944">
        <v>0</v>
      </c>
      <c r="DJ526" s="944"/>
      <c r="DN526" s="944"/>
      <c r="DO526" s="944"/>
    </row>
    <row r="527" spans="112:119" x14ac:dyDescent="0.2">
      <c r="DH527" s="944">
        <v>0</v>
      </c>
      <c r="DI527" s="944">
        <v>0</v>
      </c>
      <c r="DJ527" s="944"/>
      <c r="DN527" s="944"/>
      <c r="DO527" s="944"/>
    </row>
    <row r="528" spans="112:119" x14ac:dyDescent="0.2">
      <c r="DH528" s="944">
        <v>0</v>
      </c>
      <c r="DI528" s="944">
        <v>0</v>
      </c>
      <c r="DJ528" s="944"/>
      <c r="DN528" s="944"/>
      <c r="DO528" s="944"/>
    </row>
    <row r="529" spans="112:119" x14ac:dyDescent="0.2">
      <c r="DH529" s="944">
        <v>0</v>
      </c>
      <c r="DI529" s="944">
        <v>0</v>
      </c>
      <c r="DJ529" s="944"/>
      <c r="DN529" s="944"/>
      <c r="DO529" s="944"/>
    </row>
    <row r="530" spans="112:119" x14ac:dyDescent="0.2">
      <c r="DH530" s="944">
        <v>0</v>
      </c>
      <c r="DI530" s="944">
        <v>0</v>
      </c>
      <c r="DJ530" s="944"/>
      <c r="DN530" s="944"/>
      <c r="DO530" s="944"/>
    </row>
    <row r="531" spans="112:119" x14ac:dyDescent="0.2">
      <c r="DH531" s="944">
        <v>0</v>
      </c>
      <c r="DI531" s="944">
        <v>0</v>
      </c>
      <c r="DJ531" s="944"/>
      <c r="DN531" s="944"/>
      <c r="DO531" s="944"/>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0022" r:id="rId4" name="Button 566">
              <controlPr defaultSize="0" print="0" autoFill="0" autoPict="0" macro="[0]!Button566_Click">
                <anchor moveWithCells="1">
                  <from>
                    <xdr:col>32</xdr:col>
                    <xdr:colOff>314325</xdr:colOff>
                    <xdr:row>4</xdr:row>
                    <xdr:rowOff>123825</xdr:rowOff>
                  </from>
                  <to>
                    <xdr:col>33</xdr:col>
                    <xdr:colOff>381000</xdr:colOff>
                    <xdr:row>6</xdr:row>
                    <xdr:rowOff>76200</xdr:rowOff>
                  </to>
                </anchor>
              </controlPr>
            </control>
          </mc:Choice>
        </mc:AlternateContent>
      </controls>
    </mc:Choice>
  </mc:AlternateConten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BY262"/>
  <sheetViews>
    <sheetView workbookViewId="0">
      <selection activeCell="K11" sqref="K11:K130"/>
    </sheetView>
  </sheetViews>
  <sheetFormatPr defaultRowHeight="12.75" x14ac:dyDescent="0.2"/>
  <cols>
    <col min="1" max="1" width="21.85546875" style="383" customWidth="1"/>
    <col min="2" max="2" width="13.85546875" style="519" customWidth="1"/>
    <col min="3" max="3" width="11.85546875" style="562" customWidth="1"/>
    <col min="4" max="4" width="11.7109375" style="557" customWidth="1"/>
    <col min="5" max="5" width="10.28515625" style="554" customWidth="1"/>
    <col min="6" max="6" width="12.42578125" style="562" customWidth="1"/>
    <col min="7" max="7" width="13.28515625" style="554" customWidth="1"/>
    <col min="8" max="8" width="10.28515625" style="557" customWidth="1"/>
    <col min="9" max="9" width="9.140625" style="562"/>
    <col min="10" max="10" width="9.140625" style="438"/>
    <col min="11" max="11" width="9.140625" style="554"/>
    <col min="12" max="12" width="9.140625" style="562"/>
    <col min="13" max="13" width="9.140625" style="557"/>
    <col min="14" max="14" width="9.85546875" style="562" customWidth="1"/>
    <col min="15" max="15" width="10" style="557" customWidth="1"/>
    <col min="16" max="16" width="9.7109375" style="562" customWidth="1"/>
    <col min="17" max="17" width="10.5703125" style="557" customWidth="1"/>
    <col min="18" max="18" width="10.7109375" style="562" customWidth="1"/>
    <col min="19" max="19" width="11.140625" style="557" customWidth="1"/>
    <col min="20" max="20" width="13.28515625" style="578" customWidth="1"/>
    <col min="21" max="21" width="11.85546875" style="578" customWidth="1"/>
    <col min="22" max="22" width="13.28515625" style="578" customWidth="1"/>
    <col min="23" max="23" width="12.7109375" style="548" customWidth="1"/>
    <col min="24" max="24" width="10.42578125" style="438" customWidth="1"/>
    <col min="25" max="25" width="13.5703125" style="553" customWidth="1"/>
    <col min="26" max="26" width="9.7109375" style="438" customWidth="1"/>
    <col min="27" max="27" width="11.140625" style="438" customWidth="1"/>
    <col min="28" max="29" width="9.140625" style="438"/>
    <col min="30" max="30" width="14.5703125" style="438" customWidth="1"/>
    <col min="31" max="31" width="9.140625" style="438"/>
    <col min="32" max="32" width="14.42578125" style="438" customWidth="1"/>
    <col min="33" max="77" width="9.140625" style="438"/>
  </cols>
  <sheetData>
    <row r="1" spans="1:77" x14ac:dyDescent="0.2">
      <c r="A1" s="515" t="s">
        <v>1365</v>
      </c>
      <c r="B1" s="516"/>
    </row>
    <row r="2" spans="1:77" x14ac:dyDescent="0.2">
      <c r="A2" s="515" t="s">
        <v>374</v>
      </c>
      <c r="B2" s="516"/>
    </row>
    <row r="3" spans="1:77" x14ac:dyDescent="0.2">
      <c r="A3" s="515" t="s">
        <v>1370</v>
      </c>
      <c r="B3" s="516"/>
    </row>
    <row r="4" spans="1:77" x14ac:dyDescent="0.2">
      <c r="A4" s="515"/>
      <c r="B4" s="516"/>
      <c r="D4" s="558"/>
      <c r="T4" s="635" t="s">
        <v>789</v>
      </c>
    </row>
    <row r="5" spans="1:77" x14ac:dyDescent="0.2">
      <c r="A5" s="515" t="s">
        <v>375</v>
      </c>
      <c r="B5" s="516"/>
      <c r="D5" s="558"/>
      <c r="T5" s="635">
        <f>SUM(T11:T130)</f>
        <v>792789348.90014172</v>
      </c>
    </row>
    <row r="6" spans="1:77" x14ac:dyDescent="0.2">
      <c r="A6" s="515" t="s">
        <v>376</v>
      </c>
      <c r="B6" s="516"/>
      <c r="D6" s="558"/>
      <c r="AA6" s="888" t="s">
        <v>614</v>
      </c>
      <c r="AB6" s="888"/>
    </row>
    <row r="7" spans="1:77" x14ac:dyDescent="0.2">
      <c r="A7" s="515"/>
      <c r="B7" s="516"/>
      <c r="V7" s="582"/>
      <c r="AA7" s="520" t="s">
        <v>769</v>
      </c>
      <c r="AB7" s="520"/>
    </row>
    <row r="8" spans="1:77" s="517" customFormat="1" x14ac:dyDescent="0.2">
      <c r="B8" s="518"/>
      <c r="C8" s="550" t="s">
        <v>769</v>
      </c>
      <c r="D8" s="549" t="s">
        <v>769</v>
      </c>
      <c r="E8" s="533" t="s">
        <v>769</v>
      </c>
      <c r="F8" s="550" t="s">
        <v>772</v>
      </c>
      <c r="G8" s="549" t="s">
        <v>219</v>
      </c>
      <c r="H8" s="533" t="s">
        <v>772</v>
      </c>
      <c r="I8" s="550" t="s">
        <v>774</v>
      </c>
      <c r="J8" s="549" t="s">
        <v>774</v>
      </c>
      <c r="K8" s="533" t="s">
        <v>774</v>
      </c>
      <c r="L8" s="550" t="s">
        <v>1467</v>
      </c>
      <c r="M8" s="549" t="s">
        <v>1467</v>
      </c>
      <c r="N8" s="550" t="s">
        <v>1470</v>
      </c>
      <c r="O8" s="549" t="s">
        <v>1470</v>
      </c>
      <c r="P8" s="550" t="s">
        <v>1471</v>
      </c>
      <c r="Q8" s="549" t="s">
        <v>1471</v>
      </c>
      <c r="R8" s="550" t="s">
        <v>1473</v>
      </c>
      <c r="S8" s="549" t="s">
        <v>1473</v>
      </c>
      <c r="T8" s="579" t="s">
        <v>770</v>
      </c>
      <c r="U8" s="533" t="s">
        <v>771</v>
      </c>
      <c r="V8" s="579" t="s">
        <v>220</v>
      </c>
      <c r="W8" s="603" t="s">
        <v>409</v>
      </c>
      <c r="X8" s="604"/>
      <c r="Y8" s="605" t="s">
        <v>410</v>
      </c>
      <c r="Z8" s="520"/>
      <c r="AA8" s="520" t="s">
        <v>1480</v>
      </c>
      <c r="AB8" s="520" t="s">
        <v>1480</v>
      </c>
      <c r="AC8" s="520"/>
      <c r="AD8" s="922" t="s">
        <v>1132</v>
      </c>
      <c r="AE8" s="520"/>
      <c r="AF8" s="520"/>
      <c r="AG8" s="520"/>
      <c r="AH8" s="520"/>
      <c r="AI8" s="520"/>
      <c r="AJ8" s="520"/>
      <c r="AK8" s="520"/>
      <c r="AL8" s="520"/>
      <c r="AM8" s="520"/>
      <c r="AN8" s="520"/>
      <c r="AO8" s="520"/>
      <c r="AP8" s="520"/>
      <c r="AQ8" s="520"/>
      <c r="AR8" s="520"/>
      <c r="AS8" s="520"/>
      <c r="AT8" s="520"/>
      <c r="AU8" s="520"/>
      <c r="AV8" s="520"/>
      <c r="AW8" s="520"/>
      <c r="AX8" s="520"/>
      <c r="AY8" s="520"/>
      <c r="AZ8" s="520"/>
      <c r="BA8" s="520"/>
      <c r="BB8" s="520"/>
      <c r="BC8" s="520"/>
      <c r="BD8" s="520"/>
      <c r="BE8" s="520"/>
      <c r="BF8" s="520"/>
      <c r="BG8" s="520"/>
      <c r="BH8" s="520"/>
      <c r="BI8" s="520"/>
      <c r="BJ8" s="520"/>
      <c r="BK8" s="520"/>
      <c r="BL8" s="520"/>
      <c r="BM8" s="520"/>
      <c r="BN8" s="520"/>
      <c r="BO8" s="520"/>
      <c r="BP8" s="520"/>
      <c r="BQ8" s="520"/>
      <c r="BR8" s="520"/>
      <c r="BS8" s="520"/>
      <c r="BT8" s="520"/>
      <c r="BU8" s="520"/>
      <c r="BV8" s="520"/>
      <c r="BW8" s="520"/>
      <c r="BX8" s="520"/>
      <c r="BY8" s="520"/>
    </row>
    <row r="9" spans="1:77" s="517" customFormat="1" x14ac:dyDescent="0.2">
      <c r="A9" s="517" t="s">
        <v>383</v>
      </c>
      <c r="B9" s="518" t="s">
        <v>384</v>
      </c>
      <c r="C9" s="550" t="s">
        <v>770</v>
      </c>
      <c r="D9" s="549" t="s">
        <v>389</v>
      </c>
      <c r="E9" s="533" t="s">
        <v>390</v>
      </c>
      <c r="F9" s="550" t="s">
        <v>770</v>
      </c>
      <c r="G9" s="549" t="s">
        <v>389</v>
      </c>
      <c r="H9" s="533" t="s">
        <v>390</v>
      </c>
      <c r="I9" s="550" t="s">
        <v>770</v>
      </c>
      <c r="J9" s="549" t="s">
        <v>389</v>
      </c>
      <c r="K9" s="533" t="s">
        <v>390</v>
      </c>
      <c r="L9" s="550" t="s">
        <v>1468</v>
      </c>
      <c r="M9" s="549" t="s">
        <v>1468</v>
      </c>
      <c r="N9" s="550" t="s">
        <v>770</v>
      </c>
      <c r="O9" s="549" t="s">
        <v>771</v>
      </c>
      <c r="P9" s="550" t="s">
        <v>1472</v>
      </c>
      <c r="Q9" s="549" t="s">
        <v>1472</v>
      </c>
      <c r="R9" s="550" t="s">
        <v>1472</v>
      </c>
      <c r="S9" s="549" t="s">
        <v>1472</v>
      </c>
      <c r="T9" s="606">
        <f>XNPV(Breakout!$C$5,T10:T130,$B$10:$B$130)</f>
        <v>427526374.60148185</v>
      </c>
      <c r="U9" s="533" t="s">
        <v>221</v>
      </c>
      <c r="V9" s="579" t="s">
        <v>222</v>
      </c>
      <c r="W9" s="606">
        <f>XNPV(Breakout!$C$5,W10:W130,$B$10:$B$130)</f>
        <v>10689639.891219173</v>
      </c>
      <c r="X9" s="606"/>
      <c r="Y9" s="606">
        <f>XNPV(Breakout!$C$5,Y10:Y130,$B$10:$B$130)</f>
        <v>10562523.397349052</v>
      </c>
      <c r="Z9" s="520"/>
      <c r="AA9" s="520" t="s">
        <v>769</v>
      </c>
      <c r="AB9" s="520" t="s">
        <v>772</v>
      </c>
      <c r="AC9" s="520"/>
      <c r="AD9" s="606">
        <f>XNPV(Breakout!$C$5,AD10:AD130,$B$10:$B$130)</f>
        <v>1275000</v>
      </c>
      <c r="AE9" s="520"/>
      <c r="AF9" s="520"/>
      <c r="AG9" s="520"/>
      <c r="AH9" s="520"/>
      <c r="AI9" s="520"/>
      <c r="AJ9" s="520"/>
      <c r="AK9" s="520"/>
      <c r="AL9" s="520"/>
      <c r="AM9" s="520"/>
      <c r="AN9" s="520"/>
      <c r="AO9" s="520"/>
      <c r="AP9" s="520"/>
      <c r="AQ9" s="520"/>
      <c r="AR9" s="520"/>
      <c r="AS9" s="520"/>
      <c r="AT9" s="520"/>
      <c r="AU9" s="520"/>
      <c r="AV9" s="520"/>
      <c r="AW9" s="520"/>
      <c r="AX9" s="520"/>
      <c r="AY9" s="520"/>
      <c r="AZ9" s="520"/>
      <c r="BA9" s="520"/>
      <c r="BB9" s="520"/>
      <c r="BC9" s="520"/>
      <c r="BD9" s="520"/>
      <c r="BE9" s="520"/>
      <c r="BF9" s="520"/>
      <c r="BG9" s="520"/>
      <c r="BH9" s="520"/>
      <c r="BI9" s="520"/>
      <c r="BJ9" s="520"/>
      <c r="BK9" s="520"/>
      <c r="BL9" s="520"/>
      <c r="BM9" s="520"/>
      <c r="BN9" s="520"/>
      <c r="BO9" s="520"/>
      <c r="BP9" s="520"/>
      <c r="BQ9" s="520"/>
      <c r="BR9" s="520"/>
      <c r="BS9" s="520"/>
      <c r="BT9" s="520"/>
      <c r="BU9" s="520"/>
      <c r="BV9" s="520"/>
      <c r="BW9" s="520"/>
      <c r="BX9" s="520"/>
      <c r="BY9" s="520"/>
    </row>
    <row r="10" spans="1:77" s="517" customFormat="1" x14ac:dyDescent="0.2">
      <c r="B10" s="518">
        <v>36434</v>
      </c>
      <c r="C10" s="550"/>
      <c r="D10" s="549"/>
      <c r="E10" s="533"/>
      <c r="F10" s="550"/>
      <c r="G10" s="533"/>
      <c r="H10" s="549"/>
      <c r="I10" s="550"/>
      <c r="J10" s="549"/>
      <c r="K10" s="533"/>
      <c r="L10" s="550"/>
      <c r="M10" s="549"/>
      <c r="N10" s="550"/>
      <c r="O10" s="549"/>
      <c r="P10" s="550"/>
      <c r="Q10" s="549"/>
      <c r="R10" s="550"/>
      <c r="S10" s="549"/>
      <c r="T10" s="579">
        <v>0</v>
      </c>
      <c r="U10" s="579"/>
      <c r="V10" s="579"/>
      <c r="W10" s="548">
        <f>T10-V10-AD10</f>
        <v>-1275000</v>
      </c>
      <c r="X10" s="520"/>
      <c r="Y10" s="553">
        <f>T10-U10-AD10</f>
        <v>-1275000</v>
      </c>
      <c r="Z10" s="520"/>
      <c r="AA10" s="520" t="s">
        <v>1481</v>
      </c>
      <c r="AB10" s="520" t="s">
        <v>1482</v>
      </c>
      <c r="AC10" s="520"/>
      <c r="AD10" s="520">
        <v>1275000</v>
      </c>
      <c r="AE10" s="520"/>
      <c r="AF10" s="520"/>
      <c r="AG10" s="520"/>
      <c r="AH10" s="520"/>
      <c r="AI10" s="520"/>
      <c r="AJ10" s="520"/>
      <c r="AK10" s="520"/>
      <c r="AL10" s="520"/>
      <c r="AM10" s="520"/>
      <c r="AN10" s="520"/>
      <c r="AO10" s="520"/>
      <c r="AP10" s="520"/>
      <c r="AQ10" s="520"/>
      <c r="AR10" s="520"/>
      <c r="AS10" s="520"/>
      <c r="AT10" s="520"/>
      <c r="AU10" s="520"/>
      <c r="AV10" s="520"/>
      <c r="AW10" s="520"/>
      <c r="AX10" s="520"/>
      <c r="AY10" s="520"/>
      <c r="AZ10" s="520"/>
      <c r="BA10" s="520"/>
      <c r="BB10" s="520"/>
      <c r="BC10" s="520"/>
      <c r="BD10" s="520"/>
      <c r="BE10" s="520"/>
      <c r="BF10" s="520"/>
      <c r="BG10" s="520"/>
      <c r="BH10" s="520"/>
      <c r="BI10" s="520"/>
      <c r="BJ10" s="520"/>
      <c r="BK10" s="520"/>
      <c r="BL10" s="520"/>
      <c r="BM10" s="520"/>
      <c r="BN10" s="520"/>
      <c r="BO10" s="520"/>
      <c r="BP10" s="520"/>
      <c r="BQ10" s="520"/>
      <c r="BR10" s="520"/>
      <c r="BS10" s="520"/>
      <c r="BT10" s="520"/>
      <c r="BU10" s="520"/>
      <c r="BV10" s="520"/>
      <c r="BW10" s="520"/>
      <c r="BX10" s="520"/>
      <c r="BY10" s="520"/>
    </row>
    <row r="11" spans="1:77" x14ac:dyDescent="0.2">
      <c r="A11" s="383">
        <v>1</v>
      </c>
      <c r="B11" s="519">
        <v>36526</v>
      </c>
      <c r="C11" s="562">
        <f>Breakout!$C$136/12</f>
        <v>5235693.3936029682</v>
      </c>
      <c r="D11" s="557">
        <f>Breakout!$C$137/12</f>
        <v>4209108.166666666</v>
      </c>
      <c r="E11" s="557">
        <v>4209108.166666666</v>
      </c>
      <c r="F11" s="562">
        <f>Breakout!$C$143/12</f>
        <v>108854.08588578011</v>
      </c>
      <c r="G11" s="557">
        <f>Breakout!$C$144/12</f>
        <v>88897.503473387085</v>
      </c>
      <c r="H11" s="557">
        <v>90711.738238150079</v>
      </c>
      <c r="I11" s="562">
        <v>0</v>
      </c>
      <c r="J11" s="438">
        <v>0</v>
      </c>
      <c r="K11" s="438">
        <v>0</v>
      </c>
      <c r="L11" s="562">
        <v>0</v>
      </c>
      <c r="M11" s="557">
        <f>Breakout!$C$151/12</f>
        <v>46600.088581928256</v>
      </c>
      <c r="N11" s="562">
        <f>Breakout!$C$157/12</f>
        <v>0</v>
      </c>
      <c r="O11" s="557">
        <f>Breakout!$C$158/12</f>
        <v>42674.073792974588</v>
      </c>
      <c r="P11" s="562">
        <f>Breakout!$C$164/12</f>
        <v>0</v>
      </c>
      <c r="Q11" s="557">
        <f>Breakout!$C$165/12</f>
        <v>0</v>
      </c>
      <c r="R11" s="562">
        <f>Breakout!$C$171/12</f>
        <v>0</v>
      </c>
      <c r="S11" s="557">
        <f>Breakout!$C$172/12</f>
        <v>1020960.2117525785</v>
      </c>
      <c r="T11" s="578">
        <f>C11+F11+I11+L11+N11+P11+R11</f>
        <v>5344547.4794887481</v>
      </c>
      <c r="U11" s="554">
        <f>E11+H11+K11+M11+O11+Q11+S11</f>
        <v>5410054.2790322974</v>
      </c>
      <c r="V11" s="578">
        <f>D11+G11+J11+M11+O11+Q11+S11</f>
        <v>5408240.0442675343</v>
      </c>
      <c r="W11" s="548">
        <f t="shared" ref="W11:W74" si="0">T11-V11-AD11</f>
        <v>-63692.564778786153</v>
      </c>
      <c r="Y11" s="553">
        <f t="shared" ref="Y11:Y74" si="1">T11-U11-AD11</f>
        <v>-65506.799543549307</v>
      </c>
      <c r="AA11" s="557">
        <f>'power redistribution'!$C$32/12</f>
        <v>58459835.648148142</v>
      </c>
      <c r="AB11" s="557">
        <f>'power redistribution'!$D$32/12</f>
        <v>15466.666666666666</v>
      </c>
      <c r="AD11" s="438">
        <v>0</v>
      </c>
    </row>
    <row r="12" spans="1:77" x14ac:dyDescent="0.2">
      <c r="A12" s="383">
        <v>2</v>
      </c>
      <c r="B12" s="519">
        <v>36557</v>
      </c>
      <c r="C12" s="562">
        <f>Breakout!$C$136/12</f>
        <v>5235693.3936029682</v>
      </c>
      <c r="D12" s="557">
        <f>Breakout!$C$137/12</f>
        <v>4209108.166666666</v>
      </c>
      <c r="E12" s="557">
        <v>4209108.166666666</v>
      </c>
      <c r="F12" s="562">
        <f>Breakout!$C$143/12</f>
        <v>108854.08588578011</v>
      </c>
      <c r="G12" s="557">
        <f>Breakout!$C$144/12</f>
        <v>88897.503473387085</v>
      </c>
      <c r="H12" s="557">
        <v>90711.738238150079</v>
      </c>
      <c r="I12" s="562">
        <v>0</v>
      </c>
      <c r="J12" s="438">
        <v>0</v>
      </c>
      <c r="K12" s="438">
        <v>0</v>
      </c>
      <c r="L12" s="562">
        <v>0</v>
      </c>
      <c r="M12" s="557">
        <f>Breakout!$C$151/12</f>
        <v>46600.088581928256</v>
      </c>
      <c r="N12" s="562">
        <f>Breakout!$C$157/12</f>
        <v>0</v>
      </c>
      <c r="O12" s="557">
        <f>Breakout!$C$158/12</f>
        <v>42674.073792974588</v>
      </c>
      <c r="P12" s="562">
        <f>Breakout!$C$164/12</f>
        <v>0</v>
      </c>
      <c r="Q12" s="557">
        <f>Breakout!$C$165/12</f>
        <v>0</v>
      </c>
      <c r="R12" s="562">
        <f>Breakout!$C$171/12</f>
        <v>0</v>
      </c>
      <c r="S12" s="557">
        <f>Breakout!$C$172/12</f>
        <v>1020960.2117525785</v>
      </c>
      <c r="T12" s="578">
        <f t="shared" ref="T12:T75" si="2">C12+F12+I12+L12+N12+P12+R12</f>
        <v>5344547.4794887481</v>
      </c>
      <c r="U12" s="554">
        <f t="shared" ref="U12:U75" si="3">E12+H12+K12+M12+O12+Q12+S12</f>
        <v>5410054.2790322974</v>
      </c>
      <c r="V12" s="578">
        <f t="shared" ref="V12:V75" si="4">D12+G12+J12+M12+O12+Q12+S12</f>
        <v>5408240.0442675343</v>
      </c>
      <c r="W12" s="548">
        <f t="shared" si="0"/>
        <v>-63692.564778786153</v>
      </c>
      <c r="Y12" s="553">
        <f t="shared" si="1"/>
        <v>-65506.799543549307</v>
      </c>
      <c r="AA12" s="557">
        <f>'power redistribution'!$C$32/12</f>
        <v>58459835.648148142</v>
      </c>
      <c r="AB12" s="557">
        <f>'power redistribution'!$D$32/12</f>
        <v>15466.666666666666</v>
      </c>
      <c r="AD12" s="438">
        <v>0</v>
      </c>
    </row>
    <row r="13" spans="1:77" x14ac:dyDescent="0.2">
      <c r="A13" s="383">
        <v>3</v>
      </c>
      <c r="B13" s="519">
        <v>36586</v>
      </c>
      <c r="C13" s="562">
        <f>Breakout!$C$136/12</f>
        <v>5235693.3936029682</v>
      </c>
      <c r="D13" s="557">
        <f>Breakout!$C$137/12</f>
        <v>4209108.166666666</v>
      </c>
      <c r="E13" s="557">
        <v>4209108.166666666</v>
      </c>
      <c r="F13" s="562">
        <f>Breakout!$C$143/12</f>
        <v>108854.08588578011</v>
      </c>
      <c r="G13" s="557">
        <f>Breakout!$C$144/12</f>
        <v>88897.503473387085</v>
      </c>
      <c r="H13" s="557">
        <v>90711.738238150079</v>
      </c>
      <c r="I13" s="562">
        <v>0</v>
      </c>
      <c r="J13" s="438">
        <v>0</v>
      </c>
      <c r="K13" s="438">
        <v>0</v>
      </c>
      <c r="L13" s="562">
        <v>0</v>
      </c>
      <c r="M13" s="557">
        <f>Breakout!$C$151/12</f>
        <v>46600.088581928256</v>
      </c>
      <c r="N13" s="562">
        <f>Breakout!$C$157/12</f>
        <v>0</v>
      </c>
      <c r="O13" s="557">
        <f>Breakout!$C$158/12</f>
        <v>42674.073792974588</v>
      </c>
      <c r="P13" s="562">
        <f>Breakout!$C$164/12</f>
        <v>0</v>
      </c>
      <c r="Q13" s="557">
        <f>Breakout!$C$165/12</f>
        <v>0</v>
      </c>
      <c r="R13" s="562">
        <f>Breakout!$C$171/12</f>
        <v>0</v>
      </c>
      <c r="S13" s="557">
        <f>Breakout!$C$172/12</f>
        <v>1020960.2117525785</v>
      </c>
      <c r="T13" s="578">
        <f t="shared" si="2"/>
        <v>5344547.4794887481</v>
      </c>
      <c r="U13" s="554">
        <f t="shared" si="3"/>
        <v>5410054.2790322974</v>
      </c>
      <c r="V13" s="578">
        <f t="shared" si="4"/>
        <v>5408240.0442675343</v>
      </c>
      <c r="W13" s="548">
        <f t="shared" si="0"/>
        <v>-63692.564778786153</v>
      </c>
      <c r="Y13" s="553">
        <f t="shared" si="1"/>
        <v>-65506.799543549307</v>
      </c>
      <c r="AA13" s="557">
        <f>'power redistribution'!$C$32/12</f>
        <v>58459835.648148142</v>
      </c>
      <c r="AB13" s="557">
        <f>'power redistribution'!$D$32/12</f>
        <v>15466.666666666666</v>
      </c>
      <c r="AD13" s="438">
        <v>0</v>
      </c>
    </row>
    <row r="14" spans="1:77" x14ac:dyDescent="0.2">
      <c r="A14" s="383">
        <v>4</v>
      </c>
      <c r="B14" s="519">
        <v>36617</v>
      </c>
      <c r="C14" s="562">
        <f>Breakout!$C$136/12</f>
        <v>5235693.3936029682</v>
      </c>
      <c r="D14" s="557">
        <f>Breakout!$C$137/12</f>
        <v>4209108.166666666</v>
      </c>
      <c r="E14" s="557">
        <v>4209108.166666666</v>
      </c>
      <c r="F14" s="562">
        <f>Breakout!$C$143/12</f>
        <v>108854.08588578011</v>
      </c>
      <c r="G14" s="557">
        <f>Breakout!$C$144/12</f>
        <v>88897.503473387085</v>
      </c>
      <c r="H14" s="557">
        <v>90711.738238150079</v>
      </c>
      <c r="I14" s="562">
        <v>0</v>
      </c>
      <c r="J14" s="438">
        <v>0</v>
      </c>
      <c r="K14" s="438">
        <v>0</v>
      </c>
      <c r="L14" s="562">
        <v>0</v>
      </c>
      <c r="M14" s="557">
        <f>Breakout!$C$151/12</f>
        <v>46600.088581928256</v>
      </c>
      <c r="N14" s="562">
        <f>Breakout!$C$157/12</f>
        <v>0</v>
      </c>
      <c r="O14" s="557">
        <f>Breakout!$C$158/12</f>
        <v>42674.073792974588</v>
      </c>
      <c r="P14" s="562">
        <f>Breakout!$C$164/12</f>
        <v>0</v>
      </c>
      <c r="Q14" s="557">
        <f>Breakout!$C$165/12</f>
        <v>0</v>
      </c>
      <c r="R14" s="562">
        <f>Breakout!$C$171/12</f>
        <v>0</v>
      </c>
      <c r="S14" s="557">
        <f>Breakout!$C$172/12</f>
        <v>1020960.2117525785</v>
      </c>
      <c r="T14" s="578">
        <f t="shared" si="2"/>
        <v>5344547.4794887481</v>
      </c>
      <c r="U14" s="554">
        <f t="shared" si="3"/>
        <v>5410054.2790322974</v>
      </c>
      <c r="V14" s="578">
        <f t="shared" si="4"/>
        <v>5408240.0442675343</v>
      </c>
      <c r="W14" s="548">
        <f t="shared" si="0"/>
        <v>-63692.564778786153</v>
      </c>
      <c r="Y14" s="553">
        <f t="shared" si="1"/>
        <v>-65506.799543549307</v>
      </c>
      <c r="AA14" s="557">
        <f>'power redistribution'!$C$32/12</f>
        <v>58459835.648148142</v>
      </c>
      <c r="AB14" s="557">
        <f>'power redistribution'!$D$32/12</f>
        <v>15466.666666666666</v>
      </c>
      <c r="AD14" s="438">
        <v>0</v>
      </c>
    </row>
    <row r="15" spans="1:77" x14ac:dyDescent="0.2">
      <c r="A15" s="383">
        <v>5</v>
      </c>
      <c r="B15" s="519">
        <v>36647</v>
      </c>
      <c r="C15" s="562">
        <f>Breakout!$C$136/12</f>
        <v>5235693.3936029682</v>
      </c>
      <c r="D15" s="557">
        <f>Breakout!$C$137/12</f>
        <v>4209108.166666666</v>
      </c>
      <c r="E15" s="557">
        <v>4209108.166666666</v>
      </c>
      <c r="F15" s="562">
        <f>Breakout!$C$143/12</f>
        <v>108854.08588578011</v>
      </c>
      <c r="G15" s="557">
        <f>Breakout!$C$144/12</f>
        <v>88897.503473387085</v>
      </c>
      <c r="H15" s="557">
        <v>90711.738238150079</v>
      </c>
      <c r="I15" s="562">
        <v>0</v>
      </c>
      <c r="J15" s="438">
        <v>0</v>
      </c>
      <c r="K15" s="438">
        <v>0</v>
      </c>
      <c r="L15" s="562">
        <v>0</v>
      </c>
      <c r="M15" s="557">
        <f>Breakout!$C$151/12</f>
        <v>46600.088581928256</v>
      </c>
      <c r="N15" s="562">
        <f>Breakout!$C$157/12</f>
        <v>0</v>
      </c>
      <c r="O15" s="557">
        <f>Breakout!$C$158/12</f>
        <v>42674.073792974588</v>
      </c>
      <c r="P15" s="562">
        <f>Breakout!$C$164/12</f>
        <v>0</v>
      </c>
      <c r="Q15" s="557">
        <f>Breakout!$C$165/12</f>
        <v>0</v>
      </c>
      <c r="R15" s="562">
        <f>Breakout!$C$171/12</f>
        <v>0</v>
      </c>
      <c r="S15" s="557">
        <f>Breakout!$C$172/12</f>
        <v>1020960.2117525785</v>
      </c>
      <c r="T15" s="578">
        <f t="shared" si="2"/>
        <v>5344547.4794887481</v>
      </c>
      <c r="U15" s="554">
        <f t="shared" si="3"/>
        <v>5410054.2790322974</v>
      </c>
      <c r="V15" s="578">
        <f t="shared" si="4"/>
        <v>5408240.0442675343</v>
      </c>
      <c r="W15" s="548">
        <f t="shared" si="0"/>
        <v>-63692.564778786153</v>
      </c>
      <c r="Y15" s="553">
        <f t="shared" si="1"/>
        <v>-65506.799543549307</v>
      </c>
      <c r="AA15" s="557">
        <f>'power redistribution'!$C$32/12</f>
        <v>58459835.648148142</v>
      </c>
      <c r="AB15" s="557">
        <f>'power redistribution'!$D$32/12</f>
        <v>15466.666666666666</v>
      </c>
      <c r="AD15" s="438">
        <v>0</v>
      </c>
    </row>
    <row r="16" spans="1:77" x14ac:dyDescent="0.2">
      <c r="A16" s="383">
        <v>6</v>
      </c>
      <c r="B16" s="519">
        <v>36678</v>
      </c>
      <c r="C16" s="562">
        <f>Breakout!$C$136/12</f>
        <v>5235693.3936029682</v>
      </c>
      <c r="D16" s="557">
        <f>Breakout!$C$137/12</f>
        <v>4209108.166666666</v>
      </c>
      <c r="E16" s="557">
        <v>4209108.166666666</v>
      </c>
      <c r="F16" s="562">
        <f>Breakout!$C$143/12</f>
        <v>108854.08588578011</v>
      </c>
      <c r="G16" s="557">
        <f>Breakout!$C$144/12</f>
        <v>88897.503473387085</v>
      </c>
      <c r="H16" s="557">
        <v>90711.738238150079</v>
      </c>
      <c r="I16" s="562">
        <v>0</v>
      </c>
      <c r="J16" s="438">
        <v>0</v>
      </c>
      <c r="K16" s="438">
        <v>0</v>
      </c>
      <c r="L16" s="562">
        <v>0</v>
      </c>
      <c r="M16" s="557">
        <f>Breakout!$C$151/12</f>
        <v>46600.088581928256</v>
      </c>
      <c r="N16" s="562">
        <f>Breakout!$C$157/12</f>
        <v>0</v>
      </c>
      <c r="O16" s="557">
        <f>Breakout!$C$158/12</f>
        <v>42674.073792974588</v>
      </c>
      <c r="P16" s="562">
        <f>Breakout!$C$164/12</f>
        <v>0</v>
      </c>
      <c r="Q16" s="557">
        <f>Breakout!$C$165/12</f>
        <v>0</v>
      </c>
      <c r="R16" s="562">
        <f>Breakout!$C$171/12</f>
        <v>0</v>
      </c>
      <c r="S16" s="557">
        <f>Breakout!$C$172/12</f>
        <v>1020960.2117525785</v>
      </c>
      <c r="T16" s="578">
        <f t="shared" si="2"/>
        <v>5344547.4794887481</v>
      </c>
      <c r="U16" s="554">
        <f t="shared" si="3"/>
        <v>5410054.2790322974</v>
      </c>
      <c r="V16" s="578">
        <f t="shared" si="4"/>
        <v>5408240.0442675343</v>
      </c>
      <c r="W16" s="548">
        <f t="shared" si="0"/>
        <v>-63692.564778786153</v>
      </c>
      <c r="Y16" s="553">
        <f t="shared" si="1"/>
        <v>-65506.799543549307</v>
      </c>
      <c r="AA16" s="557">
        <f>'power redistribution'!$C$32/12</f>
        <v>58459835.648148142</v>
      </c>
      <c r="AB16" s="557">
        <f>'power redistribution'!$D$32/12</f>
        <v>15466.666666666666</v>
      </c>
      <c r="AD16" s="438">
        <v>0</v>
      </c>
    </row>
    <row r="17" spans="1:77" x14ac:dyDescent="0.2">
      <c r="A17" s="383">
        <v>7</v>
      </c>
      <c r="B17" s="519">
        <v>36708</v>
      </c>
      <c r="C17" s="562">
        <f>Breakout!$C$136/12</f>
        <v>5235693.3936029682</v>
      </c>
      <c r="D17" s="557">
        <f>Breakout!$C$137/12</f>
        <v>4209108.166666666</v>
      </c>
      <c r="E17" s="557">
        <v>4209108.166666666</v>
      </c>
      <c r="F17" s="562">
        <f>Breakout!$C$143/12</f>
        <v>108854.08588578011</v>
      </c>
      <c r="G17" s="557">
        <f>Breakout!$C$144/12</f>
        <v>88897.503473387085</v>
      </c>
      <c r="H17" s="557">
        <v>90711.738238150079</v>
      </c>
      <c r="I17" s="562">
        <v>0</v>
      </c>
      <c r="J17" s="438">
        <v>0</v>
      </c>
      <c r="K17" s="438">
        <v>0</v>
      </c>
      <c r="L17" s="562">
        <v>0</v>
      </c>
      <c r="M17" s="557">
        <f>Breakout!$C$151/12</f>
        <v>46600.088581928256</v>
      </c>
      <c r="N17" s="562">
        <f>Breakout!$C$157/12</f>
        <v>0</v>
      </c>
      <c r="O17" s="557">
        <f>Breakout!$C$158/12</f>
        <v>42674.073792974588</v>
      </c>
      <c r="P17" s="562">
        <f>Breakout!$C$164/12</f>
        <v>0</v>
      </c>
      <c r="Q17" s="557">
        <f>Breakout!$C$165/12</f>
        <v>0</v>
      </c>
      <c r="R17" s="562">
        <f>Breakout!$C$171/12</f>
        <v>0</v>
      </c>
      <c r="S17" s="557">
        <f>Breakout!$C$172/12</f>
        <v>1020960.2117525785</v>
      </c>
      <c r="T17" s="578">
        <f t="shared" si="2"/>
        <v>5344547.4794887481</v>
      </c>
      <c r="U17" s="554">
        <f t="shared" si="3"/>
        <v>5410054.2790322974</v>
      </c>
      <c r="V17" s="578">
        <f t="shared" si="4"/>
        <v>5408240.0442675343</v>
      </c>
      <c r="W17" s="548">
        <f t="shared" si="0"/>
        <v>-63692.564778786153</v>
      </c>
      <c r="Y17" s="553">
        <f t="shared" si="1"/>
        <v>-65506.799543549307</v>
      </c>
      <c r="AA17" s="557">
        <f>'power redistribution'!$C$32/12</f>
        <v>58459835.648148142</v>
      </c>
      <c r="AB17" s="557">
        <f>'power redistribution'!$D$32/12</f>
        <v>15466.666666666666</v>
      </c>
      <c r="AD17" s="438">
        <v>0</v>
      </c>
    </row>
    <row r="18" spans="1:77" x14ac:dyDescent="0.2">
      <c r="A18" s="383">
        <v>8</v>
      </c>
      <c r="B18" s="519">
        <v>36739</v>
      </c>
      <c r="C18" s="562">
        <f>Breakout!$C$136/12</f>
        <v>5235693.3936029682</v>
      </c>
      <c r="D18" s="557">
        <f>Breakout!$C$137/12</f>
        <v>4209108.166666666</v>
      </c>
      <c r="E18" s="557">
        <v>4209108.166666666</v>
      </c>
      <c r="F18" s="562">
        <f>Breakout!$C$143/12</f>
        <v>108854.08588578011</v>
      </c>
      <c r="G18" s="557">
        <f>Breakout!$C$144/12</f>
        <v>88897.503473387085</v>
      </c>
      <c r="H18" s="557">
        <v>90711.738238150079</v>
      </c>
      <c r="I18" s="562">
        <v>0</v>
      </c>
      <c r="J18" s="438">
        <v>0</v>
      </c>
      <c r="K18" s="438">
        <v>0</v>
      </c>
      <c r="L18" s="562">
        <v>0</v>
      </c>
      <c r="M18" s="557">
        <f>Breakout!$C$151/12</f>
        <v>46600.088581928256</v>
      </c>
      <c r="N18" s="562">
        <f>Breakout!$C$157/12</f>
        <v>0</v>
      </c>
      <c r="O18" s="557">
        <f>Breakout!$C$158/12</f>
        <v>42674.073792974588</v>
      </c>
      <c r="P18" s="562">
        <f>Breakout!$C$164/12</f>
        <v>0</v>
      </c>
      <c r="Q18" s="557">
        <f>Breakout!$C$165/12</f>
        <v>0</v>
      </c>
      <c r="R18" s="562">
        <f>Breakout!$C$171/12</f>
        <v>0</v>
      </c>
      <c r="S18" s="557">
        <f>Breakout!$C$172/12</f>
        <v>1020960.2117525785</v>
      </c>
      <c r="T18" s="578">
        <f t="shared" si="2"/>
        <v>5344547.4794887481</v>
      </c>
      <c r="U18" s="554">
        <f t="shared" si="3"/>
        <v>5410054.2790322974</v>
      </c>
      <c r="V18" s="578">
        <f t="shared" si="4"/>
        <v>5408240.0442675343</v>
      </c>
      <c r="W18" s="548">
        <f t="shared" si="0"/>
        <v>-63692.564778786153</v>
      </c>
      <c r="Y18" s="553">
        <f t="shared" si="1"/>
        <v>-65506.799543549307</v>
      </c>
      <c r="AA18" s="557">
        <f>'power redistribution'!$C$32/12</f>
        <v>58459835.648148142</v>
      </c>
      <c r="AB18" s="557">
        <f>'power redistribution'!$D$32/12</f>
        <v>15466.666666666666</v>
      </c>
      <c r="AD18" s="438">
        <v>0</v>
      </c>
    </row>
    <row r="19" spans="1:77" x14ac:dyDescent="0.2">
      <c r="A19" s="383">
        <v>9</v>
      </c>
      <c r="B19" s="519">
        <v>36770</v>
      </c>
      <c r="C19" s="562">
        <f>Breakout!$C$136/12</f>
        <v>5235693.3936029682</v>
      </c>
      <c r="D19" s="557">
        <f>Breakout!$C$137/12</f>
        <v>4209108.166666666</v>
      </c>
      <c r="E19" s="557">
        <v>4209108.166666666</v>
      </c>
      <c r="F19" s="562">
        <f>Breakout!$C$143/12</f>
        <v>108854.08588578011</v>
      </c>
      <c r="G19" s="557">
        <f>Breakout!$C$144/12</f>
        <v>88897.503473387085</v>
      </c>
      <c r="H19" s="557">
        <v>90711.738238150079</v>
      </c>
      <c r="I19" s="562">
        <v>0</v>
      </c>
      <c r="J19" s="438">
        <v>0</v>
      </c>
      <c r="K19" s="438">
        <v>0</v>
      </c>
      <c r="L19" s="562">
        <v>0</v>
      </c>
      <c r="M19" s="557">
        <f>Breakout!$C$151/12</f>
        <v>46600.088581928256</v>
      </c>
      <c r="N19" s="562">
        <f>Breakout!$C$157/12</f>
        <v>0</v>
      </c>
      <c r="O19" s="557">
        <f>Breakout!$C$158/12</f>
        <v>42674.073792974588</v>
      </c>
      <c r="P19" s="562">
        <f>Breakout!$C$164/12</f>
        <v>0</v>
      </c>
      <c r="Q19" s="557">
        <f>Breakout!$C$165/12</f>
        <v>0</v>
      </c>
      <c r="R19" s="562">
        <f>Breakout!$C$171/12</f>
        <v>0</v>
      </c>
      <c r="S19" s="557">
        <f>Breakout!$C$172/12</f>
        <v>1020960.2117525785</v>
      </c>
      <c r="T19" s="578">
        <f t="shared" si="2"/>
        <v>5344547.4794887481</v>
      </c>
      <c r="U19" s="554">
        <f t="shared" si="3"/>
        <v>5410054.2790322974</v>
      </c>
      <c r="V19" s="578">
        <f t="shared" si="4"/>
        <v>5408240.0442675343</v>
      </c>
      <c r="W19" s="548">
        <f t="shared" si="0"/>
        <v>-63692.564778786153</v>
      </c>
      <c r="Y19" s="553">
        <f t="shared" si="1"/>
        <v>-65506.799543549307</v>
      </c>
      <c r="AA19" s="557">
        <f>'power redistribution'!$C$32/12</f>
        <v>58459835.648148142</v>
      </c>
      <c r="AB19" s="557">
        <f>'power redistribution'!$D$32/12</f>
        <v>15466.666666666666</v>
      </c>
      <c r="AD19" s="438">
        <v>0</v>
      </c>
    </row>
    <row r="20" spans="1:77" x14ac:dyDescent="0.2">
      <c r="A20" s="383">
        <v>10</v>
      </c>
      <c r="B20" s="519">
        <v>36800</v>
      </c>
      <c r="C20" s="562">
        <f>Breakout!$C$136/12</f>
        <v>5235693.3936029682</v>
      </c>
      <c r="D20" s="557">
        <f>Breakout!$C$137/12</f>
        <v>4209108.166666666</v>
      </c>
      <c r="E20" s="557">
        <v>4209108.166666666</v>
      </c>
      <c r="F20" s="562">
        <f>Breakout!$C$143/12</f>
        <v>108854.08588578011</v>
      </c>
      <c r="G20" s="557">
        <f>Breakout!$C$144/12</f>
        <v>88897.503473387085</v>
      </c>
      <c r="H20" s="557">
        <v>90711.738238150079</v>
      </c>
      <c r="I20" s="562">
        <v>0</v>
      </c>
      <c r="J20" s="438">
        <v>0</v>
      </c>
      <c r="K20" s="438">
        <v>0</v>
      </c>
      <c r="L20" s="562">
        <v>0</v>
      </c>
      <c r="M20" s="557">
        <f>Breakout!$C$151/12</f>
        <v>46600.088581928256</v>
      </c>
      <c r="N20" s="562">
        <f>Breakout!$C$157/12</f>
        <v>0</v>
      </c>
      <c r="O20" s="557">
        <f>Breakout!$C$158/12</f>
        <v>42674.073792974588</v>
      </c>
      <c r="P20" s="562">
        <f>Breakout!$C$164/12</f>
        <v>0</v>
      </c>
      <c r="Q20" s="557">
        <f>Breakout!$C$165/12</f>
        <v>0</v>
      </c>
      <c r="R20" s="562">
        <f>Breakout!$C$171/12</f>
        <v>0</v>
      </c>
      <c r="S20" s="557">
        <f>Breakout!$C$172/12</f>
        <v>1020960.2117525785</v>
      </c>
      <c r="T20" s="578">
        <f t="shared" si="2"/>
        <v>5344547.4794887481</v>
      </c>
      <c r="U20" s="554">
        <f t="shared" si="3"/>
        <v>5410054.2790322974</v>
      </c>
      <c r="V20" s="578">
        <f t="shared" si="4"/>
        <v>5408240.0442675343</v>
      </c>
      <c r="W20" s="548">
        <f t="shared" si="0"/>
        <v>-63692.564778786153</v>
      </c>
      <c r="Y20" s="553">
        <f t="shared" si="1"/>
        <v>-65506.799543549307</v>
      </c>
      <c r="AA20" s="557">
        <f>'power redistribution'!$C$32/12</f>
        <v>58459835.648148142</v>
      </c>
      <c r="AB20" s="557">
        <f>'power redistribution'!$D$32/12</f>
        <v>15466.666666666666</v>
      </c>
      <c r="AD20" s="438">
        <v>0</v>
      </c>
    </row>
    <row r="21" spans="1:77" x14ac:dyDescent="0.2">
      <c r="A21" s="383">
        <v>11</v>
      </c>
      <c r="B21" s="519">
        <v>36831</v>
      </c>
      <c r="C21" s="562">
        <f>Breakout!$C$136/12</f>
        <v>5235693.3936029682</v>
      </c>
      <c r="D21" s="557">
        <f>Breakout!$C$137/12</f>
        <v>4209108.166666666</v>
      </c>
      <c r="E21" s="557">
        <v>4209108.166666666</v>
      </c>
      <c r="F21" s="562">
        <f>Breakout!$C$143/12</f>
        <v>108854.08588578011</v>
      </c>
      <c r="G21" s="557">
        <f>Breakout!$C$144/12</f>
        <v>88897.503473387085</v>
      </c>
      <c r="H21" s="557">
        <v>90711.738238150079</v>
      </c>
      <c r="I21" s="562">
        <v>0</v>
      </c>
      <c r="J21" s="438">
        <v>0</v>
      </c>
      <c r="K21" s="438">
        <v>0</v>
      </c>
      <c r="L21" s="562">
        <v>0</v>
      </c>
      <c r="M21" s="557">
        <f>Breakout!$C$151/12</f>
        <v>46600.088581928256</v>
      </c>
      <c r="N21" s="562">
        <f>Breakout!$C$157/12</f>
        <v>0</v>
      </c>
      <c r="O21" s="557">
        <f>Breakout!$C$158/12</f>
        <v>42674.073792974588</v>
      </c>
      <c r="P21" s="562">
        <f>Breakout!$C$164/12</f>
        <v>0</v>
      </c>
      <c r="Q21" s="557">
        <f>Breakout!$C$165/12</f>
        <v>0</v>
      </c>
      <c r="R21" s="562">
        <f>Breakout!$C$171/12</f>
        <v>0</v>
      </c>
      <c r="S21" s="557">
        <f>Breakout!$C$172/12</f>
        <v>1020960.2117525785</v>
      </c>
      <c r="T21" s="578">
        <f t="shared" si="2"/>
        <v>5344547.4794887481</v>
      </c>
      <c r="U21" s="554">
        <f t="shared" si="3"/>
        <v>5410054.2790322974</v>
      </c>
      <c r="V21" s="578">
        <f t="shared" si="4"/>
        <v>5408240.0442675343</v>
      </c>
      <c r="W21" s="548">
        <f t="shared" si="0"/>
        <v>-63692.564778786153</v>
      </c>
      <c r="Y21" s="553">
        <f t="shared" si="1"/>
        <v>-65506.799543549307</v>
      </c>
      <c r="AA21" s="557">
        <f>'power redistribution'!$C$32/12</f>
        <v>58459835.648148142</v>
      </c>
      <c r="AB21" s="557">
        <f>'power redistribution'!$D$32/12</f>
        <v>15466.666666666666</v>
      </c>
      <c r="AD21" s="438">
        <v>0</v>
      </c>
    </row>
    <row r="22" spans="1:77" s="525" customFormat="1" x14ac:dyDescent="0.2">
      <c r="A22" s="521">
        <v>12</v>
      </c>
      <c r="B22" s="522">
        <v>36861</v>
      </c>
      <c r="C22" s="563">
        <f>Breakout!$C$136/12</f>
        <v>5235693.3936029682</v>
      </c>
      <c r="D22" s="561">
        <f>Breakout!$C$137/12</f>
        <v>4209108.166666666</v>
      </c>
      <c r="E22" s="561">
        <v>4209108.166666666</v>
      </c>
      <c r="F22" s="563">
        <f>Breakout!$C$143/12</f>
        <v>108854.08588578011</v>
      </c>
      <c r="G22" s="561">
        <f>Breakout!$C$144/12</f>
        <v>88897.503473387085</v>
      </c>
      <c r="H22" s="561">
        <v>90711.738238150079</v>
      </c>
      <c r="I22" s="562">
        <v>0</v>
      </c>
      <c r="J22" s="438">
        <v>0</v>
      </c>
      <c r="K22" s="438">
        <v>0</v>
      </c>
      <c r="L22" s="562">
        <v>0</v>
      </c>
      <c r="M22" s="561">
        <f>Breakout!$C$151/12</f>
        <v>46600.088581928256</v>
      </c>
      <c r="N22" s="563">
        <f>Breakout!$C$157/12</f>
        <v>0</v>
      </c>
      <c r="O22" s="561">
        <f>Breakout!$C$158/12</f>
        <v>42674.073792974588</v>
      </c>
      <c r="P22" s="563">
        <f>Breakout!$C$164/12</f>
        <v>0</v>
      </c>
      <c r="Q22" s="561">
        <f>Breakout!$C$165/12</f>
        <v>0</v>
      </c>
      <c r="R22" s="563">
        <f>Breakout!$C$171/12</f>
        <v>0</v>
      </c>
      <c r="S22" s="561">
        <f>Breakout!$C$172/12</f>
        <v>1020960.2117525785</v>
      </c>
      <c r="T22" s="578">
        <f t="shared" si="2"/>
        <v>5344547.4794887481</v>
      </c>
      <c r="U22" s="554">
        <f t="shared" si="3"/>
        <v>5410054.2790322974</v>
      </c>
      <c r="V22" s="578">
        <f t="shared" si="4"/>
        <v>5408240.0442675343</v>
      </c>
      <c r="W22" s="548">
        <f t="shared" si="0"/>
        <v>-63692.564778786153</v>
      </c>
      <c r="X22" s="524">
        <f>SUM(W11:W22)</f>
        <v>-764310.77734543383</v>
      </c>
      <c r="Y22" s="553">
        <f t="shared" si="1"/>
        <v>-65506.799543549307</v>
      </c>
      <c r="Z22" s="524">
        <f>SUM(Y11:Y22)</f>
        <v>-786081.59452259168</v>
      </c>
      <c r="AA22" s="557">
        <f>'power redistribution'!$C$32/12</f>
        <v>58459835.648148142</v>
      </c>
      <c r="AB22" s="557">
        <f>'power redistribution'!$D$32/12</f>
        <v>15466.666666666666</v>
      </c>
      <c r="AC22" s="524"/>
      <c r="AD22" s="438">
        <v>0</v>
      </c>
      <c r="AE22" s="524"/>
      <c r="AF22" s="524"/>
      <c r="AG22" s="524"/>
      <c r="AH22" s="524"/>
      <c r="AI22" s="524"/>
      <c r="AJ22" s="524"/>
      <c r="AK22" s="524"/>
      <c r="AL22" s="524"/>
      <c r="AM22" s="524"/>
      <c r="AN22" s="524"/>
      <c r="AO22" s="524"/>
      <c r="AP22" s="524"/>
      <c r="AQ22" s="524"/>
      <c r="AR22" s="524"/>
      <c r="AS22" s="524"/>
      <c r="AT22" s="524"/>
      <c r="AU22" s="524"/>
      <c r="AV22" s="524"/>
      <c r="AW22" s="524"/>
      <c r="AX22" s="524"/>
      <c r="AY22" s="524"/>
      <c r="AZ22" s="524"/>
      <c r="BA22" s="524"/>
      <c r="BB22" s="524"/>
      <c r="BC22" s="524"/>
      <c r="BD22" s="524"/>
      <c r="BE22" s="524"/>
      <c r="BF22" s="524"/>
      <c r="BG22" s="524"/>
      <c r="BH22" s="524"/>
      <c r="BI22" s="524"/>
      <c r="BJ22" s="524"/>
      <c r="BK22" s="524"/>
      <c r="BL22" s="524"/>
      <c r="BM22" s="524"/>
      <c r="BN22" s="524"/>
      <c r="BO22" s="524"/>
      <c r="BP22" s="524"/>
      <c r="BQ22" s="524"/>
      <c r="BR22" s="524"/>
      <c r="BS22" s="524"/>
      <c r="BT22" s="524"/>
      <c r="BU22" s="524"/>
      <c r="BV22" s="524"/>
      <c r="BW22" s="524"/>
      <c r="BX22" s="524"/>
      <c r="BY22" s="524"/>
    </row>
    <row r="23" spans="1:77" x14ac:dyDescent="0.2">
      <c r="A23" s="383">
        <v>13</v>
      </c>
      <c r="B23" s="519">
        <v>36892</v>
      </c>
      <c r="C23" s="562">
        <f>Breakout!$D$136/12</f>
        <v>5819355.5581615297</v>
      </c>
      <c r="D23" s="557">
        <f>Breakout!$D$137/12</f>
        <v>4691679.138888889</v>
      </c>
      <c r="E23" s="557">
        <v>4691679.138888889</v>
      </c>
      <c r="F23" s="562">
        <f>Breakout!$D$143/12</f>
        <v>109206.06494249978</v>
      </c>
      <c r="G23" s="557">
        <f>Breakout!$D$144/12</f>
        <v>89184.95303637482</v>
      </c>
      <c r="H23" s="557">
        <v>91005.054118749817</v>
      </c>
      <c r="I23" s="562">
        <v>0</v>
      </c>
      <c r="J23" s="438">
        <v>0</v>
      </c>
      <c r="K23" s="438">
        <v>0</v>
      </c>
      <c r="L23" s="562">
        <v>0</v>
      </c>
      <c r="M23" s="557">
        <f>Breakout!$D$151/12</f>
        <v>51794.95132992274</v>
      </c>
      <c r="N23" s="562">
        <f>Breakout!$D$157/12</f>
        <v>0</v>
      </c>
      <c r="O23" s="557">
        <f>Breakout!$D$158/12</f>
        <v>26912.921577610785</v>
      </c>
      <c r="P23" s="562">
        <f>Breakout!$D$164/12</f>
        <v>0</v>
      </c>
      <c r="Q23" s="557">
        <f>Breakout!$D$165/12</f>
        <v>0</v>
      </c>
      <c r="R23" s="562">
        <f>Breakout!$D$171/12</f>
        <v>0</v>
      </c>
      <c r="S23" s="557">
        <f>Breakout!$D$172/12</f>
        <v>1134774.3338414982</v>
      </c>
      <c r="T23" s="578">
        <f t="shared" si="2"/>
        <v>5928561.6231040293</v>
      </c>
      <c r="U23" s="554">
        <f t="shared" si="3"/>
        <v>5996166.39975667</v>
      </c>
      <c r="V23" s="578">
        <f t="shared" si="4"/>
        <v>5994346.2986742947</v>
      </c>
      <c r="W23" s="548">
        <f t="shared" si="0"/>
        <v>-65784.67557026539</v>
      </c>
      <c r="Y23" s="553">
        <f t="shared" si="1"/>
        <v>-67604.776652640663</v>
      </c>
      <c r="AA23" s="557">
        <f>'power redistribution'!$C$32/12</f>
        <v>58459835.648148142</v>
      </c>
      <c r="AB23" s="557">
        <f>'power redistribution'!$D$32/12</f>
        <v>15466.666666666666</v>
      </c>
      <c r="AD23" s="438">
        <v>0</v>
      </c>
    </row>
    <row r="24" spans="1:77" x14ac:dyDescent="0.2">
      <c r="A24" s="383">
        <v>14</v>
      </c>
      <c r="B24" s="519">
        <v>36923</v>
      </c>
      <c r="C24" s="562">
        <f>Breakout!$D$136/12</f>
        <v>5819355.5581615297</v>
      </c>
      <c r="D24" s="557">
        <f>Breakout!$D$137/12</f>
        <v>4691679.138888889</v>
      </c>
      <c r="E24" s="557">
        <v>4691679.138888889</v>
      </c>
      <c r="F24" s="562">
        <f>Breakout!$D$143/12</f>
        <v>109206.06494249978</v>
      </c>
      <c r="G24" s="557">
        <f>Breakout!$D$144/12</f>
        <v>89184.95303637482</v>
      </c>
      <c r="H24" s="557">
        <v>91005.054118749817</v>
      </c>
      <c r="I24" s="562">
        <v>0</v>
      </c>
      <c r="J24" s="438">
        <v>0</v>
      </c>
      <c r="K24" s="438">
        <v>0</v>
      </c>
      <c r="L24" s="562">
        <v>0</v>
      </c>
      <c r="M24" s="557">
        <f>Breakout!$D$151/12</f>
        <v>51794.95132992274</v>
      </c>
      <c r="N24" s="562">
        <f>Breakout!$D$157/12</f>
        <v>0</v>
      </c>
      <c r="O24" s="557">
        <f>Breakout!$D$158/12</f>
        <v>26912.921577610785</v>
      </c>
      <c r="P24" s="562">
        <f>Breakout!$D$164/12</f>
        <v>0</v>
      </c>
      <c r="Q24" s="557">
        <f>Breakout!$D$165/12</f>
        <v>0</v>
      </c>
      <c r="R24" s="562">
        <f>Breakout!$D$171/12</f>
        <v>0</v>
      </c>
      <c r="S24" s="557">
        <f>Breakout!$D$172/12</f>
        <v>1134774.3338414982</v>
      </c>
      <c r="T24" s="578">
        <f t="shared" si="2"/>
        <v>5928561.6231040293</v>
      </c>
      <c r="U24" s="554">
        <f t="shared" si="3"/>
        <v>5996166.39975667</v>
      </c>
      <c r="V24" s="578">
        <f t="shared" si="4"/>
        <v>5994346.2986742947</v>
      </c>
      <c r="W24" s="548">
        <f t="shared" si="0"/>
        <v>-65784.67557026539</v>
      </c>
      <c r="Y24" s="553">
        <f t="shared" si="1"/>
        <v>-67604.776652640663</v>
      </c>
      <c r="AA24" s="557">
        <f>'power redistribution'!$C$32/12</f>
        <v>58459835.648148142</v>
      </c>
      <c r="AB24" s="557">
        <f>'power redistribution'!$D$32/12</f>
        <v>15466.666666666666</v>
      </c>
      <c r="AD24" s="438">
        <v>0</v>
      </c>
    </row>
    <row r="25" spans="1:77" x14ac:dyDescent="0.2">
      <c r="A25" s="383">
        <v>15</v>
      </c>
      <c r="B25" s="519">
        <v>36951</v>
      </c>
      <c r="C25" s="562">
        <f>Breakout!$D$136/12</f>
        <v>5819355.5581615297</v>
      </c>
      <c r="D25" s="557">
        <f>Breakout!$D$137/12</f>
        <v>4691679.138888889</v>
      </c>
      <c r="E25" s="557">
        <v>4691679.138888889</v>
      </c>
      <c r="F25" s="562">
        <f>Breakout!$D$143/12</f>
        <v>109206.06494249978</v>
      </c>
      <c r="G25" s="557">
        <f>Breakout!$D$144/12</f>
        <v>89184.95303637482</v>
      </c>
      <c r="H25" s="557">
        <v>91005.054118749817</v>
      </c>
      <c r="I25" s="562">
        <v>0</v>
      </c>
      <c r="J25" s="438">
        <v>0</v>
      </c>
      <c r="K25" s="438">
        <v>0</v>
      </c>
      <c r="L25" s="562">
        <v>0</v>
      </c>
      <c r="M25" s="557">
        <f>Breakout!$D$151/12</f>
        <v>51794.95132992274</v>
      </c>
      <c r="N25" s="562">
        <f>Breakout!$D$157/12</f>
        <v>0</v>
      </c>
      <c r="O25" s="557">
        <f>Breakout!$D$158/12</f>
        <v>26912.921577610785</v>
      </c>
      <c r="P25" s="562">
        <f>Breakout!$D$164/12</f>
        <v>0</v>
      </c>
      <c r="Q25" s="557">
        <f>Breakout!$D$165/12</f>
        <v>0</v>
      </c>
      <c r="R25" s="562">
        <f>Breakout!$D$171/12</f>
        <v>0</v>
      </c>
      <c r="S25" s="557">
        <f>Breakout!$D$172/12</f>
        <v>1134774.3338414982</v>
      </c>
      <c r="T25" s="578">
        <f t="shared" si="2"/>
        <v>5928561.6231040293</v>
      </c>
      <c r="U25" s="554">
        <f t="shared" si="3"/>
        <v>5996166.39975667</v>
      </c>
      <c r="V25" s="578">
        <f t="shared" si="4"/>
        <v>5994346.2986742947</v>
      </c>
      <c r="W25" s="548">
        <f t="shared" si="0"/>
        <v>-65784.67557026539</v>
      </c>
      <c r="Y25" s="553">
        <f t="shared" si="1"/>
        <v>-67604.776652640663</v>
      </c>
      <c r="AA25" s="557">
        <f>'power redistribution'!$C$32/12</f>
        <v>58459835.648148142</v>
      </c>
      <c r="AB25" s="557">
        <f>'power redistribution'!$D$32/12</f>
        <v>15466.666666666666</v>
      </c>
      <c r="AD25" s="438">
        <v>0</v>
      </c>
    </row>
    <row r="26" spans="1:77" x14ac:dyDescent="0.2">
      <c r="A26" s="383">
        <v>16</v>
      </c>
      <c r="B26" s="519">
        <v>36982</v>
      </c>
      <c r="C26" s="562">
        <f>Breakout!$D$136/12</f>
        <v>5819355.5581615297</v>
      </c>
      <c r="D26" s="557">
        <f>Breakout!$D$137/12</f>
        <v>4691679.138888889</v>
      </c>
      <c r="E26" s="557">
        <v>4691679.138888889</v>
      </c>
      <c r="F26" s="562">
        <f>Breakout!$D$143/12</f>
        <v>109206.06494249978</v>
      </c>
      <c r="G26" s="557">
        <f>Breakout!$D$144/12</f>
        <v>89184.95303637482</v>
      </c>
      <c r="H26" s="557">
        <v>91005.054118749817</v>
      </c>
      <c r="I26" s="562">
        <v>0</v>
      </c>
      <c r="J26" s="438">
        <v>0</v>
      </c>
      <c r="K26" s="438">
        <v>0</v>
      </c>
      <c r="L26" s="562">
        <v>0</v>
      </c>
      <c r="M26" s="557">
        <f>Breakout!$D$151/12</f>
        <v>51794.95132992274</v>
      </c>
      <c r="N26" s="562">
        <f>Breakout!$D$157/12</f>
        <v>0</v>
      </c>
      <c r="O26" s="557">
        <f>Breakout!$D$158/12</f>
        <v>26912.921577610785</v>
      </c>
      <c r="P26" s="562">
        <f>Breakout!$D$164/12</f>
        <v>0</v>
      </c>
      <c r="Q26" s="557">
        <f>Breakout!$D$165/12</f>
        <v>0</v>
      </c>
      <c r="R26" s="562">
        <f>Breakout!$D$171/12</f>
        <v>0</v>
      </c>
      <c r="S26" s="557">
        <f>Breakout!$D$172/12</f>
        <v>1134774.3338414982</v>
      </c>
      <c r="T26" s="578">
        <f t="shared" si="2"/>
        <v>5928561.6231040293</v>
      </c>
      <c r="U26" s="554">
        <f t="shared" si="3"/>
        <v>5996166.39975667</v>
      </c>
      <c r="V26" s="578">
        <f t="shared" si="4"/>
        <v>5994346.2986742947</v>
      </c>
      <c r="W26" s="548">
        <f t="shared" si="0"/>
        <v>-65784.67557026539</v>
      </c>
      <c r="Y26" s="553">
        <f t="shared" si="1"/>
        <v>-67604.776652640663</v>
      </c>
      <c r="AA26" s="557">
        <f>'power redistribution'!$C$32/12</f>
        <v>58459835.648148142</v>
      </c>
      <c r="AB26" s="557">
        <f>'power redistribution'!$D$32/12</f>
        <v>15466.666666666666</v>
      </c>
      <c r="AD26" s="438">
        <v>0</v>
      </c>
    </row>
    <row r="27" spans="1:77" x14ac:dyDescent="0.2">
      <c r="A27" s="383">
        <v>17</v>
      </c>
      <c r="B27" s="519">
        <v>37012</v>
      </c>
      <c r="C27" s="562">
        <f>Breakout!$D$136/12</f>
        <v>5819355.5581615297</v>
      </c>
      <c r="D27" s="557">
        <f>Breakout!$D$137/12</f>
        <v>4691679.138888889</v>
      </c>
      <c r="E27" s="557">
        <v>4691679.138888889</v>
      </c>
      <c r="F27" s="562">
        <f>Breakout!$D$143/12</f>
        <v>109206.06494249978</v>
      </c>
      <c r="G27" s="557">
        <f>Breakout!$D$144/12</f>
        <v>89184.95303637482</v>
      </c>
      <c r="H27" s="557">
        <v>91005.054118749817</v>
      </c>
      <c r="I27" s="562">
        <v>0</v>
      </c>
      <c r="J27" s="438">
        <v>0</v>
      </c>
      <c r="K27" s="438">
        <v>0</v>
      </c>
      <c r="L27" s="562">
        <v>0</v>
      </c>
      <c r="M27" s="557">
        <f>Breakout!$D$151/12</f>
        <v>51794.95132992274</v>
      </c>
      <c r="N27" s="562">
        <f>Breakout!$D$157/12</f>
        <v>0</v>
      </c>
      <c r="O27" s="557">
        <f>Breakout!$D$158/12</f>
        <v>26912.921577610785</v>
      </c>
      <c r="P27" s="562">
        <f>Breakout!$D$164/12</f>
        <v>0</v>
      </c>
      <c r="Q27" s="557">
        <f>Breakout!$D$165/12</f>
        <v>0</v>
      </c>
      <c r="R27" s="562">
        <f>Breakout!$D$171/12</f>
        <v>0</v>
      </c>
      <c r="S27" s="557">
        <f>Breakout!$D$172/12</f>
        <v>1134774.3338414982</v>
      </c>
      <c r="T27" s="578">
        <f t="shared" si="2"/>
        <v>5928561.6231040293</v>
      </c>
      <c r="U27" s="554">
        <f t="shared" si="3"/>
        <v>5996166.39975667</v>
      </c>
      <c r="V27" s="578">
        <f t="shared" si="4"/>
        <v>5994346.2986742947</v>
      </c>
      <c r="W27" s="548">
        <f t="shared" si="0"/>
        <v>-65784.67557026539</v>
      </c>
      <c r="Y27" s="553">
        <f t="shared" si="1"/>
        <v>-67604.776652640663</v>
      </c>
      <c r="AA27" s="557">
        <f>'power redistribution'!$C$32/12</f>
        <v>58459835.648148142</v>
      </c>
      <c r="AB27" s="557">
        <f>'power redistribution'!$D$32/12</f>
        <v>15466.666666666666</v>
      </c>
      <c r="AD27" s="438">
        <v>0</v>
      </c>
    </row>
    <row r="28" spans="1:77" x14ac:dyDescent="0.2">
      <c r="A28" s="383">
        <v>18</v>
      </c>
      <c r="B28" s="519">
        <v>37043</v>
      </c>
      <c r="C28" s="562">
        <f>Breakout!$D$136/12</f>
        <v>5819355.5581615297</v>
      </c>
      <c r="D28" s="557">
        <f>Breakout!$D$137/12</f>
        <v>4691679.138888889</v>
      </c>
      <c r="E28" s="557">
        <v>4691679.138888889</v>
      </c>
      <c r="F28" s="562">
        <f>Breakout!$D$143/12</f>
        <v>109206.06494249978</v>
      </c>
      <c r="G28" s="557">
        <f>Breakout!$D$144/12</f>
        <v>89184.95303637482</v>
      </c>
      <c r="H28" s="557">
        <v>91005.054118749817</v>
      </c>
      <c r="I28" s="562">
        <v>0</v>
      </c>
      <c r="J28" s="438">
        <v>0</v>
      </c>
      <c r="K28" s="438">
        <v>0</v>
      </c>
      <c r="L28" s="562">
        <v>0</v>
      </c>
      <c r="M28" s="557">
        <f>Breakout!$D$151/12</f>
        <v>51794.95132992274</v>
      </c>
      <c r="N28" s="562">
        <f>Breakout!$D$157/12</f>
        <v>0</v>
      </c>
      <c r="O28" s="557">
        <f>Breakout!$D$158/12</f>
        <v>26912.921577610785</v>
      </c>
      <c r="P28" s="562">
        <f>Breakout!$D$164/12</f>
        <v>0</v>
      </c>
      <c r="Q28" s="557">
        <f>Breakout!$D$165/12</f>
        <v>0</v>
      </c>
      <c r="R28" s="562">
        <f>Breakout!$D$171/12</f>
        <v>0</v>
      </c>
      <c r="S28" s="557">
        <f>Breakout!$D$172/12</f>
        <v>1134774.3338414982</v>
      </c>
      <c r="T28" s="578">
        <f t="shared" si="2"/>
        <v>5928561.6231040293</v>
      </c>
      <c r="U28" s="554">
        <f t="shared" si="3"/>
        <v>5996166.39975667</v>
      </c>
      <c r="V28" s="578">
        <f t="shared" si="4"/>
        <v>5994346.2986742947</v>
      </c>
      <c r="W28" s="548">
        <f t="shared" si="0"/>
        <v>-65784.67557026539</v>
      </c>
      <c r="Y28" s="553">
        <f t="shared" si="1"/>
        <v>-67604.776652640663</v>
      </c>
      <c r="AA28" s="557">
        <f>'power redistribution'!$C$32/12</f>
        <v>58459835.648148142</v>
      </c>
      <c r="AB28" s="557">
        <f>'power redistribution'!$D$32/12</f>
        <v>15466.666666666666</v>
      </c>
      <c r="AD28" s="438">
        <v>0</v>
      </c>
    </row>
    <row r="29" spans="1:77" x14ac:dyDescent="0.2">
      <c r="A29" s="383">
        <v>19</v>
      </c>
      <c r="B29" s="519">
        <v>37073</v>
      </c>
      <c r="C29" s="562">
        <f>Breakout!$D$136/12</f>
        <v>5819355.5581615297</v>
      </c>
      <c r="D29" s="557">
        <f>Breakout!$D$137/12</f>
        <v>4691679.138888889</v>
      </c>
      <c r="E29" s="557">
        <v>4691679.138888889</v>
      </c>
      <c r="F29" s="562">
        <f>Breakout!$D$143/12</f>
        <v>109206.06494249978</v>
      </c>
      <c r="G29" s="557">
        <f>Breakout!$D$144/12</f>
        <v>89184.95303637482</v>
      </c>
      <c r="H29" s="557">
        <v>91005.054118749817</v>
      </c>
      <c r="I29" s="562">
        <v>0</v>
      </c>
      <c r="J29" s="438">
        <v>0</v>
      </c>
      <c r="K29" s="438">
        <v>0</v>
      </c>
      <c r="L29" s="562">
        <v>0</v>
      </c>
      <c r="M29" s="557">
        <f>Breakout!$D$151/12</f>
        <v>51794.95132992274</v>
      </c>
      <c r="N29" s="562">
        <f>Breakout!$D$157/12</f>
        <v>0</v>
      </c>
      <c r="O29" s="557">
        <f>Breakout!$D$158/12</f>
        <v>26912.921577610785</v>
      </c>
      <c r="P29" s="562">
        <f>Breakout!$D$164/12</f>
        <v>0</v>
      </c>
      <c r="Q29" s="557">
        <f>Breakout!$D$165/12</f>
        <v>0</v>
      </c>
      <c r="R29" s="562">
        <f>Breakout!$D$171/12</f>
        <v>0</v>
      </c>
      <c r="S29" s="557">
        <f>Breakout!$D$172/12</f>
        <v>1134774.3338414982</v>
      </c>
      <c r="T29" s="578">
        <f t="shared" si="2"/>
        <v>5928561.6231040293</v>
      </c>
      <c r="U29" s="554">
        <f t="shared" si="3"/>
        <v>5996166.39975667</v>
      </c>
      <c r="V29" s="578">
        <f t="shared" si="4"/>
        <v>5994346.2986742947</v>
      </c>
      <c r="W29" s="548">
        <f t="shared" si="0"/>
        <v>-65784.67557026539</v>
      </c>
      <c r="Y29" s="553">
        <f t="shared" si="1"/>
        <v>-67604.776652640663</v>
      </c>
      <c r="AA29" s="557">
        <f>'power redistribution'!$C$32/12</f>
        <v>58459835.648148142</v>
      </c>
      <c r="AB29" s="557">
        <f>'power redistribution'!$D$32/12</f>
        <v>15466.666666666666</v>
      </c>
      <c r="AD29" s="438">
        <v>0</v>
      </c>
    </row>
    <row r="30" spans="1:77" x14ac:dyDescent="0.2">
      <c r="A30" s="383">
        <v>20</v>
      </c>
      <c r="B30" s="519">
        <v>37104</v>
      </c>
      <c r="C30" s="562">
        <f>Breakout!$D$136/12</f>
        <v>5819355.5581615297</v>
      </c>
      <c r="D30" s="557">
        <f>Breakout!$D$137/12</f>
        <v>4691679.138888889</v>
      </c>
      <c r="E30" s="557">
        <v>4691679.138888889</v>
      </c>
      <c r="F30" s="562">
        <f>Breakout!$D$143/12</f>
        <v>109206.06494249978</v>
      </c>
      <c r="G30" s="557">
        <f>Breakout!$D$144/12</f>
        <v>89184.95303637482</v>
      </c>
      <c r="H30" s="557">
        <v>91005.054118749817</v>
      </c>
      <c r="I30" s="562">
        <v>0</v>
      </c>
      <c r="J30" s="438">
        <v>0</v>
      </c>
      <c r="K30" s="438">
        <v>0</v>
      </c>
      <c r="L30" s="562">
        <v>0</v>
      </c>
      <c r="M30" s="557">
        <f>Breakout!$D$151/12</f>
        <v>51794.95132992274</v>
      </c>
      <c r="N30" s="562">
        <f>Breakout!$D$157/12</f>
        <v>0</v>
      </c>
      <c r="O30" s="557">
        <f>Breakout!$D$158/12</f>
        <v>26912.921577610785</v>
      </c>
      <c r="P30" s="562">
        <f>Breakout!$D$164/12</f>
        <v>0</v>
      </c>
      <c r="Q30" s="557">
        <f>Breakout!$D$165/12</f>
        <v>0</v>
      </c>
      <c r="R30" s="562">
        <f>Breakout!$D$171/12</f>
        <v>0</v>
      </c>
      <c r="S30" s="557">
        <f>Breakout!$D$172/12</f>
        <v>1134774.3338414982</v>
      </c>
      <c r="T30" s="578">
        <f t="shared" si="2"/>
        <v>5928561.6231040293</v>
      </c>
      <c r="U30" s="554">
        <f t="shared" si="3"/>
        <v>5996166.39975667</v>
      </c>
      <c r="V30" s="578">
        <f t="shared" si="4"/>
        <v>5994346.2986742947</v>
      </c>
      <c r="W30" s="548">
        <f t="shared" si="0"/>
        <v>-65784.67557026539</v>
      </c>
      <c r="Y30" s="553">
        <f t="shared" si="1"/>
        <v>-67604.776652640663</v>
      </c>
      <c r="AA30" s="557">
        <f>'power redistribution'!$C$32/12</f>
        <v>58459835.648148142</v>
      </c>
      <c r="AB30" s="557">
        <f>'power redistribution'!$D$32/12</f>
        <v>15466.666666666666</v>
      </c>
      <c r="AD30" s="438">
        <v>0</v>
      </c>
    </row>
    <row r="31" spans="1:77" x14ac:dyDescent="0.2">
      <c r="A31" s="383">
        <v>21</v>
      </c>
      <c r="B31" s="519">
        <v>37135</v>
      </c>
      <c r="C31" s="562">
        <f>Breakout!$D$136/12</f>
        <v>5819355.5581615297</v>
      </c>
      <c r="D31" s="557">
        <f>Breakout!$D$137/12</f>
        <v>4691679.138888889</v>
      </c>
      <c r="E31" s="557">
        <v>4691679.138888889</v>
      </c>
      <c r="F31" s="562">
        <f>Breakout!$D$143/12</f>
        <v>109206.06494249978</v>
      </c>
      <c r="G31" s="557">
        <f>Breakout!$D$144/12</f>
        <v>89184.95303637482</v>
      </c>
      <c r="H31" s="557">
        <v>91005.054118749817</v>
      </c>
      <c r="I31" s="562">
        <v>0</v>
      </c>
      <c r="J31" s="438">
        <v>0</v>
      </c>
      <c r="K31" s="438">
        <v>0</v>
      </c>
      <c r="L31" s="562">
        <v>0</v>
      </c>
      <c r="M31" s="557">
        <f>Breakout!$D$151/12</f>
        <v>51794.95132992274</v>
      </c>
      <c r="N31" s="562">
        <f>Breakout!$D$157/12</f>
        <v>0</v>
      </c>
      <c r="O31" s="557">
        <f>Breakout!$D$158/12</f>
        <v>26912.921577610785</v>
      </c>
      <c r="P31" s="562">
        <f>Breakout!$D$164/12</f>
        <v>0</v>
      </c>
      <c r="Q31" s="557">
        <f>Breakout!$D$165/12</f>
        <v>0</v>
      </c>
      <c r="R31" s="562">
        <f>Breakout!$D$171/12</f>
        <v>0</v>
      </c>
      <c r="S31" s="557">
        <f>Breakout!$D$172/12</f>
        <v>1134774.3338414982</v>
      </c>
      <c r="T31" s="578">
        <f t="shared" si="2"/>
        <v>5928561.6231040293</v>
      </c>
      <c r="U31" s="554">
        <f t="shared" si="3"/>
        <v>5996166.39975667</v>
      </c>
      <c r="V31" s="578">
        <f t="shared" si="4"/>
        <v>5994346.2986742947</v>
      </c>
      <c r="W31" s="548">
        <f t="shared" si="0"/>
        <v>-65784.67557026539</v>
      </c>
      <c r="Y31" s="553">
        <f t="shared" si="1"/>
        <v>-67604.776652640663</v>
      </c>
      <c r="AA31" s="557">
        <f>'power redistribution'!$C$32/12</f>
        <v>58459835.648148142</v>
      </c>
      <c r="AB31" s="557">
        <f>'power redistribution'!$D$32/12</f>
        <v>15466.666666666666</v>
      </c>
      <c r="AD31" s="438">
        <v>0</v>
      </c>
    </row>
    <row r="32" spans="1:77" x14ac:dyDescent="0.2">
      <c r="A32" s="383">
        <v>22</v>
      </c>
      <c r="B32" s="519">
        <v>37165</v>
      </c>
      <c r="C32" s="562">
        <f>Breakout!$D$136/12</f>
        <v>5819355.5581615297</v>
      </c>
      <c r="D32" s="557">
        <f>Breakout!$D$137/12</f>
        <v>4691679.138888889</v>
      </c>
      <c r="E32" s="557">
        <v>4691679.138888889</v>
      </c>
      <c r="F32" s="562">
        <f>Breakout!$D$143/12</f>
        <v>109206.06494249978</v>
      </c>
      <c r="G32" s="557">
        <f>Breakout!$D$144/12</f>
        <v>89184.95303637482</v>
      </c>
      <c r="H32" s="557">
        <v>91005.054118749817</v>
      </c>
      <c r="I32" s="562">
        <v>0</v>
      </c>
      <c r="J32" s="438">
        <v>0</v>
      </c>
      <c r="K32" s="438">
        <v>0</v>
      </c>
      <c r="L32" s="562">
        <v>0</v>
      </c>
      <c r="M32" s="557">
        <f>Breakout!$D$151/12</f>
        <v>51794.95132992274</v>
      </c>
      <c r="N32" s="562">
        <f>Breakout!$D$157/12</f>
        <v>0</v>
      </c>
      <c r="O32" s="557">
        <f>Breakout!$D$158/12</f>
        <v>26912.921577610785</v>
      </c>
      <c r="P32" s="562">
        <f>Breakout!$D$164/12</f>
        <v>0</v>
      </c>
      <c r="Q32" s="557">
        <f>Breakout!$D$165/12</f>
        <v>0</v>
      </c>
      <c r="R32" s="562">
        <f>Breakout!$D$171/12</f>
        <v>0</v>
      </c>
      <c r="S32" s="557">
        <f>Breakout!$D$172/12</f>
        <v>1134774.3338414982</v>
      </c>
      <c r="T32" s="578">
        <f t="shared" si="2"/>
        <v>5928561.6231040293</v>
      </c>
      <c r="U32" s="554">
        <f t="shared" si="3"/>
        <v>5996166.39975667</v>
      </c>
      <c r="V32" s="578">
        <f t="shared" si="4"/>
        <v>5994346.2986742947</v>
      </c>
      <c r="W32" s="548">
        <f t="shared" si="0"/>
        <v>-65784.67557026539</v>
      </c>
      <c r="Y32" s="553">
        <f t="shared" si="1"/>
        <v>-67604.776652640663</v>
      </c>
      <c r="AA32" s="557">
        <f>'power redistribution'!$C$32/12</f>
        <v>58459835.648148142</v>
      </c>
      <c r="AB32" s="557">
        <f>'power redistribution'!$D$32/12</f>
        <v>15466.666666666666</v>
      </c>
      <c r="AD32" s="438">
        <v>0</v>
      </c>
    </row>
    <row r="33" spans="1:77" x14ac:dyDescent="0.2">
      <c r="A33" s="383">
        <v>23</v>
      </c>
      <c r="B33" s="519">
        <v>37196</v>
      </c>
      <c r="C33" s="562">
        <f>Breakout!$D$136/12</f>
        <v>5819355.5581615297</v>
      </c>
      <c r="D33" s="557">
        <f>Breakout!$D$137/12</f>
        <v>4691679.138888889</v>
      </c>
      <c r="E33" s="557">
        <v>4691679.138888889</v>
      </c>
      <c r="F33" s="562">
        <f>Breakout!$D$143/12</f>
        <v>109206.06494249978</v>
      </c>
      <c r="G33" s="557">
        <f>Breakout!$D$144/12</f>
        <v>89184.95303637482</v>
      </c>
      <c r="H33" s="557">
        <v>91005.054118749817</v>
      </c>
      <c r="I33" s="562">
        <v>0</v>
      </c>
      <c r="J33" s="438">
        <v>0</v>
      </c>
      <c r="K33" s="438">
        <v>0</v>
      </c>
      <c r="L33" s="562">
        <v>0</v>
      </c>
      <c r="M33" s="557">
        <f>Breakout!$D$151/12</f>
        <v>51794.95132992274</v>
      </c>
      <c r="N33" s="562">
        <f>Breakout!$D$157/12</f>
        <v>0</v>
      </c>
      <c r="O33" s="557">
        <f>Breakout!$D$158/12</f>
        <v>26912.921577610785</v>
      </c>
      <c r="P33" s="562">
        <f>Breakout!$D$164/12</f>
        <v>0</v>
      </c>
      <c r="Q33" s="557">
        <f>Breakout!$D$165/12</f>
        <v>0</v>
      </c>
      <c r="R33" s="562">
        <f>Breakout!$D$171/12</f>
        <v>0</v>
      </c>
      <c r="S33" s="557">
        <f>Breakout!$D$172/12</f>
        <v>1134774.3338414982</v>
      </c>
      <c r="T33" s="578">
        <f t="shared" si="2"/>
        <v>5928561.6231040293</v>
      </c>
      <c r="U33" s="554">
        <f t="shared" si="3"/>
        <v>5996166.39975667</v>
      </c>
      <c r="V33" s="578">
        <f t="shared" si="4"/>
        <v>5994346.2986742947</v>
      </c>
      <c r="W33" s="548">
        <f t="shared" si="0"/>
        <v>-65784.67557026539</v>
      </c>
      <c r="Y33" s="553">
        <f t="shared" si="1"/>
        <v>-67604.776652640663</v>
      </c>
      <c r="AA33" s="557">
        <f>'power redistribution'!$C$32/12</f>
        <v>58459835.648148142</v>
      </c>
      <c r="AB33" s="557">
        <f>'power redistribution'!$D$32/12</f>
        <v>15466.666666666666</v>
      </c>
      <c r="AD33" s="438">
        <v>0</v>
      </c>
    </row>
    <row r="34" spans="1:77" s="404" customFormat="1" x14ac:dyDescent="0.2">
      <c r="A34" s="526">
        <v>24</v>
      </c>
      <c r="B34" s="527">
        <v>37226</v>
      </c>
      <c r="C34" s="562">
        <f>Breakout!$D$136/12</f>
        <v>5819355.5581615297</v>
      </c>
      <c r="D34" s="557">
        <f>Breakout!$D$137/12</f>
        <v>4691679.138888889</v>
      </c>
      <c r="E34" s="557">
        <v>4691679.138888889</v>
      </c>
      <c r="F34" s="562">
        <f>Breakout!$D$143/12</f>
        <v>109206.06494249978</v>
      </c>
      <c r="G34" s="557">
        <f>Breakout!$D$144/12</f>
        <v>89184.95303637482</v>
      </c>
      <c r="H34" s="557">
        <v>91005.054118749817</v>
      </c>
      <c r="I34" s="562">
        <v>0</v>
      </c>
      <c r="J34" s="438">
        <v>0</v>
      </c>
      <c r="K34" s="438">
        <v>0</v>
      </c>
      <c r="L34" s="562">
        <v>0</v>
      </c>
      <c r="M34" s="557">
        <f>Breakout!$D$151/12</f>
        <v>51794.95132992274</v>
      </c>
      <c r="N34" s="562">
        <f>Breakout!$D$157/12</f>
        <v>0</v>
      </c>
      <c r="O34" s="557">
        <f>Breakout!$D$158/12</f>
        <v>26912.921577610785</v>
      </c>
      <c r="P34" s="562">
        <f>Breakout!$D$164/12</f>
        <v>0</v>
      </c>
      <c r="Q34" s="557">
        <f>Breakout!$D$165/12</f>
        <v>0</v>
      </c>
      <c r="R34" s="562">
        <f>Breakout!$D$171/12</f>
        <v>0</v>
      </c>
      <c r="S34" s="557">
        <f>Breakout!$D$172/12</f>
        <v>1134774.3338414982</v>
      </c>
      <c r="T34" s="578">
        <f t="shared" si="2"/>
        <v>5928561.6231040293</v>
      </c>
      <c r="U34" s="554">
        <f t="shared" si="3"/>
        <v>5996166.39975667</v>
      </c>
      <c r="V34" s="578">
        <f t="shared" si="4"/>
        <v>5994346.2986742947</v>
      </c>
      <c r="W34" s="548">
        <f t="shared" si="0"/>
        <v>-65784.67557026539</v>
      </c>
      <c r="X34" s="524">
        <f>SUM(W23:W34)</f>
        <v>-789416.10684318468</v>
      </c>
      <c r="Y34" s="553">
        <f t="shared" si="1"/>
        <v>-67604.776652640663</v>
      </c>
      <c r="Z34" s="524">
        <f>SUM(Y23:Y34)</f>
        <v>-811257.31983168796</v>
      </c>
      <c r="AA34" s="557">
        <f>'power redistribution'!$C$32/12</f>
        <v>58459835.648148142</v>
      </c>
      <c r="AB34" s="557">
        <f>'power redistribution'!$D$32/12</f>
        <v>15466.666666666666</v>
      </c>
      <c r="AC34" s="438"/>
      <c r="AD34" s="438">
        <v>0</v>
      </c>
      <c r="AE34" s="438"/>
      <c r="AF34" s="496"/>
      <c r="AG34" s="496"/>
      <c r="AH34" s="496"/>
      <c r="AI34" s="496"/>
      <c r="AJ34" s="496"/>
      <c r="AK34" s="496"/>
      <c r="AL34" s="496"/>
      <c r="AM34" s="496"/>
      <c r="AN34" s="496"/>
      <c r="AO34" s="496"/>
      <c r="AP34" s="496"/>
      <c r="AQ34" s="496"/>
      <c r="AR34" s="496"/>
      <c r="AS34" s="496"/>
      <c r="AT34" s="496"/>
      <c r="AU34" s="496"/>
      <c r="AV34" s="496"/>
      <c r="AW34" s="496"/>
      <c r="AX34" s="496"/>
      <c r="AY34" s="496"/>
      <c r="AZ34" s="496"/>
      <c r="BA34" s="496"/>
      <c r="BB34" s="496"/>
      <c r="BC34" s="496"/>
      <c r="BD34" s="496"/>
      <c r="BE34" s="496"/>
      <c r="BF34" s="496"/>
      <c r="BG34" s="496"/>
      <c r="BH34" s="496"/>
      <c r="BI34" s="496"/>
      <c r="BJ34" s="496"/>
      <c r="BK34" s="496"/>
      <c r="BL34" s="496"/>
      <c r="BM34" s="496"/>
      <c r="BN34" s="496"/>
      <c r="BO34" s="496"/>
      <c r="BP34" s="496"/>
      <c r="BQ34" s="496"/>
      <c r="BR34" s="496"/>
      <c r="BS34" s="496"/>
      <c r="BT34" s="496"/>
      <c r="BU34" s="496"/>
      <c r="BV34" s="496"/>
      <c r="BW34" s="496"/>
      <c r="BX34" s="496"/>
      <c r="BY34" s="496"/>
    </row>
    <row r="35" spans="1:77" s="532" customFormat="1" x14ac:dyDescent="0.2">
      <c r="A35" s="528">
        <v>25</v>
      </c>
      <c r="B35" s="529">
        <v>37257</v>
      </c>
      <c r="C35" s="564">
        <f>Breakout!$E$136/12</f>
        <v>6512883.5419311142</v>
      </c>
      <c r="D35" s="560">
        <f>Breakout!$E$137/12</f>
        <v>5001832.6499999994</v>
      </c>
      <c r="E35" s="560">
        <v>5001832.6500000004</v>
      </c>
      <c r="F35" s="564">
        <f>Breakout!$E$143/12</f>
        <v>110419.40496799769</v>
      </c>
      <c r="G35" s="560">
        <f>Breakout!$E$144/12</f>
        <v>90175.847390531431</v>
      </c>
      <c r="H35" s="560">
        <v>92016.170806664741</v>
      </c>
      <c r="I35" s="562">
        <v>0</v>
      </c>
      <c r="J35" s="438">
        <v>0</v>
      </c>
      <c r="K35" s="438">
        <v>0</v>
      </c>
      <c r="L35" s="562">
        <v>0</v>
      </c>
      <c r="M35" s="560">
        <f>Breakout!$E$151/12</f>
        <v>57967.670595186792</v>
      </c>
      <c r="N35" s="564">
        <f>Breakout!$E$157/12</f>
        <v>0</v>
      </c>
      <c r="O35" s="560">
        <f>Breakout!$E$158/12</f>
        <v>28196.013339682297</v>
      </c>
      <c r="P35" s="564">
        <f>Breakout!$E$164/12</f>
        <v>0</v>
      </c>
      <c r="Q35" s="560">
        <f>Breakout!$E$165/12</f>
        <v>0</v>
      </c>
      <c r="R35" s="564">
        <f>Breakout!$E$171/12</f>
        <v>0</v>
      </c>
      <c r="S35" s="560">
        <f>Breakout!$E$172/12</f>
        <v>1270012.2906765675</v>
      </c>
      <c r="T35" s="578">
        <f t="shared" si="2"/>
        <v>6623302.9468991123</v>
      </c>
      <c r="U35" s="554">
        <f t="shared" si="3"/>
        <v>6450024.7954181023</v>
      </c>
      <c r="V35" s="578">
        <f t="shared" si="4"/>
        <v>6448184.472001968</v>
      </c>
      <c r="W35" s="548">
        <f t="shared" si="0"/>
        <v>175118.47489714436</v>
      </c>
      <c r="X35" s="531"/>
      <c r="Y35" s="553">
        <f t="shared" si="1"/>
        <v>173278.15148101002</v>
      </c>
      <c r="Z35" s="531"/>
      <c r="AA35" s="557">
        <f>'power redistribution'!$C$32/12</f>
        <v>58459835.648148142</v>
      </c>
      <c r="AB35" s="557">
        <f>'power redistribution'!$D$32/12</f>
        <v>15466.666666666666</v>
      </c>
      <c r="AC35" s="531"/>
      <c r="AD35" s="438">
        <v>0</v>
      </c>
      <c r="AE35" s="531"/>
      <c r="AF35" s="531"/>
      <c r="AG35" s="531"/>
      <c r="AH35" s="531"/>
      <c r="AI35" s="531"/>
      <c r="AJ35" s="531"/>
      <c r="AK35" s="531"/>
      <c r="AL35" s="531"/>
      <c r="AM35" s="531"/>
      <c r="AN35" s="531"/>
      <c r="AO35" s="531"/>
      <c r="AP35" s="531"/>
      <c r="AQ35" s="531"/>
      <c r="AR35" s="531"/>
      <c r="AS35" s="531"/>
      <c r="AT35" s="531"/>
      <c r="AU35" s="531"/>
      <c r="AV35" s="531"/>
      <c r="AW35" s="531"/>
      <c r="AX35" s="531"/>
      <c r="AY35" s="531"/>
      <c r="AZ35" s="531"/>
      <c r="BA35" s="531"/>
      <c r="BB35" s="531"/>
      <c r="BC35" s="531"/>
      <c r="BD35" s="531"/>
      <c r="BE35" s="531"/>
      <c r="BF35" s="531"/>
      <c r="BG35" s="531"/>
      <c r="BH35" s="531"/>
      <c r="BI35" s="531"/>
      <c r="BJ35" s="531"/>
      <c r="BK35" s="531"/>
      <c r="BL35" s="531"/>
      <c r="BM35" s="531"/>
      <c r="BN35" s="531"/>
      <c r="BO35" s="531"/>
      <c r="BP35" s="531"/>
      <c r="BQ35" s="531"/>
      <c r="BR35" s="531"/>
      <c r="BS35" s="531"/>
      <c r="BT35" s="531"/>
      <c r="BU35" s="531"/>
      <c r="BV35" s="531"/>
      <c r="BW35" s="531"/>
      <c r="BX35" s="531"/>
      <c r="BY35" s="531"/>
    </row>
    <row r="36" spans="1:77" x14ac:dyDescent="0.2">
      <c r="A36" s="383">
        <v>26</v>
      </c>
      <c r="B36" s="519">
        <v>37288</v>
      </c>
      <c r="C36" s="565">
        <f>Breakout!$E$136/12</f>
        <v>6512883.5419311142</v>
      </c>
      <c r="D36" s="566">
        <f>Breakout!$E$137/12</f>
        <v>5001832.6499999994</v>
      </c>
      <c r="E36" s="566">
        <v>5001832.6500000004</v>
      </c>
      <c r="F36" s="565">
        <f>Breakout!$E$143/12</f>
        <v>110419.40496799769</v>
      </c>
      <c r="G36" s="566">
        <f>Breakout!$E$144/12</f>
        <v>90175.847390531431</v>
      </c>
      <c r="H36" s="566">
        <v>92016.170806664741</v>
      </c>
      <c r="I36" s="562">
        <v>0</v>
      </c>
      <c r="J36" s="438">
        <v>0</v>
      </c>
      <c r="K36" s="438">
        <v>0</v>
      </c>
      <c r="L36" s="562">
        <v>0</v>
      </c>
      <c r="M36" s="566">
        <f>Breakout!$E$151/12</f>
        <v>57967.670595186792</v>
      </c>
      <c r="N36" s="565">
        <f>Breakout!$E$157/12</f>
        <v>0</v>
      </c>
      <c r="O36" s="566">
        <f>Breakout!$E$158/12</f>
        <v>28196.013339682297</v>
      </c>
      <c r="P36" s="565">
        <f>Breakout!$E$164/12</f>
        <v>0</v>
      </c>
      <c r="Q36" s="566">
        <f>Breakout!$E$165/12</f>
        <v>0</v>
      </c>
      <c r="R36" s="565">
        <f>Breakout!$E$171/12</f>
        <v>0</v>
      </c>
      <c r="S36" s="566">
        <f>Breakout!$E$172/12</f>
        <v>1270012.2906765675</v>
      </c>
      <c r="T36" s="578">
        <f t="shared" si="2"/>
        <v>6623302.9468991123</v>
      </c>
      <c r="U36" s="554">
        <f t="shared" si="3"/>
        <v>6450024.7954181023</v>
      </c>
      <c r="V36" s="578">
        <f t="shared" si="4"/>
        <v>6448184.472001968</v>
      </c>
      <c r="W36" s="548">
        <f t="shared" si="0"/>
        <v>175118.47489714436</v>
      </c>
      <c r="X36" s="496"/>
      <c r="Y36" s="553">
        <f t="shared" si="1"/>
        <v>173278.15148101002</v>
      </c>
      <c r="Z36" s="496"/>
      <c r="AA36" s="557">
        <f>'power redistribution'!$C$32/12</f>
        <v>58459835.648148142</v>
      </c>
      <c r="AB36" s="557">
        <f>'power redistribution'!$D$32/12</f>
        <v>15466.666666666666</v>
      </c>
      <c r="AC36" s="496"/>
      <c r="AD36" s="438">
        <v>0</v>
      </c>
      <c r="AE36" s="496"/>
    </row>
    <row r="37" spans="1:77" x14ac:dyDescent="0.2">
      <c r="A37" s="383">
        <v>27</v>
      </c>
      <c r="B37" s="519">
        <v>37316</v>
      </c>
      <c r="C37" s="565">
        <f>Breakout!$E$136/12</f>
        <v>6512883.5419311142</v>
      </c>
      <c r="D37" s="566">
        <f>Breakout!$E$137/12</f>
        <v>5001832.6499999994</v>
      </c>
      <c r="E37" s="566">
        <v>5001832.6500000004</v>
      </c>
      <c r="F37" s="565">
        <f>Breakout!$E$143/12</f>
        <v>110419.40496799769</v>
      </c>
      <c r="G37" s="566">
        <f>Breakout!$E$144/12</f>
        <v>90175.847390531431</v>
      </c>
      <c r="H37" s="566">
        <v>92016.170806664741</v>
      </c>
      <c r="I37" s="562">
        <v>0</v>
      </c>
      <c r="J37" s="438">
        <v>0</v>
      </c>
      <c r="K37" s="438">
        <v>0</v>
      </c>
      <c r="L37" s="562">
        <v>0</v>
      </c>
      <c r="M37" s="566">
        <f>Breakout!$E$151/12</f>
        <v>57967.670595186792</v>
      </c>
      <c r="N37" s="565">
        <f>Breakout!$E$157/12</f>
        <v>0</v>
      </c>
      <c r="O37" s="566">
        <f>Breakout!$E$158/12</f>
        <v>28196.013339682297</v>
      </c>
      <c r="P37" s="565">
        <f>Breakout!$E$164/12</f>
        <v>0</v>
      </c>
      <c r="Q37" s="566">
        <f>Breakout!$E$165/12</f>
        <v>0</v>
      </c>
      <c r="R37" s="565">
        <f>Breakout!$E$171/12</f>
        <v>0</v>
      </c>
      <c r="S37" s="566">
        <f>Breakout!$E$172/12</f>
        <v>1270012.2906765675</v>
      </c>
      <c r="T37" s="578">
        <f t="shared" si="2"/>
        <v>6623302.9468991123</v>
      </c>
      <c r="U37" s="554">
        <f t="shared" si="3"/>
        <v>6450024.7954181023</v>
      </c>
      <c r="V37" s="578">
        <f t="shared" si="4"/>
        <v>6448184.472001968</v>
      </c>
      <c r="W37" s="548">
        <f t="shared" si="0"/>
        <v>175118.47489714436</v>
      </c>
      <c r="X37" s="496"/>
      <c r="Y37" s="553">
        <f t="shared" si="1"/>
        <v>173278.15148101002</v>
      </c>
      <c r="Z37" s="496"/>
      <c r="AA37" s="557">
        <f>'power redistribution'!$C$32/12</f>
        <v>58459835.648148142</v>
      </c>
      <c r="AB37" s="557">
        <f>'power redistribution'!$D$32/12</f>
        <v>15466.666666666666</v>
      </c>
      <c r="AC37" s="496"/>
      <c r="AD37" s="438">
        <v>0</v>
      </c>
      <c r="AE37" s="496"/>
    </row>
    <row r="38" spans="1:77" x14ac:dyDescent="0.2">
      <c r="A38" s="383">
        <v>28</v>
      </c>
      <c r="B38" s="519">
        <v>37347</v>
      </c>
      <c r="C38" s="565">
        <f>Breakout!$E$136/12</f>
        <v>6512883.5419311142</v>
      </c>
      <c r="D38" s="566">
        <f>Breakout!$E$137/12</f>
        <v>5001832.6499999994</v>
      </c>
      <c r="E38" s="566">
        <v>5001832.6500000004</v>
      </c>
      <c r="F38" s="565">
        <f>Breakout!$E$143/12</f>
        <v>110419.40496799769</v>
      </c>
      <c r="G38" s="566">
        <f>Breakout!$E$144/12</f>
        <v>90175.847390531431</v>
      </c>
      <c r="H38" s="566">
        <v>92016.170806664741</v>
      </c>
      <c r="I38" s="562">
        <v>0</v>
      </c>
      <c r="J38" s="438">
        <v>0</v>
      </c>
      <c r="K38" s="438">
        <v>0</v>
      </c>
      <c r="L38" s="562">
        <v>0</v>
      </c>
      <c r="M38" s="566">
        <f>Breakout!$E$151/12</f>
        <v>57967.670595186792</v>
      </c>
      <c r="N38" s="565">
        <f>Breakout!$E$157/12</f>
        <v>0</v>
      </c>
      <c r="O38" s="566">
        <f>Breakout!$E$158/12</f>
        <v>28196.013339682297</v>
      </c>
      <c r="P38" s="565">
        <f>Breakout!$E$164/12</f>
        <v>0</v>
      </c>
      <c r="Q38" s="566">
        <f>Breakout!$E$165/12</f>
        <v>0</v>
      </c>
      <c r="R38" s="565">
        <f>Breakout!$E$171/12</f>
        <v>0</v>
      </c>
      <c r="S38" s="566">
        <f>Breakout!$E$172/12</f>
        <v>1270012.2906765675</v>
      </c>
      <c r="T38" s="578">
        <f t="shared" si="2"/>
        <v>6623302.9468991123</v>
      </c>
      <c r="U38" s="554">
        <f t="shared" si="3"/>
        <v>6450024.7954181023</v>
      </c>
      <c r="V38" s="578">
        <f t="shared" si="4"/>
        <v>6448184.472001968</v>
      </c>
      <c r="W38" s="548">
        <f t="shared" si="0"/>
        <v>175118.47489714436</v>
      </c>
      <c r="X38" s="496"/>
      <c r="Y38" s="553">
        <f t="shared" si="1"/>
        <v>173278.15148101002</v>
      </c>
      <c r="Z38" s="496"/>
      <c r="AA38" s="557">
        <f>'power redistribution'!$C$32/12</f>
        <v>58459835.648148142</v>
      </c>
      <c r="AB38" s="557">
        <f>'power redistribution'!$D$32/12</f>
        <v>15466.666666666666</v>
      </c>
      <c r="AC38" s="496"/>
      <c r="AD38" s="438">
        <v>0</v>
      </c>
      <c r="AE38" s="496"/>
    </row>
    <row r="39" spans="1:77" x14ac:dyDescent="0.2">
      <c r="A39" s="383">
        <v>29</v>
      </c>
      <c r="B39" s="519">
        <v>37377</v>
      </c>
      <c r="C39" s="565">
        <f>Breakout!$E$136/12</f>
        <v>6512883.5419311142</v>
      </c>
      <c r="D39" s="566">
        <f>Breakout!$E$137/12</f>
        <v>5001832.6499999994</v>
      </c>
      <c r="E39" s="566">
        <v>5001832.6500000004</v>
      </c>
      <c r="F39" s="565">
        <f>Breakout!$E$143/12</f>
        <v>110419.40496799769</v>
      </c>
      <c r="G39" s="566">
        <f>Breakout!$E$144/12</f>
        <v>90175.847390531431</v>
      </c>
      <c r="H39" s="566">
        <v>92016.170806664741</v>
      </c>
      <c r="I39" s="562">
        <v>0</v>
      </c>
      <c r="J39" s="438">
        <v>0</v>
      </c>
      <c r="K39" s="438">
        <v>0</v>
      </c>
      <c r="L39" s="562">
        <v>0</v>
      </c>
      <c r="M39" s="566">
        <f>Breakout!$E$151/12</f>
        <v>57967.670595186792</v>
      </c>
      <c r="N39" s="565">
        <f>Breakout!$E$157/12</f>
        <v>0</v>
      </c>
      <c r="O39" s="566">
        <f>Breakout!$E$158/12</f>
        <v>28196.013339682297</v>
      </c>
      <c r="P39" s="565">
        <f>Breakout!$E$164/12</f>
        <v>0</v>
      </c>
      <c r="Q39" s="566">
        <f>Breakout!$E$165/12</f>
        <v>0</v>
      </c>
      <c r="R39" s="565">
        <f>Breakout!$E$171/12</f>
        <v>0</v>
      </c>
      <c r="S39" s="566">
        <f>Breakout!$E$172/12</f>
        <v>1270012.2906765675</v>
      </c>
      <c r="T39" s="578">
        <f t="shared" si="2"/>
        <v>6623302.9468991123</v>
      </c>
      <c r="U39" s="554">
        <f t="shared" si="3"/>
        <v>6450024.7954181023</v>
      </c>
      <c r="V39" s="578">
        <f t="shared" si="4"/>
        <v>6448184.472001968</v>
      </c>
      <c r="W39" s="548">
        <f t="shared" si="0"/>
        <v>175118.47489714436</v>
      </c>
      <c r="X39" s="496"/>
      <c r="Y39" s="553">
        <f t="shared" si="1"/>
        <v>173278.15148101002</v>
      </c>
      <c r="Z39" s="496"/>
      <c r="AA39" s="557">
        <f>'power redistribution'!$C$32/12</f>
        <v>58459835.648148142</v>
      </c>
      <c r="AB39" s="557">
        <f>'power redistribution'!$D$32/12</f>
        <v>15466.666666666666</v>
      </c>
      <c r="AC39" s="496"/>
      <c r="AD39" s="438">
        <v>0</v>
      </c>
      <c r="AE39" s="496"/>
    </row>
    <row r="40" spans="1:77" x14ac:dyDescent="0.2">
      <c r="A40" s="383">
        <v>30</v>
      </c>
      <c r="B40" s="519">
        <v>37408</v>
      </c>
      <c r="C40" s="565">
        <f>Breakout!$E$136/12</f>
        <v>6512883.5419311142</v>
      </c>
      <c r="D40" s="566">
        <f>Breakout!$E$137/12</f>
        <v>5001832.6499999994</v>
      </c>
      <c r="E40" s="566">
        <v>5001832.6500000004</v>
      </c>
      <c r="F40" s="565">
        <f>Breakout!$E$143/12</f>
        <v>110419.40496799769</v>
      </c>
      <c r="G40" s="566">
        <f>Breakout!$E$144/12</f>
        <v>90175.847390531431</v>
      </c>
      <c r="H40" s="566">
        <v>92016.170806664741</v>
      </c>
      <c r="I40" s="562">
        <v>0</v>
      </c>
      <c r="J40" s="438">
        <v>0</v>
      </c>
      <c r="K40" s="438">
        <v>0</v>
      </c>
      <c r="L40" s="562">
        <v>0</v>
      </c>
      <c r="M40" s="566">
        <f>Breakout!$E$151/12</f>
        <v>57967.670595186792</v>
      </c>
      <c r="N40" s="565">
        <f>Breakout!$E$157/12</f>
        <v>0</v>
      </c>
      <c r="O40" s="566">
        <f>Breakout!$E$158/12</f>
        <v>28196.013339682297</v>
      </c>
      <c r="P40" s="565">
        <f>Breakout!$E$164/12</f>
        <v>0</v>
      </c>
      <c r="Q40" s="566">
        <f>Breakout!$E$165/12</f>
        <v>0</v>
      </c>
      <c r="R40" s="565">
        <f>Breakout!$E$171/12</f>
        <v>0</v>
      </c>
      <c r="S40" s="566">
        <f>Breakout!$E$172/12</f>
        <v>1270012.2906765675</v>
      </c>
      <c r="T40" s="578">
        <f t="shared" si="2"/>
        <v>6623302.9468991123</v>
      </c>
      <c r="U40" s="554">
        <f t="shared" si="3"/>
        <v>6450024.7954181023</v>
      </c>
      <c r="V40" s="578">
        <f t="shared" si="4"/>
        <v>6448184.472001968</v>
      </c>
      <c r="W40" s="548">
        <f t="shared" si="0"/>
        <v>175118.47489714436</v>
      </c>
      <c r="X40" s="496"/>
      <c r="Y40" s="553">
        <f t="shared" si="1"/>
        <v>173278.15148101002</v>
      </c>
      <c r="Z40" s="496"/>
      <c r="AA40" s="557">
        <f>'power redistribution'!$C$32/12</f>
        <v>58459835.648148142</v>
      </c>
      <c r="AB40" s="557">
        <f>'power redistribution'!$D$32/12</f>
        <v>15466.666666666666</v>
      </c>
      <c r="AC40" s="496"/>
      <c r="AD40" s="438">
        <v>0</v>
      </c>
      <c r="AE40" s="496"/>
    </row>
    <row r="41" spans="1:77" x14ac:dyDescent="0.2">
      <c r="A41" s="383">
        <v>31</v>
      </c>
      <c r="B41" s="519">
        <v>37438</v>
      </c>
      <c r="C41" s="565">
        <f>Breakout!$E$136/12</f>
        <v>6512883.5419311142</v>
      </c>
      <c r="D41" s="566">
        <f>Breakout!$E$137/12</f>
        <v>5001832.6499999994</v>
      </c>
      <c r="E41" s="566">
        <v>5001832.6500000004</v>
      </c>
      <c r="F41" s="565">
        <f>Breakout!$E$143/12</f>
        <v>110419.40496799769</v>
      </c>
      <c r="G41" s="566">
        <f>Breakout!$E$144/12</f>
        <v>90175.847390531431</v>
      </c>
      <c r="H41" s="566">
        <v>92016.170806664741</v>
      </c>
      <c r="I41" s="562">
        <v>0</v>
      </c>
      <c r="J41" s="438">
        <v>0</v>
      </c>
      <c r="K41" s="438">
        <v>0</v>
      </c>
      <c r="L41" s="562">
        <v>0</v>
      </c>
      <c r="M41" s="566">
        <f>Breakout!$E$151/12</f>
        <v>57967.670595186792</v>
      </c>
      <c r="N41" s="565">
        <f>Breakout!$E$157/12</f>
        <v>0</v>
      </c>
      <c r="O41" s="566">
        <f>Breakout!$E$158/12</f>
        <v>28196.013339682297</v>
      </c>
      <c r="P41" s="565">
        <f>Breakout!$E$164/12</f>
        <v>0</v>
      </c>
      <c r="Q41" s="566">
        <f>Breakout!$E$165/12</f>
        <v>0</v>
      </c>
      <c r="R41" s="565">
        <f>Breakout!$E$171/12</f>
        <v>0</v>
      </c>
      <c r="S41" s="566">
        <f>Breakout!$E$172/12</f>
        <v>1270012.2906765675</v>
      </c>
      <c r="T41" s="578">
        <f t="shared" si="2"/>
        <v>6623302.9468991123</v>
      </c>
      <c r="U41" s="554">
        <f t="shared" si="3"/>
        <v>6450024.7954181023</v>
      </c>
      <c r="V41" s="578">
        <f t="shared" si="4"/>
        <v>6448184.472001968</v>
      </c>
      <c r="W41" s="548">
        <f t="shared" si="0"/>
        <v>175118.47489714436</v>
      </c>
      <c r="X41" s="496"/>
      <c r="Y41" s="553">
        <f t="shared" si="1"/>
        <v>173278.15148101002</v>
      </c>
      <c r="Z41" s="496"/>
      <c r="AA41" s="557">
        <f>'power redistribution'!$C$32/12</f>
        <v>58459835.648148142</v>
      </c>
      <c r="AB41" s="557">
        <f>'power redistribution'!$D$32/12</f>
        <v>15466.666666666666</v>
      </c>
      <c r="AC41" s="496"/>
      <c r="AD41" s="438">
        <v>0</v>
      </c>
      <c r="AE41" s="496"/>
    </row>
    <row r="42" spans="1:77" x14ac:dyDescent="0.2">
      <c r="A42" s="383">
        <v>32</v>
      </c>
      <c r="B42" s="519">
        <v>37469</v>
      </c>
      <c r="C42" s="565">
        <f>Breakout!$E$136/12</f>
        <v>6512883.5419311142</v>
      </c>
      <c r="D42" s="566">
        <f>Breakout!$E$137/12</f>
        <v>5001832.6499999994</v>
      </c>
      <c r="E42" s="566">
        <v>5001832.6500000004</v>
      </c>
      <c r="F42" s="565">
        <f>Breakout!$E$143/12</f>
        <v>110419.40496799769</v>
      </c>
      <c r="G42" s="566">
        <f>Breakout!$E$144/12</f>
        <v>90175.847390531431</v>
      </c>
      <c r="H42" s="566">
        <v>92016.170806664741</v>
      </c>
      <c r="I42" s="562">
        <v>0</v>
      </c>
      <c r="J42" s="438">
        <v>0</v>
      </c>
      <c r="K42" s="438">
        <v>0</v>
      </c>
      <c r="L42" s="562">
        <v>0</v>
      </c>
      <c r="M42" s="566">
        <f>Breakout!$E$151/12</f>
        <v>57967.670595186792</v>
      </c>
      <c r="N42" s="565">
        <f>Breakout!$E$157/12</f>
        <v>0</v>
      </c>
      <c r="O42" s="566">
        <f>Breakout!$E$158/12</f>
        <v>28196.013339682297</v>
      </c>
      <c r="P42" s="565">
        <f>Breakout!$E$164/12</f>
        <v>0</v>
      </c>
      <c r="Q42" s="566">
        <f>Breakout!$E$165/12</f>
        <v>0</v>
      </c>
      <c r="R42" s="565">
        <f>Breakout!$E$171/12</f>
        <v>0</v>
      </c>
      <c r="S42" s="566">
        <f>Breakout!$E$172/12</f>
        <v>1270012.2906765675</v>
      </c>
      <c r="T42" s="578">
        <f t="shared" si="2"/>
        <v>6623302.9468991123</v>
      </c>
      <c r="U42" s="554">
        <f t="shared" si="3"/>
        <v>6450024.7954181023</v>
      </c>
      <c r="V42" s="578">
        <f t="shared" si="4"/>
        <v>6448184.472001968</v>
      </c>
      <c r="W42" s="548">
        <f t="shared" si="0"/>
        <v>175118.47489714436</v>
      </c>
      <c r="X42" s="496"/>
      <c r="Y42" s="553">
        <f t="shared" si="1"/>
        <v>173278.15148101002</v>
      </c>
      <c r="Z42" s="496"/>
      <c r="AA42" s="557">
        <f>'power redistribution'!$C$32/12</f>
        <v>58459835.648148142</v>
      </c>
      <c r="AB42" s="557">
        <f>'power redistribution'!$D$32/12</f>
        <v>15466.666666666666</v>
      </c>
      <c r="AC42" s="496"/>
      <c r="AD42" s="438">
        <v>0</v>
      </c>
      <c r="AE42" s="496"/>
    </row>
    <row r="43" spans="1:77" x14ac:dyDescent="0.2">
      <c r="A43" s="383">
        <v>33</v>
      </c>
      <c r="B43" s="519">
        <v>37500</v>
      </c>
      <c r="C43" s="565">
        <f>Breakout!$E$136/12</f>
        <v>6512883.5419311142</v>
      </c>
      <c r="D43" s="566">
        <f>Breakout!$E$137/12</f>
        <v>5001832.6499999994</v>
      </c>
      <c r="E43" s="566">
        <v>5001832.6500000004</v>
      </c>
      <c r="F43" s="565">
        <f>Breakout!$E$143/12</f>
        <v>110419.40496799769</v>
      </c>
      <c r="G43" s="566">
        <f>Breakout!$E$144/12</f>
        <v>90175.847390531431</v>
      </c>
      <c r="H43" s="566">
        <v>92016.170806664741</v>
      </c>
      <c r="I43" s="562">
        <v>0</v>
      </c>
      <c r="J43" s="438">
        <v>0</v>
      </c>
      <c r="K43" s="438">
        <v>0</v>
      </c>
      <c r="L43" s="562">
        <v>0</v>
      </c>
      <c r="M43" s="566">
        <f>Breakout!$E$151/12</f>
        <v>57967.670595186792</v>
      </c>
      <c r="N43" s="565">
        <f>Breakout!$E$157/12</f>
        <v>0</v>
      </c>
      <c r="O43" s="566">
        <f>Breakout!$E$158/12</f>
        <v>28196.013339682297</v>
      </c>
      <c r="P43" s="565">
        <f>Breakout!$E$164/12</f>
        <v>0</v>
      </c>
      <c r="Q43" s="566">
        <f>Breakout!$E$165/12</f>
        <v>0</v>
      </c>
      <c r="R43" s="565">
        <f>Breakout!$E$171/12</f>
        <v>0</v>
      </c>
      <c r="S43" s="566">
        <f>Breakout!$E$172/12</f>
        <v>1270012.2906765675</v>
      </c>
      <c r="T43" s="578">
        <f t="shared" si="2"/>
        <v>6623302.9468991123</v>
      </c>
      <c r="U43" s="554">
        <f t="shared" si="3"/>
        <v>6450024.7954181023</v>
      </c>
      <c r="V43" s="578">
        <f t="shared" si="4"/>
        <v>6448184.472001968</v>
      </c>
      <c r="W43" s="548">
        <f t="shared" si="0"/>
        <v>175118.47489714436</v>
      </c>
      <c r="X43" s="496"/>
      <c r="Y43" s="553">
        <f t="shared" si="1"/>
        <v>173278.15148101002</v>
      </c>
      <c r="Z43" s="496"/>
      <c r="AA43" s="557">
        <f>'power redistribution'!$C$32/12</f>
        <v>58459835.648148142</v>
      </c>
      <c r="AB43" s="557">
        <f>'power redistribution'!$D$32/12</f>
        <v>15466.666666666666</v>
      </c>
      <c r="AC43" s="496"/>
      <c r="AD43" s="438">
        <v>0</v>
      </c>
      <c r="AE43" s="496"/>
    </row>
    <row r="44" spans="1:77" x14ac:dyDescent="0.2">
      <c r="A44" s="383">
        <v>34</v>
      </c>
      <c r="B44" s="519">
        <v>37530</v>
      </c>
      <c r="C44" s="565">
        <f>Breakout!$E$136/12</f>
        <v>6512883.5419311142</v>
      </c>
      <c r="D44" s="566">
        <f>Breakout!$E$137/12</f>
        <v>5001832.6499999994</v>
      </c>
      <c r="E44" s="566">
        <v>5001832.6500000004</v>
      </c>
      <c r="F44" s="565">
        <f>Breakout!$E$143/12</f>
        <v>110419.40496799769</v>
      </c>
      <c r="G44" s="566">
        <f>Breakout!$E$144/12</f>
        <v>90175.847390531431</v>
      </c>
      <c r="H44" s="566">
        <v>92016.170806664741</v>
      </c>
      <c r="I44" s="562">
        <v>0</v>
      </c>
      <c r="J44" s="438">
        <v>0</v>
      </c>
      <c r="K44" s="438">
        <v>0</v>
      </c>
      <c r="L44" s="562">
        <v>0</v>
      </c>
      <c r="M44" s="566">
        <f>Breakout!$E$151/12</f>
        <v>57967.670595186792</v>
      </c>
      <c r="N44" s="565">
        <f>Breakout!$E$157/12</f>
        <v>0</v>
      </c>
      <c r="O44" s="566">
        <f>Breakout!$E$158/12</f>
        <v>28196.013339682297</v>
      </c>
      <c r="P44" s="565">
        <f>Breakout!$E$164/12</f>
        <v>0</v>
      </c>
      <c r="Q44" s="566">
        <f>Breakout!$E$165/12</f>
        <v>0</v>
      </c>
      <c r="R44" s="565">
        <f>Breakout!$E$171/12</f>
        <v>0</v>
      </c>
      <c r="S44" s="566">
        <f>Breakout!$E$172/12</f>
        <v>1270012.2906765675</v>
      </c>
      <c r="T44" s="578">
        <f t="shared" si="2"/>
        <v>6623302.9468991123</v>
      </c>
      <c r="U44" s="554">
        <f t="shared" si="3"/>
        <v>6450024.7954181023</v>
      </c>
      <c r="V44" s="578">
        <f t="shared" si="4"/>
        <v>6448184.472001968</v>
      </c>
      <c r="W44" s="548">
        <f t="shared" si="0"/>
        <v>175118.47489714436</v>
      </c>
      <c r="X44" s="496"/>
      <c r="Y44" s="553">
        <f t="shared" si="1"/>
        <v>173278.15148101002</v>
      </c>
      <c r="Z44" s="496"/>
      <c r="AA44" s="557">
        <f>'power redistribution'!$C$32/12</f>
        <v>58459835.648148142</v>
      </c>
      <c r="AB44" s="557">
        <f>'power redistribution'!$D$32/12</f>
        <v>15466.666666666666</v>
      </c>
      <c r="AC44" s="496"/>
      <c r="AD44" s="438">
        <v>0</v>
      </c>
      <c r="AE44" s="496"/>
    </row>
    <row r="45" spans="1:77" x14ac:dyDescent="0.2">
      <c r="A45" s="383">
        <v>35</v>
      </c>
      <c r="B45" s="519">
        <v>37561</v>
      </c>
      <c r="C45" s="565">
        <f>Breakout!$E$136/12</f>
        <v>6512883.5419311142</v>
      </c>
      <c r="D45" s="566">
        <f>Breakout!$E$137/12</f>
        <v>5001832.6499999994</v>
      </c>
      <c r="E45" s="566">
        <v>5001832.6500000004</v>
      </c>
      <c r="F45" s="565">
        <f>Breakout!$E$143/12</f>
        <v>110419.40496799769</v>
      </c>
      <c r="G45" s="566">
        <f>Breakout!$E$144/12</f>
        <v>90175.847390531431</v>
      </c>
      <c r="H45" s="566">
        <v>92016.170806664741</v>
      </c>
      <c r="I45" s="562">
        <v>0</v>
      </c>
      <c r="J45" s="438">
        <v>0</v>
      </c>
      <c r="K45" s="438">
        <v>0</v>
      </c>
      <c r="L45" s="562">
        <v>0</v>
      </c>
      <c r="M45" s="566">
        <f>Breakout!$E$151/12</f>
        <v>57967.670595186792</v>
      </c>
      <c r="N45" s="565">
        <f>Breakout!$E$157/12</f>
        <v>0</v>
      </c>
      <c r="O45" s="566">
        <f>Breakout!$E$158/12</f>
        <v>28196.013339682297</v>
      </c>
      <c r="P45" s="565">
        <f>Breakout!$E$164/12</f>
        <v>0</v>
      </c>
      <c r="Q45" s="566">
        <f>Breakout!$E$165/12</f>
        <v>0</v>
      </c>
      <c r="R45" s="565">
        <f>Breakout!$E$171/12</f>
        <v>0</v>
      </c>
      <c r="S45" s="566">
        <f>Breakout!$E$172/12</f>
        <v>1270012.2906765675</v>
      </c>
      <c r="T45" s="578">
        <f t="shared" si="2"/>
        <v>6623302.9468991123</v>
      </c>
      <c r="U45" s="554">
        <f t="shared" si="3"/>
        <v>6450024.7954181023</v>
      </c>
      <c r="V45" s="578">
        <f t="shared" si="4"/>
        <v>6448184.472001968</v>
      </c>
      <c r="W45" s="548">
        <f t="shared" si="0"/>
        <v>175118.47489714436</v>
      </c>
      <c r="X45" s="496"/>
      <c r="Y45" s="553">
        <f t="shared" si="1"/>
        <v>173278.15148101002</v>
      </c>
      <c r="Z45" s="496"/>
      <c r="AA45" s="557">
        <f>'power redistribution'!$C$32/12</f>
        <v>58459835.648148142</v>
      </c>
      <c r="AB45" s="557">
        <f>'power redistribution'!$D$32/12</f>
        <v>15466.666666666666</v>
      </c>
      <c r="AC45" s="496"/>
      <c r="AD45" s="438">
        <v>0</v>
      </c>
      <c r="AE45" s="496"/>
    </row>
    <row r="46" spans="1:77" s="525" customFormat="1" x14ac:dyDescent="0.2">
      <c r="A46" s="521">
        <v>36</v>
      </c>
      <c r="B46" s="522">
        <v>37591</v>
      </c>
      <c r="C46" s="563">
        <f>Breakout!$E$136/12</f>
        <v>6512883.5419311142</v>
      </c>
      <c r="D46" s="561">
        <f>Breakout!$E$137/12</f>
        <v>5001832.6499999994</v>
      </c>
      <c r="E46" s="561">
        <v>5001832.6500000004</v>
      </c>
      <c r="F46" s="563">
        <f>Breakout!$E$143/12</f>
        <v>110419.40496799769</v>
      </c>
      <c r="G46" s="561">
        <f>Breakout!$E$144/12</f>
        <v>90175.847390531431</v>
      </c>
      <c r="H46" s="561">
        <v>92016.170806664741</v>
      </c>
      <c r="I46" s="562">
        <v>0</v>
      </c>
      <c r="J46" s="438">
        <v>0</v>
      </c>
      <c r="K46" s="438">
        <v>0</v>
      </c>
      <c r="L46" s="562">
        <v>0</v>
      </c>
      <c r="M46" s="561">
        <f>Breakout!$E$151/12</f>
        <v>57967.670595186792</v>
      </c>
      <c r="N46" s="563">
        <f>Breakout!$E$157/12</f>
        <v>0</v>
      </c>
      <c r="O46" s="561">
        <f>Breakout!$E$158/12</f>
        <v>28196.013339682297</v>
      </c>
      <c r="P46" s="563">
        <f>Breakout!$E$164/12</f>
        <v>0</v>
      </c>
      <c r="Q46" s="561">
        <f>Breakout!$E$165/12</f>
        <v>0</v>
      </c>
      <c r="R46" s="563">
        <f>Breakout!$E$171/12</f>
        <v>0</v>
      </c>
      <c r="S46" s="561">
        <f>Breakout!$E$172/12</f>
        <v>1270012.2906765675</v>
      </c>
      <c r="T46" s="578">
        <f t="shared" si="2"/>
        <v>6623302.9468991123</v>
      </c>
      <c r="U46" s="554">
        <f t="shared" si="3"/>
        <v>6450024.7954181023</v>
      </c>
      <c r="V46" s="578">
        <f t="shared" si="4"/>
        <v>6448184.472001968</v>
      </c>
      <c r="W46" s="548">
        <f t="shared" si="0"/>
        <v>175118.47489714436</v>
      </c>
      <c r="X46" s="524">
        <f>SUM(W35:W46)</f>
        <v>2101421.6987657323</v>
      </c>
      <c r="Y46" s="553">
        <f t="shared" si="1"/>
        <v>173278.15148101002</v>
      </c>
      <c r="Z46" s="524">
        <f>SUM(Y35:Y46)</f>
        <v>2079337.8177721202</v>
      </c>
      <c r="AA46" s="557">
        <f>'power redistribution'!$C$32/12</f>
        <v>58459835.648148142</v>
      </c>
      <c r="AB46" s="557">
        <f>'power redistribution'!$D$32/12</f>
        <v>15466.666666666666</v>
      </c>
      <c r="AC46" s="524"/>
      <c r="AD46" s="438">
        <v>0</v>
      </c>
      <c r="AE46" s="524"/>
      <c r="AF46" s="524"/>
      <c r="AG46" s="524"/>
      <c r="AH46" s="524"/>
      <c r="AI46" s="524"/>
      <c r="AJ46" s="524"/>
      <c r="AK46" s="524"/>
      <c r="AL46" s="524"/>
      <c r="AM46" s="524"/>
      <c r="AN46" s="524"/>
      <c r="AO46" s="524"/>
      <c r="AP46" s="524"/>
      <c r="AQ46" s="524"/>
      <c r="AR46" s="524"/>
      <c r="AS46" s="524"/>
      <c r="AT46" s="524"/>
      <c r="AU46" s="524"/>
      <c r="AV46" s="524"/>
      <c r="AW46" s="524"/>
      <c r="AX46" s="524"/>
      <c r="AY46" s="524"/>
      <c r="AZ46" s="524"/>
      <c r="BA46" s="524"/>
      <c r="BB46" s="524"/>
      <c r="BC46" s="524"/>
      <c r="BD46" s="524"/>
      <c r="BE46" s="524"/>
      <c r="BF46" s="524"/>
      <c r="BG46" s="524"/>
      <c r="BH46" s="524"/>
      <c r="BI46" s="524"/>
      <c r="BJ46" s="524"/>
      <c r="BK46" s="524"/>
      <c r="BL46" s="524"/>
      <c r="BM46" s="524"/>
      <c r="BN46" s="524"/>
      <c r="BO46" s="524"/>
      <c r="BP46" s="524"/>
      <c r="BQ46" s="524"/>
      <c r="BR46" s="524"/>
      <c r="BS46" s="524"/>
      <c r="BT46" s="524"/>
      <c r="BU46" s="524"/>
      <c r="BV46" s="524"/>
      <c r="BW46" s="524"/>
      <c r="BX46" s="524"/>
      <c r="BY46" s="524"/>
    </row>
    <row r="47" spans="1:77" s="532" customFormat="1" x14ac:dyDescent="0.2">
      <c r="A47" s="528">
        <v>37</v>
      </c>
      <c r="B47" s="529">
        <v>37622</v>
      </c>
      <c r="C47" s="564">
        <f>Breakout!$F$136/12</f>
        <v>6760081.6351559162</v>
      </c>
      <c r="D47" s="560">
        <f>Breakout!$F$137/12</f>
        <v>5195996.5</v>
      </c>
      <c r="E47" s="560">
        <v>5195996.5</v>
      </c>
      <c r="F47" s="564">
        <f>Breakout!$F$143/12</f>
        <v>112311.7373866585</v>
      </c>
      <c r="G47" s="560">
        <f>Breakout!$F$144/12</f>
        <v>91721.252199104449</v>
      </c>
      <c r="H47" s="560">
        <v>93593.114488882085</v>
      </c>
      <c r="I47" s="562">
        <v>0</v>
      </c>
      <c r="J47" s="438">
        <v>0</v>
      </c>
      <c r="K47" s="438">
        <v>0</v>
      </c>
      <c r="L47" s="562">
        <v>0</v>
      </c>
      <c r="M47" s="560">
        <f>Breakout!$F$151/12</f>
        <v>60167.847759043296</v>
      </c>
      <c r="N47" s="564">
        <f>Breakout!$F$157/12</f>
        <v>0</v>
      </c>
      <c r="O47" s="560">
        <f>Breakout!$F$158/12</f>
        <v>14659.207569972568</v>
      </c>
      <c r="P47" s="564">
        <f>Breakout!$F$164/12</f>
        <v>0</v>
      </c>
      <c r="Q47" s="560">
        <f>Breakout!$F$165/12</f>
        <v>0</v>
      </c>
      <c r="R47" s="564">
        <f>Breakout!$F$171/12</f>
        <v>0</v>
      </c>
      <c r="S47" s="560">
        <f>Breakout!$F$172/12</f>
        <v>1318215.918855404</v>
      </c>
      <c r="T47" s="578">
        <f t="shared" si="2"/>
        <v>6872393.372542575</v>
      </c>
      <c r="U47" s="554">
        <f t="shared" si="3"/>
        <v>6682632.588673301</v>
      </c>
      <c r="V47" s="578">
        <f t="shared" si="4"/>
        <v>6680760.726383524</v>
      </c>
      <c r="W47" s="548">
        <f t="shared" si="0"/>
        <v>191632.64615905099</v>
      </c>
      <c r="X47" s="531"/>
      <c r="Y47" s="553">
        <f t="shared" si="1"/>
        <v>189760.78386927396</v>
      </c>
      <c r="Z47" s="531"/>
      <c r="AA47" s="557">
        <f>'power redistribution'!$C$32/12</f>
        <v>58459835.648148142</v>
      </c>
      <c r="AB47" s="557">
        <f>'power redistribution'!$D$32/12</f>
        <v>15466.666666666666</v>
      </c>
      <c r="AC47" s="531"/>
      <c r="AD47" s="438">
        <v>0</v>
      </c>
      <c r="AE47" s="531"/>
      <c r="AF47" s="531"/>
      <c r="AG47" s="531"/>
      <c r="AH47" s="531"/>
      <c r="AI47" s="531"/>
      <c r="AJ47" s="531"/>
      <c r="AK47" s="531"/>
      <c r="AL47" s="531"/>
      <c r="AM47" s="531"/>
      <c r="AN47" s="531"/>
      <c r="AO47" s="531"/>
      <c r="AP47" s="531"/>
      <c r="AQ47" s="531"/>
      <c r="AR47" s="531"/>
      <c r="AS47" s="531"/>
      <c r="AT47" s="531"/>
      <c r="AU47" s="531"/>
      <c r="AV47" s="531"/>
      <c r="AW47" s="531"/>
      <c r="AX47" s="531"/>
      <c r="AY47" s="531"/>
      <c r="AZ47" s="531"/>
      <c r="BA47" s="531"/>
      <c r="BB47" s="531"/>
      <c r="BC47" s="531"/>
      <c r="BD47" s="531"/>
      <c r="BE47" s="531"/>
      <c r="BF47" s="531"/>
      <c r="BG47" s="531"/>
      <c r="BH47" s="531"/>
      <c r="BI47" s="531"/>
      <c r="BJ47" s="531"/>
      <c r="BK47" s="531"/>
      <c r="BL47" s="531"/>
      <c r="BM47" s="531"/>
      <c r="BN47" s="531"/>
      <c r="BO47" s="531"/>
      <c r="BP47" s="531"/>
      <c r="BQ47" s="531"/>
      <c r="BR47" s="531"/>
      <c r="BS47" s="531"/>
      <c r="BT47" s="531"/>
      <c r="BU47" s="531"/>
      <c r="BV47" s="531"/>
      <c r="BW47" s="531"/>
      <c r="BX47" s="531"/>
      <c r="BY47" s="531"/>
    </row>
    <row r="48" spans="1:77" x14ac:dyDescent="0.2">
      <c r="A48" s="383">
        <v>38</v>
      </c>
      <c r="B48" s="519">
        <v>37653</v>
      </c>
      <c r="C48" s="565">
        <f>Breakout!$F$136/12</f>
        <v>6760081.6351559162</v>
      </c>
      <c r="D48" s="566">
        <f>Breakout!$F$137/12</f>
        <v>5195996.5</v>
      </c>
      <c r="E48" s="566">
        <v>5195996.5</v>
      </c>
      <c r="F48" s="565">
        <f>Breakout!$F$143/12</f>
        <v>112311.7373866585</v>
      </c>
      <c r="G48" s="566">
        <f>Breakout!$F$144/12</f>
        <v>91721.252199104449</v>
      </c>
      <c r="H48" s="566">
        <v>93593.114488882085</v>
      </c>
      <c r="I48" s="562">
        <v>0</v>
      </c>
      <c r="J48" s="438">
        <v>0</v>
      </c>
      <c r="K48" s="438">
        <v>0</v>
      </c>
      <c r="L48" s="562">
        <v>0</v>
      </c>
      <c r="M48" s="566">
        <f>Breakout!$F$151/12</f>
        <v>60167.847759043296</v>
      </c>
      <c r="N48" s="565">
        <f>Breakout!$F$157/12</f>
        <v>0</v>
      </c>
      <c r="O48" s="566">
        <f>Breakout!$F$158/12</f>
        <v>14659.207569972568</v>
      </c>
      <c r="P48" s="565">
        <f>Breakout!$F$164/12</f>
        <v>0</v>
      </c>
      <c r="Q48" s="566">
        <f>Breakout!$F$165/12</f>
        <v>0</v>
      </c>
      <c r="R48" s="565">
        <f>Breakout!$F$171/12</f>
        <v>0</v>
      </c>
      <c r="S48" s="566">
        <f>Breakout!$F$172/12</f>
        <v>1318215.918855404</v>
      </c>
      <c r="T48" s="578">
        <f t="shared" si="2"/>
        <v>6872393.372542575</v>
      </c>
      <c r="U48" s="554">
        <f t="shared" si="3"/>
        <v>6682632.588673301</v>
      </c>
      <c r="V48" s="578">
        <f t="shared" si="4"/>
        <v>6680760.726383524</v>
      </c>
      <c r="W48" s="548">
        <f t="shared" si="0"/>
        <v>191632.64615905099</v>
      </c>
      <c r="X48" s="496"/>
      <c r="Y48" s="553">
        <f t="shared" si="1"/>
        <v>189760.78386927396</v>
      </c>
      <c r="Z48" s="496"/>
      <c r="AA48" s="557">
        <f>'power redistribution'!$C$32/12</f>
        <v>58459835.648148142</v>
      </c>
      <c r="AB48" s="557">
        <f>'power redistribution'!$D$32/12</f>
        <v>15466.666666666666</v>
      </c>
      <c r="AC48" s="496"/>
      <c r="AD48" s="438">
        <v>0</v>
      </c>
      <c r="AE48" s="496"/>
    </row>
    <row r="49" spans="1:77" x14ac:dyDescent="0.2">
      <c r="A49" s="383">
        <v>39</v>
      </c>
      <c r="B49" s="519">
        <v>37681</v>
      </c>
      <c r="C49" s="565">
        <f>Breakout!$F$136/12</f>
        <v>6760081.6351559162</v>
      </c>
      <c r="D49" s="566">
        <f>Breakout!$F$137/12</f>
        <v>5195996.5</v>
      </c>
      <c r="E49" s="566">
        <v>5195996.5</v>
      </c>
      <c r="F49" s="565">
        <f>Breakout!$F$143/12</f>
        <v>112311.7373866585</v>
      </c>
      <c r="G49" s="566">
        <f>Breakout!$F$144/12</f>
        <v>91721.252199104449</v>
      </c>
      <c r="H49" s="566">
        <v>93593.114488882085</v>
      </c>
      <c r="I49" s="562">
        <v>0</v>
      </c>
      <c r="J49" s="438">
        <v>0</v>
      </c>
      <c r="K49" s="438">
        <v>0</v>
      </c>
      <c r="L49" s="562">
        <v>0</v>
      </c>
      <c r="M49" s="566">
        <f>Breakout!$F$151/12</f>
        <v>60167.847759043296</v>
      </c>
      <c r="N49" s="565">
        <f>Breakout!$F$157/12</f>
        <v>0</v>
      </c>
      <c r="O49" s="566">
        <f>Breakout!$F$158/12</f>
        <v>14659.207569972568</v>
      </c>
      <c r="P49" s="565">
        <f>Breakout!$F$164/12</f>
        <v>0</v>
      </c>
      <c r="Q49" s="566">
        <f>Breakout!$F$165/12</f>
        <v>0</v>
      </c>
      <c r="R49" s="565">
        <f>Breakout!$F$171/12</f>
        <v>0</v>
      </c>
      <c r="S49" s="566">
        <f>Breakout!$F$172/12</f>
        <v>1318215.918855404</v>
      </c>
      <c r="T49" s="578">
        <f t="shared" si="2"/>
        <v>6872393.372542575</v>
      </c>
      <c r="U49" s="554">
        <f t="shared" si="3"/>
        <v>6682632.588673301</v>
      </c>
      <c r="V49" s="578">
        <f t="shared" si="4"/>
        <v>6680760.726383524</v>
      </c>
      <c r="W49" s="548">
        <f t="shared" si="0"/>
        <v>191632.64615905099</v>
      </c>
      <c r="X49" s="496"/>
      <c r="Y49" s="553">
        <f t="shared" si="1"/>
        <v>189760.78386927396</v>
      </c>
      <c r="Z49" s="496"/>
      <c r="AA49" s="557">
        <f>'power redistribution'!$C$32/12</f>
        <v>58459835.648148142</v>
      </c>
      <c r="AB49" s="557">
        <f>'power redistribution'!$D$32/12</f>
        <v>15466.666666666666</v>
      </c>
      <c r="AC49" s="496"/>
      <c r="AD49" s="438">
        <v>0</v>
      </c>
      <c r="AE49" s="496"/>
    </row>
    <row r="50" spans="1:77" x14ac:dyDescent="0.2">
      <c r="A50" s="383">
        <v>40</v>
      </c>
      <c r="B50" s="519">
        <v>37712</v>
      </c>
      <c r="C50" s="565">
        <f>Breakout!$F$136/12</f>
        <v>6760081.6351559162</v>
      </c>
      <c r="D50" s="566">
        <f>Breakout!$F$137/12</f>
        <v>5195996.5</v>
      </c>
      <c r="E50" s="566">
        <v>5195996.5</v>
      </c>
      <c r="F50" s="565">
        <f>Breakout!$F$143/12</f>
        <v>112311.7373866585</v>
      </c>
      <c r="G50" s="566">
        <f>Breakout!$F$144/12</f>
        <v>91721.252199104449</v>
      </c>
      <c r="H50" s="566">
        <v>93593.114488882085</v>
      </c>
      <c r="I50" s="562">
        <v>0</v>
      </c>
      <c r="J50" s="438">
        <v>0</v>
      </c>
      <c r="K50" s="438">
        <v>0</v>
      </c>
      <c r="L50" s="562">
        <v>0</v>
      </c>
      <c r="M50" s="566">
        <f>Breakout!$F$151/12</f>
        <v>60167.847759043296</v>
      </c>
      <c r="N50" s="565">
        <f>Breakout!$F$157/12</f>
        <v>0</v>
      </c>
      <c r="O50" s="566">
        <f>Breakout!$F$158/12</f>
        <v>14659.207569972568</v>
      </c>
      <c r="P50" s="565">
        <f>Breakout!$F$164/12</f>
        <v>0</v>
      </c>
      <c r="Q50" s="566">
        <f>Breakout!$F$165/12</f>
        <v>0</v>
      </c>
      <c r="R50" s="565">
        <f>Breakout!$F$171/12</f>
        <v>0</v>
      </c>
      <c r="S50" s="566">
        <f>Breakout!$F$172/12</f>
        <v>1318215.918855404</v>
      </c>
      <c r="T50" s="578">
        <f t="shared" si="2"/>
        <v>6872393.372542575</v>
      </c>
      <c r="U50" s="554">
        <f t="shared" si="3"/>
        <v>6682632.588673301</v>
      </c>
      <c r="V50" s="578">
        <f t="shared" si="4"/>
        <v>6680760.726383524</v>
      </c>
      <c r="W50" s="548">
        <f t="shared" si="0"/>
        <v>191632.64615905099</v>
      </c>
      <c r="X50" s="496"/>
      <c r="Y50" s="553">
        <f t="shared" si="1"/>
        <v>189760.78386927396</v>
      </c>
      <c r="Z50" s="496"/>
      <c r="AA50" s="557">
        <f>'power redistribution'!$C$32/12</f>
        <v>58459835.648148142</v>
      </c>
      <c r="AB50" s="557">
        <f>'power redistribution'!$D$32/12</f>
        <v>15466.666666666666</v>
      </c>
      <c r="AC50" s="496"/>
      <c r="AD50" s="438">
        <v>0</v>
      </c>
      <c r="AE50" s="496"/>
    </row>
    <row r="51" spans="1:77" x14ac:dyDescent="0.2">
      <c r="A51" s="383">
        <v>41</v>
      </c>
      <c r="B51" s="519">
        <v>37742</v>
      </c>
      <c r="C51" s="565">
        <f>Breakout!$F$136/12</f>
        <v>6760081.6351559162</v>
      </c>
      <c r="D51" s="566">
        <f>Breakout!$F$137/12</f>
        <v>5195996.5</v>
      </c>
      <c r="E51" s="566">
        <v>5195996.5</v>
      </c>
      <c r="F51" s="565">
        <f>Breakout!$F$143/12</f>
        <v>112311.7373866585</v>
      </c>
      <c r="G51" s="566">
        <f>Breakout!$F$144/12</f>
        <v>91721.252199104449</v>
      </c>
      <c r="H51" s="566">
        <v>93593.114488882085</v>
      </c>
      <c r="I51" s="562">
        <v>0</v>
      </c>
      <c r="J51" s="438">
        <v>0</v>
      </c>
      <c r="K51" s="438">
        <v>0</v>
      </c>
      <c r="L51" s="562">
        <v>0</v>
      </c>
      <c r="M51" s="566">
        <f>Breakout!$F$151/12</f>
        <v>60167.847759043296</v>
      </c>
      <c r="N51" s="565">
        <f>Breakout!$F$157/12</f>
        <v>0</v>
      </c>
      <c r="O51" s="566">
        <f>Breakout!$F$158/12</f>
        <v>14659.207569972568</v>
      </c>
      <c r="P51" s="565">
        <f>Breakout!$F$164/12</f>
        <v>0</v>
      </c>
      <c r="Q51" s="566">
        <f>Breakout!$F$165/12</f>
        <v>0</v>
      </c>
      <c r="R51" s="565">
        <f>Breakout!$F$171/12</f>
        <v>0</v>
      </c>
      <c r="S51" s="566">
        <f>Breakout!$F$172/12</f>
        <v>1318215.918855404</v>
      </c>
      <c r="T51" s="578">
        <f t="shared" si="2"/>
        <v>6872393.372542575</v>
      </c>
      <c r="U51" s="554">
        <f t="shared" si="3"/>
        <v>6682632.588673301</v>
      </c>
      <c r="V51" s="578">
        <f t="shared" si="4"/>
        <v>6680760.726383524</v>
      </c>
      <c r="W51" s="548">
        <f t="shared" si="0"/>
        <v>191632.64615905099</v>
      </c>
      <c r="X51" s="496"/>
      <c r="Y51" s="553">
        <f t="shared" si="1"/>
        <v>189760.78386927396</v>
      </c>
      <c r="Z51" s="496"/>
      <c r="AA51" s="557">
        <f>'power redistribution'!$C$32/12</f>
        <v>58459835.648148142</v>
      </c>
      <c r="AB51" s="557">
        <f>'power redistribution'!$D$32/12</f>
        <v>15466.666666666666</v>
      </c>
      <c r="AC51" s="496"/>
      <c r="AD51" s="438">
        <v>0</v>
      </c>
      <c r="AE51" s="496"/>
    </row>
    <row r="52" spans="1:77" x14ac:dyDescent="0.2">
      <c r="A52" s="383">
        <v>42</v>
      </c>
      <c r="B52" s="519">
        <v>37773</v>
      </c>
      <c r="C52" s="565">
        <f>Breakout!$F$136/12</f>
        <v>6760081.6351559162</v>
      </c>
      <c r="D52" s="566">
        <f>Breakout!$F$137/12</f>
        <v>5195996.5</v>
      </c>
      <c r="E52" s="566">
        <v>5195996.5</v>
      </c>
      <c r="F52" s="565">
        <f>Breakout!$F$143/12</f>
        <v>112311.7373866585</v>
      </c>
      <c r="G52" s="566">
        <f>Breakout!$F$144/12</f>
        <v>91721.252199104449</v>
      </c>
      <c r="H52" s="566">
        <v>93593.114488882085</v>
      </c>
      <c r="I52" s="562">
        <v>0</v>
      </c>
      <c r="J52" s="438">
        <v>0</v>
      </c>
      <c r="K52" s="438">
        <v>0</v>
      </c>
      <c r="L52" s="562">
        <v>0</v>
      </c>
      <c r="M52" s="566">
        <f>Breakout!$F$151/12</f>
        <v>60167.847759043296</v>
      </c>
      <c r="N52" s="565">
        <f>Breakout!$F$157/12</f>
        <v>0</v>
      </c>
      <c r="O52" s="566">
        <f>Breakout!$F$158/12</f>
        <v>14659.207569972568</v>
      </c>
      <c r="P52" s="565">
        <f>Breakout!$F$164/12</f>
        <v>0</v>
      </c>
      <c r="Q52" s="566">
        <f>Breakout!$F$165/12</f>
        <v>0</v>
      </c>
      <c r="R52" s="565">
        <f>Breakout!$F$171/12</f>
        <v>0</v>
      </c>
      <c r="S52" s="566">
        <f>Breakout!$F$172/12</f>
        <v>1318215.918855404</v>
      </c>
      <c r="T52" s="578">
        <f t="shared" si="2"/>
        <v>6872393.372542575</v>
      </c>
      <c r="U52" s="554">
        <f t="shared" si="3"/>
        <v>6682632.588673301</v>
      </c>
      <c r="V52" s="578">
        <f t="shared" si="4"/>
        <v>6680760.726383524</v>
      </c>
      <c r="W52" s="548">
        <f t="shared" si="0"/>
        <v>191632.64615905099</v>
      </c>
      <c r="X52" s="496"/>
      <c r="Y52" s="553">
        <f t="shared" si="1"/>
        <v>189760.78386927396</v>
      </c>
      <c r="Z52" s="496"/>
      <c r="AA52" s="557">
        <f>'power redistribution'!$C$32/12</f>
        <v>58459835.648148142</v>
      </c>
      <c r="AB52" s="557">
        <f>'power redistribution'!$D$32/12</f>
        <v>15466.666666666666</v>
      </c>
      <c r="AC52" s="496"/>
      <c r="AD52" s="438">
        <v>0</v>
      </c>
      <c r="AE52" s="496"/>
    </row>
    <row r="53" spans="1:77" x14ac:dyDescent="0.2">
      <c r="A53" s="383">
        <v>43</v>
      </c>
      <c r="B53" s="519">
        <v>37803</v>
      </c>
      <c r="C53" s="565">
        <f>Breakout!$F$136/12</f>
        <v>6760081.6351559162</v>
      </c>
      <c r="D53" s="566">
        <f>Breakout!$F$137/12</f>
        <v>5195996.5</v>
      </c>
      <c r="E53" s="566">
        <v>5195996.5</v>
      </c>
      <c r="F53" s="565">
        <f>Breakout!$F$143/12</f>
        <v>112311.7373866585</v>
      </c>
      <c r="G53" s="566">
        <f>Breakout!$F$144/12</f>
        <v>91721.252199104449</v>
      </c>
      <c r="H53" s="566">
        <v>93593.114488882085</v>
      </c>
      <c r="I53" s="562">
        <v>0</v>
      </c>
      <c r="J53" s="438">
        <v>0</v>
      </c>
      <c r="K53" s="438">
        <v>0</v>
      </c>
      <c r="L53" s="562">
        <v>0</v>
      </c>
      <c r="M53" s="566">
        <f>Breakout!$F$151/12</f>
        <v>60167.847759043296</v>
      </c>
      <c r="N53" s="565">
        <f>Breakout!$F$157/12</f>
        <v>0</v>
      </c>
      <c r="O53" s="566">
        <f>Breakout!$F$158/12</f>
        <v>14659.207569972568</v>
      </c>
      <c r="P53" s="565">
        <f>Breakout!$F$164/12</f>
        <v>0</v>
      </c>
      <c r="Q53" s="566">
        <f>Breakout!$F$165/12</f>
        <v>0</v>
      </c>
      <c r="R53" s="565">
        <f>Breakout!$F$171/12</f>
        <v>0</v>
      </c>
      <c r="S53" s="566">
        <f>Breakout!$F$172/12</f>
        <v>1318215.918855404</v>
      </c>
      <c r="T53" s="578">
        <f t="shared" si="2"/>
        <v>6872393.372542575</v>
      </c>
      <c r="U53" s="554">
        <f t="shared" si="3"/>
        <v>6682632.588673301</v>
      </c>
      <c r="V53" s="578">
        <f t="shared" si="4"/>
        <v>6680760.726383524</v>
      </c>
      <c r="W53" s="548">
        <f t="shared" si="0"/>
        <v>191632.64615905099</v>
      </c>
      <c r="X53" s="496"/>
      <c r="Y53" s="553">
        <f t="shared" si="1"/>
        <v>189760.78386927396</v>
      </c>
      <c r="Z53" s="496"/>
      <c r="AA53" s="557">
        <f>'power redistribution'!$C$32/12</f>
        <v>58459835.648148142</v>
      </c>
      <c r="AB53" s="557">
        <f>'power redistribution'!$D$32/12</f>
        <v>15466.666666666666</v>
      </c>
      <c r="AC53" s="496"/>
      <c r="AD53" s="438">
        <v>0</v>
      </c>
      <c r="AE53" s="496"/>
    </row>
    <row r="54" spans="1:77" x14ac:dyDescent="0.2">
      <c r="A54" s="383">
        <v>44</v>
      </c>
      <c r="B54" s="519">
        <v>37834</v>
      </c>
      <c r="C54" s="565">
        <f>Breakout!$F$136/12</f>
        <v>6760081.6351559162</v>
      </c>
      <c r="D54" s="566">
        <f>Breakout!$F$137/12</f>
        <v>5195996.5</v>
      </c>
      <c r="E54" s="566">
        <v>5195996.5</v>
      </c>
      <c r="F54" s="565">
        <f>Breakout!$F$143/12</f>
        <v>112311.7373866585</v>
      </c>
      <c r="G54" s="566">
        <f>Breakout!$F$144/12</f>
        <v>91721.252199104449</v>
      </c>
      <c r="H54" s="566">
        <v>93593.114488882085</v>
      </c>
      <c r="I54" s="562">
        <v>0</v>
      </c>
      <c r="J54" s="438">
        <v>0</v>
      </c>
      <c r="K54" s="438">
        <v>0</v>
      </c>
      <c r="L54" s="562">
        <v>0</v>
      </c>
      <c r="M54" s="566">
        <f>Breakout!$F$151/12</f>
        <v>60167.847759043296</v>
      </c>
      <c r="N54" s="565">
        <f>Breakout!$F$157/12</f>
        <v>0</v>
      </c>
      <c r="O54" s="566">
        <f>Breakout!$F$158/12</f>
        <v>14659.207569972568</v>
      </c>
      <c r="P54" s="565">
        <f>Breakout!$F$164/12</f>
        <v>0</v>
      </c>
      <c r="Q54" s="566">
        <f>Breakout!$F$165/12</f>
        <v>0</v>
      </c>
      <c r="R54" s="565">
        <f>Breakout!$F$171/12</f>
        <v>0</v>
      </c>
      <c r="S54" s="566">
        <f>Breakout!$F$172/12</f>
        <v>1318215.918855404</v>
      </c>
      <c r="T54" s="578">
        <f t="shared" si="2"/>
        <v>6872393.372542575</v>
      </c>
      <c r="U54" s="554">
        <f t="shared" si="3"/>
        <v>6682632.588673301</v>
      </c>
      <c r="V54" s="578">
        <f t="shared" si="4"/>
        <v>6680760.726383524</v>
      </c>
      <c r="W54" s="548">
        <f t="shared" si="0"/>
        <v>191632.64615905099</v>
      </c>
      <c r="X54" s="496"/>
      <c r="Y54" s="553">
        <f t="shared" si="1"/>
        <v>189760.78386927396</v>
      </c>
      <c r="Z54" s="496"/>
      <c r="AA54" s="557">
        <f>'power redistribution'!$C$32/12</f>
        <v>58459835.648148142</v>
      </c>
      <c r="AB54" s="557">
        <f>'power redistribution'!$D$32/12</f>
        <v>15466.666666666666</v>
      </c>
      <c r="AC54" s="496"/>
      <c r="AD54" s="438">
        <v>0</v>
      </c>
      <c r="AE54" s="496"/>
    </row>
    <row r="55" spans="1:77" x14ac:dyDescent="0.2">
      <c r="A55" s="383">
        <v>45</v>
      </c>
      <c r="B55" s="519">
        <v>37865</v>
      </c>
      <c r="C55" s="565">
        <f>Breakout!$F$136/12</f>
        <v>6760081.6351559162</v>
      </c>
      <c r="D55" s="566">
        <f>Breakout!$F$137/12</f>
        <v>5195996.5</v>
      </c>
      <c r="E55" s="566">
        <v>5195996.5</v>
      </c>
      <c r="F55" s="565">
        <f>Breakout!$F$143/12</f>
        <v>112311.7373866585</v>
      </c>
      <c r="G55" s="566">
        <f>Breakout!$F$144/12</f>
        <v>91721.252199104449</v>
      </c>
      <c r="H55" s="566">
        <v>93593.114488882085</v>
      </c>
      <c r="I55" s="562">
        <v>0</v>
      </c>
      <c r="J55" s="438">
        <v>0</v>
      </c>
      <c r="K55" s="438">
        <v>0</v>
      </c>
      <c r="L55" s="562">
        <v>0</v>
      </c>
      <c r="M55" s="566">
        <f>Breakout!$F$151/12</f>
        <v>60167.847759043296</v>
      </c>
      <c r="N55" s="565">
        <f>Breakout!$F$157/12</f>
        <v>0</v>
      </c>
      <c r="O55" s="566">
        <f>Breakout!$F$158/12</f>
        <v>14659.207569972568</v>
      </c>
      <c r="P55" s="565">
        <f>Breakout!$F$164/12</f>
        <v>0</v>
      </c>
      <c r="Q55" s="566">
        <f>Breakout!$F$165/12</f>
        <v>0</v>
      </c>
      <c r="R55" s="565">
        <f>Breakout!$F$171/12</f>
        <v>0</v>
      </c>
      <c r="S55" s="566">
        <f>Breakout!$F$172/12</f>
        <v>1318215.918855404</v>
      </c>
      <c r="T55" s="578">
        <f t="shared" si="2"/>
        <v>6872393.372542575</v>
      </c>
      <c r="U55" s="554">
        <f t="shared" si="3"/>
        <v>6682632.588673301</v>
      </c>
      <c r="V55" s="578">
        <f t="shared" si="4"/>
        <v>6680760.726383524</v>
      </c>
      <c r="W55" s="548">
        <f t="shared" si="0"/>
        <v>191632.64615905099</v>
      </c>
      <c r="X55" s="496"/>
      <c r="Y55" s="553">
        <f t="shared" si="1"/>
        <v>189760.78386927396</v>
      </c>
      <c r="Z55" s="496"/>
      <c r="AA55" s="557">
        <f>'power redistribution'!$C$32/12</f>
        <v>58459835.648148142</v>
      </c>
      <c r="AB55" s="557">
        <f>'power redistribution'!$D$32/12</f>
        <v>15466.666666666666</v>
      </c>
      <c r="AC55" s="496"/>
      <c r="AD55" s="438">
        <v>0</v>
      </c>
      <c r="AE55" s="496"/>
    </row>
    <row r="56" spans="1:77" x14ac:dyDescent="0.2">
      <c r="A56" s="383">
        <v>46</v>
      </c>
      <c r="B56" s="519">
        <v>37895</v>
      </c>
      <c r="C56" s="565">
        <f>Breakout!$F$136/12</f>
        <v>6760081.6351559162</v>
      </c>
      <c r="D56" s="566">
        <f>Breakout!$F$137/12</f>
        <v>5195996.5</v>
      </c>
      <c r="E56" s="566">
        <v>5195996.5</v>
      </c>
      <c r="F56" s="565">
        <f>Breakout!$F$143/12</f>
        <v>112311.7373866585</v>
      </c>
      <c r="G56" s="566">
        <f>Breakout!$F$144/12</f>
        <v>91721.252199104449</v>
      </c>
      <c r="H56" s="566">
        <v>93593.114488882085</v>
      </c>
      <c r="I56" s="562">
        <v>0</v>
      </c>
      <c r="J56" s="438">
        <v>0</v>
      </c>
      <c r="K56" s="438">
        <v>0</v>
      </c>
      <c r="L56" s="562">
        <v>0</v>
      </c>
      <c r="M56" s="566">
        <f>Breakout!$F$151/12</f>
        <v>60167.847759043296</v>
      </c>
      <c r="N56" s="565">
        <f>Breakout!$F$157/12</f>
        <v>0</v>
      </c>
      <c r="O56" s="566">
        <f>Breakout!$F$158/12</f>
        <v>14659.207569972568</v>
      </c>
      <c r="P56" s="565">
        <f>Breakout!$F$164/12</f>
        <v>0</v>
      </c>
      <c r="Q56" s="566">
        <f>Breakout!$F$165/12</f>
        <v>0</v>
      </c>
      <c r="R56" s="565">
        <f>Breakout!$F$171/12</f>
        <v>0</v>
      </c>
      <c r="S56" s="566">
        <f>Breakout!$F$172/12</f>
        <v>1318215.918855404</v>
      </c>
      <c r="T56" s="578">
        <f t="shared" si="2"/>
        <v>6872393.372542575</v>
      </c>
      <c r="U56" s="554">
        <f t="shared" si="3"/>
        <v>6682632.588673301</v>
      </c>
      <c r="V56" s="578">
        <f t="shared" si="4"/>
        <v>6680760.726383524</v>
      </c>
      <c r="W56" s="548">
        <f t="shared" si="0"/>
        <v>191632.64615905099</v>
      </c>
      <c r="X56" s="496"/>
      <c r="Y56" s="553">
        <f t="shared" si="1"/>
        <v>189760.78386927396</v>
      </c>
      <c r="Z56" s="496"/>
      <c r="AA56" s="557">
        <f>'power redistribution'!$C$32/12</f>
        <v>58459835.648148142</v>
      </c>
      <c r="AB56" s="557">
        <f>'power redistribution'!$D$32/12</f>
        <v>15466.666666666666</v>
      </c>
      <c r="AC56" s="496"/>
      <c r="AD56" s="438">
        <v>0</v>
      </c>
      <c r="AE56" s="496"/>
    </row>
    <row r="57" spans="1:77" x14ac:dyDescent="0.2">
      <c r="A57" s="383">
        <v>47</v>
      </c>
      <c r="B57" s="519">
        <v>37926</v>
      </c>
      <c r="C57" s="565">
        <f>Breakout!$F$136/12</f>
        <v>6760081.6351559162</v>
      </c>
      <c r="D57" s="566">
        <f>Breakout!$F$137/12</f>
        <v>5195996.5</v>
      </c>
      <c r="E57" s="566">
        <v>5195996.5</v>
      </c>
      <c r="F57" s="565">
        <f>Breakout!$F$143/12</f>
        <v>112311.7373866585</v>
      </c>
      <c r="G57" s="566">
        <f>Breakout!$F$144/12</f>
        <v>91721.252199104449</v>
      </c>
      <c r="H57" s="566">
        <v>93593.114488882085</v>
      </c>
      <c r="I57" s="562">
        <v>0</v>
      </c>
      <c r="J57" s="438">
        <v>0</v>
      </c>
      <c r="K57" s="438">
        <v>0</v>
      </c>
      <c r="L57" s="562">
        <v>0</v>
      </c>
      <c r="M57" s="566">
        <f>Breakout!$F$151/12</f>
        <v>60167.847759043296</v>
      </c>
      <c r="N57" s="565">
        <f>Breakout!$F$157/12</f>
        <v>0</v>
      </c>
      <c r="O57" s="566">
        <f>Breakout!$F$158/12</f>
        <v>14659.207569972568</v>
      </c>
      <c r="P57" s="565">
        <f>Breakout!$F$164/12</f>
        <v>0</v>
      </c>
      <c r="Q57" s="566">
        <f>Breakout!$F$165/12</f>
        <v>0</v>
      </c>
      <c r="R57" s="565">
        <f>Breakout!$F$171/12</f>
        <v>0</v>
      </c>
      <c r="S57" s="566">
        <f>Breakout!$F$172/12</f>
        <v>1318215.918855404</v>
      </c>
      <c r="T57" s="578">
        <f t="shared" si="2"/>
        <v>6872393.372542575</v>
      </c>
      <c r="U57" s="554">
        <f t="shared" si="3"/>
        <v>6682632.588673301</v>
      </c>
      <c r="V57" s="578">
        <f t="shared" si="4"/>
        <v>6680760.726383524</v>
      </c>
      <c r="W57" s="548">
        <f t="shared" si="0"/>
        <v>191632.64615905099</v>
      </c>
      <c r="X57" s="496"/>
      <c r="Y57" s="553">
        <f t="shared" si="1"/>
        <v>189760.78386927396</v>
      </c>
      <c r="Z57" s="496"/>
      <c r="AA57" s="557">
        <f>'power redistribution'!$C$32/12</f>
        <v>58459835.648148142</v>
      </c>
      <c r="AB57" s="557">
        <f>'power redistribution'!$D$32/12</f>
        <v>15466.666666666666</v>
      </c>
      <c r="AC57" s="496"/>
      <c r="AD57" s="438">
        <v>0</v>
      </c>
      <c r="AE57" s="496"/>
    </row>
    <row r="58" spans="1:77" s="525" customFormat="1" x14ac:dyDescent="0.2">
      <c r="A58" s="521">
        <v>48</v>
      </c>
      <c r="B58" s="522">
        <v>37956</v>
      </c>
      <c r="C58" s="563">
        <f>Breakout!$F$136/12</f>
        <v>6760081.6351559162</v>
      </c>
      <c r="D58" s="561">
        <f>Breakout!$F$137/12</f>
        <v>5195996.5</v>
      </c>
      <c r="E58" s="561">
        <v>5195996.5</v>
      </c>
      <c r="F58" s="563">
        <f>Breakout!$F$143/12</f>
        <v>112311.7373866585</v>
      </c>
      <c r="G58" s="561">
        <f>Breakout!$F$144/12</f>
        <v>91721.252199104449</v>
      </c>
      <c r="H58" s="561">
        <v>93593.114488882085</v>
      </c>
      <c r="I58" s="562">
        <v>0</v>
      </c>
      <c r="J58" s="438">
        <v>0</v>
      </c>
      <c r="K58" s="438">
        <v>0</v>
      </c>
      <c r="L58" s="562">
        <v>0</v>
      </c>
      <c r="M58" s="561">
        <f>Breakout!$F$151/12</f>
        <v>60167.847759043296</v>
      </c>
      <c r="N58" s="563">
        <f>Breakout!$F$157/12</f>
        <v>0</v>
      </c>
      <c r="O58" s="561">
        <f>Breakout!$F$158/12</f>
        <v>14659.207569972568</v>
      </c>
      <c r="P58" s="563">
        <f>Breakout!$F$164/12</f>
        <v>0</v>
      </c>
      <c r="Q58" s="561">
        <f>Breakout!$F$165/12</f>
        <v>0</v>
      </c>
      <c r="R58" s="563">
        <f>Breakout!$F$171/12</f>
        <v>0</v>
      </c>
      <c r="S58" s="561">
        <f>Breakout!$F$172/12</f>
        <v>1318215.918855404</v>
      </c>
      <c r="T58" s="578">
        <f t="shared" si="2"/>
        <v>6872393.372542575</v>
      </c>
      <c r="U58" s="554">
        <f t="shared" si="3"/>
        <v>6682632.588673301</v>
      </c>
      <c r="V58" s="578">
        <f t="shared" si="4"/>
        <v>6680760.726383524</v>
      </c>
      <c r="W58" s="548">
        <f t="shared" si="0"/>
        <v>191632.64615905099</v>
      </c>
      <c r="X58" s="524">
        <f>SUM(W47:W58)</f>
        <v>2299591.7539086118</v>
      </c>
      <c r="Y58" s="553">
        <f t="shared" si="1"/>
        <v>189760.78386927396</v>
      </c>
      <c r="Z58" s="524">
        <f>SUM(Y47:Y58)</f>
        <v>2277129.4064312875</v>
      </c>
      <c r="AA58" s="557">
        <f>'power redistribution'!$C$32/12</f>
        <v>58459835.648148142</v>
      </c>
      <c r="AB58" s="557">
        <f>'power redistribution'!$D$32/12</f>
        <v>15466.666666666666</v>
      </c>
      <c r="AC58" s="524"/>
      <c r="AD58" s="438">
        <v>0</v>
      </c>
      <c r="AE58" s="524"/>
      <c r="AF58" s="524"/>
      <c r="AG58" s="524"/>
      <c r="AH58" s="524"/>
      <c r="AI58" s="524"/>
      <c r="AJ58" s="524"/>
      <c r="AK58" s="524"/>
      <c r="AL58" s="524"/>
      <c r="AM58" s="524"/>
      <c r="AN58" s="524"/>
      <c r="AO58" s="524"/>
      <c r="AP58" s="524"/>
      <c r="AQ58" s="524"/>
      <c r="AR58" s="524"/>
      <c r="AS58" s="524"/>
      <c r="AT58" s="524"/>
      <c r="AU58" s="524"/>
      <c r="AV58" s="524"/>
      <c r="AW58" s="524"/>
      <c r="AX58" s="524"/>
      <c r="AY58" s="524"/>
      <c r="AZ58" s="524"/>
      <c r="BA58" s="524"/>
      <c r="BB58" s="524"/>
      <c r="BC58" s="524"/>
      <c r="BD58" s="524"/>
      <c r="BE58" s="524"/>
      <c r="BF58" s="524"/>
      <c r="BG58" s="524"/>
      <c r="BH58" s="524"/>
      <c r="BI58" s="524"/>
      <c r="BJ58" s="524"/>
      <c r="BK58" s="524"/>
      <c r="BL58" s="524"/>
      <c r="BM58" s="524"/>
      <c r="BN58" s="524"/>
      <c r="BO58" s="524"/>
      <c r="BP58" s="524"/>
      <c r="BQ58" s="524"/>
      <c r="BR58" s="524"/>
      <c r="BS58" s="524"/>
      <c r="BT58" s="524"/>
      <c r="BU58" s="524"/>
      <c r="BV58" s="524"/>
      <c r="BW58" s="524"/>
      <c r="BX58" s="524"/>
      <c r="BY58" s="524"/>
    </row>
    <row r="59" spans="1:77" s="532" customFormat="1" x14ac:dyDescent="0.2">
      <c r="A59" s="528">
        <v>49</v>
      </c>
      <c r="B59" s="529">
        <v>37987</v>
      </c>
      <c r="C59" s="564">
        <f>Breakout!$G$136/12</f>
        <v>6760081.6351559162</v>
      </c>
      <c r="D59" s="560">
        <f>Breakout!$G$137/12</f>
        <v>5086607.1000000006</v>
      </c>
      <c r="E59" s="560">
        <v>5086607.0999999996</v>
      </c>
      <c r="F59" s="564">
        <f>Breakout!$G$143/12</f>
        <v>114615.96063336858</v>
      </c>
      <c r="G59" s="560">
        <f>Breakout!$G$144/12</f>
        <v>93603.034517251013</v>
      </c>
      <c r="H59" s="560">
        <v>95513.300527807151</v>
      </c>
      <c r="I59" s="562">
        <v>0</v>
      </c>
      <c r="J59" s="438">
        <v>0</v>
      </c>
      <c r="K59" s="438">
        <v>0</v>
      </c>
      <c r="L59" s="562">
        <v>0</v>
      </c>
      <c r="M59" s="560">
        <f>Breakout!$G$151/12</f>
        <v>60167.847759043296</v>
      </c>
      <c r="N59" s="564">
        <f>Breakout!$G$157/12</f>
        <v>0</v>
      </c>
      <c r="O59" s="560">
        <f>Breakout!$G$158/12</f>
        <v>8333.3333333333339</v>
      </c>
      <c r="P59" s="564">
        <f>Breakout!$G$164/12</f>
        <v>0</v>
      </c>
      <c r="Q59" s="560">
        <f>Breakout!$G$165/12</f>
        <v>0</v>
      </c>
      <c r="R59" s="564">
        <f>Breakout!$G$171/12</f>
        <v>0</v>
      </c>
      <c r="S59" s="560">
        <f>Breakout!$G$172/12</f>
        <v>1318215.918855404</v>
      </c>
      <c r="T59" s="578">
        <f t="shared" si="2"/>
        <v>6874697.5957892844</v>
      </c>
      <c r="U59" s="554">
        <f t="shared" si="3"/>
        <v>6568837.5004755873</v>
      </c>
      <c r="V59" s="578">
        <f t="shared" si="4"/>
        <v>6566927.234465031</v>
      </c>
      <c r="W59" s="548">
        <f t="shared" si="0"/>
        <v>307770.36132425349</v>
      </c>
      <c r="X59" s="531"/>
      <c r="Y59" s="553">
        <f t="shared" si="1"/>
        <v>305860.09531369712</v>
      </c>
      <c r="Z59" s="531"/>
      <c r="AA59" s="557">
        <f>'power redistribution'!$C$32/12</f>
        <v>58459835.648148142</v>
      </c>
      <c r="AB59" s="557">
        <f>'power redistribution'!$D$32/12</f>
        <v>15466.666666666666</v>
      </c>
      <c r="AC59" s="531"/>
      <c r="AD59" s="438">
        <v>0</v>
      </c>
      <c r="AE59" s="531"/>
      <c r="AF59" s="531"/>
      <c r="AG59" s="531"/>
      <c r="AH59" s="531"/>
      <c r="AI59" s="531"/>
      <c r="AJ59" s="531"/>
      <c r="AK59" s="531"/>
      <c r="AL59" s="531"/>
      <c r="AM59" s="531"/>
      <c r="AN59" s="531"/>
      <c r="AO59" s="531"/>
      <c r="AP59" s="531"/>
      <c r="AQ59" s="531"/>
      <c r="AR59" s="531"/>
      <c r="AS59" s="531"/>
      <c r="AT59" s="531"/>
      <c r="AU59" s="531"/>
      <c r="AV59" s="531"/>
      <c r="AW59" s="531"/>
      <c r="AX59" s="531"/>
      <c r="AY59" s="531"/>
      <c r="AZ59" s="531"/>
      <c r="BA59" s="531"/>
      <c r="BB59" s="531"/>
      <c r="BC59" s="531"/>
      <c r="BD59" s="531"/>
      <c r="BE59" s="531"/>
      <c r="BF59" s="531"/>
      <c r="BG59" s="531"/>
      <c r="BH59" s="531"/>
      <c r="BI59" s="531"/>
      <c r="BJ59" s="531"/>
      <c r="BK59" s="531"/>
      <c r="BL59" s="531"/>
      <c r="BM59" s="531"/>
      <c r="BN59" s="531"/>
      <c r="BO59" s="531"/>
      <c r="BP59" s="531"/>
      <c r="BQ59" s="531"/>
      <c r="BR59" s="531"/>
      <c r="BS59" s="531"/>
      <c r="BT59" s="531"/>
      <c r="BU59" s="531"/>
      <c r="BV59" s="531"/>
      <c r="BW59" s="531"/>
      <c r="BX59" s="531"/>
      <c r="BY59" s="531"/>
    </row>
    <row r="60" spans="1:77" x14ac:dyDescent="0.2">
      <c r="A60" s="383">
        <v>50</v>
      </c>
      <c r="B60" s="519">
        <v>38018</v>
      </c>
      <c r="C60" s="565">
        <f>Breakout!$G$136/12</f>
        <v>6760081.6351559162</v>
      </c>
      <c r="D60" s="566">
        <f>Breakout!$G$137/12</f>
        <v>5086607.1000000006</v>
      </c>
      <c r="E60" s="566">
        <v>5086607.0999999996</v>
      </c>
      <c r="F60" s="565">
        <f>Breakout!$G$143/12</f>
        <v>114615.96063336858</v>
      </c>
      <c r="G60" s="566">
        <f>Breakout!$G$144/12</f>
        <v>93603.034517251013</v>
      </c>
      <c r="H60" s="566">
        <v>95513.300527807151</v>
      </c>
      <c r="I60" s="562">
        <v>0</v>
      </c>
      <c r="J60" s="438">
        <v>0</v>
      </c>
      <c r="K60" s="438">
        <v>0</v>
      </c>
      <c r="L60" s="562">
        <v>0</v>
      </c>
      <c r="M60" s="566">
        <f>Breakout!$G$151/12</f>
        <v>60167.847759043296</v>
      </c>
      <c r="N60" s="565">
        <f>Breakout!$G$157/12</f>
        <v>0</v>
      </c>
      <c r="O60" s="566">
        <f>Breakout!$G$158/12</f>
        <v>8333.3333333333339</v>
      </c>
      <c r="P60" s="565">
        <f>Breakout!$G$164/12</f>
        <v>0</v>
      </c>
      <c r="Q60" s="566">
        <f>Breakout!$G$165/12</f>
        <v>0</v>
      </c>
      <c r="R60" s="565">
        <f>Breakout!$G$171/12</f>
        <v>0</v>
      </c>
      <c r="S60" s="566">
        <f>Breakout!$G$172/12</f>
        <v>1318215.918855404</v>
      </c>
      <c r="T60" s="578">
        <f t="shared" si="2"/>
        <v>6874697.5957892844</v>
      </c>
      <c r="U60" s="554">
        <f t="shared" si="3"/>
        <v>6568837.5004755873</v>
      </c>
      <c r="V60" s="578">
        <f t="shared" si="4"/>
        <v>6566927.234465031</v>
      </c>
      <c r="W60" s="548">
        <f t="shared" si="0"/>
        <v>307770.36132425349</v>
      </c>
      <c r="X60" s="496"/>
      <c r="Y60" s="553">
        <f t="shared" si="1"/>
        <v>305860.09531369712</v>
      </c>
      <c r="Z60" s="496"/>
      <c r="AA60" s="557">
        <f>'power redistribution'!$C$32/12</f>
        <v>58459835.648148142</v>
      </c>
      <c r="AB60" s="557">
        <f>'power redistribution'!$D$32/12</f>
        <v>15466.666666666666</v>
      </c>
      <c r="AC60" s="496"/>
      <c r="AD60" s="438">
        <v>0</v>
      </c>
      <c r="AE60" s="496"/>
    </row>
    <row r="61" spans="1:77" x14ac:dyDescent="0.2">
      <c r="A61" s="383">
        <v>51</v>
      </c>
      <c r="B61" s="519">
        <v>38047</v>
      </c>
      <c r="C61" s="565">
        <f>Breakout!$G$136/12</f>
        <v>6760081.6351559162</v>
      </c>
      <c r="D61" s="566">
        <f>Breakout!$G$137/12</f>
        <v>5086607.1000000006</v>
      </c>
      <c r="E61" s="566">
        <v>5086607.0999999996</v>
      </c>
      <c r="F61" s="565">
        <f>Breakout!$G$143/12</f>
        <v>114615.96063336858</v>
      </c>
      <c r="G61" s="566">
        <f>Breakout!$G$144/12</f>
        <v>93603.034517251013</v>
      </c>
      <c r="H61" s="566">
        <v>95513.300527807151</v>
      </c>
      <c r="I61" s="562">
        <v>0</v>
      </c>
      <c r="J61" s="438">
        <v>0</v>
      </c>
      <c r="K61" s="438">
        <v>0</v>
      </c>
      <c r="L61" s="562">
        <v>0</v>
      </c>
      <c r="M61" s="566">
        <f>Breakout!$G$151/12</f>
        <v>60167.847759043296</v>
      </c>
      <c r="N61" s="565">
        <f>Breakout!$G$157/12</f>
        <v>0</v>
      </c>
      <c r="O61" s="566">
        <f>Breakout!$G$158/12</f>
        <v>8333.3333333333339</v>
      </c>
      <c r="P61" s="565">
        <f>Breakout!$G$164/12</f>
        <v>0</v>
      </c>
      <c r="Q61" s="566">
        <f>Breakout!$G$165/12</f>
        <v>0</v>
      </c>
      <c r="R61" s="565">
        <f>Breakout!$G$171/12</f>
        <v>0</v>
      </c>
      <c r="S61" s="566">
        <f>Breakout!$G$172/12</f>
        <v>1318215.918855404</v>
      </c>
      <c r="T61" s="578">
        <f t="shared" si="2"/>
        <v>6874697.5957892844</v>
      </c>
      <c r="U61" s="554">
        <f t="shared" si="3"/>
        <v>6568837.5004755873</v>
      </c>
      <c r="V61" s="578">
        <f t="shared" si="4"/>
        <v>6566927.234465031</v>
      </c>
      <c r="W61" s="548">
        <f t="shared" si="0"/>
        <v>307770.36132425349</v>
      </c>
      <c r="X61" s="496"/>
      <c r="Y61" s="553">
        <f t="shared" si="1"/>
        <v>305860.09531369712</v>
      </c>
      <c r="Z61" s="496"/>
      <c r="AA61" s="557">
        <f>'power redistribution'!$C$32/12</f>
        <v>58459835.648148142</v>
      </c>
      <c r="AB61" s="557">
        <f>'power redistribution'!$D$32/12</f>
        <v>15466.666666666666</v>
      </c>
      <c r="AC61" s="496"/>
      <c r="AD61" s="438">
        <v>0</v>
      </c>
      <c r="AE61" s="496"/>
    </row>
    <row r="62" spans="1:77" x14ac:dyDescent="0.2">
      <c r="A62" s="383">
        <v>52</v>
      </c>
      <c r="B62" s="519">
        <v>38078</v>
      </c>
      <c r="C62" s="565">
        <f>Breakout!$G$136/12</f>
        <v>6760081.6351559162</v>
      </c>
      <c r="D62" s="566">
        <f>Breakout!$G$137/12</f>
        <v>5086607.1000000006</v>
      </c>
      <c r="E62" s="566">
        <v>5086607.0999999996</v>
      </c>
      <c r="F62" s="565">
        <f>Breakout!$G$143/12</f>
        <v>114615.96063336858</v>
      </c>
      <c r="G62" s="566">
        <f>Breakout!$G$144/12</f>
        <v>93603.034517251013</v>
      </c>
      <c r="H62" s="566">
        <v>95513.300527807151</v>
      </c>
      <c r="I62" s="562">
        <v>0</v>
      </c>
      <c r="J62" s="438">
        <v>0</v>
      </c>
      <c r="K62" s="438">
        <v>0</v>
      </c>
      <c r="L62" s="562">
        <v>0</v>
      </c>
      <c r="M62" s="566">
        <f>Breakout!$G$151/12</f>
        <v>60167.847759043296</v>
      </c>
      <c r="N62" s="565">
        <f>Breakout!$G$157/12</f>
        <v>0</v>
      </c>
      <c r="O62" s="566">
        <f>Breakout!$G$158/12</f>
        <v>8333.3333333333339</v>
      </c>
      <c r="P62" s="565">
        <f>Breakout!$G$164/12</f>
        <v>0</v>
      </c>
      <c r="Q62" s="566">
        <f>Breakout!$G$165/12</f>
        <v>0</v>
      </c>
      <c r="R62" s="565">
        <f>Breakout!$G$171/12</f>
        <v>0</v>
      </c>
      <c r="S62" s="566">
        <f>Breakout!$G$172/12</f>
        <v>1318215.918855404</v>
      </c>
      <c r="T62" s="578">
        <f t="shared" si="2"/>
        <v>6874697.5957892844</v>
      </c>
      <c r="U62" s="554">
        <f t="shared" si="3"/>
        <v>6568837.5004755873</v>
      </c>
      <c r="V62" s="578">
        <f t="shared" si="4"/>
        <v>6566927.234465031</v>
      </c>
      <c r="W62" s="548">
        <f t="shared" si="0"/>
        <v>307770.36132425349</v>
      </c>
      <c r="X62" s="496"/>
      <c r="Y62" s="553">
        <f t="shared" si="1"/>
        <v>305860.09531369712</v>
      </c>
      <c r="Z62" s="496"/>
      <c r="AA62" s="557">
        <f>'power redistribution'!$C$32/12</f>
        <v>58459835.648148142</v>
      </c>
      <c r="AB62" s="557">
        <f>'power redistribution'!$D$32/12</f>
        <v>15466.666666666666</v>
      </c>
      <c r="AC62" s="496"/>
      <c r="AD62" s="438">
        <v>0</v>
      </c>
      <c r="AE62" s="496"/>
    </row>
    <row r="63" spans="1:77" x14ac:dyDescent="0.2">
      <c r="A63" s="383">
        <v>53</v>
      </c>
      <c r="B63" s="519">
        <v>38108</v>
      </c>
      <c r="C63" s="565">
        <f>Breakout!$G$136/12</f>
        <v>6760081.6351559162</v>
      </c>
      <c r="D63" s="566">
        <f>Breakout!$G$137/12</f>
        <v>5086607.1000000006</v>
      </c>
      <c r="E63" s="566">
        <v>5086607.0999999996</v>
      </c>
      <c r="F63" s="565">
        <f>Breakout!$G$143/12</f>
        <v>114615.96063336858</v>
      </c>
      <c r="G63" s="566">
        <f>Breakout!$G$144/12</f>
        <v>93603.034517251013</v>
      </c>
      <c r="H63" s="566">
        <v>95513.300527807151</v>
      </c>
      <c r="I63" s="562">
        <v>0</v>
      </c>
      <c r="J63" s="438">
        <v>0</v>
      </c>
      <c r="K63" s="438">
        <v>0</v>
      </c>
      <c r="L63" s="562">
        <v>0</v>
      </c>
      <c r="M63" s="566">
        <f>Breakout!$G$151/12</f>
        <v>60167.847759043296</v>
      </c>
      <c r="N63" s="565">
        <f>Breakout!$G$157/12</f>
        <v>0</v>
      </c>
      <c r="O63" s="566">
        <f>Breakout!$G$158/12</f>
        <v>8333.3333333333339</v>
      </c>
      <c r="P63" s="565">
        <f>Breakout!$G$164/12</f>
        <v>0</v>
      </c>
      <c r="Q63" s="566">
        <f>Breakout!$G$165/12</f>
        <v>0</v>
      </c>
      <c r="R63" s="565">
        <f>Breakout!$G$171/12</f>
        <v>0</v>
      </c>
      <c r="S63" s="566">
        <f>Breakout!$G$172/12</f>
        <v>1318215.918855404</v>
      </c>
      <c r="T63" s="578">
        <f t="shared" si="2"/>
        <v>6874697.5957892844</v>
      </c>
      <c r="U63" s="554">
        <f t="shared" si="3"/>
        <v>6568837.5004755873</v>
      </c>
      <c r="V63" s="578">
        <f t="shared" si="4"/>
        <v>6566927.234465031</v>
      </c>
      <c r="W63" s="548">
        <f t="shared" si="0"/>
        <v>307770.36132425349</v>
      </c>
      <c r="X63" s="496"/>
      <c r="Y63" s="553">
        <f t="shared" si="1"/>
        <v>305860.09531369712</v>
      </c>
      <c r="Z63" s="496"/>
      <c r="AA63" s="557">
        <f>'power redistribution'!$C$32/12</f>
        <v>58459835.648148142</v>
      </c>
      <c r="AB63" s="557">
        <f>'power redistribution'!$D$32/12</f>
        <v>15466.666666666666</v>
      </c>
      <c r="AC63" s="496"/>
      <c r="AD63" s="438">
        <v>0</v>
      </c>
      <c r="AE63" s="496"/>
    </row>
    <row r="64" spans="1:77" x14ac:dyDescent="0.2">
      <c r="A64" s="383">
        <v>54</v>
      </c>
      <c r="B64" s="519">
        <v>38139</v>
      </c>
      <c r="C64" s="565">
        <f>Breakout!$G$136/12</f>
        <v>6760081.6351559162</v>
      </c>
      <c r="D64" s="566">
        <f>Breakout!$G$137/12</f>
        <v>5086607.1000000006</v>
      </c>
      <c r="E64" s="566">
        <v>5086607.0999999996</v>
      </c>
      <c r="F64" s="565">
        <f>Breakout!$G$143/12</f>
        <v>114615.96063336858</v>
      </c>
      <c r="G64" s="566">
        <f>Breakout!$G$144/12</f>
        <v>93603.034517251013</v>
      </c>
      <c r="H64" s="566">
        <v>95513.300527807151</v>
      </c>
      <c r="I64" s="562">
        <v>0</v>
      </c>
      <c r="J64" s="438">
        <v>0</v>
      </c>
      <c r="K64" s="438">
        <v>0</v>
      </c>
      <c r="L64" s="562">
        <v>0</v>
      </c>
      <c r="M64" s="566">
        <f>Breakout!$G$151/12</f>
        <v>60167.847759043296</v>
      </c>
      <c r="N64" s="565">
        <f>Breakout!$G$157/12</f>
        <v>0</v>
      </c>
      <c r="O64" s="566">
        <f>Breakout!$G$158/12</f>
        <v>8333.3333333333339</v>
      </c>
      <c r="P64" s="565">
        <f>Breakout!$G$164/12</f>
        <v>0</v>
      </c>
      <c r="Q64" s="566">
        <f>Breakout!$G$165/12</f>
        <v>0</v>
      </c>
      <c r="R64" s="565">
        <f>Breakout!$G$171/12</f>
        <v>0</v>
      </c>
      <c r="S64" s="566">
        <f>Breakout!$G$172/12</f>
        <v>1318215.918855404</v>
      </c>
      <c r="T64" s="578">
        <f t="shared" si="2"/>
        <v>6874697.5957892844</v>
      </c>
      <c r="U64" s="554">
        <f t="shared" si="3"/>
        <v>6568837.5004755873</v>
      </c>
      <c r="V64" s="578">
        <f t="shared" si="4"/>
        <v>6566927.234465031</v>
      </c>
      <c r="W64" s="548">
        <f t="shared" si="0"/>
        <v>307770.36132425349</v>
      </c>
      <c r="X64" s="496"/>
      <c r="Y64" s="553">
        <f t="shared" si="1"/>
        <v>305860.09531369712</v>
      </c>
      <c r="Z64" s="496"/>
      <c r="AA64" s="557">
        <f>'power redistribution'!$C$32/12</f>
        <v>58459835.648148142</v>
      </c>
      <c r="AB64" s="557">
        <f>'power redistribution'!$D$32/12</f>
        <v>15466.666666666666</v>
      </c>
      <c r="AC64" s="496"/>
      <c r="AD64" s="438">
        <v>0</v>
      </c>
      <c r="AE64" s="496"/>
    </row>
    <row r="65" spans="1:77" x14ac:dyDescent="0.2">
      <c r="A65" s="383">
        <v>55</v>
      </c>
      <c r="B65" s="519">
        <v>38169</v>
      </c>
      <c r="C65" s="565">
        <f>Breakout!$G$136/12</f>
        <v>6760081.6351559162</v>
      </c>
      <c r="D65" s="566">
        <f>Breakout!$G$137/12</f>
        <v>5086607.1000000006</v>
      </c>
      <c r="E65" s="566">
        <v>5086607.0999999996</v>
      </c>
      <c r="F65" s="565">
        <f>Breakout!$G$143/12</f>
        <v>114615.96063336858</v>
      </c>
      <c r="G65" s="566">
        <f>Breakout!$G$144/12</f>
        <v>93603.034517251013</v>
      </c>
      <c r="H65" s="566">
        <v>95513.300527807151</v>
      </c>
      <c r="I65" s="562">
        <v>0</v>
      </c>
      <c r="J65" s="438">
        <v>0</v>
      </c>
      <c r="K65" s="438">
        <v>0</v>
      </c>
      <c r="L65" s="562">
        <v>0</v>
      </c>
      <c r="M65" s="566">
        <f>Breakout!$G$151/12</f>
        <v>60167.847759043296</v>
      </c>
      <c r="N65" s="565">
        <f>Breakout!$G$157/12</f>
        <v>0</v>
      </c>
      <c r="O65" s="566">
        <f>Breakout!$G$158/12</f>
        <v>8333.3333333333339</v>
      </c>
      <c r="P65" s="565">
        <f>Breakout!$G$164/12</f>
        <v>0</v>
      </c>
      <c r="Q65" s="566">
        <f>Breakout!$G$165/12</f>
        <v>0</v>
      </c>
      <c r="R65" s="565">
        <f>Breakout!$G$171/12</f>
        <v>0</v>
      </c>
      <c r="S65" s="566">
        <f>Breakout!$G$172/12</f>
        <v>1318215.918855404</v>
      </c>
      <c r="T65" s="578">
        <f t="shared" si="2"/>
        <v>6874697.5957892844</v>
      </c>
      <c r="U65" s="554">
        <f t="shared" si="3"/>
        <v>6568837.5004755873</v>
      </c>
      <c r="V65" s="578">
        <f t="shared" si="4"/>
        <v>6566927.234465031</v>
      </c>
      <c r="W65" s="548">
        <f t="shared" si="0"/>
        <v>307770.36132425349</v>
      </c>
      <c r="X65" s="496"/>
      <c r="Y65" s="553">
        <f t="shared" si="1"/>
        <v>305860.09531369712</v>
      </c>
      <c r="Z65" s="496"/>
      <c r="AA65" s="557">
        <f>'power redistribution'!$C$32/12</f>
        <v>58459835.648148142</v>
      </c>
      <c r="AB65" s="557">
        <f>'power redistribution'!$D$32/12</f>
        <v>15466.666666666666</v>
      </c>
      <c r="AC65" s="496"/>
      <c r="AD65" s="438">
        <v>0</v>
      </c>
      <c r="AE65" s="496"/>
    </row>
    <row r="66" spans="1:77" x14ac:dyDescent="0.2">
      <c r="A66" s="383">
        <v>56</v>
      </c>
      <c r="B66" s="519">
        <v>38200</v>
      </c>
      <c r="C66" s="565">
        <f>Breakout!$G$136/12</f>
        <v>6760081.6351559162</v>
      </c>
      <c r="D66" s="566">
        <f>Breakout!$G$137/12</f>
        <v>5086607.1000000006</v>
      </c>
      <c r="E66" s="566">
        <v>5086607.0999999996</v>
      </c>
      <c r="F66" s="565">
        <f>Breakout!$G$143/12</f>
        <v>114615.96063336858</v>
      </c>
      <c r="G66" s="566">
        <f>Breakout!$G$144/12</f>
        <v>93603.034517251013</v>
      </c>
      <c r="H66" s="566">
        <v>95513.300527807151</v>
      </c>
      <c r="I66" s="562">
        <v>0</v>
      </c>
      <c r="J66" s="438">
        <v>0</v>
      </c>
      <c r="K66" s="438">
        <v>0</v>
      </c>
      <c r="L66" s="562">
        <v>0</v>
      </c>
      <c r="M66" s="566">
        <f>Breakout!$G$151/12</f>
        <v>60167.847759043296</v>
      </c>
      <c r="N66" s="565">
        <f>Breakout!$G$157/12</f>
        <v>0</v>
      </c>
      <c r="O66" s="566">
        <f>Breakout!$G$158/12</f>
        <v>8333.3333333333339</v>
      </c>
      <c r="P66" s="565">
        <f>Breakout!$G$164/12</f>
        <v>0</v>
      </c>
      <c r="Q66" s="566">
        <f>Breakout!$G$165/12</f>
        <v>0</v>
      </c>
      <c r="R66" s="565">
        <f>Breakout!$G$171/12</f>
        <v>0</v>
      </c>
      <c r="S66" s="566">
        <f>Breakout!$G$172/12</f>
        <v>1318215.918855404</v>
      </c>
      <c r="T66" s="578">
        <f t="shared" si="2"/>
        <v>6874697.5957892844</v>
      </c>
      <c r="U66" s="554">
        <f t="shared" si="3"/>
        <v>6568837.5004755873</v>
      </c>
      <c r="V66" s="578">
        <f t="shared" si="4"/>
        <v>6566927.234465031</v>
      </c>
      <c r="W66" s="548">
        <f t="shared" si="0"/>
        <v>307770.36132425349</v>
      </c>
      <c r="X66" s="496"/>
      <c r="Y66" s="553">
        <f t="shared" si="1"/>
        <v>305860.09531369712</v>
      </c>
      <c r="Z66" s="496"/>
      <c r="AA66" s="557">
        <f>'power redistribution'!$C$32/12</f>
        <v>58459835.648148142</v>
      </c>
      <c r="AB66" s="557">
        <f>'power redistribution'!$D$32/12</f>
        <v>15466.666666666666</v>
      </c>
      <c r="AC66" s="496"/>
      <c r="AD66" s="438">
        <v>0</v>
      </c>
      <c r="AE66" s="496"/>
    </row>
    <row r="67" spans="1:77" x14ac:dyDescent="0.2">
      <c r="A67" s="383">
        <v>57</v>
      </c>
      <c r="B67" s="519">
        <v>38231</v>
      </c>
      <c r="C67" s="565">
        <f>Breakout!$G$136/12</f>
        <v>6760081.6351559162</v>
      </c>
      <c r="D67" s="566">
        <f>Breakout!$G$137/12</f>
        <v>5086607.1000000006</v>
      </c>
      <c r="E67" s="566">
        <v>5086607.0999999996</v>
      </c>
      <c r="F67" s="565">
        <f>Breakout!$G$143/12</f>
        <v>114615.96063336858</v>
      </c>
      <c r="G67" s="566">
        <f>Breakout!$G$144/12</f>
        <v>93603.034517251013</v>
      </c>
      <c r="H67" s="566">
        <v>95513.300527807151</v>
      </c>
      <c r="I67" s="562">
        <v>0</v>
      </c>
      <c r="J67" s="438">
        <v>0</v>
      </c>
      <c r="K67" s="438">
        <v>0</v>
      </c>
      <c r="L67" s="562">
        <v>0</v>
      </c>
      <c r="M67" s="566">
        <f>Breakout!$G$151/12</f>
        <v>60167.847759043296</v>
      </c>
      <c r="N67" s="565">
        <f>Breakout!$G$157/12</f>
        <v>0</v>
      </c>
      <c r="O67" s="566">
        <f>Breakout!$G$158/12</f>
        <v>8333.3333333333339</v>
      </c>
      <c r="P67" s="565">
        <f>Breakout!$G$164/12</f>
        <v>0</v>
      </c>
      <c r="Q67" s="566">
        <f>Breakout!$G$165/12</f>
        <v>0</v>
      </c>
      <c r="R67" s="565">
        <f>Breakout!$G$171/12</f>
        <v>0</v>
      </c>
      <c r="S67" s="566">
        <f>Breakout!$G$172/12</f>
        <v>1318215.918855404</v>
      </c>
      <c r="T67" s="578">
        <f t="shared" si="2"/>
        <v>6874697.5957892844</v>
      </c>
      <c r="U67" s="554">
        <f t="shared" si="3"/>
        <v>6568837.5004755873</v>
      </c>
      <c r="V67" s="578">
        <f t="shared" si="4"/>
        <v>6566927.234465031</v>
      </c>
      <c r="W67" s="548">
        <f t="shared" si="0"/>
        <v>307770.36132425349</v>
      </c>
      <c r="X67" s="496"/>
      <c r="Y67" s="553">
        <f t="shared" si="1"/>
        <v>305860.09531369712</v>
      </c>
      <c r="Z67" s="496"/>
      <c r="AA67" s="557">
        <f>'power redistribution'!$C$32/12</f>
        <v>58459835.648148142</v>
      </c>
      <c r="AB67" s="557">
        <f>'power redistribution'!$D$32/12</f>
        <v>15466.666666666666</v>
      </c>
      <c r="AC67" s="496"/>
      <c r="AD67" s="438">
        <v>0</v>
      </c>
      <c r="AE67" s="496"/>
    </row>
    <row r="68" spans="1:77" x14ac:dyDescent="0.2">
      <c r="A68" s="383">
        <v>58</v>
      </c>
      <c r="B68" s="519">
        <v>38261</v>
      </c>
      <c r="C68" s="565">
        <f>Breakout!$G$136/12</f>
        <v>6760081.6351559162</v>
      </c>
      <c r="D68" s="566">
        <f>Breakout!$G$137/12</f>
        <v>5086607.1000000006</v>
      </c>
      <c r="E68" s="566">
        <v>5086607.0999999996</v>
      </c>
      <c r="F68" s="565">
        <f>Breakout!$G$143/12</f>
        <v>114615.96063336858</v>
      </c>
      <c r="G68" s="566">
        <f>Breakout!$G$144/12</f>
        <v>93603.034517251013</v>
      </c>
      <c r="H68" s="566">
        <v>95513.300527807151</v>
      </c>
      <c r="I68" s="562">
        <v>0</v>
      </c>
      <c r="J68" s="438">
        <v>0</v>
      </c>
      <c r="K68" s="438">
        <v>0</v>
      </c>
      <c r="L68" s="562">
        <v>0</v>
      </c>
      <c r="M68" s="566">
        <f>Breakout!$G$151/12</f>
        <v>60167.847759043296</v>
      </c>
      <c r="N68" s="565">
        <f>Breakout!$G$157/12</f>
        <v>0</v>
      </c>
      <c r="O68" s="566">
        <f>Breakout!$G$158/12</f>
        <v>8333.3333333333339</v>
      </c>
      <c r="P68" s="565">
        <f>Breakout!$G$164/12</f>
        <v>0</v>
      </c>
      <c r="Q68" s="566">
        <f>Breakout!$G$165/12</f>
        <v>0</v>
      </c>
      <c r="R68" s="565">
        <f>Breakout!$G$171/12</f>
        <v>0</v>
      </c>
      <c r="S68" s="566">
        <f>Breakout!$G$172/12</f>
        <v>1318215.918855404</v>
      </c>
      <c r="T68" s="578">
        <f t="shared" si="2"/>
        <v>6874697.5957892844</v>
      </c>
      <c r="U68" s="554">
        <f t="shared" si="3"/>
        <v>6568837.5004755873</v>
      </c>
      <c r="V68" s="578">
        <f t="shared" si="4"/>
        <v>6566927.234465031</v>
      </c>
      <c r="W68" s="548">
        <f t="shared" si="0"/>
        <v>307770.36132425349</v>
      </c>
      <c r="X68" s="496"/>
      <c r="Y68" s="553">
        <f t="shared" si="1"/>
        <v>305860.09531369712</v>
      </c>
      <c r="Z68" s="496"/>
      <c r="AA68" s="557">
        <f>'power redistribution'!$C$32/12</f>
        <v>58459835.648148142</v>
      </c>
      <c r="AB68" s="557">
        <f>'power redistribution'!$D$32/12</f>
        <v>15466.666666666666</v>
      </c>
      <c r="AC68" s="496"/>
      <c r="AD68" s="438">
        <v>0</v>
      </c>
      <c r="AE68" s="496"/>
    </row>
    <row r="69" spans="1:77" x14ac:dyDescent="0.2">
      <c r="A69" s="383">
        <v>59</v>
      </c>
      <c r="B69" s="519">
        <v>38292</v>
      </c>
      <c r="C69" s="565">
        <f>Breakout!$G$136/12</f>
        <v>6760081.6351559162</v>
      </c>
      <c r="D69" s="566">
        <f>Breakout!$G$137/12</f>
        <v>5086607.1000000006</v>
      </c>
      <c r="E69" s="566">
        <v>5086607.0999999996</v>
      </c>
      <c r="F69" s="565">
        <f>Breakout!$G$143/12</f>
        <v>114615.96063336858</v>
      </c>
      <c r="G69" s="566">
        <f>Breakout!$G$144/12</f>
        <v>93603.034517251013</v>
      </c>
      <c r="H69" s="566">
        <v>95513.300527807151</v>
      </c>
      <c r="I69" s="562">
        <v>0</v>
      </c>
      <c r="J69" s="438">
        <v>0</v>
      </c>
      <c r="K69" s="438">
        <v>0</v>
      </c>
      <c r="L69" s="562">
        <v>0</v>
      </c>
      <c r="M69" s="566">
        <f>Breakout!$G$151/12</f>
        <v>60167.847759043296</v>
      </c>
      <c r="N69" s="565">
        <f>Breakout!$G$157/12</f>
        <v>0</v>
      </c>
      <c r="O69" s="566">
        <f>Breakout!$G$158/12</f>
        <v>8333.3333333333339</v>
      </c>
      <c r="P69" s="565">
        <f>Breakout!$G$164/12</f>
        <v>0</v>
      </c>
      <c r="Q69" s="566">
        <f>Breakout!$G$165/12</f>
        <v>0</v>
      </c>
      <c r="R69" s="565">
        <f>Breakout!$G$171/12</f>
        <v>0</v>
      </c>
      <c r="S69" s="566">
        <f>Breakout!$G$172/12</f>
        <v>1318215.918855404</v>
      </c>
      <c r="T69" s="578">
        <f t="shared" si="2"/>
        <v>6874697.5957892844</v>
      </c>
      <c r="U69" s="554">
        <f t="shared" si="3"/>
        <v>6568837.5004755873</v>
      </c>
      <c r="V69" s="578">
        <f t="shared" si="4"/>
        <v>6566927.234465031</v>
      </c>
      <c r="W69" s="548">
        <f t="shared" si="0"/>
        <v>307770.36132425349</v>
      </c>
      <c r="X69" s="496"/>
      <c r="Y69" s="553">
        <f t="shared" si="1"/>
        <v>305860.09531369712</v>
      </c>
      <c r="Z69" s="496"/>
      <c r="AA69" s="557">
        <f>'power redistribution'!$C$32/12</f>
        <v>58459835.648148142</v>
      </c>
      <c r="AB69" s="557">
        <f>'power redistribution'!$D$32/12</f>
        <v>15466.666666666666</v>
      </c>
      <c r="AC69" s="496"/>
      <c r="AD69" s="438">
        <v>0</v>
      </c>
      <c r="AE69" s="496"/>
    </row>
    <row r="70" spans="1:77" s="525" customFormat="1" x14ac:dyDescent="0.2">
      <c r="A70" s="521">
        <v>60</v>
      </c>
      <c r="B70" s="522">
        <v>38322</v>
      </c>
      <c r="C70" s="563">
        <f>Breakout!$G$136/12</f>
        <v>6760081.6351559162</v>
      </c>
      <c r="D70" s="561">
        <f>Breakout!$G$137/12</f>
        <v>5086607.1000000006</v>
      </c>
      <c r="E70" s="561">
        <v>5086607.0999999996</v>
      </c>
      <c r="F70" s="563">
        <f>Breakout!$G$143/12</f>
        <v>114615.96063336858</v>
      </c>
      <c r="G70" s="561">
        <f>Breakout!$G$144/12</f>
        <v>93603.034517251013</v>
      </c>
      <c r="H70" s="561">
        <v>95513.300527807151</v>
      </c>
      <c r="I70" s="562">
        <v>0</v>
      </c>
      <c r="J70" s="438">
        <v>0</v>
      </c>
      <c r="K70" s="438">
        <v>0</v>
      </c>
      <c r="L70" s="562">
        <v>0</v>
      </c>
      <c r="M70" s="561">
        <f>Breakout!$G$151/12</f>
        <v>60167.847759043296</v>
      </c>
      <c r="N70" s="563">
        <f>Breakout!$G$157/12</f>
        <v>0</v>
      </c>
      <c r="O70" s="561">
        <f>Breakout!$G$158/12</f>
        <v>8333.3333333333339</v>
      </c>
      <c r="P70" s="563">
        <f>Breakout!$G$164/12</f>
        <v>0</v>
      </c>
      <c r="Q70" s="561">
        <f>Breakout!$G$165/12</f>
        <v>0</v>
      </c>
      <c r="R70" s="563">
        <f>Breakout!$G$171/12</f>
        <v>0</v>
      </c>
      <c r="S70" s="561">
        <f>Breakout!$G$172/12</f>
        <v>1318215.918855404</v>
      </c>
      <c r="T70" s="578">
        <f t="shared" si="2"/>
        <v>6874697.5957892844</v>
      </c>
      <c r="U70" s="554">
        <f t="shared" si="3"/>
        <v>6568837.5004755873</v>
      </c>
      <c r="V70" s="578">
        <f t="shared" si="4"/>
        <v>6566927.234465031</v>
      </c>
      <c r="W70" s="548">
        <f t="shared" si="0"/>
        <v>307770.36132425349</v>
      </c>
      <c r="X70" s="524">
        <f>SUM(W59:W70)</f>
        <v>3693244.3358910419</v>
      </c>
      <c r="Y70" s="553">
        <f t="shared" si="1"/>
        <v>305860.09531369712</v>
      </c>
      <c r="Z70" s="524">
        <f>SUM(Y59:Y70)</f>
        <v>3670321.1437643655</v>
      </c>
      <c r="AA70" s="557">
        <f>'power redistribution'!$C$32/12</f>
        <v>58459835.648148142</v>
      </c>
      <c r="AB70" s="557">
        <f>'power redistribution'!$D$32/12</f>
        <v>15466.666666666666</v>
      </c>
      <c r="AC70" s="524"/>
      <c r="AD70" s="438">
        <v>0</v>
      </c>
      <c r="AE70" s="524"/>
      <c r="AF70" s="524"/>
      <c r="AG70" s="524"/>
      <c r="AH70" s="524"/>
      <c r="AI70" s="524"/>
      <c r="AJ70" s="524"/>
      <c r="AK70" s="524"/>
      <c r="AL70" s="524"/>
      <c r="AM70" s="524"/>
      <c r="AN70" s="524"/>
      <c r="AO70" s="524"/>
      <c r="AP70" s="524"/>
      <c r="AQ70" s="524"/>
      <c r="AR70" s="524"/>
      <c r="AS70" s="524"/>
      <c r="AT70" s="524"/>
      <c r="AU70" s="524"/>
      <c r="AV70" s="524"/>
      <c r="AW70" s="524"/>
      <c r="AX70" s="524"/>
      <c r="AY70" s="524"/>
      <c r="AZ70" s="524"/>
      <c r="BA70" s="524"/>
      <c r="BB70" s="524"/>
      <c r="BC70" s="524"/>
      <c r="BD70" s="524"/>
      <c r="BE70" s="524"/>
      <c r="BF70" s="524"/>
      <c r="BG70" s="524"/>
      <c r="BH70" s="524"/>
      <c r="BI70" s="524"/>
      <c r="BJ70" s="524"/>
      <c r="BK70" s="524"/>
      <c r="BL70" s="524"/>
      <c r="BM70" s="524"/>
      <c r="BN70" s="524"/>
      <c r="BO70" s="524"/>
      <c r="BP70" s="524"/>
      <c r="BQ70" s="524"/>
      <c r="BR70" s="524"/>
      <c r="BS70" s="524"/>
      <c r="BT70" s="524"/>
      <c r="BU70" s="524"/>
      <c r="BV70" s="524"/>
      <c r="BW70" s="524"/>
      <c r="BX70" s="524"/>
      <c r="BY70" s="524"/>
    </row>
    <row r="71" spans="1:77" s="532" customFormat="1" x14ac:dyDescent="0.2">
      <c r="A71" s="528">
        <v>61</v>
      </c>
      <c r="B71" s="529">
        <v>38353</v>
      </c>
      <c r="C71" s="564">
        <f>Breakout!$H$136/12</f>
        <v>6760081.6351559162</v>
      </c>
      <c r="D71" s="560">
        <f>Breakout!$H$137/12</f>
        <v>5086607.1000000006</v>
      </c>
      <c r="E71" s="560">
        <v>5086607.0999999996</v>
      </c>
      <c r="F71" s="564">
        <f>Breakout!$H$143/12</f>
        <v>117329.2159421434</v>
      </c>
      <c r="G71" s="560">
        <f>Breakout!$H$144/12</f>
        <v>95818.859686083786</v>
      </c>
      <c r="H71" s="560">
        <v>97774.346618452852</v>
      </c>
      <c r="I71" s="562">
        <v>0</v>
      </c>
      <c r="J71" s="438">
        <v>0</v>
      </c>
      <c r="K71" s="438">
        <v>0</v>
      </c>
      <c r="L71" s="562">
        <v>0</v>
      </c>
      <c r="M71" s="560">
        <f>Breakout!$H$151/12</f>
        <v>60167.847759043296</v>
      </c>
      <c r="N71" s="564">
        <f>Breakout!$H$157/12</f>
        <v>0</v>
      </c>
      <c r="O71" s="560">
        <f>Breakout!$H$158/12</f>
        <v>8333.3333333333339</v>
      </c>
      <c r="P71" s="564">
        <f>Breakout!$H$164/12</f>
        <v>0</v>
      </c>
      <c r="Q71" s="560">
        <f>Breakout!$H$165/12</f>
        <v>0</v>
      </c>
      <c r="R71" s="564">
        <f>Breakout!$H$171/12</f>
        <v>0</v>
      </c>
      <c r="S71" s="560">
        <f>Breakout!$H$172/12</f>
        <v>1318215.918855404</v>
      </c>
      <c r="T71" s="578">
        <f t="shared" si="2"/>
        <v>6877410.8510980597</v>
      </c>
      <c r="U71" s="554">
        <f t="shared" si="3"/>
        <v>6571098.546566233</v>
      </c>
      <c r="V71" s="578">
        <f t="shared" si="4"/>
        <v>6569143.0596338641</v>
      </c>
      <c r="W71" s="548">
        <f t="shared" si="0"/>
        <v>308267.79146419559</v>
      </c>
      <c r="X71" s="531"/>
      <c r="Y71" s="553">
        <f t="shared" si="1"/>
        <v>306312.30453182664</v>
      </c>
      <c r="Z71" s="531"/>
      <c r="AA71" s="557">
        <f>'power redistribution'!$C$32/12</f>
        <v>58459835.648148142</v>
      </c>
      <c r="AB71" s="557">
        <f>'power redistribution'!$D$32/12</f>
        <v>15466.666666666666</v>
      </c>
      <c r="AC71" s="531"/>
      <c r="AD71" s="438">
        <v>0</v>
      </c>
      <c r="AE71" s="531"/>
      <c r="AF71" s="531"/>
      <c r="AG71" s="531"/>
      <c r="AH71" s="531"/>
      <c r="AI71" s="531"/>
      <c r="AJ71" s="531"/>
      <c r="AK71" s="531"/>
      <c r="AL71" s="531"/>
      <c r="AM71" s="531"/>
      <c r="AN71" s="531"/>
      <c r="AO71" s="531"/>
      <c r="AP71" s="531"/>
      <c r="AQ71" s="531"/>
      <c r="AR71" s="531"/>
      <c r="AS71" s="531"/>
      <c r="AT71" s="531"/>
      <c r="AU71" s="531"/>
      <c r="AV71" s="531"/>
      <c r="AW71" s="531"/>
      <c r="AX71" s="531"/>
      <c r="AY71" s="531"/>
      <c r="AZ71" s="531"/>
      <c r="BA71" s="531"/>
      <c r="BB71" s="531"/>
      <c r="BC71" s="531"/>
      <c r="BD71" s="531"/>
      <c r="BE71" s="531"/>
      <c r="BF71" s="531"/>
      <c r="BG71" s="531"/>
      <c r="BH71" s="531"/>
      <c r="BI71" s="531"/>
      <c r="BJ71" s="531"/>
      <c r="BK71" s="531"/>
      <c r="BL71" s="531"/>
      <c r="BM71" s="531"/>
      <c r="BN71" s="531"/>
      <c r="BO71" s="531"/>
      <c r="BP71" s="531"/>
      <c r="BQ71" s="531"/>
      <c r="BR71" s="531"/>
      <c r="BS71" s="531"/>
      <c r="BT71" s="531"/>
      <c r="BU71" s="531"/>
      <c r="BV71" s="531"/>
      <c r="BW71" s="531"/>
      <c r="BX71" s="531"/>
      <c r="BY71" s="531"/>
    </row>
    <row r="72" spans="1:77" x14ac:dyDescent="0.2">
      <c r="A72" s="383">
        <v>62</v>
      </c>
      <c r="B72" s="519">
        <v>38384</v>
      </c>
      <c r="C72" s="565">
        <f>Breakout!$H$136/12</f>
        <v>6760081.6351559162</v>
      </c>
      <c r="D72" s="566">
        <f>Breakout!$H$137/12</f>
        <v>5086607.1000000006</v>
      </c>
      <c r="E72" s="566">
        <v>5086607.0999999996</v>
      </c>
      <c r="F72" s="565">
        <f>Breakout!$H$143/12</f>
        <v>117329.2159421434</v>
      </c>
      <c r="G72" s="566">
        <f>Breakout!$H$144/12</f>
        <v>95818.859686083786</v>
      </c>
      <c r="H72" s="566">
        <v>97774.346618452852</v>
      </c>
      <c r="I72" s="562">
        <v>0</v>
      </c>
      <c r="J72" s="438">
        <v>0</v>
      </c>
      <c r="K72" s="438">
        <v>0</v>
      </c>
      <c r="L72" s="562">
        <v>0</v>
      </c>
      <c r="M72" s="566">
        <f>Breakout!$H$151/12</f>
        <v>60167.847759043296</v>
      </c>
      <c r="N72" s="565">
        <f>Breakout!$H$157/12</f>
        <v>0</v>
      </c>
      <c r="O72" s="566">
        <f>Breakout!$H$158/12</f>
        <v>8333.3333333333339</v>
      </c>
      <c r="P72" s="565">
        <f>Breakout!$H$164/12</f>
        <v>0</v>
      </c>
      <c r="Q72" s="566">
        <f>Breakout!$H$165/12</f>
        <v>0</v>
      </c>
      <c r="R72" s="565">
        <f>Breakout!$H$171/12</f>
        <v>0</v>
      </c>
      <c r="S72" s="566">
        <f>Breakout!$H$172/12</f>
        <v>1318215.918855404</v>
      </c>
      <c r="T72" s="578">
        <f t="shared" si="2"/>
        <v>6877410.8510980597</v>
      </c>
      <c r="U72" s="554">
        <f t="shared" si="3"/>
        <v>6571098.546566233</v>
      </c>
      <c r="V72" s="578">
        <f t="shared" si="4"/>
        <v>6569143.0596338641</v>
      </c>
      <c r="W72" s="548">
        <f t="shared" si="0"/>
        <v>308267.79146419559</v>
      </c>
      <c r="X72" s="496"/>
      <c r="Y72" s="553">
        <f t="shared" si="1"/>
        <v>306312.30453182664</v>
      </c>
      <c r="Z72" s="496"/>
      <c r="AA72" s="557">
        <f>'power redistribution'!$C$32/12</f>
        <v>58459835.648148142</v>
      </c>
      <c r="AB72" s="557">
        <f>'power redistribution'!$D$32/12</f>
        <v>15466.666666666666</v>
      </c>
      <c r="AC72" s="496"/>
      <c r="AD72" s="438">
        <v>0</v>
      </c>
      <c r="AE72" s="496"/>
    </row>
    <row r="73" spans="1:77" x14ac:dyDescent="0.2">
      <c r="A73" s="383">
        <v>63</v>
      </c>
      <c r="B73" s="529">
        <v>38412</v>
      </c>
      <c r="C73" s="565">
        <f>Breakout!$H$136/12</f>
        <v>6760081.6351559162</v>
      </c>
      <c r="D73" s="566">
        <f>Breakout!$H$137/12</f>
        <v>5086607.1000000006</v>
      </c>
      <c r="E73" s="566">
        <v>5086607.0999999996</v>
      </c>
      <c r="F73" s="565">
        <f>Breakout!$H$143/12</f>
        <v>117329.2159421434</v>
      </c>
      <c r="G73" s="566">
        <f>Breakout!$H$144/12</f>
        <v>95818.859686083786</v>
      </c>
      <c r="H73" s="566">
        <v>97774.346618452852</v>
      </c>
      <c r="I73" s="562">
        <v>0</v>
      </c>
      <c r="J73" s="438">
        <v>0</v>
      </c>
      <c r="K73" s="438">
        <v>0</v>
      </c>
      <c r="L73" s="562">
        <v>0</v>
      </c>
      <c r="M73" s="566">
        <f>Breakout!$H$151/12</f>
        <v>60167.847759043296</v>
      </c>
      <c r="N73" s="565">
        <f>Breakout!$H$157/12</f>
        <v>0</v>
      </c>
      <c r="O73" s="566">
        <f>Breakout!$H$158/12</f>
        <v>8333.3333333333339</v>
      </c>
      <c r="P73" s="565">
        <f>Breakout!$H$164/12</f>
        <v>0</v>
      </c>
      <c r="Q73" s="566">
        <f>Breakout!$H$165/12</f>
        <v>0</v>
      </c>
      <c r="R73" s="565">
        <f>Breakout!$H$171/12</f>
        <v>0</v>
      </c>
      <c r="S73" s="566">
        <f>Breakout!$H$172/12</f>
        <v>1318215.918855404</v>
      </c>
      <c r="T73" s="578">
        <f t="shared" si="2"/>
        <v>6877410.8510980597</v>
      </c>
      <c r="U73" s="554">
        <f t="shared" si="3"/>
        <v>6571098.546566233</v>
      </c>
      <c r="V73" s="578">
        <f t="shared" si="4"/>
        <v>6569143.0596338641</v>
      </c>
      <c r="W73" s="548">
        <f t="shared" si="0"/>
        <v>308267.79146419559</v>
      </c>
      <c r="X73" s="496"/>
      <c r="Y73" s="553">
        <f t="shared" si="1"/>
        <v>306312.30453182664</v>
      </c>
      <c r="Z73" s="496"/>
      <c r="AA73" s="557">
        <f>'power redistribution'!$C$32/12</f>
        <v>58459835.648148142</v>
      </c>
      <c r="AB73" s="557">
        <f>'power redistribution'!$D$32/12</f>
        <v>15466.666666666666</v>
      </c>
      <c r="AC73" s="496"/>
      <c r="AD73" s="438">
        <v>0</v>
      </c>
      <c r="AE73" s="496"/>
    </row>
    <row r="74" spans="1:77" x14ac:dyDescent="0.2">
      <c r="A74" s="383">
        <v>64</v>
      </c>
      <c r="B74" s="519">
        <v>38443</v>
      </c>
      <c r="C74" s="565">
        <f>Breakout!$H$136/12</f>
        <v>6760081.6351559162</v>
      </c>
      <c r="D74" s="566">
        <f>Breakout!$H$137/12</f>
        <v>5086607.1000000006</v>
      </c>
      <c r="E74" s="566">
        <v>5086607.0999999996</v>
      </c>
      <c r="F74" s="565">
        <f>Breakout!$H$143/12</f>
        <v>117329.2159421434</v>
      </c>
      <c r="G74" s="566">
        <f>Breakout!$H$144/12</f>
        <v>95818.859686083786</v>
      </c>
      <c r="H74" s="566">
        <v>97774.346618452852</v>
      </c>
      <c r="I74" s="562">
        <v>0</v>
      </c>
      <c r="J74" s="438">
        <v>0</v>
      </c>
      <c r="K74" s="438">
        <v>0</v>
      </c>
      <c r="L74" s="562">
        <v>0</v>
      </c>
      <c r="M74" s="566">
        <f>Breakout!$H$151/12</f>
        <v>60167.847759043296</v>
      </c>
      <c r="N74" s="565">
        <f>Breakout!$H$157/12</f>
        <v>0</v>
      </c>
      <c r="O74" s="566">
        <f>Breakout!$H$158/12</f>
        <v>8333.3333333333339</v>
      </c>
      <c r="P74" s="565">
        <f>Breakout!$H$164/12</f>
        <v>0</v>
      </c>
      <c r="Q74" s="566">
        <f>Breakout!$H$165/12</f>
        <v>0</v>
      </c>
      <c r="R74" s="565">
        <f>Breakout!$H$171/12</f>
        <v>0</v>
      </c>
      <c r="S74" s="566">
        <f>Breakout!$H$172/12</f>
        <v>1318215.918855404</v>
      </c>
      <c r="T74" s="578">
        <f t="shared" si="2"/>
        <v>6877410.8510980597</v>
      </c>
      <c r="U74" s="554">
        <f t="shared" si="3"/>
        <v>6571098.546566233</v>
      </c>
      <c r="V74" s="578">
        <f t="shared" si="4"/>
        <v>6569143.0596338641</v>
      </c>
      <c r="W74" s="548">
        <f t="shared" si="0"/>
        <v>308267.79146419559</v>
      </c>
      <c r="X74" s="496"/>
      <c r="Y74" s="553">
        <f t="shared" si="1"/>
        <v>306312.30453182664</v>
      </c>
      <c r="Z74" s="496"/>
      <c r="AA74" s="557">
        <f>'power redistribution'!$C$32/12</f>
        <v>58459835.648148142</v>
      </c>
      <c r="AB74" s="557">
        <f>'power redistribution'!$D$32/12</f>
        <v>15466.666666666666</v>
      </c>
      <c r="AC74" s="496"/>
      <c r="AD74" s="438">
        <v>0</v>
      </c>
      <c r="AE74" s="496"/>
    </row>
    <row r="75" spans="1:77" x14ac:dyDescent="0.2">
      <c r="A75" s="383">
        <v>65</v>
      </c>
      <c r="B75" s="519">
        <v>38473</v>
      </c>
      <c r="C75" s="565">
        <f>Breakout!$H$136/12</f>
        <v>6760081.6351559162</v>
      </c>
      <c r="D75" s="566">
        <f>Breakout!$H$137/12</f>
        <v>5086607.1000000006</v>
      </c>
      <c r="E75" s="566">
        <v>5086607.0999999996</v>
      </c>
      <c r="F75" s="565">
        <f>Breakout!$H$143/12</f>
        <v>117329.2159421434</v>
      </c>
      <c r="G75" s="566">
        <f>Breakout!$H$144/12</f>
        <v>95818.859686083786</v>
      </c>
      <c r="H75" s="566">
        <v>97774.346618452852</v>
      </c>
      <c r="I75" s="562">
        <v>0</v>
      </c>
      <c r="J75" s="438">
        <v>0</v>
      </c>
      <c r="K75" s="438">
        <v>0</v>
      </c>
      <c r="L75" s="562">
        <v>0</v>
      </c>
      <c r="M75" s="566">
        <f>Breakout!$H$151/12</f>
        <v>60167.847759043296</v>
      </c>
      <c r="N75" s="565">
        <f>Breakout!$H$157/12</f>
        <v>0</v>
      </c>
      <c r="O75" s="566">
        <f>Breakout!$H$158/12</f>
        <v>8333.3333333333339</v>
      </c>
      <c r="P75" s="565">
        <f>Breakout!$H$164/12</f>
        <v>0</v>
      </c>
      <c r="Q75" s="566">
        <f>Breakout!$H$165/12</f>
        <v>0</v>
      </c>
      <c r="R75" s="565">
        <f>Breakout!$H$171/12</f>
        <v>0</v>
      </c>
      <c r="S75" s="566">
        <f>Breakout!$H$172/12</f>
        <v>1318215.918855404</v>
      </c>
      <c r="T75" s="578">
        <f t="shared" si="2"/>
        <v>6877410.8510980597</v>
      </c>
      <c r="U75" s="554">
        <f t="shared" si="3"/>
        <v>6571098.546566233</v>
      </c>
      <c r="V75" s="578">
        <f t="shared" si="4"/>
        <v>6569143.0596338641</v>
      </c>
      <c r="W75" s="548">
        <f t="shared" ref="W75:W130" si="5">T75-V75-AD75</f>
        <v>308267.79146419559</v>
      </c>
      <c r="X75" s="496"/>
      <c r="Y75" s="553">
        <f t="shared" ref="Y75:Y130" si="6">T75-U75-AD75</f>
        <v>306312.30453182664</v>
      </c>
      <c r="Z75" s="496"/>
      <c r="AA75" s="557">
        <f>'power redistribution'!$C$32/12</f>
        <v>58459835.648148142</v>
      </c>
      <c r="AB75" s="557">
        <f>'power redistribution'!$D$32/12</f>
        <v>15466.666666666666</v>
      </c>
      <c r="AC75" s="496"/>
      <c r="AD75" s="438">
        <v>0</v>
      </c>
      <c r="AE75" s="496"/>
    </row>
    <row r="76" spans="1:77" x14ac:dyDescent="0.2">
      <c r="A76" s="383">
        <v>66</v>
      </c>
      <c r="B76" s="519">
        <v>38504</v>
      </c>
      <c r="C76" s="565">
        <f>Breakout!$H$136/12</f>
        <v>6760081.6351559162</v>
      </c>
      <c r="D76" s="566">
        <f>Breakout!$H$137/12</f>
        <v>5086607.1000000006</v>
      </c>
      <c r="E76" s="566">
        <v>5086607.0999999996</v>
      </c>
      <c r="F76" s="565">
        <f>Breakout!$H$143/12</f>
        <v>117329.2159421434</v>
      </c>
      <c r="G76" s="566">
        <f>Breakout!$H$144/12</f>
        <v>95818.859686083786</v>
      </c>
      <c r="H76" s="566">
        <v>97774.346618452852</v>
      </c>
      <c r="I76" s="562">
        <v>0</v>
      </c>
      <c r="J76" s="438">
        <v>0</v>
      </c>
      <c r="K76" s="438">
        <v>0</v>
      </c>
      <c r="L76" s="562">
        <v>0</v>
      </c>
      <c r="M76" s="566">
        <f>Breakout!$H$151/12</f>
        <v>60167.847759043296</v>
      </c>
      <c r="N76" s="565">
        <f>Breakout!$H$157/12</f>
        <v>0</v>
      </c>
      <c r="O76" s="566">
        <f>Breakout!$H$158/12</f>
        <v>8333.3333333333339</v>
      </c>
      <c r="P76" s="565">
        <f>Breakout!$H$164/12</f>
        <v>0</v>
      </c>
      <c r="Q76" s="566">
        <f>Breakout!$H$165/12</f>
        <v>0</v>
      </c>
      <c r="R76" s="565">
        <f>Breakout!$H$171/12</f>
        <v>0</v>
      </c>
      <c r="S76" s="566">
        <f>Breakout!$H$172/12</f>
        <v>1318215.918855404</v>
      </c>
      <c r="T76" s="578">
        <f t="shared" ref="T76:T130" si="7">C76+F76+I76+L76+N76+P76+R76</f>
        <v>6877410.8510980597</v>
      </c>
      <c r="U76" s="554">
        <f t="shared" ref="U76:U130" si="8">E76+H76+K76+M76+O76+Q76+S76</f>
        <v>6571098.546566233</v>
      </c>
      <c r="V76" s="578">
        <f t="shared" ref="V76:V130" si="9">D76+G76+J76+M76+O76+Q76+S76</f>
        <v>6569143.0596338641</v>
      </c>
      <c r="W76" s="548">
        <f t="shared" si="5"/>
        <v>308267.79146419559</v>
      </c>
      <c r="X76" s="496"/>
      <c r="Y76" s="553">
        <f t="shared" si="6"/>
        <v>306312.30453182664</v>
      </c>
      <c r="Z76" s="496"/>
      <c r="AA76" s="557">
        <f>'power redistribution'!$C$32/12</f>
        <v>58459835.648148142</v>
      </c>
      <c r="AB76" s="557">
        <f>'power redistribution'!$D$32/12</f>
        <v>15466.666666666666</v>
      </c>
      <c r="AC76" s="496"/>
      <c r="AD76" s="438">
        <v>0</v>
      </c>
      <c r="AE76" s="496"/>
    </row>
    <row r="77" spans="1:77" x14ac:dyDescent="0.2">
      <c r="A77" s="383">
        <v>67</v>
      </c>
      <c r="B77" s="519">
        <v>38534</v>
      </c>
      <c r="C77" s="565">
        <f>Breakout!$H$136/12</f>
        <v>6760081.6351559162</v>
      </c>
      <c r="D77" s="566">
        <f>Breakout!$H$137/12</f>
        <v>5086607.1000000006</v>
      </c>
      <c r="E77" s="566">
        <v>5086607.0999999996</v>
      </c>
      <c r="F77" s="565">
        <f>Breakout!$H$143/12</f>
        <v>117329.2159421434</v>
      </c>
      <c r="G77" s="566">
        <f>Breakout!$H$144/12</f>
        <v>95818.859686083786</v>
      </c>
      <c r="H77" s="566">
        <v>97774.346618452852</v>
      </c>
      <c r="I77" s="562">
        <v>0</v>
      </c>
      <c r="J77" s="438">
        <v>0</v>
      </c>
      <c r="K77" s="438">
        <v>0</v>
      </c>
      <c r="L77" s="562">
        <v>0</v>
      </c>
      <c r="M77" s="566">
        <f>Breakout!$H$151/12</f>
        <v>60167.847759043296</v>
      </c>
      <c r="N77" s="565">
        <f>Breakout!$H$157/12</f>
        <v>0</v>
      </c>
      <c r="O77" s="566">
        <f>Breakout!$H$158/12</f>
        <v>8333.3333333333339</v>
      </c>
      <c r="P77" s="565">
        <f>Breakout!$H$164/12</f>
        <v>0</v>
      </c>
      <c r="Q77" s="566">
        <f>Breakout!$H$165/12</f>
        <v>0</v>
      </c>
      <c r="R77" s="565">
        <f>Breakout!$H$171/12</f>
        <v>0</v>
      </c>
      <c r="S77" s="566">
        <f>Breakout!$H$172/12</f>
        <v>1318215.918855404</v>
      </c>
      <c r="T77" s="578">
        <f t="shared" si="7"/>
        <v>6877410.8510980597</v>
      </c>
      <c r="U77" s="554">
        <f t="shared" si="8"/>
        <v>6571098.546566233</v>
      </c>
      <c r="V77" s="578">
        <f t="shared" si="9"/>
        <v>6569143.0596338641</v>
      </c>
      <c r="W77" s="548">
        <f t="shared" si="5"/>
        <v>308267.79146419559</v>
      </c>
      <c r="X77" s="496"/>
      <c r="Y77" s="553">
        <f t="shared" si="6"/>
        <v>306312.30453182664</v>
      </c>
      <c r="Z77" s="496"/>
      <c r="AA77" s="557">
        <f>'power redistribution'!$C$32/12</f>
        <v>58459835.648148142</v>
      </c>
      <c r="AB77" s="557">
        <f>'power redistribution'!$D$32/12</f>
        <v>15466.666666666666</v>
      </c>
      <c r="AC77" s="496"/>
      <c r="AD77" s="438">
        <v>0</v>
      </c>
      <c r="AE77" s="496"/>
    </row>
    <row r="78" spans="1:77" x14ac:dyDescent="0.2">
      <c r="A78" s="383">
        <v>68</v>
      </c>
      <c r="B78" s="519">
        <v>38565</v>
      </c>
      <c r="C78" s="565">
        <f>Breakout!$H$136/12</f>
        <v>6760081.6351559162</v>
      </c>
      <c r="D78" s="566">
        <f>Breakout!$H$137/12</f>
        <v>5086607.1000000006</v>
      </c>
      <c r="E78" s="566">
        <v>5086607.0999999996</v>
      </c>
      <c r="F78" s="565">
        <f>Breakout!$H$143/12</f>
        <v>117329.2159421434</v>
      </c>
      <c r="G78" s="566">
        <f>Breakout!$H$144/12</f>
        <v>95818.859686083786</v>
      </c>
      <c r="H78" s="566">
        <v>97774.346618452852</v>
      </c>
      <c r="I78" s="562">
        <v>0</v>
      </c>
      <c r="J78" s="438">
        <v>0</v>
      </c>
      <c r="K78" s="438">
        <v>0</v>
      </c>
      <c r="L78" s="562">
        <v>0</v>
      </c>
      <c r="M78" s="566">
        <f>Breakout!$H$151/12</f>
        <v>60167.847759043296</v>
      </c>
      <c r="N78" s="565">
        <f>Breakout!$H$157/12</f>
        <v>0</v>
      </c>
      <c r="O78" s="566">
        <f>Breakout!$H$158/12</f>
        <v>8333.3333333333339</v>
      </c>
      <c r="P78" s="565">
        <f>Breakout!$H$164/12</f>
        <v>0</v>
      </c>
      <c r="Q78" s="566">
        <f>Breakout!$H$165/12</f>
        <v>0</v>
      </c>
      <c r="R78" s="565">
        <f>Breakout!$H$171/12</f>
        <v>0</v>
      </c>
      <c r="S78" s="566">
        <f>Breakout!$H$172/12</f>
        <v>1318215.918855404</v>
      </c>
      <c r="T78" s="578">
        <f t="shared" si="7"/>
        <v>6877410.8510980597</v>
      </c>
      <c r="U78" s="554">
        <f t="shared" si="8"/>
        <v>6571098.546566233</v>
      </c>
      <c r="V78" s="578">
        <f t="shared" si="9"/>
        <v>6569143.0596338641</v>
      </c>
      <c r="W78" s="548">
        <f t="shared" si="5"/>
        <v>308267.79146419559</v>
      </c>
      <c r="X78" s="496"/>
      <c r="Y78" s="553">
        <f t="shared" si="6"/>
        <v>306312.30453182664</v>
      </c>
      <c r="Z78" s="496"/>
      <c r="AA78" s="557">
        <f>'power redistribution'!$C$32/12</f>
        <v>58459835.648148142</v>
      </c>
      <c r="AB78" s="557">
        <f>'power redistribution'!$D$32/12</f>
        <v>15466.666666666666</v>
      </c>
      <c r="AC78" s="496"/>
      <c r="AD78" s="438">
        <v>0</v>
      </c>
      <c r="AE78" s="496"/>
    </row>
    <row r="79" spans="1:77" x14ac:dyDescent="0.2">
      <c r="A79" s="383">
        <v>69</v>
      </c>
      <c r="B79" s="519">
        <v>38596</v>
      </c>
      <c r="C79" s="565">
        <f>Breakout!$H$136/12</f>
        <v>6760081.6351559162</v>
      </c>
      <c r="D79" s="566">
        <f>Breakout!$H$137/12</f>
        <v>5086607.1000000006</v>
      </c>
      <c r="E79" s="566">
        <v>5086607.0999999996</v>
      </c>
      <c r="F79" s="565">
        <f>Breakout!$H$143/12</f>
        <v>117329.2159421434</v>
      </c>
      <c r="G79" s="566">
        <f>Breakout!$H$144/12</f>
        <v>95818.859686083786</v>
      </c>
      <c r="H79" s="566">
        <v>97774.346618452852</v>
      </c>
      <c r="I79" s="562">
        <v>0</v>
      </c>
      <c r="J79" s="438">
        <v>0</v>
      </c>
      <c r="K79" s="438">
        <v>0</v>
      </c>
      <c r="L79" s="562">
        <v>0</v>
      </c>
      <c r="M79" s="566">
        <f>Breakout!$H$151/12</f>
        <v>60167.847759043296</v>
      </c>
      <c r="N79" s="565">
        <f>Breakout!$H$157/12</f>
        <v>0</v>
      </c>
      <c r="O79" s="566">
        <f>Breakout!$H$158/12</f>
        <v>8333.3333333333339</v>
      </c>
      <c r="P79" s="565">
        <f>Breakout!$H$164/12</f>
        <v>0</v>
      </c>
      <c r="Q79" s="566">
        <f>Breakout!$H$165/12</f>
        <v>0</v>
      </c>
      <c r="R79" s="565">
        <f>Breakout!$H$171/12</f>
        <v>0</v>
      </c>
      <c r="S79" s="566">
        <f>Breakout!$H$172/12</f>
        <v>1318215.918855404</v>
      </c>
      <c r="T79" s="578">
        <f t="shared" si="7"/>
        <v>6877410.8510980597</v>
      </c>
      <c r="U79" s="554">
        <f t="shared" si="8"/>
        <v>6571098.546566233</v>
      </c>
      <c r="V79" s="578">
        <f t="shared" si="9"/>
        <v>6569143.0596338641</v>
      </c>
      <c r="W79" s="548">
        <f t="shared" si="5"/>
        <v>308267.79146419559</v>
      </c>
      <c r="X79" s="496"/>
      <c r="Y79" s="553">
        <f t="shared" si="6"/>
        <v>306312.30453182664</v>
      </c>
      <c r="Z79" s="496"/>
      <c r="AA79" s="557">
        <f>'power redistribution'!$C$32/12</f>
        <v>58459835.648148142</v>
      </c>
      <c r="AB79" s="557">
        <f>'power redistribution'!$D$32/12</f>
        <v>15466.666666666666</v>
      </c>
      <c r="AC79" s="496"/>
      <c r="AD79" s="438">
        <v>0</v>
      </c>
      <c r="AE79" s="496"/>
    </row>
    <row r="80" spans="1:77" x14ac:dyDescent="0.2">
      <c r="A80" s="383">
        <v>70</v>
      </c>
      <c r="B80" s="519">
        <v>38626</v>
      </c>
      <c r="C80" s="565">
        <f>Breakout!$H$136/12</f>
        <v>6760081.6351559162</v>
      </c>
      <c r="D80" s="566">
        <f>Breakout!$H$137/12</f>
        <v>5086607.1000000006</v>
      </c>
      <c r="E80" s="566">
        <v>5086607.0999999996</v>
      </c>
      <c r="F80" s="565">
        <f>Breakout!$H$143/12</f>
        <v>117329.2159421434</v>
      </c>
      <c r="G80" s="566">
        <f>Breakout!$H$144/12</f>
        <v>95818.859686083786</v>
      </c>
      <c r="H80" s="566">
        <v>97774.346618452852</v>
      </c>
      <c r="I80" s="562">
        <v>0</v>
      </c>
      <c r="J80" s="438">
        <v>0</v>
      </c>
      <c r="K80" s="438">
        <v>0</v>
      </c>
      <c r="L80" s="562">
        <v>0</v>
      </c>
      <c r="M80" s="566">
        <f>Breakout!$H$151/12</f>
        <v>60167.847759043296</v>
      </c>
      <c r="N80" s="565">
        <f>Breakout!$H$157/12</f>
        <v>0</v>
      </c>
      <c r="O80" s="566">
        <f>Breakout!$H$158/12</f>
        <v>8333.3333333333339</v>
      </c>
      <c r="P80" s="565">
        <f>Breakout!$H$164/12</f>
        <v>0</v>
      </c>
      <c r="Q80" s="566">
        <f>Breakout!$H$165/12</f>
        <v>0</v>
      </c>
      <c r="R80" s="565">
        <f>Breakout!$H$171/12</f>
        <v>0</v>
      </c>
      <c r="S80" s="566">
        <f>Breakout!$H$172/12</f>
        <v>1318215.918855404</v>
      </c>
      <c r="T80" s="578">
        <f t="shared" si="7"/>
        <v>6877410.8510980597</v>
      </c>
      <c r="U80" s="554">
        <f t="shared" si="8"/>
        <v>6571098.546566233</v>
      </c>
      <c r="V80" s="578">
        <f t="shared" si="9"/>
        <v>6569143.0596338641</v>
      </c>
      <c r="W80" s="548">
        <f t="shared" si="5"/>
        <v>308267.79146419559</v>
      </c>
      <c r="X80" s="496"/>
      <c r="Y80" s="553">
        <f t="shared" si="6"/>
        <v>306312.30453182664</v>
      </c>
      <c r="Z80" s="496"/>
      <c r="AA80" s="557">
        <f>'power redistribution'!$C$32/12</f>
        <v>58459835.648148142</v>
      </c>
      <c r="AB80" s="557">
        <f>'power redistribution'!$D$32/12</f>
        <v>15466.666666666666</v>
      </c>
      <c r="AC80" s="496"/>
      <c r="AD80" s="438">
        <v>0</v>
      </c>
      <c r="AE80" s="496"/>
    </row>
    <row r="81" spans="1:77" x14ac:dyDescent="0.2">
      <c r="A81" s="383">
        <v>71</v>
      </c>
      <c r="B81" s="519">
        <v>38657</v>
      </c>
      <c r="C81" s="565">
        <f>Breakout!$H$136/12</f>
        <v>6760081.6351559162</v>
      </c>
      <c r="D81" s="566">
        <f>Breakout!$H$137/12</f>
        <v>5086607.1000000006</v>
      </c>
      <c r="E81" s="566">
        <v>5086607.0999999996</v>
      </c>
      <c r="F81" s="565">
        <f>Breakout!$H$143/12</f>
        <v>117329.2159421434</v>
      </c>
      <c r="G81" s="566">
        <f>Breakout!$H$144/12</f>
        <v>95818.859686083786</v>
      </c>
      <c r="H81" s="566">
        <v>97774.346618452852</v>
      </c>
      <c r="I81" s="562">
        <v>0</v>
      </c>
      <c r="J81" s="438">
        <v>0</v>
      </c>
      <c r="K81" s="438">
        <v>0</v>
      </c>
      <c r="L81" s="562">
        <v>0</v>
      </c>
      <c r="M81" s="566">
        <f>Breakout!$H$151/12</f>
        <v>60167.847759043296</v>
      </c>
      <c r="N81" s="565">
        <f>Breakout!$H$157/12</f>
        <v>0</v>
      </c>
      <c r="O81" s="566">
        <f>Breakout!$H$158/12</f>
        <v>8333.3333333333339</v>
      </c>
      <c r="P81" s="565">
        <f>Breakout!$H$164/12</f>
        <v>0</v>
      </c>
      <c r="Q81" s="566">
        <f>Breakout!$H$165/12</f>
        <v>0</v>
      </c>
      <c r="R81" s="565">
        <f>Breakout!$H$171/12</f>
        <v>0</v>
      </c>
      <c r="S81" s="566">
        <f>Breakout!$H$172/12</f>
        <v>1318215.918855404</v>
      </c>
      <c r="T81" s="578">
        <f t="shared" si="7"/>
        <v>6877410.8510980597</v>
      </c>
      <c r="U81" s="554">
        <f t="shared" si="8"/>
        <v>6571098.546566233</v>
      </c>
      <c r="V81" s="578">
        <f t="shared" si="9"/>
        <v>6569143.0596338641</v>
      </c>
      <c r="W81" s="548">
        <f t="shared" si="5"/>
        <v>308267.79146419559</v>
      </c>
      <c r="X81" s="496"/>
      <c r="Y81" s="553">
        <f t="shared" si="6"/>
        <v>306312.30453182664</v>
      </c>
      <c r="Z81" s="496"/>
      <c r="AA81" s="557">
        <f>'power redistribution'!$C$32/12</f>
        <v>58459835.648148142</v>
      </c>
      <c r="AB81" s="557">
        <f>'power redistribution'!$D$32/12</f>
        <v>15466.666666666666</v>
      </c>
      <c r="AC81" s="496"/>
      <c r="AD81" s="438">
        <v>0</v>
      </c>
      <c r="AE81" s="496"/>
    </row>
    <row r="82" spans="1:77" s="525" customFormat="1" x14ac:dyDescent="0.2">
      <c r="A82" s="521">
        <v>72</v>
      </c>
      <c r="B82" s="522">
        <v>38687</v>
      </c>
      <c r="C82" s="563">
        <f>Breakout!$H$136/12</f>
        <v>6760081.6351559162</v>
      </c>
      <c r="D82" s="561">
        <f>Breakout!$H$137/12</f>
        <v>5086607.1000000006</v>
      </c>
      <c r="E82" s="561">
        <v>5086607.0999999996</v>
      </c>
      <c r="F82" s="563">
        <f>Breakout!$H$143/12</f>
        <v>117329.2159421434</v>
      </c>
      <c r="G82" s="561">
        <f>Breakout!$H$144/12</f>
        <v>95818.859686083786</v>
      </c>
      <c r="H82" s="561">
        <v>97774.346618452852</v>
      </c>
      <c r="I82" s="562">
        <v>0</v>
      </c>
      <c r="J82" s="438">
        <v>0</v>
      </c>
      <c r="K82" s="438">
        <v>0</v>
      </c>
      <c r="L82" s="562">
        <v>0</v>
      </c>
      <c r="M82" s="561">
        <f>Breakout!$H$151/12</f>
        <v>60167.847759043296</v>
      </c>
      <c r="N82" s="563">
        <f>Breakout!$H$157/12</f>
        <v>0</v>
      </c>
      <c r="O82" s="561">
        <f>Breakout!$H$158/12</f>
        <v>8333.3333333333339</v>
      </c>
      <c r="P82" s="563">
        <f>Breakout!$H$164/12</f>
        <v>0</v>
      </c>
      <c r="Q82" s="561">
        <f>Breakout!$H$165/12</f>
        <v>0</v>
      </c>
      <c r="R82" s="563">
        <f>Breakout!$H$171/12</f>
        <v>0</v>
      </c>
      <c r="S82" s="561">
        <f>Breakout!$H$172/12</f>
        <v>1318215.918855404</v>
      </c>
      <c r="T82" s="578">
        <f t="shared" si="7"/>
        <v>6877410.8510980597</v>
      </c>
      <c r="U82" s="554">
        <f t="shared" si="8"/>
        <v>6571098.546566233</v>
      </c>
      <c r="V82" s="578">
        <f t="shared" si="9"/>
        <v>6569143.0596338641</v>
      </c>
      <c r="W82" s="548">
        <f t="shared" si="5"/>
        <v>308267.79146419559</v>
      </c>
      <c r="X82" s="524">
        <f>SUM(W71:W82)</f>
        <v>3699213.497570347</v>
      </c>
      <c r="Y82" s="553">
        <f t="shared" si="6"/>
        <v>306312.30453182664</v>
      </c>
      <c r="Z82" s="524">
        <f>SUM(Y71:Y82)</f>
        <v>3675747.6543819197</v>
      </c>
      <c r="AA82" s="557">
        <f>'power redistribution'!$C$32/12</f>
        <v>58459835.648148142</v>
      </c>
      <c r="AB82" s="557">
        <f>'power redistribution'!$D$32/12</f>
        <v>15466.666666666666</v>
      </c>
      <c r="AC82" s="524"/>
      <c r="AD82" s="438">
        <v>0</v>
      </c>
      <c r="AE82" s="524"/>
      <c r="AF82" s="524"/>
      <c r="AG82" s="524"/>
      <c r="AH82" s="524"/>
      <c r="AI82" s="524"/>
      <c r="AJ82" s="524"/>
      <c r="AK82" s="524"/>
      <c r="AL82" s="524"/>
      <c r="AM82" s="524"/>
      <c r="AN82" s="524"/>
      <c r="AO82" s="524"/>
      <c r="AP82" s="524"/>
      <c r="AQ82" s="524"/>
      <c r="AR82" s="524"/>
      <c r="AS82" s="524"/>
      <c r="AT82" s="524"/>
      <c r="AU82" s="524"/>
      <c r="AV82" s="524"/>
      <c r="AW82" s="524"/>
      <c r="AX82" s="524"/>
      <c r="AY82" s="524"/>
      <c r="AZ82" s="524"/>
      <c r="BA82" s="524"/>
      <c r="BB82" s="524"/>
      <c r="BC82" s="524"/>
      <c r="BD82" s="524"/>
      <c r="BE82" s="524"/>
      <c r="BF82" s="524"/>
      <c r="BG82" s="524"/>
      <c r="BH82" s="524"/>
      <c r="BI82" s="524"/>
      <c r="BJ82" s="524"/>
      <c r="BK82" s="524"/>
      <c r="BL82" s="524"/>
      <c r="BM82" s="524"/>
      <c r="BN82" s="524"/>
      <c r="BO82" s="524"/>
      <c r="BP82" s="524"/>
      <c r="BQ82" s="524"/>
      <c r="BR82" s="524"/>
      <c r="BS82" s="524"/>
      <c r="BT82" s="524"/>
      <c r="BU82" s="524"/>
      <c r="BV82" s="524"/>
      <c r="BW82" s="524"/>
      <c r="BX82" s="524"/>
      <c r="BY82" s="524"/>
    </row>
    <row r="83" spans="1:77" s="532" customFormat="1" x14ac:dyDescent="0.2">
      <c r="A83" s="528">
        <v>73</v>
      </c>
      <c r="B83" s="529">
        <v>38718</v>
      </c>
      <c r="C83" s="564">
        <f>Breakout!$I$136/12</f>
        <v>6760081.6351559162</v>
      </c>
      <c r="D83" s="560">
        <f>Breakout!$I$137/12</f>
        <v>5086607.1000000006</v>
      </c>
      <c r="E83" s="560">
        <v>5086607.0999999996</v>
      </c>
      <c r="F83" s="564">
        <f>Breakout!$I$143/12</f>
        <v>120448.79656627</v>
      </c>
      <c r="G83" s="560">
        <f>Breakout!$I$144/12</f>
        <v>98366.517195787164</v>
      </c>
      <c r="H83" s="560">
        <v>100373.99713855832</v>
      </c>
      <c r="I83" s="562">
        <v>0</v>
      </c>
      <c r="J83" s="438">
        <v>0</v>
      </c>
      <c r="K83" s="438">
        <v>0</v>
      </c>
      <c r="L83" s="562">
        <v>0</v>
      </c>
      <c r="M83" s="560">
        <f>Breakout!$I$151/12</f>
        <v>60167.847759043296</v>
      </c>
      <c r="N83" s="564">
        <f>Breakout!$I$157/12</f>
        <v>0</v>
      </c>
      <c r="O83" s="560">
        <f>Breakout!$I$158/12</f>
        <v>8333.3333333333339</v>
      </c>
      <c r="P83" s="564">
        <f>Breakout!$I$164/12</f>
        <v>0</v>
      </c>
      <c r="Q83" s="560">
        <f>Breakout!$I$165/12</f>
        <v>0</v>
      </c>
      <c r="R83" s="564">
        <f>Breakout!$I$171/12</f>
        <v>0</v>
      </c>
      <c r="S83" s="560">
        <f>Breakout!$I$172/12</f>
        <v>1318215.918855404</v>
      </c>
      <c r="T83" s="578">
        <f t="shared" si="7"/>
        <v>6880530.4317221865</v>
      </c>
      <c r="U83" s="554">
        <f t="shared" si="8"/>
        <v>6573698.197086338</v>
      </c>
      <c r="V83" s="578">
        <f t="shared" si="9"/>
        <v>6571690.7171435673</v>
      </c>
      <c r="W83" s="548">
        <f t="shared" si="5"/>
        <v>308839.71457861923</v>
      </c>
      <c r="X83" s="531"/>
      <c r="Y83" s="553">
        <f t="shared" si="6"/>
        <v>306832.23463584855</v>
      </c>
      <c r="Z83" s="531"/>
      <c r="AA83" s="557">
        <f>'power redistribution'!$C$32/12</f>
        <v>58459835.648148142</v>
      </c>
      <c r="AB83" s="557">
        <f>'power redistribution'!$D$32/12</f>
        <v>15466.666666666666</v>
      </c>
      <c r="AC83" s="531"/>
      <c r="AD83" s="438">
        <v>0</v>
      </c>
      <c r="AE83" s="531"/>
      <c r="AF83" s="531"/>
      <c r="AG83" s="531"/>
      <c r="AH83" s="531"/>
      <c r="AI83" s="531"/>
      <c r="AJ83" s="531"/>
      <c r="AK83" s="531"/>
      <c r="AL83" s="531"/>
      <c r="AM83" s="531"/>
      <c r="AN83" s="531"/>
      <c r="AO83" s="531"/>
      <c r="AP83" s="531"/>
      <c r="AQ83" s="531"/>
      <c r="AR83" s="531"/>
      <c r="AS83" s="531"/>
      <c r="AT83" s="531"/>
      <c r="AU83" s="531"/>
      <c r="AV83" s="531"/>
      <c r="AW83" s="531"/>
      <c r="AX83" s="531"/>
      <c r="AY83" s="531"/>
      <c r="AZ83" s="531"/>
      <c r="BA83" s="531"/>
      <c r="BB83" s="531"/>
      <c r="BC83" s="531"/>
      <c r="BD83" s="531"/>
      <c r="BE83" s="531"/>
      <c r="BF83" s="531"/>
      <c r="BG83" s="531"/>
      <c r="BH83" s="531"/>
      <c r="BI83" s="531"/>
      <c r="BJ83" s="531"/>
      <c r="BK83" s="531"/>
      <c r="BL83" s="531"/>
      <c r="BM83" s="531"/>
      <c r="BN83" s="531"/>
      <c r="BO83" s="531"/>
      <c r="BP83" s="531"/>
      <c r="BQ83" s="531"/>
      <c r="BR83" s="531"/>
      <c r="BS83" s="531"/>
      <c r="BT83" s="531"/>
      <c r="BU83" s="531"/>
      <c r="BV83" s="531"/>
      <c r="BW83" s="531"/>
      <c r="BX83" s="531"/>
      <c r="BY83" s="531"/>
    </row>
    <row r="84" spans="1:77" x14ac:dyDescent="0.2">
      <c r="A84" s="383">
        <v>74</v>
      </c>
      <c r="B84" s="519">
        <v>38749</v>
      </c>
      <c r="C84" s="565">
        <f>Breakout!$I$136/12</f>
        <v>6760081.6351559162</v>
      </c>
      <c r="D84" s="566">
        <f>Breakout!$I$137/12</f>
        <v>5086607.1000000006</v>
      </c>
      <c r="E84" s="566">
        <v>5086607.0999999996</v>
      </c>
      <c r="F84" s="565">
        <f>Breakout!$I$143/12</f>
        <v>120448.79656627</v>
      </c>
      <c r="G84" s="566">
        <f>Breakout!$I$144/12</f>
        <v>98366.517195787164</v>
      </c>
      <c r="H84" s="566">
        <v>100373.99713855832</v>
      </c>
      <c r="I84" s="562">
        <v>0</v>
      </c>
      <c r="J84" s="438">
        <v>0</v>
      </c>
      <c r="K84" s="438">
        <v>0</v>
      </c>
      <c r="L84" s="562">
        <v>0</v>
      </c>
      <c r="M84" s="566">
        <f>Breakout!$I$151/12</f>
        <v>60167.847759043296</v>
      </c>
      <c r="N84" s="565">
        <f>Breakout!$I$157/12</f>
        <v>0</v>
      </c>
      <c r="O84" s="566">
        <f>Breakout!$I$158/12</f>
        <v>8333.3333333333339</v>
      </c>
      <c r="P84" s="565">
        <f>Breakout!$I$164/12</f>
        <v>0</v>
      </c>
      <c r="Q84" s="566">
        <f>Breakout!$I$165/12</f>
        <v>0</v>
      </c>
      <c r="R84" s="565">
        <f>Breakout!$I$171/12</f>
        <v>0</v>
      </c>
      <c r="S84" s="566">
        <f>Breakout!$I$172/12</f>
        <v>1318215.918855404</v>
      </c>
      <c r="T84" s="578">
        <f t="shared" si="7"/>
        <v>6880530.4317221865</v>
      </c>
      <c r="U84" s="554">
        <f t="shared" si="8"/>
        <v>6573698.197086338</v>
      </c>
      <c r="V84" s="578">
        <f t="shared" si="9"/>
        <v>6571690.7171435673</v>
      </c>
      <c r="W84" s="548">
        <f t="shared" si="5"/>
        <v>308839.71457861923</v>
      </c>
      <c r="X84" s="496"/>
      <c r="Y84" s="553">
        <f t="shared" si="6"/>
        <v>306832.23463584855</v>
      </c>
      <c r="Z84" s="496"/>
      <c r="AA84" s="557">
        <f>'power redistribution'!$C$32/12</f>
        <v>58459835.648148142</v>
      </c>
      <c r="AB84" s="557">
        <f>'power redistribution'!$D$32/12</f>
        <v>15466.666666666666</v>
      </c>
      <c r="AC84" s="496"/>
      <c r="AD84" s="438">
        <v>0</v>
      </c>
      <c r="AE84" s="496"/>
    </row>
    <row r="85" spans="1:77" x14ac:dyDescent="0.2">
      <c r="A85" s="383">
        <v>75</v>
      </c>
      <c r="B85" s="519">
        <v>38777</v>
      </c>
      <c r="C85" s="565">
        <f>Breakout!$I$136/12</f>
        <v>6760081.6351559162</v>
      </c>
      <c r="D85" s="566">
        <f>Breakout!$I$137/12</f>
        <v>5086607.1000000006</v>
      </c>
      <c r="E85" s="566">
        <v>5086607.0999999996</v>
      </c>
      <c r="F85" s="565">
        <f>Breakout!$I$143/12</f>
        <v>120448.79656627</v>
      </c>
      <c r="G85" s="566">
        <f>Breakout!$I$144/12</f>
        <v>98366.517195787164</v>
      </c>
      <c r="H85" s="566">
        <v>100373.99713855832</v>
      </c>
      <c r="I85" s="562">
        <v>0</v>
      </c>
      <c r="J85" s="438">
        <v>0</v>
      </c>
      <c r="K85" s="438">
        <v>0</v>
      </c>
      <c r="L85" s="562">
        <v>0</v>
      </c>
      <c r="M85" s="566">
        <f>Breakout!$I$151/12</f>
        <v>60167.847759043296</v>
      </c>
      <c r="N85" s="565">
        <f>Breakout!$I$157/12</f>
        <v>0</v>
      </c>
      <c r="O85" s="566">
        <f>Breakout!$I$158/12</f>
        <v>8333.3333333333339</v>
      </c>
      <c r="P85" s="565">
        <f>Breakout!$I$164/12</f>
        <v>0</v>
      </c>
      <c r="Q85" s="566">
        <f>Breakout!$I$165/12</f>
        <v>0</v>
      </c>
      <c r="R85" s="565">
        <f>Breakout!$I$171/12</f>
        <v>0</v>
      </c>
      <c r="S85" s="566">
        <f>Breakout!$I$172/12</f>
        <v>1318215.918855404</v>
      </c>
      <c r="T85" s="578">
        <f t="shared" si="7"/>
        <v>6880530.4317221865</v>
      </c>
      <c r="U85" s="554">
        <f t="shared" si="8"/>
        <v>6573698.197086338</v>
      </c>
      <c r="V85" s="578">
        <f t="shared" si="9"/>
        <v>6571690.7171435673</v>
      </c>
      <c r="W85" s="548">
        <f t="shared" si="5"/>
        <v>308839.71457861923</v>
      </c>
      <c r="X85" s="496"/>
      <c r="Y85" s="553">
        <f t="shared" si="6"/>
        <v>306832.23463584855</v>
      </c>
      <c r="Z85" s="496"/>
      <c r="AA85" s="557">
        <f>'power redistribution'!$C$32/12</f>
        <v>58459835.648148142</v>
      </c>
      <c r="AB85" s="557">
        <f>'power redistribution'!$D$32/12</f>
        <v>15466.666666666666</v>
      </c>
      <c r="AC85" s="496"/>
      <c r="AD85" s="438">
        <v>0</v>
      </c>
      <c r="AE85" s="496"/>
    </row>
    <row r="86" spans="1:77" x14ac:dyDescent="0.2">
      <c r="A86" s="383">
        <v>76</v>
      </c>
      <c r="B86" s="519">
        <v>38808</v>
      </c>
      <c r="C86" s="565">
        <f>Breakout!$I$136/12</f>
        <v>6760081.6351559162</v>
      </c>
      <c r="D86" s="566">
        <f>Breakout!$I$137/12</f>
        <v>5086607.1000000006</v>
      </c>
      <c r="E86" s="566">
        <v>5086607.0999999996</v>
      </c>
      <c r="F86" s="565">
        <f>Breakout!$I$143/12</f>
        <v>120448.79656627</v>
      </c>
      <c r="G86" s="566">
        <f>Breakout!$I$144/12</f>
        <v>98366.517195787164</v>
      </c>
      <c r="H86" s="566">
        <v>100373.99713855832</v>
      </c>
      <c r="I86" s="562">
        <v>0</v>
      </c>
      <c r="J86" s="438">
        <v>0</v>
      </c>
      <c r="K86" s="438">
        <v>0</v>
      </c>
      <c r="L86" s="562">
        <v>0</v>
      </c>
      <c r="M86" s="566">
        <f>Breakout!$I$151/12</f>
        <v>60167.847759043296</v>
      </c>
      <c r="N86" s="565">
        <f>Breakout!$I$157/12</f>
        <v>0</v>
      </c>
      <c r="O86" s="566">
        <f>Breakout!$I$158/12</f>
        <v>8333.3333333333339</v>
      </c>
      <c r="P86" s="565">
        <f>Breakout!$I$164/12</f>
        <v>0</v>
      </c>
      <c r="Q86" s="566">
        <f>Breakout!$I$165/12</f>
        <v>0</v>
      </c>
      <c r="R86" s="565">
        <f>Breakout!$I$171/12</f>
        <v>0</v>
      </c>
      <c r="S86" s="566">
        <f>Breakout!$I$172/12</f>
        <v>1318215.918855404</v>
      </c>
      <c r="T86" s="578">
        <f t="shared" si="7"/>
        <v>6880530.4317221865</v>
      </c>
      <c r="U86" s="554">
        <f t="shared" si="8"/>
        <v>6573698.197086338</v>
      </c>
      <c r="V86" s="578">
        <f t="shared" si="9"/>
        <v>6571690.7171435673</v>
      </c>
      <c r="W86" s="548">
        <f t="shared" si="5"/>
        <v>308839.71457861923</v>
      </c>
      <c r="X86" s="496"/>
      <c r="Y86" s="553">
        <f t="shared" si="6"/>
        <v>306832.23463584855</v>
      </c>
      <c r="Z86" s="496"/>
      <c r="AA86" s="557">
        <f>'power redistribution'!$C$32/12</f>
        <v>58459835.648148142</v>
      </c>
      <c r="AB86" s="557">
        <f>'power redistribution'!$D$32/12</f>
        <v>15466.666666666666</v>
      </c>
      <c r="AC86" s="496"/>
      <c r="AD86" s="438">
        <v>0</v>
      </c>
      <c r="AE86" s="496"/>
    </row>
    <row r="87" spans="1:77" x14ac:dyDescent="0.2">
      <c r="A87" s="383">
        <v>77</v>
      </c>
      <c r="B87" s="519">
        <v>38838</v>
      </c>
      <c r="C87" s="565">
        <f>Breakout!$I$136/12</f>
        <v>6760081.6351559162</v>
      </c>
      <c r="D87" s="566">
        <f>Breakout!$I$137/12</f>
        <v>5086607.1000000006</v>
      </c>
      <c r="E87" s="566">
        <v>5086607.0999999996</v>
      </c>
      <c r="F87" s="565">
        <f>Breakout!$I$143/12</f>
        <v>120448.79656627</v>
      </c>
      <c r="G87" s="566">
        <f>Breakout!$I$144/12</f>
        <v>98366.517195787164</v>
      </c>
      <c r="H87" s="566">
        <v>100373.99713855832</v>
      </c>
      <c r="I87" s="562">
        <v>0</v>
      </c>
      <c r="J87" s="438">
        <v>0</v>
      </c>
      <c r="K87" s="438">
        <v>0</v>
      </c>
      <c r="L87" s="562">
        <v>0</v>
      </c>
      <c r="M87" s="566">
        <f>Breakout!$I$151/12</f>
        <v>60167.847759043296</v>
      </c>
      <c r="N87" s="565">
        <f>Breakout!$I$157/12</f>
        <v>0</v>
      </c>
      <c r="O87" s="566">
        <f>Breakout!$I$158/12</f>
        <v>8333.3333333333339</v>
      </c>
      <c r="P87" s="565">
        <f>Breakout!$I$164/12</f>
        <v>0</v>
      </c>
      <c r="Q87" s="566">
        <f>Breakout!$I$165/12</f>
        <v>0</v>
      </c>
      <c r="R87" s="565">
        <f>Breakout!$I$171/12</f>
        <v>0</v>
      </c>
      <c r="S87" s="566">
        <f>Breakout!$I$172/12</f>
        <v>1318215.918855404</v>
      </c>
      <c r="T87" s="578">
        <f t="shared" si="7"/>
        <v>6880530.4317221865</v>
      </c>
      <c r="U87" s="554">
        <f t="shared" si="8"/>
        <v>6573698.197086338</v>
      </c>
      <c r="V87" s="578">
        <f t="shared" si="9"/>
        <v>6571690.7171435673</v>
      </c>
      <c r="W87" s="548">
        <f t="shared" si="5"/>
        <v>308839.71457861923</v>
      </c>
      <c r="X87" s="496"/>
      <c r="Y87" s="553">
        <f t="shared" si="6"/>
        <v>306832.23463584855</v>
      </c>
      <c r="Z87" s="496"/>
      <c r="AA87" s="557">
        <f>'power redistribution'!$C$32/12</f>
        <v>58459835.648148142</v>
      </c>
      <c r="AB87" s="557">
        <f>'power redistribution'!$D$32/12</f>
        <v>15466.666666666666</v>
      </c>
      <c r="AC87" s="496"/>
      <c r="AD87" s="438">
        <v>0</v>
      </c>
      <c r="AE87" s="496"/>
    </row>
    <row r="88" spans="1:77" x14ac:dyDescent="0.2">
      <c r="A88" s="383">
        <v>78</v>
      </c>
      <c r="B88" s="519">
        <v>38869</v>
      </c>
      <c r="C88" s="565">
        <f>Breakout!$I$136/12</f>
        <v>6760081.6351559162</v>
      </c>
      <c r="D88" s="566">
        <f>Breakout!$I$137/12</f>
        <v>5086607.1000000006</v>
      </c>
      <c r="E88" s="566">
        <v>5086607.0999999996</v>
      </c>
      <c r="F88" s="565">
        <f>Breakout!$I$143/12</f>
        <v>120448.79656627</v>
      </c>
      <c r="G88" s="566">
        <f>Breakout!$I$144/12</f>
        <v>98366.517195787164</v>
      </c>
      <c r="H88" s="566">
        <v>100373.99713855832</v>
      </c>
      <c r="I88" s="562">
        <v>0</v>
      </c>
      <c r="J88" s="438">
        <v>0</v>
      </c>
      <c r="K88" s="438">
        <v>0</v>
      </c>
      <c r="L88" s="562">
        <v>0</v>
      </c>
      <c r="M88" s="566">
        <f>Breakout!$I$151/12</f>
        <v>60167.847759043296</v>
      </c>
      <c r="N88" s="565">
        <f>Breakout!$I$157/12</f>
        <v>0</v>
      </c>
      <c r="O88" s="566">
        <f>Breakout!$I$158/12</f>
        <v>8333.3333333333339</v>
      </c>
      <c r="P88" s="565">
        <f>Breakout!$I$164/12</f>
        <v>0</v>
      </c>
      <c r="Q88" s="566">
        <f>Breakout!$I$165/12</f>
        <v>0</v>
      </c>
      <c r="R88" s="565">
        <f>Breakout!$I$171/12</f>
        <v>0</v>
      </c>
      <c r="S88" s="566">
        <f>Breakout!$I$172/12</f>
        <v>1318215.918855404</v>
      </c>
      <c r="T88" s="578">
        <f t="shared" si="7"/>
        <v>6880530.4317221865</v>
      </c>
      <c r="U88" s="554">
        <f t="shared" si="8"/>
        <v>6573698.197086338</v>
      </c>
      <c r="V88" s="578">
        <f t="shared" si="9"/>
        <v>6571690.7171435673</v>
      </c>
      <c r="W88" s="548">
        <f t="shared" si="5"/>
        <v>308839.71457861923</v>
      </c>
      <c r="X88" s="496"/>
      <c r="Y88" s="553">
        <f t="shared" si="6"/>
        <v>306832.23463584855</v>
      </c>
      <c r="Z88" s="496"/>
      <c r="AA88" s="557">
        <f>'power redistribution'!$C$32/12</f>
        <v>58459835.648148142</v>
      </c>
      <c r="AB88" s="557">
        <f>'power redistribution'!$D$32/12</f>
        <v>15466.666666666666</v>
      </c>
      <c r="AC88" s="496"/>
      <c r="AD88" s="438">
        <v>0</v>
      </c>
      <c r="AE88" s="496"/>
    </row>
    <row r="89" spans="1:77" x14ac:dyDescent="0.2">
      <c r="A89" s="383">
        <v>79</v>
      </c>
      <c r="B89" s="519">
        <v>38899</v>
      </c>
      <c r="C89" s="565">
        <f>Breakout!$I$136/12</f>
        <v>6760081.6351559162</v>
      </c>
      <c r="D89" s="566">
        <f>Breakout!$I$137/12</f>
        <v>5086607.1000000006</v>
      </c>
      <c r="E89" s="566">
        <v>5086607.0999999996</v>
      </c>
      <c r="F89" s="565">
        <f>Breakout!$I$143/12</f>
        <v>120448.79656627</v>
      </c>
      <c r="G89" s="566">
        <f>Breakout!$I$144/12</f>
        <v>98366.517195787164</v>
      </c>
      <c r="H89" s="566">
        <v>100373.99713855832</v>
      </c>
      <c r="I89" s="562">
        <v>0</v>
      </c>
      <c r="J89" s="438">
        <v>0</v>
      </c>
      <c r="K89" s="438">
        <v>0</v>
      </c>
      <c r="L89" s="562">
        <v>0</v>
      </c>
      <c r="M89" s="566">
        <f>Breakout!$I$151/12</f>
        <v>60167.847759043296</v>
      </c>
      <c r="N89" s="565">
        <f>Breakout!$I$157/12</f>
        <v>0</v>
      </c>
      <c r="O89" s="566">
        <f>Breakout!$I$158/12</f>
        <v>8333.3333333333339</v>
      </c>
      <c r="P89" s="565">
        <f>Breakout!$I$164/12</f>
        <v>0</v>
      </c>
      <c r="Q89" s="566">
        <f>Breakout!$I$165/12</f>
        <v>0</v>
      </c>
      <c r="R89" s="565">
        <f>Breakout!$I$171/12</f>
        <v>0</v>
      </c>
      <c r="S89" s="566">
        <f>Breakout!$I$172/12</f>
        <v>1318215.918855404</v>
      </c>
      <c r="T89" s="578">
        <f t="shared" si="7"/>
        <v>6880530.4317221865</v>
      </c>
      <c r="U89" s="554">
        <f t="shared" si="8"/>
        <v>6573698.197086338</v>
      </c>
      <c r="V89" s="578">
        <f t="shared" si="9"/>
        <v>6571690.7171435673</v>
      </c>
      <c r="W89" s="548">
        <f t="shared" si="5"/>
        <v>308839.71457861923</v>
      </c>
      <c r="X89" s="496"/>
      <c r="Y89" s="553">
        <f t="shared" si="6"/>
        <v>306832.23463584855</v>
      </c>
      <c r="Z89" s="496"/>
      <c r="AA89" s="557">
        <f>'power redistribution'!$C$32/12</f>
        <v>58459835.648148142</v>
      </c>
      <c r="AB89" s="557">
        <f>'power redistribution'!$D$32/12</f>
        <v>15466.666666666666</v>
      </c>
      <c r="AC89" s="496"/>
      <c r="AD89" s="438">
        <v>0</v>
      </c>
      <c r="AE89" s="496"/>
    </row>
    <row r="90" spans="1:77" x14ac:dyDescent="0.2">
      <c r="A90" s="383">
        <v>80</v>
      </c>
      <c r="B90" s="519">
        <v>38930</v>
      </c>
      <c r="C90" s="565">
        <f>Breakout!$I$136/12</f>
        <v>6760081.6351559162</v>
      </c>
      <c r="D90" s="566">
        <f>Breakout!$I$137/12</f>
        <v>5086607.1000000006</v>
      </c>
      <c r="E90" s="566">
        <v>5086607.0999999996</v>
      </c>
      <c r="F90" s="565">
        <f>Breakout!$I$143/12</f>
        <v>120448.79656627</v>
      </c>
      <c r="G90" s="566">
        <f>Breakout!$I$144/12</f>
        <v>98366.517195787164</v>
      </c>
      <c r="H90" s="566">
        <v>100373.99713855832</v>
      </c>
      <c r="I90" s="562">
        <v>0</v>
      </c>
      <c r="J90" s="438">
        <v>0</v>
      </c>
      <c r="K90" s="438">
        <v>0</v>
      </c>
      <c r="L90" s="562">
        <v>0</v>
      </c>
      <c r="M90" s="566">
        <f>Breakout!$I$151/12</f>
        <v>60167.847759043296</v>
      </c>
      <c r="N90" s="565">
        <f>Breakout!$I$157/12</f>
        <v>0</v>
      </c>
      <c r="O90" s="566">
        <f>Breakout!$I$158/12</f>
        <v>8333.3333333333339</v>
      </c>
      <c r="P90" s="565">
        <f>Breakout!$I$164/12</f>
        <v>0</v>
      </c>
      <c r="Q90" s="566">
        <f>Breakout!$I$165/12</f>
        <v>0</v>
      </c>
      <c r="R90" s="565">
        <f>Breakout!$I$171/12</f>
        <v>0</v>
      </c>
      <c r="S90" s="566">
        <f>Breakout!$I$172/12</f>
        <v>1318215.918855404</v>
      </c>
      <c r="T90" s="578">
        <f t="shared" si="7"/>
        <v>6880530.4317221865</v>
      </c>
      <c r="U90" s="554">
        <f t="shared" si="8"/>
        <v>6573698.197086338</v>
      </c>
      <c r="V90" s="578">
        <f t="shared" si="9"/>
        <v>6571690.7171435673</v>
      </c>
      <c r="W90" s="548">
        <f t="shared" si="5"/>
        <v>308839.71457861923</v>
      </c>
      <c r="X90" s="496"/>
      <c r="Y90" s="553">
        <f t="shared" si="6"/>
        <v>306832.23463584855</v>
      </c>
      <c r="Z90" s="496"/>
      <c r="AA90" s="557">
        <f>'power redistribution'!$C$32/12</f>
        <v>58459835.648148142</v>
      </c>
      <c r="AB90" s="557">
        <f>'power redistribution'!$D$32/12</f>
        <v>15466.666666666666</v>
      </c>
      <c r="AC90" s="496"/>
      <c r="AD90" s="438">
        <v>0</v>
      </c>
      <c r="AE90" s="496"/>
    </row>
    <row r="91" spans="1:77" x14ac:dyDescent="0.2">
      <c r="A91" s="383">
        <v>81</v>
      </c>
      <c r="B91" s="519">
        <v>38961</v>
      </c>
      <c r="C91" s="565">
        <f>Breakout!$I$136/12</f>
        <v>6760081.6351559162</v>
      </c>
      <c r="D91" s="566">
        <f>Breakout!$I$137/12</f>
        <v>5086607.1000000006</v>
      </c>
      <c r="E91" s="566">
        <v>5086607.0999999996</v>
      </c>
      <c r="F91" s="565">
        <f>Breakout!$I$143/12</f>
        <v>120448.79656627</v>
      </c>
      <c r="G91" s="566">
        <f>Breakout!$I$144/12</f>
        <v>98366.517195787164</v>
      </c>
      <c r="H91" s="566">
        <v>100373.99713855832</v>
      </c>
      <c r="I91" s="562">
        <v>0</v>
      </c>
      <c r="J91" s="438">
        <v>0</v>
      </c>
      <c r="K91" s="438">
        <v>0</v>
      </c>
      <c r="L91" s="562">
        <v>0</v>
      </c>
      <c r="M91" s="566">
        <f>Breakout!$I$151/12</f>
        <v>60167.847759043296</v>
      </c>
      <c r="N91" s="565">
        <f>Breakout!$I$157/12</f>
        <v>0</v>
      </c>
      <c r="O91" s="566">
        <f>Breakout!$I$158/12</f>
        <v>8333.3333333333339</v>
      </c>
      <c r="P91" s="565">
        <f>Breakout!$I$164/12</f>
        <v>0</v>
      </c>
      <c r="Q91" s="566">
        <f>Breakout!$I$165/12</f>
        <v>0</v>
      </c>
      <c r="R91" s="565">
        <f>Breakout!$I$171/12</f>
        <v>0</v>
      </c>
      <c r="S91" s="566">
        <f>Breakout!$I$172/12</f>
        <v>1318215.918855404</v>
      </c>
      <c r="T91" s="578">
        <f t="shared" si="7"/>
        <v>6880530.4317221865</v>
      </c>
      <c r="U91" s="554">
        <f t="shared" si="8"/>
        <v>6573698.197086338</v>
      </c>
      <c r="V91" s="578">
        <f t="shared" si="9"/>
        <v>6571690.7171435673</v>
      </c>
      <c r="W91" s="548">
        <f t="shared" si="5"/>
        <v>308839.71457861923</v>
      </c>
      <c r="X91" s="496"/>
      <c r="Y91" s="553">
        <f t="shared" si="6"/>
        <v>306832.23463584855</v>
      </c>
      <c r="Z91" s="496"/>
      <c r="AA91" s="557">
        <f>'power redistribution'!$C$32/12</f>
        <v>58459835.648148142</v>
      </c>
      <c r="AB91" s="557">
        <f>'power redistribution'!$D$32/12</f>
        <v>15466.666666666666</v>
      </c>
      <c r="AC91" s="496"/>
      <c r="AD91" s="438">
        <v>0</v>
      </c>
      <c r="AE91" s="496"/>
    </row>
    <row r="92" spans="1:77" x14ac:dyDescent="0.2">
      <c r="A92" s="383">
        <v>82</v>
      </c>
      <c r="B92" s="519">
        <v>38991</v>
      </c>
      <c r="C92" s="565">
        <f>Breakout!$I$136/12</f>
        <v>6760081.6351559162</v>
      </c>
      <c r="D92" s="566">
        <f>Breakout!$I$137/12</f>
        <v>5086607.1000000006</v>
      </c>
      <c r="E92" s="566">
        <v>5086607.0999999996</v>
      </c>
      <c r="F92" s="565">
        <f>Breakout!$I$143/12</f>
        <v>120448.79656627</v>
      </c>
      <c r="G92" s="566">
        <f>Breakout!$I$144/12</f>
        <v>98366.517195787164</v>
      </c>
      <c r="H92" s="566">
        <v>100373.99713855832</v>
      </c>
      <c r="I92" s="562">
        <v>0</v>
      </c>
      <c r="J92" s="438">
        <v>0</v>
      </c>
      <c r="K92" s="438">
        <v>0</v>
      </c>
      <c r="L92" s="562">
        <v>0</v>
      </c>
      <c r="M92" s="566">
        <f>Breakout!$I$151/12</f>
        <v>60167.847759043296</v>
      </c>
      <c r="N92" s="565">
        <f>Breakout!$I$157/12</f>
        <v>0</v>
      </c>
      <c r="O92" s="566">
        <f>Breakout!$I$158/12</f>
        <v>8333.3333333333339</v>
      </c>
      <c r="P92" s="565">
        <f>Breakout!$I$164/12</f>
        <v>0</v>
      </c>
      <c r="Q92" s="566">
        <f>Breakout!$I$165/12</f>
        <v>0</v>
      </c>
      <c r="R92" s="565">
        <f>Breakout!$I$171/12</f>
        <v>0</v>
      </c>
      <c r="S92" s="566">
        <f>Breakout!$I$172/12</f>
        <v>1318215.918855404</v>
      </c>
      <c r="T92" s="578">
        <f t="shared" si="7"/>
        <v>6880530.4317221865</v>
      </c>
      <c r="U92" s="554">
        <f t="shared" si="8"/>
        <v>6573698.197086338</v>
      </c>
      <c r="V92" s="578">
        <f t="shared" si="9"/>
        <v>6571690.7171435673</v>
      </c>
      <c r="W92" s="548">
        <f t="shared" si="5"/>
        <v>308839.71457861923</v>
      </c>
      <c r="X92" s="496"/>
      <c r="Y92" s="553">
        <f t="shared" si="6"/>
        <v>306832.23463584855</v>
      </c>
      <c r="Z92" s="496"/>
      <c r="AA92" s="557">
        <f>'power redistribution'!$C$32/12</f>
        <v>58459835.648148142</v>
      </c>
      <c r="AB92" s="557">
        <f>'power redistribution'!$D$32/12</f>
        <v>15466.666666666666</v>
      </c>
      <c r="AC92" s="496"/>
      <c r="AD92" s="438">
        <v>0</v>
      </c>
      <c r="AE92" s="496"/>
    </row>
    <row r="93" spans="1:77" x14ac:dyDescent="0.2">
      <c r="A93" s="383">
        <v>83</v>
      </c>
      <c r="B93" s="519">
        <v>39022</v>
      </c>
      <c r="C93" s="565">
        <f>Breakout!$I$136/12</f>
        <v>6760081.6351559162</v>
      </c>
      <c r="D93" s="566">
        <f>Breakout!$I$137/12</f>
        <v>5086607.1000000006</v>
      </c>
      <c r="E93" s="566">
        <v>5086607.0999999996</v>
      </c>
      <c r="F93" s="565">
        <f>Breakout!$I$143/12</f>
        <v>120448.79656627</v>
      </c>
      <c r="G93" s="566">
        <f>Breakout!$I$144/12</f>
        <v>98366.517195787164</v>
      </c>
      <c r="H93" s="566">
        <v>100373.99713855832</v>
      </c>
      <c r="I93" s="562">
        <v>0</v>
      </c>
      <c r="J93" s="438">
        <v>0</v>
      </c>
      <c r="K93" s="438">
        <v>0</v>
      </c>
      <c r="L93" s="562">
        <v>0</v>
      </c>
      <c r="M93" s="566">
        <f>Breakout!$I$151/12</f>
        <v>60167.847759043296</v>
      </c>
      <c r="N93" s="565">
        <f>Breakout!$I$157/12</f>
        <v>0</v>
      </c>
      <c r="O93" s="566">
        <f>Breakout!$I$158/12</f>
        <v>8333.3333333333339</v>
      </c>
      <c r="P93" s="565">
        <f>Breakout!$I$164/12</f>
        <v>0</v>
      </c>
      <c r="Q93" s="566">
        <f>Breakout!$I$165/12</f>
        <v>0</v>
      </c>
      <c r="R93" s="565">
        <f>Breakout!$I$171/12</f>
        <v>0</v>
      </c>
      <c r="S93" s="566">
        <f>Breakout!$I$172/12</f>
        <v>1318215.918855404</v>
      </c>
      <c r="T93" s="578">
        <f t="shared" si="7"/>
        <v>6880530.4317221865</v>
      </c>
      <c r="U93" s="554">
        <f t="shared" si="8"/>
        <v>6573698.197086338</v>
      </c>
      <c r="V93" s="578">
        <f t="shared" si="9"/>
        <v>6571690.7171435673</v>
      </c>
      <c r="W93" s="548">
        <f t="shared" si="5"/>
        <v>308839.71457861923</v>
      </c>
      <c r="X93" s="496"/>
      <c r="Y93" s="553">
        <f t="shared" si="6"/>
        <v>306832.23463584855</v>
      </c>
      <c r="Z93" s="496"/>
      <c r="AA93" s="557">
        <f>'power redistribution'!$C$32/12</f>
        <v>58459835.648148142</v>
      </c>
      <c r="AB93" s="557">
        <f>'power redistribution'!$D$32/12</f>
        <v>15466.666666666666</v>
      </c>
      <c r="AC93" s="496"/>
      <c r="AD93" s="438">
        <v>0</v>
      </c>
      <c r="AE93" s="496"/>
    </row>
    <row r="94" spans="1:77" s="525" customFormat="1" x14ac:dyDescent="0.2">
      <c r="A94" s="521">
        <v>84</v>
      </c>
      <c r="B94" s="522">
        <v>39052</v>
      </c>
      <c r="C94" s="563">
        <f>Breakout!$I$136/12</f>
        <v>6760081.6351559162</v>
      </c>
      <c r="D94" s="561">
        <f>Breakout!$I$137/12</f>
        <v>5086607.1000000006</v>
      </c>
      <c r="E94" s="561">
        <v>5086607.0999999996</v>
      </c>
      <c r="F94" s="563">
        <f>Breakout!$I$143/12</f>
        <v>120448.79656627</v>
      </c>
      <c r="G94" s="561">
        <f>Breakout!$I$144/12</f>
        <v>98366.517195787164</v>
      </c>
      <c r="H94" s="561">
        <v>100373.99713855832</v>
      </c>
      <c r="I94" s="562">
        <v>0</v>
      </c>
      <c r="J94" s="438">
        <v>0</v>
      </c>
      <c r="K94" s="438">
        <v>0</v>
      </c>
      <c r="L94" s="562">
        <v>0</v>
      </c>
      <c r="M94" s="561">
        <f>Breakout!$I$151/12</f>
        <v>60167.847759043296</v>
      </c>
      <c r="N94" s="563">
        <f>Breakout!$I$157/12</f>
        <v>0</v>
      </c>
      <c r="O94" s="561">
        <f>Breakout!$I$158/12</f>
        <v>8333.3333333333339</v>
      </c>
      <c r="P94" s="563">
        <f>Breakout!$I$164/12</f>
        <v>0</v>
      </c>
      <c r="Q94" s="561">
        <f>Breakout!$I$165/12</f>
        <v>0</v>
      </c>
      <c r="R94" s="563">
        <f>Breakout!$I$171/12</f>
        <v>0</v>
      </c>
      <c r="S94" s="561">
        <f>Breakout!$I$172/12</f>
        <v>1318215.918855404</v>
      </c>
      <c r="T94" s="578">
        <f t="shared" si="7"/>
        <v>6880530.4317221865</v>
      </c>
      <c r="U94" s="554">
        <f t="shared" si="8"/>
        <v>6573698.197086338</v>
      </c>
      <c r="V94" s="578">
        <f t="shared" si="9"/>
        <v>6571690.7171435673</v>
      </c>
      <c r="W94" s="548">
        <f t="shared" si="5"/>
        <v>308839.71457861923</v>
      </c>
      <c r="X94" s="524">
        <f>SUM(W83:W94)</f>
        <v>3706076.5749434307</v>
      </c>
      <c r="Y94" s="553">
        <f t="shared" si="6"/>
        <v>306832.23463584855</v>
      </c>
      <c r="Z94" s="524">
        <f>SUM(Y83:Y94)</f>
        <v>3681986.8156301826</v>
      </c>
      <c r="AA94" s="557">
        <f>'power redistribution'!$C$32/12</f>
        <v>58459835.648148142</v>
      </c>
      <c r="AB94" s="557">
        <f>'power redistribution'!$D$32/12</f>
        <v>15466.666666666666</v>
      </c>
      <c r="AC94" s="524"/>
      <c r="AD94" s="438">
        <v>0</v>
      </c>
      <c r="AE94" s="524"/>
      <c r="AF94" s="524"/>
      <c r="AG94" s="524"/>
      <c r="AH94" s="524"/>
      <c r="AI94" s="524"/>
      <c r="AJ94" s="524"/>
      <c r="AK94" s="524"/>
      <c r="AL94" s="524"/>
      <c r="AM94" s="524"/>
      <c r="AN94" s="524"/>
      <c r="AO94" s="524"/>
      <c r="AP94" s="524"/>
      <c r="AQ94" s="524"/>
      <c r="AR94" s="524"/>
      <c r="AS94" s="524"/>
      <c r="AT94" s="524"/>
      <c r="AU94" s="524"/>
      <c r="AV94" s="524"/>
      <c r="AW94" s="524"/>
      <c r="AX94" s="524"/>
      <c r="AY94" s="524"/>
      <c r="AZ94" s="524"/>
      <c r="BA94" s="524"/>
      <c r="BB94" s="524"/>
      <c r="BC94" s="524"/>
      <c r="BD94" s="524"/>
      <c r="BE94" s="524"/>
      <c r="BF94" s="524"/>
      <c r="BG94" s="524"/>
      <c r="BH94" s="524"/>
      <c r="BI94" s="524"/>
      <c r="BJ94" s="524"/>
      <c r="BK94" s="524"/>
      <c r="BL94" s="524"/>
      <c r="BM94" s="524"/>
      <c r="BN94" s="524"/>
      <c r="BO94" s="524"/>
      <c r="BP94" s="524"/>
      <c r="BQ94" s="524"/>
      <c r="BR94" s="524"/>
      <c r="BS94" s="524"/>
      <c r="BT94" s="524"/>
      <c r="BU94" s="524"/>
      <c r="BV94" s="524"/>
      <c r="BW94" s="524"/>
      <c r="BX94" s="524"/>
      <c r="BY94" s="524"/>
    </row>
    <row r="95" spans="1:77" s="532" customFormat="1" x14ac:dyDescent="0.2">
      <c r="A95" s="528">
        <v>85</v>
      </c>
      <c r="B95" s="529">
        <v>39083</v>
      </c>
      <c r="C95" s="564">
        <f>Breakout!$J$136/12</f>
        <v>6760081.6351559162</v>
      </c>
      <c r="D95" s="560">
        <f>Breakout!$J$137/12</f>
        <v>5086607.1000000006</v>
      </c>
      <c r="E95" s="560">
        <v>5086607.0999999996</v>
      </c>
      <c r="F95" s="564">
        <f>Breakout!$J$143/12</f>
        <v>123972.15411406652</v>
      </c>
      <c r="G95" s="560">
        <f>Breakout!$J$144/12</f>
        <v>101243.92585982099</v>
      </c>
      <c r="H95" s="560">
        <v>103310.12842838878</v>
      </c>
      <c r="I95" s="562">
        <v>0</v>
      </c>
      <c r="J95" s="438">
        <v>0</v>
      </c>
      <c r="K95" s="438">
        <v>0</v>
      </c>
      <c r="L95" s="562">
        <v>0</v>
      </c>
      <c r="M95" s="560">
        <f>Breakout!$J$151/12</f>
        <v>60167.847759043296</v>
      </c>
      <c r="N95" s="564">
        <f>Breakout!$J$157/12</f>
        <v>0</v>
      </c>
      <c r="O95" s="560">
        <f>Breakout!$J$158/12</f>
        <v>8333.3333333333339</v>
      </c>
      <c r="P95" s="564">
        <f>Breakout!$J$164/12</f>
        <v>0</v>
      </c>
      <c r="Q95" s="560">
        <f>Breakout!$J$165/12</f>
        <v>0</v>
      </c>
      <c r="R95" s="564">
        <f>Breakout!$J$171/12</f>
        <v>0</v>
      </c>
      <c r="S95" s="560">
        <f>Breakout!$J$172/12</f>
        <v>1318215.918855404</v>
      </c>
      <c r="T95" s="578">
        <f t="shared" si="7"/>
        <v>6884053.7892699828</v>
      </c>
      <c r="U95" s="554">
        <f t="shared" si="8"/>
        <v>6576634.3283761684</v>
      </c>
      <c r="V95" s="578">
        <f t="shared" si="9"/>
        <v>6574568.125807602</v>
      </c>
      <c r="W95" s="548">
        <f t="shared" si="5"/>
        <v>309485.66346238088</v>
      </c>
      <c r="X95" s="531"/>
      <c r="Y95" s="553">
        <f t="shared" si="6"/>
        <v>307419.46089381445</v>
      </c>
      <c r="Z95" s="531"/>
      <c r="AA95" s="557">
        <f>'power redistribution'!$C$32/12</f>
        <v>58459835.648148142</v>
      </c>
      <c r="AB95" s="557">
        <f>'power redistribution'!$D$32/12</f>
        <v>15466.666666666666</v>
      </c>
      <c r="AC95" s="531"/>
      <c r="AD95" s="438">
        <v>0</v>
      </c>
      <c r="AE95" s="531"/>
      <c r="AF95" s="531"/>
      <c r="AG95" s="531"/>
      <c r="AH95" s="531"/>
      <c r="AI95" s="531"/>
      <c r="AJ95" s="531"/>
      <c r="AK95" s="531"/>
      <c r="AL95" s="531"/>
      <c r="AM95" s="531"/>
      <c r="AN95" s="531"/>
      <c r="AO95" s="531"/>
      <c r="AP95" s="531"/>
      <c r="AQ95" s="531"/>
      <c r="AR95" s="531"/>
      <c r="AS95" s="531"/>
      <c r="AT95" s="531"/>
      <c r="AU95" s="531"/>
      <c r="AV95" s="531"/>
      <c r="AW95" s="531"/>
      <c r="AX95" s="531"/>
      <c r="AY95" s="531"/>
      <c r="AZ95" s="531"/>
      <c r="BA95" s="531"/>
      <c r="BB95" s="531"/>
      <c r="BC95" s="531"/>
      <c r="BD95" s="531"/>
      <c r="BE95" s="531"/>
      <c r="BF95" s="531"/>
      <c r="BG95" s="531"/>
      <c r="BH95" s="531"/>
      <c r="BI95" s="531"/>
      <c r="BJ95" s="531"/>
      <c r="BK95" s="531"/>
      <c r="BL95" s="531"/>
      <c r="BM95" s="531"/>
      <c r="BN95" s="531"/>
      <c r="BO95" s="531"/>
      <c r="BP95" s="531"/>
      <c r="BQ95" s="531"/>
      <c r="BR95" s="531"/>
      <c r="BS95" s="531"/>
      <c r="BT95" s="531"/>
      <c r="BU95" s="531"/>
      <c r="BV95" s="531"/>
      <c r="BW95" s="531"/>
      <c r="BX95" s="531"/>
      <c r="BY95" s="531"/>
    </row>
    <row r="96" spans="1:77" x14ac:dyDescent="0.2">
      <c r="A96" s="383">
        <v>86</v>
      </c>
      <c r="B96" s="519">
        <v>39114</v>
      </c>
      <c r="C96" s="565">
        <f>Breakout!$J$136/12</f>
        <v>6760081.6351559162</v>
      </c>
      <c r="D96" s="566">
        <f>Breakout!$J$137/12</f>
        <v>5086607.1000000006</v>
      </c>
      <c r="E96" s="566">
        <v>5086607.0999999996</v>
      </c>
      <c r="F96" s="565">
        <f>Breakout!$J$143/12</f>
        <v>123972.15411406652</v>
      </c>
      <c r="G96" s="566">
        <f>Breakout!$J$144/12</f>
        <v>101243.92585982099</v>
      </c>
      <c r="H96" s="566">
        <v>103310.12842838878</v>
      </c>
      <c r="I96" s="562">
        <v>0</v>
      </c>
      <c r="J96" s="438">
        <v>0</v>
      </c>
      <c r="K96" s="438">
        <v>0</v>
      </c>
      <c r="L96" s="562">
        <v>0</v>
      </c>
      <c r="M96" s="566">
        <f>Breakout!$J$151/12</f>
        <v>60167.847759043296</v>
      </c>
      <c r="N96" s="565">
        <f>Breakout!$J$157/12</f>
        <v>0</v>
      </c>
      <c r="O96" s="566">
        <f>Breakout!$J$158/12</f>
        <v>8333.3333333333339</v>
      </c>
      <c r="P96" s="565">
        <f>Breakout!$J$164/12</f>
        <v>0</v>
      </c>
      <c r="Q96" s="566">
        <f>Breakout!$J$165/12</f>
        <v>0</v>
      </c>
      <c r="R96" s="565">
        <f>Breakout!$J$171/12</f>
        <v>0</v>
      </c>
      <c r="S96" s="566">
        <f>Breakout!$J$172/12</f>
        <v>1318215.918855404</v>
      </c>
      <c r="T96" s="578">
        <f t="shared" si="7"/>
        <v>6884053.7892699828</v>
      </c>
      <c r="U96" s="554">
        <f t="shared" si="8"/>
        <v>6576634.3283761684</v>
      </c>
      <c r="V96" s="578">
        <f t="shared" si="9"/>
        <v>6574568.125807602</v>
      </c>
      <c r="W96" s="548">
        <f t="shared" si="5"/>
        <v>309485.66346238088</v>
      </c>
      <c r="X96" s="496"/>
      <c r="Y96" s="553">
        <f t="shared" si="6"/>
        <v>307419.46089381445</v>
      </c>
      <c r="Z96" s="496"/>
      <c r="AA96" s="557">
        <f>'power redistribution'!$C$32/12</f>
        <v>58459835.648148142</v>
      </c>
      <c r="AB96" s="557">
        <f>'power redistribution'!$D$32/12</f>
        <v>15466.666666666666</v>
      </c>
      <c r="AC96" s="496"/>
      <c r="AD96" s="438">
        <v>0</v>
      </c>
      <c r="AE96" s="496"/>
    </row>
    <row r="97" spans="1:77" x14ac:dyDescent="0.2">
      <c r="A97" s="383">
        <v>87</v>
      </c>
      <c r="B97" s="519">
        <v>39142</v>
      </c>
      <c r="C97" s="565">
        <f>Breakout!$J$136/12</f>
        <v>6760081.6351559162</v>
      </c>
      <c r="D97" s="566">
        <f>Breakout!$J$137/12</f>
        <v>5086607.1000000006</v>
      </c>
      <c r="E97" s="566">
        <v>5086607.0999999996</v>
      </c>
      <c r="F97" s="565">
        <f>Breakout!$J$143/12</f>
        <v>123972.15411406652</v>
      </c>
      <c r="G97" s="566">
        <f>Breakout!$J$144/12</f>
        <v>101243.92585982099</v>
      </c>
      <c r="H97" s="566">
        <v>103310.12842838878</v>
      </c>
      <c r="I97" s="562">
        <v>0</v>
      </c>
      <c r="J97" s="438">
        <v>0</v>
      </c>
      <c r="K97" s="438">
        <v>0</v>
      </c>
      <c r="L97" s="562">
        <v>0</v>
      </c>
      <c r="M97" s="566">
        <f>Breakout!$J$151/12</f>
        <v>60167.847759043296</v>
      </c>
      <c r="N97" s="565">
        <f>Breakout!$J$157/12</f>
        <v>0</v>
      </c>
      <c r="O97" s="566">
        <f>Breakout!$J$158/12</f>
        <v>8333.3333333333339</v>
      </c>
      <c r="P97" s="565">
        <f>Breakout!$J$164/12</f>
        <v>0</v>
      </c>
      <c r="Q97" s="566">
        <f>Breakout!$J$165/12</f>
        <v>0</v>
      </c>
      <c r="R97" s="565">
        <f>Breakout!$J$171/12</f>
        <v>0</v>
      </c>
      <c r="S97" s="566">
        <f>Breakout!$J$172/12</f>
        <v>1318215.918855404</v>
      </c>
      <c r="T97" s="578">
        <f t="shared" si="7"/>
        <v>6884053.7892699828</v>
      </c>
      <c r="U97" s="554">
        <f t="shared" si="8"/>
        <v>6576634.3283761684</v>
      </c>
      <c r="V97" s="578">
        <f t="shared" si="9"/>
        <v>6574568.125807602</v>
      </c>
      <c r="W97" s="548">
        <f t="shared" si="5"/>
        <v>309485.66346238088</v>
      </c>
      <c r="X97" s="496"/>
      <c r="Y97" s="553">
        <f t="shared" si="6"/>
        <v>307419.46089381445</v>
      </c>
      <c r="Z97" s="496"/>
      <c r="AA97" s="557">
        <f>'power redistribution'!$C$32/12</f>
        <v>58459835.648148142</v>
      </c>
      <c r="AB97" s="557">
        <f>'power redistribution'!$D$32/12</f>
        <v>15466.666666666666</v>
      </c>
      <c r="AC97" s="496"/>
      <c r="AD97" s="438">
        <v>0</v>
      </c>
      <c r="AE97" s="496"/>
    </row>
    <row r="98" spans="1:77" x14ac:dyDescent="0.2">
      <c r="A98" s="383">
        <v>88</v>
      </c>
      <c r="B98" s="519">
        <v>39173</v>
      </c>
      <c r="C98" s="565">
        <f>Breakout!$J$136/12</f>
        <v>6760081.6351559162</v>
      </c>
      <c r="D98" s="566">
        <f>Breakout!$J$137/12</f>
        <v>5086607.1000000006</v>
      </c>
      <c r="E98" s="566">
        <v>5086607.0999999996</v>
      </c>
      <c r="F98" s="565">
        <f>Breakout!$J$143/12</f>
        <v>123972.15411406652</v>
      </c>
      <c r="G98" s="566">
        <f>Breakout!$J$144/12</f>
        <v>101243.92585982099</v>
      </c>
      <c r="H98" s="566">
        <v>103310.12842838878</v>
      </c>
      <c r="I98" s="562">
        <v>0</v>
      </c>
      <c r="J98" s="438">
        <v>0</v>
      </c>
      <c r="K98" s="438">
        <v>0</v>
      </c>
      <c r="L98" s="562">
        <v>0</v>
      </c>
      <c r="M98" s="566">
        <f>Breakout!$J$151/12</f>
        <v>60167.847759043296</v>
      </c>
      <c r="N98" s="565">
        <f>Breakout!$J$157/12</f>
        <v>0</v>
      </c>
      <c r="O98" s="566">
        <f>Breakout!$J$158/12</f>
        <v>8333.3333333333339</v>
      </c>
      <c r="P98" s="565">
        <f>Breakout!$J$164/12</f>
        <v>0</v>
      </c>
      <c r="Q98" s="566">
        <f>Breakout!$J$165/12</f>
        <v>0</v>
      </c>
      <c r="R98" s="565">
        <f>Breakout!$J$171/12</f>
        <v>0</v>
      </c>
      <c r="S98" s="566">
        <f>Breakout!$J$172/12</f>
        <v>1318215.918855404</v>
      </c>
      <c r="T98" s="578">
        <f t="shared" si="7"/>
        <v>6884053.7892699828</v>
      </c>
      <c r="U98" s="554">
        <f t="shared" si="8"/>
        <v>6576634.3283761684</v>
      </c>
      <c r="V98" s="578">
        <f t="shared" si="9"/>
        <v>6574568.125807602</v>
      </c>
      <c r="W98" s="548">
        <f t="shared" si="5"/>
        <v>309485.66346238088</v>
      </c>
      <c r="X98" s="496"/>
      <c r="Y98" s="553">
        <f t="shared" si="6"/>
        <v>307419.46089381445</v>
      </c>
      <c r="Z98" s="496"/>
      <c r="AA98" s="557">
        <f>'power redistribution'!$C$32/12</f>
        <v>58459835.648148142</v>
      </c>
      <c r="AB98" s="557">
        <f>'power redistribution'!$D$32/12</f>
        <v>15466.666666666666</v>
      </c>
      <c r="AC98" s="496"/>
      <c r="AD98" s="438">
        <v>0</v>
      </c>
      <c r="AE98" s="496"/>
    </row>
    <row r="99" spans="1:77" x14ac:dyDescent="0.2">
      <c r="A99" s="383">
        <v>89</v>
      </c>
      <c r="B99" s="519">
        <v>39203</v>
      </c>
      <c r="C99" s="565">
        <f>Breakout!$J$136/12</f>
        <v>6760081.6351559162</v>
      </c>
      <c r="D99" s="566">
        <f>Breakout!$J$137/12</f>
        <v>5086607.1000000006</v>
      </c>
      <c r="E99" s="566">
        <v>5086607.0999999996</v>
      </c>
      <c r="F99" s="565">
        <f>Breakout!$J$143/12</f>
        <v>123972.15411406652</v>
      </c>
      <c r="G99" s="566">
        <f>Breakout!$J$144/12</f>
        <v>101243.92585982099</v>
      </c>
      <c r="H99" s="566">
        <v>103310.12842838878</v>
      </c>
      <c r="I99" s="562">
        <v>0</v>
      </c>
      <c r="J99" s="438">
        <v>0</v>
      </c>
      <c r="K99" s="438">
        <v>0</v>
      </c>
      <c r="L99" s="562">
        <v>0</v>
      </c>
      <c r="M99" s="566">
        <f>Breakout!$J$151/12</f>
        <v>60167.847759043296</v>
      </c>
      <c r="N99" s="565">
        <f>Breakout!$J$157/12</f>
        <v>0</v>
      </c>
      <c r="O99" s="566">
        <f>Breakout!$J$158/12</f>
        <v>8333.3333333333339</v>
      </c>
      <c r="P99" s="565">
        <f>Breakout!$J$164/12</f>
        <v>0</v>
      </c>
      <c r="Q99" s="566">
        <f>Breakout!$J$165/12</f>
        <v>0</v>
      </c>
      <c r="R99" s="565">
        <f>Breakout!$J$171/12</f>
        <v>0</v>
      </c>
      <c r="S99" s="566">
        <f>Breakout!$J$172/12</f>
        <v>1318215.918855404</v>
      </c>
      <c r="T99" s="578">
        <f t="shared" si="7"/>
        <v>6884053.7892699828</v>
      </c>
      <c r="U99" s="554">
        <f t="shared" si="8"/>
        <v>6576634.3283761684</v>
      </c>
      <c r="V99" s="578">
        <f t="shared" si="9"/>
        <v>6574568.125807602</v>
      </c>
      <c r="W99" s="548">
        <f t="shared" si="5"/>
        <v>309485.66346238088</v>
      </c>
      <c r="X99" s="496"/>
      <c r="Y99" s="553">
        <f t="shared" si="6"/>
        <v>307419.46089381445</v>
      </c>
      <c r="Z99" s="496"/>
      <c r="AA99" s="557">
        <f>'power redistribution'!$C$32/12</f>
        <v>58459835.648148142</v>
      </c>
      <c r="AB99" s="557">
        <f>'power redistribution'!$D$32/12</f>
        <v>15466.666666666666</v>
      </c>
      <c r="AC99" s="496"/>
      <c r="AD99" s="438">
        <v>0</v>
      </c>
      <c r="AE99" s="496"/>
    </row>
    <row r="100" spans="1:77" x14ac:dyDescent="0.2">
      <c r="A100" s="383">
        <v>90</v>
      </c>
      <c r="B100" s="519">
        <v>39234</v>
      </c>
      <c r="C100" s="565">
        <f>Breakout!$J$136/12</f>
        <v>6760081.6351559162</v>
      </c>
      <c r="D100" s="566">
        <f>Breakout!$J$137/12</f>
        <v>5086607.1000000006</v>
      </c>
      <c r="E100" s="566">
        <v>5086607.0999999996</v>
      </c>
      <c r="F100" s="565">
        <f>Breakout!$J$143/12</f>
        <v>123972.15411406652</v>
      </c>
      <c r="G100" s="566">
        <f>Breakout!$J$144/12</f>
        <v>101243.92585982099</v>
      </c>
      <c r="H100" s="566">
        <v>103310.12842838878</v>
      </c>
      <c r="I100" s="562">
        <v>0</v>
      </c>
      <c r="J100" s="438">
        <v>0</v>
      </c>
      <c r="K100" s="438">
        <v>0</v>
      </c>
      <c r="L100" s="562">
        <v>0</v>
      </c>
      <c r="M100" s="566">
        <f>Breakout!$J$151/12</f>
        <v>60167.847759043296</v>
      </c>
      <c r="N100" s="565">
        <f>Breakout!$J$157/12</f>
        <v>0</v>
      </c>
      <c r="O100" s="566">
        <f>Breakout!$J$158/12</f>
        <v>8333.3333333333339</v>
      </c>
      <c r="P100" s="565">
        <f>Breakout!$J$164/12</f>
        <v>0</v>
      </c>
      <c r="Q100" s="566">
        <f>Breakout!$J$165/12</f>
        <v>0</v>
      </c>
      <c r="R100" s="565">
        <f>Breakout!$J$171/12</f>
        <v>0</v>
      </c>
      <c r="S100" s="566">
        <f>Breakout!$J$172/12</f>
        <v>1318215.918855404</v>
      </c>
      <c r="T100" s="578">
        <f t="shared" si="7"/>
        <v>6884053.7892699828</v>
      </c>
      <c r="U100" s="554">
        <f t="shared" si="8"/>
        <v>6576634.3283761684</v>
      </c>
      <c r="V100" s="578">
        <f t="shared" si="9"/>
        <v>6574568.125807602</v>
      </c>
      <c r="W100" s="548">
        <f t="shared" si="5"/>
        <v>309485.66346238088</v>
      </c>
      <c r="X100" s="496"/>
      <c r="Y100" s="553">
        <f t="shared" si="6"/>
        <v>307419.46089381445</v>
      </c>
      <c r="Z100" s="496"/>
      <c r="AA100" s="557">
        <f>'power redistribution'!$C$32/12</f>
        <v>58459835.648148142</v>
      </c>
      <c r="AB100" s="557">
        <f>'power redistribution'!$D$32/12</f>
        <v>15466.666666666666</v>
      </c>
      <c r="AC100" s="496"/>
      <c r="AD100" s="438">
        <v>0</v>
      </c>
      <c r="AE100" s="496"/>
    </row>
    <row r="101" spans="1:77" x14ac:dyDescent="0.2">
      <c r="A101" s="383">
        <v>91</v>
      </c>
      <c r="B101" s="519">
        <v>39264</v>
      </c>
      <c r="C101" s="565">
        <f>Breakout!$J$136/12</f>
        <v>6760081.6351559162</v>
      </c>
      <c r="D101" s="566">
        <f>Breakout!$J$137/12</f>
        <v>5086607.1000000006</v>
      </c>
      <c r="E101" s="566">
        <v>5086607.0999999996</v>
      </c>
      <c r="F101" s="565">
        <f>Breakout!$J$143/12</f>
        <v>123972.15411406652</v>
      </c>
      <c r="G101" s="566">
        <f>Breakout!$J$144/12</f>
        <v>101243.92585982099</v>
      </c>
      <c r="H101" s="566">
        <v>103310.12842838878</v>
      </c>
      <c r="I101" s="562">
        <v>0</v>
      </c>
      <c r="J101" s="438">
        <v>0</v>
      </c>
      <c r="K101" s="438">
        <v>0</v>
      </c>
      <c r="L101" s="562">
        <v>0</v>
      </c>
      <c r="M101" s="566">
        <f>Breakout!$J$151/12</f>
        <v>60167.847759043296</v>
      </c>
      <c r="N101" s="565">
        <f>Breakout!$J$157/12</f>
        <v>0</v>
      </c>
      <c r="O101" s="566">
        <f>Breakout!$J$158/12</f>
        <v>8333.3333333333339</v>
      </c>
      <c r="P101" s="565">
        <f>Breakout!$J$164/12</f>
        <v>0</v>
      </c>
      <c r="Q101" s="566">
        <f>Breakout!$J$165/12</f>
        <v>0</v>
      </c>
      <c r="R101" s="565">
        <f>Breakout!$J$171/12</f>
        <v>0</v>
      </c>
      <c r="S101" s="566">
        <f>Breakout!$J$172/12</f>
        <v>1318215.918855404</v>
      </c>
      <c r="T101" s="578">
        <f t="shared" si="7"/>
        <v>6884053.7892699828</v>
      </c>
      <c r="U101" s="554">
        <f t="shared" si="8"/>
        <v>6576634.3283761684</v>
      </c>
      <c r="V101" s="578">
        <f t="shared" si="9"/>
        <v>6574568.125807602</v>
      </c>
      <c r="W101" s="548">
        <f t="shared" si="5"/>
        <v>309485.66346238088</v>
      </c>
      <c r="X101" s="496"/>
      <c r="Y101" s="553">
        <f t="shared" si="6"/>
        <v>307419.46089381445</v>
      </c>
      <c r="Z101" s="496"/>
      <c r="AA101" s="557">
        <f>'power redistribution'!$C$32/12</f>
        <v>58459835.648148142</v>
      </c>
      <c r="AB101" s="557">
        <f>'power redistribution'!$D$32/12</f>
        <v>15466.666666666666</v>
      </c>
      <c r="AC101" s="496"/>
      <c r="AD101" s="438">
        <v>0</v>
      </c>
      <c r="AE101" s="496"/>
    </row>
    <row r="102" spans="1:77" x14ac:dyDescent="0.2">
      <c r="A102" s="383">
        <v>92</v>
      </c>
      <c r="B102" s="519">
        <v>39295</v>
      </c>
      <c r="C102" s="565">
        <f>Breakout!$J$136/12</f>
        <v>6760081.6351559162</v>
      </c>
      <c r="D102" s="566">
        <f>Breakout!$J$137/12</f>
        <v>5086607.1000000006</v>
      </c>
      <c r="E102" s="566">
        <v>5086607.0999999996</v>
      </c>
      <c r="F102" s="565">
        <f>Breakout!$J$143/12</f>
        <v>123972.15411406652</v>
      </c>
      <c r="G102" s="566">
        <f>Breakout!$J$144/12</f>
        <v>101243.92585982099</v>
      </c>
      <c r="H102" s="566">
        <v>103310.12842838878</v>
      </c>
      <c r="I102" s="562">
        <v>0</v>
      </c>
      <c r="J102" s="438">
        <v>0</v>
      </c>
      <c r="K102" s="438">
        <v>0</v>
      </c>
      <c r="L102" s="562">
        <v>0</v>
      </c>
      <c r="M102" s="566">
        <f>Breakout!$J$151/12</f>
        <v>60167.847759043296</v>
      </c>
      <c r="N102" s="565">
        <f>Breakout!$J$157/12</f>
        <v>0</v>
      </c>
      <c r="O102" s="566">
        <f>Breakout!$J$158/12</f>
        <v>8333.3333333333339</v>
      </c>
      <c r="P102" s="565">
        <f>Breakout!$J$164/12</f>
        <v>0</v>
      </c>
      <c r="Q102" s="566">
        <f>Breakout!$J$165/12</f>
        <v>0</v>
      </c>
      <c r="R102" s="565">
        <f>Breakout!$J$171/12</f>
        <v>0</v>
      </c>
      <c r="S102" s="566">
        <f>Breakout!$J$172/12</f>
        <v>1318215.918855404</v>
      </c>
      <c r="T102" s="578">
        <f t="shared" si="7"/>
        <v>6884053.7892699828</v>
      </c>
      <c r="U102" s="554">
        <f t="shared" si="8"/>
        <v>6576634.3283761684</v>
      </c>
      <c r="V102" s="578">
        <f t="shared" si="9"/>
        <v>6574568.125807602</v>
      </c>
      <c r="W102" s="548">
        <f t="shared" si="5"/>
        <v>309485.66346238088</v>
      </c>
      <c r="X102" s="496"/>
      <c r="Y102" s="553">
        <f t="shared" si="6"/>
        <v>307419.46089381445</v>
      </c>
      <c r="Z102" s="496"/>
      <c r="AA102" s="557">
        <f>'power redistribution'!$C$32/12</f>
        <v>58459835.648148142</v>
      </c>
      <c r="AB102" s="557">
        <f>'power redistribution'!$D$32/12</f>
        <v>15466.666666666666</v>
      </c>
      <c r="AC102" s="496"/>
      <c r="AD102" s="438">
        <v>0</v>
      </c>
      <c r="AE102" s="496"/>
    </row>
    <row r="103" spans="1:77" x14ac:dyDescent="0.2">
      <c r="A103" s="383">
        <v>93</v>
      </c>
      <c r="B103" s="519">
        <v>39326</v>
      </c>
      <c r="C103" s="565">
        <f>Breakout!$J$136/12</f>
        <v>6760081.6351559162</v>
      </c>
      <c r="D103" s="566">
        <f>Breakout!$J$137/12</f>
        <v>5086607.1000000006</v>
      </c>
      <c r="E103" s="566">
        <v>5086607.0999999996</v>
      </c>
      <c r="F103" s="565">
        <f>Breakout!$J$143/12</f>
        <v>123972.15411406652</v>
      </c>
      <c r="G103" s="566">
        <f>Breakout!$J$144/12</f>
        <v>101243.92585982099</v>
      </c>
      <c r="H103" s="566">
        <v>103310.12842838878</v>
      </c>
      <c r="I103" s="562">
        <v>0</v>
      </c>
      <c r="J103" s="438">
        <v>0</v>
      </c>
      <c r="K103" s="438">
        <v>0</v>
      </c>
      <c r="L103" s="562">
        <v>0</v>
      </c>
      <c r="M103" s="566">
        <f>Breakout!$J$151/12</f>
        <v>60167.847759043296</v>
      </c>
      <c r="N103" s="565">
        <f>Breakout!$J$157/12</f>
        <v>0</v>
      </c>
      <c r="O103" s="566">
        <f>Breakout!$J$158/12</f>
        <v>8333.3333333333339</v>
      </c>
      <c r="P103" s="565">
        <f>Breakout!$J$164/12</f>
        <v>0</v>
      </c>
      <c r="Q103" s="566">
        <f>Breakout!$J$165/12</f>
        <v>0</v>
      </c>
      <c r="R103" s="565">
        <f>Breakout!$J$171/12</f>
        <v>0</v>
      </c>
      <c r="S103" s="566">
        <f>Breakout!$J$172/12</f>
        <v>1318215.918855404</v>
      </c>
      <c r="T103" s="578">
        <f t="shared" si="7"/>
        <v>6884053.7892699828</v>
      </c>
      <c r="U103" s="554">
        <f t="shared" si="8"/>
        <v>6576634.3283761684</v>
      </c>
      <c r="V103" s="578">
        <f t="shared" si="9"/>
        <v>6574568.125807602</v>
      </c>
      <c r="W103" s="548">
        <f t="shared" si="5"/>
        <v>309485.66346238088</v>
      </c>
      <c r="X103" s="496"/>
      <c r="Y103" s="553">
        <f t="shared" si="6"/>
        <v>307419.46089381445</v>
      </c>
      <c r="Z103" s="496"/>
      <c r="AA103" s="557">
        <f>'power redistribution'!$C$32/12</f>
        <v>58459835.648148142</v>
      </c>
      <c r="AB103" s="557">
        <f>'power redistribution'!$D$32/12</f>
        <v>15466.666666666666</v>
      </c>
      <c r="AC103" s="496"/>
      <c r="AD103" s="438">
        <v>0</v>
      </c>
      <c r="AE103" s="496"/>
    </row>
    <row r="104" spans="1:77" x14ac:dyDescent="0.2">
      <c r="A104" s="383">
        <v>94</v>
      </c>
      <c r="B104" s="519">
        <v>39356</v>
      </c>
      <c r="C104" s="565">
        <f>Breakout!$J$136/12</f>
        <v>6760081.6351559162</v>
      </c>
      <c r="D104" s="566">
        <f>Breakout!$J$137/12</f>
        <v>5086607.1000000006</v>
      </c>
      <c r="E104" s="566">
        <v>5086607.0999999996</v>
      </c>
      <c r="F104" s="565">
        <f>Breakout!$J$143/12</f>
        <v>123972.15411406652</v>
      </c>
      <c r="G104" s="566">
        <f>Breakout!$J$144/12</f>
        <v>101243.92585982099</v>
      </c>
      <c r="H104" s="566">
        <v>103310.12842838878</v>
      </c>
      <c r="I104" s="562">
        <v>0</v>
      </c>
      <c r="J104" s="438">
        <v>0</v>
      </c>
      <c r="K104" s="438">
        <v>0</v>
      </c>
      <c r="L104" s="562">
        <v>0</v>
      </c>
      <c r="M104" s="566">
        <f>Breakout!$J$151/12</f>
        <v>60167.847759043296</v>
      </c>
      <c r="N104" s="565">
        <f>Breakout!$J$157/12</f>
        <v>0</v>
      </c>
      <c r="O104" s="566">
        <f>Breakout!$J$158/12</f>
        <v>8333.3333333333339</v>
      </c>
      <c r="P104" s="565">
        <f>Breakout!$J$164/12</f>
        <v>0</v>
      </c>
      <c r="Q104" s="566">
        <f>Breakout!$J$165/12</f>
        <v>0</v>
      </c>
      <c r="R104" s="565">
        <f>Breakout!$J$171/12</f>
        <v>0</v>
      </c>
      <c r="S104" s="566">
        <f>Breakout!$J$172/12</f>
        <v>1318215.918855404</v>
      </c>
      <c r="T104" s="578">
        <f t="shared" si="7"/>
        <v>6884053.7892699828</v>
      </c>
      <c r="U104" s="554">
        <f t="shared" si="8"/>
        <v>6576634.3283761684</v>
      </c>
      <c r="V104" s="578">
        <f t="shared" si="9"/>
        <v>6574568.125807602</v>
      </c>
      <c r="W104" s="548">
        <f t="shared" si="5"/>
        <v>309485.66346238088</v>
      </c>
      <c r="X104" s="496"/>
      <c r="Y104" s="553">
        <f t="shared" si="6"/>
        <v>307419.46089381445</v>
      </c>
      <c r="Z104" s="496"/>
      <c r="AA104" s="557">
        <f>'power redistribution'!$C$32/12</f>
        <v>58459835.648148142</v>
      </c>
      <c r="AB104" s="557">
        <f>'power redistribution'!$D$32/12</f>
        <v>15466.666666666666</v>
      </c>
      <c r="AC104" s="496"/>
      <c r="AD104" s="438">
        <v>0</v>
      </c>
      <c r="AE104" s="496"/>
    </row>
    <row r="105" spans="1:77" x14ac:dyDescent="0.2">
      <c r="A105" s="383">
        <v>95</v>
      </c>
      <c r="B105" s="519">
        <v>39387</v>
      </c>
      <c r="C105" s="565">
        <f>Breakout!$J$136/12</f>
        <v>6760081.6351559162</v>
      </c>
      <c r="D105" s="566">
        <f>Breakout!$J$137/12</f>
        <v>5086607.1000000006</v>
      </c>
      <c r="E105" s="566">
        <v>5086607.0999999996</v>
      </c>
      <c r="F105" s="565">
        <f>Breakout!$J$143/12</f>
        <v>123972.15411406652</v>
      </c>
      <c r="G105" s="566">
        <f>Breakout!$J$144/12</f>
        <v>101243.92585982099</v>
      </c>
      <c r="H105" s="566">
        <v>103310.12842838878</v>
      </c>
      <c r="I105" s="562">
        <v>0</v>
      </c>
      <c r="J105" s="438">
        <v>0</v>
      </c>
      <c r="K105" s="438">
        <v>0</v>
      </c>
      <c r="L105" s="562">
        <v>0</v>
      </c>
      <c r="M105" s="566">
        <f>Breakout!$J$151/12</f>
        <v>60167.847759043296</v>
      </c>
      <c r="N105" s="565">
        <f>Breakout!$J$157/12</f>
        <v>0</v>
      </c>
      <c r="O105" s="566">
        <f>Breakout!$J$158/12</f>
        <v>8333.3333333333339</v>
      </c>
      <c r="P105" s="565">
        <f>Breakout!$J$164/12</f>
        <v>0</v>
      </c>
      <c r="Q105" s="566">
        <f>Breakout!$J$165/12</f>
        <v>0</v>
      </c>
      <c r="R105" s="565">
        <f>Breakout!$J$171/12</f>
        <v>0</v>
      </c>
      <c r="S105" s="566">
        <f>Breakout!$J$172/12</f>
        <v>1318215.918855404</v>
      </c>
      <c r="T105" s="578">
        <f t="shared" si="7"/>
        <v>6884053.7892699828</v>
      </c>
      <c r="U105" s="554">
        <f t="shared" si="8"/>
        <v>6576634.3283761684</v>
      </c>
      <c r="V105" s="578">
        <f t="shared" si="9"/>
        <v>6574568.125807602</v>
      </c>
      <c r="W105" s="548">
        <f t="shared" si="5"/>
        <v>309485.66346238088</v>
      </c>
      <c r="X105" s="496"/>
      <c r="Y105" s="553">
        <f t="shared" si="6"/>
        <v>307419.46089381445</v>
      </c>
      <c r="Z105" s="496"/>
      <c r="AA105" s="557">
        <f>'power redistribution'!$C$32/12</f>
        <v>58459835.648148142</v>
      </c>
      <c r="AB105" s="557">
        <f>'power redistribution'!$D$32/12</f>
        <v>15466.666666666666</v>
      </c>
      <c r="AC105" s="496"/>
      <c r="AD105" s="438">
        <v>0</v>
      </c>
      <c r="AE105" s="496"/>
    </row>
    <row r="106" spans="1:77" s="525" customFormat="1" x14ac:dyDescent="0.2">
      <c r="A106" s="521">
        <v>96</v>
      </c>
      <c r="B106" s="522">
        <v>39417</v>
      </c>
      <c r="C106" s="563">
        <f>Breakout!$J$136/12</f>
        <v>6760081.6351559162</v>
      </c>
      <c r="D106" s="561">
        <f>Breakout!$J$137/12</f>
        <v>5086607.1000000006</v>
      </c>
      <c r="E106" s="561">
        <v>5086607.0999999996</v>
      </c>
      <c r="F106" s="563">
        <f>Breakout!$J$143/12</f>
        <v>123972.15411406652</v>
      </c>
      <c r="G106" s="561">
        <f>Breakout!$J$144/12</f>
        <v>101243.92585982099</v>
      </c>
      <c r="H106" s="561">
        <v>103310.12842838878</v>
      </c>
      <c r="I106" s="562">
        <v>0</v>
      </c>
      <c r="J106" s="438">
        <v>0</v>
      </c>
      <c r="K106" s="438">
        <v>0</v>
      </c>
      <c r="L106" s="562">
        <v>0</v>
      </c>
      <c r="M106" s="561">
        <f>Breakout!$J$151/12</f>
        <v>60167.847759043296</v>
      </c>
      <c r="N106" s="563">
        <f>Breakout!$J$157/12</f>
        <v>0</v>
      </c>
      <c r="O106" s="561">
        <f>Breakout!$J$158/12</f>
        <v>8333.3333333333339</v>
      </c>
      <c r="P106" s="563">
        <f>Breakout!$J$164/12</f>
        <v>0</v>
      </c>
      <c r="Q106" s="561">
        <f>Breakout!$J$165/12</f>
        <v>0</v>
      </c>
      <c r="R106" s="563">
        <f>Breakout!$J$171/12</f>
        <v>0</v>
      </c>
      <c r="S106" s="561">
        <f>Breakout!$J$172/12</f>
        <v>1318215.918855404</v>
      </c>
      <c r="T106" s="578">
        <f t="shared" si="7"/>
        <v>6884053.7892699828</v>
      </c>
      <c r="U106" s="554">
        <f t="shared" si="8"/>
        <v>6576634.3283761684</v>
      </c>
      <c r="V106" s="578">
        <f t="shared" si="9"/>
        <v>6574568.125807602</v>
      </c>
      <c r="W106" s="548">
        <f t="shared" si="5"/>
        <v>309485.66346238088</v>
      </c>
      <c r="X106" s="524">
        <f>SUM(W95:W106)</f>
        <v>3713827.9615485705</v>
      </c>
      <c r="Y106" s="553">
        <f t="shared" si="6"/>
        <v>307419.46089381445</v>
      </c>
      <c r="Z106" s="524">
        <f>SUM(Y95:Y106)</f>
        <v>3689033.5307257734</v>
      </c>
      <c r="AA106" s="557">
        <f>'power redistribution'!$C$32/12</f>
        <v>58459835.648148142</v>
      </c>
      <c r="AB106" s="557">
        <f>'power redistribution'!$D$32/12</f>
        <v>15466.666666666666</v>
      </c>
      <c r="AC106" s="524"/>
      <c r="AD106" s="438">
        <v>0</v>
      </c>
      <c r="AE106" s="524"/>
      <c r="AF106" s="524"/>
      <c r="AG106" s="524"/>
      <c r="AH106" s="524"/>
      <c r="AI106" s="524"/>
      <c r="AJ106" s="524"/>
      <c r="AK106" s="524"/>
      <c r="AL106" s="524"/>
      <c r="AM106" s="524"/>
      <c r="AN106" s="524"/>
      <c r="AO106" s="524"/>
      <c r="AP106" s="524"/>
      <c r="AQ106" s="524"/>
      <c r="AR106" s="524"/>
      <c r="AS106" s="524"/>
      <c r="AT106" s="524"/>
      <c r="AU106" s="524"/>
      <c r="AV106" s="524"/>
      <c r="AW106" s="524"/>
      <c r="AX106" s="524"/>
      <c r="AY106" s="524"/>
      <c r="AZ106" s="524"/>
      <c r="BA106" s="524"/>
      <c r="BB106" s="524"/>
      <c r="BC106" s="524"/>
      <c r="BD106" s="524"/>
      <c r="BE106" s="524"/>
      <c r="BF106" s="524"/>
      <c r="BG106" s="524"/>
      <c r="BH106" s="524"/>
      <c r="BI106" s="524"/>
      <c r="BJ106" s="524"/>
      <c r="BK106" s="524"/>
      <c r="BL106" s="524"/>
      <c r="BM106" s="524"/>
      <c r="BN106" s="524"/>
      <c r="BO106" s="524"/>
      <c r="BP106" s="524"/>
      <c r="BQ106" s="524"/>
      <c r="BR106" s="524"/>
      <c r="BS106" s="524"/>
      <c r="BT106" s="524"/>
      <c r="BU106" s="524"/>
      <c r="BV106" s="524"/>
      <c r="BW106" s="524"/>
      <c r="BX106" s="524"/>
      <c r="BY106" s="524"/>
    </row>
    <row r="107" spans="1:77" s="532" customFormat="1" x14ac:dyDescent="0.2">
      <c r="A107" s="528">
        <v>97</v>
      </c>
      <c r="B107" s="529">
        <v>39448</v>
      </c>
      <c r="C107" s="564">
        <f>Breakout!$K$136/12</f>
        <v>6760081.6351559162</v>
      </c>
      <c r="D107" s="560">
        <f>Breakout!$K$137/12</f>
        <v>4922523</v>
      </c>
      <c r="E107" s="560">
        <v>4922523</v>
      </c>
      <c r="F107" s="564">
        <f>Breakout!$K$143/12</f>
        <v>127896.90154933912</v>
      </c>
      <c r="G107" s="560">
        <f>Breakout!$K$144/12</f>
        <v>104449.13626529359</v>
      </c>
      <c r="H107" s="560">
        <v>106580.75129111593</v>
      </c>
      <c r="I107" s="562">
        <v>0</v>
      </c>
      <c r="J107" s="438">
        <v>0</v>
      </c>
      <c r="K107" s="438">
        <v>0</v>
      </c>
      <c r="L107" s="562">
        <v>0</v>
      </c>
      <c r="M107" s="560">
        <f>Breakout!$K$151/12</f>
        <v>60167.847759043296</v>
      </c>
      <c r="N107" s="564">
        <f>Breakout!$K$157/12</f>
        <v>0</v>
      </c>
      <c r="O107" s="560">
        <f>Breakout!$K$158/12</f>
        <v>8333.3333333333339</v>
      </c>
      <c r="P107" s="564">
        <f>Breakout!$K$164/12</f>
        <v>0</v>
      </c>
      <c r="Q107" s="560">
        <f>Breakout!$K$165/12</f>
        <v>0</v>
      </c>
      <c r="R107" s="564">
        <f>Breakout!$K$171/12</f>
        <v>0</v>
      </c>
      <c r="S107" s="560">
        <f>Breakout!$K$172/12</f>
        <v>1318215.918855404</v>
      </c>
      <c r="T107" s="578">
        <f t="shared" si="7"/>
        <v>6887978.5367052555</v>
      </c>
      <c r="U107" s="554">
        <f t="shared" si="8"/>
        <v>6415820.8512388952</v>
      </c>
      <c r="V107" s="578">
        <f t="shared" si="9"/>
        <v>6413689.2362130731</v>
      </c>
      <c r="W107" s="548">
        <f t="shared" si="5"/>
        <v>474289.30049218237</v>
      </c>
      <c r="X107" s="531"/>
      <c r="Y107" s="553">
        <f t="shared" si="6"/>
        <v>472157.6854663603</v>
      </c>
      <c r="Z107" s="531"/>
      <c r="AA107" s="557">
        <f>'power redistribution'!$C$32/12</f>
        <v>58459835.648148142</v>
      </c>
      <c r="AB107" s="557">
        <f>'power redistribution'!$D$32/12</f>
        <v>15466.666666666666</v>
      </c>
      <c r="AC107" s="531"/>
      <c r="AD107" s="438">
        <v>0</v>
      </c>
      <c r="AE107" s="531"/>
      <c r="AF107" s="531"/>
      <c r="AG107" s="531"/>
      <c r="AH107" s="531"/>
      <c r="AI107" s="531"/>
      <c r="AJ107" s="531"/>
      <c r="AK107" s="531"/>
      <c r="AL107" s="531"/>
      <c r="AM107" s="531"/>
      <c r="AN107" s="531"/>
      <c r="AO107" s="531"/>
      <c r="AP107" s="531"/>
      <c r="AQ107" s="531"/>
      <c r="AR107" s="531"/>
      <c r="AS107" s="531"/>
      <c r="AT107" s="531"/>
      <c r="AU107" s="531"/>
      <c r="AV107" s="531"/>
      <c r="AW107" s="531"/>
      <c r="AX107" s="531"/>
      <c r="AY107" s="531"/>
      <c r="AZ107" s="531"/>
      <c r="BA107" s="531"/>
      <c r="BB107" s="531"/>
      <c r="BC107" s="531"/>
      <c r="BD107" s="531"/>
      <c r="BE107" s="531"/>
      <c r="BF107" s="531"/>
      <c r="BG107" s="531"/>
      <c r="BH107" s="531"/>
      <c r="BI107" s="531"/>
      <c r="BJ107" s="531"/>
      <c r="BK107" s="531"/>
      <c r="BL107" s="531"/>
      <c r="BM107" s="531"/>
      <c r="BN107" s="531"/>
      <c r="BO107" s="531"/>
      <c r="BP107" s="531"/>
      <c r="BQ107" s="531"/>
      <c r="BR107" s="531"/>
      <c r="BS107" s="531"/>
      <c r="BT107" s="531"/>
      <c r="BU107" s="531"/>
      <c r="BV107" s="531"/>
      <c r="BW107" s="531"/>
      <c r="BX107" s="531"/>
      <c r="BY107" s="531"/>
    </row>
    <row r="108" spans="1:77" x14ac:dyDescent="0.2">
      <c r="A108" s="383">
        <v>98</v>
      </c>
      <c r="B108" s="519">
        <v>39479</v>
      </c>
      <c r="C108" s="565">
        <f>Breakout!$K$136/12</f>
        <v>6760081.6351559162</v>
      </c>
      <c r="D108" s="566">
        <f>Breakout!$K$137/12</f>
        <v>4922523</v>
      </c>
      <c r="E108" s="566">
        <v>4922523</v>
      </c>
      <c r="F108" s="565">
        <f>Breakout!$K$143/12</f>
        <v>127896.90154933912</v>
      </c>
      <c r="G108" s="566">
        <f>Breakout!$K$144/12</f>
        <v>104449.13626529359</v>
      </c>
      <c r="H108" s="566">
        <v>106580.75129111593</v>
      </c>
      <c r="I108" s="562">
        <v>0</v>
      </c>
      <c r="J108" s="438">
        <v>0</v>
      </c>
      <c r="K108" s="438">
        <v>0</v>
      </c>
      <c r="L108" s="562">
        <v>0</v>
      </c>
      <c r="M108" s="566">
        <f>Breakout!$K$151/12</f>
        <v>60167.847759043296</v>
      </c>
      <c r="N108" s="565">
        <f>Breakout!$K$157/12</f>
        <v>0</v>
      </c>
      <c r="O108" s="566">
        <f>Breakout!$K$158/12</f>
        <v>8333.3333333333339</v>
      </c>
      <c r="P108" s="565">
        <f>Breakout!$K$164/12</f>
        <v>0</v>
      </c>
      <c r="Q108" s="566">
        <f>Breakout!$K$165/12</f>
        <v>0</v>
      </c>
      <c r="R108" s="565">
        <f>Breakout!$K$171/12</f>
        <v>0</v>
      </c>
      <c r="S108" s="566">
        <f>Breakout!$K$172/12</f>
        <v>1318215.918855404</v>
      </c>
      <c r="T108" s="578">
        <f t="shared" si="7"/>
        <v>6887978.5367052555</v>
      </c>
      <c r="U108" s="554">
        <f t="shared" si="8"/>
        <v>6415820.8512388952</v>
      </c>
      <c r="V108" s="578">
        <f t="shared" si="9"/>
        <v>6413689.2362130731</v>
      </c>
      <c r="W108" s="548">
        <f t="shared" si="5"/>
        <v>474289.30049218237</v>
      </c>
      <c r="X108" s="496"/>
      <c r="Y108" s="553">
        <f t="shared" si="6"/>
        <v>472157.6854663603</v>
      </c>
      <c r="Z108" s="496"/>
      <c r="AA108" s="557">
        <f>'power redistribution'!$C$32/12</f>
        <v>58459835.648148142</v>
      </c>
      <c r="AB108" s="557">
        <f>'power redistribution'!$D$32/12</f>
        <v>15466.666666666666</v>
      </c>
      <c r="AC108" s="496"/>
      <c r="AD108" s="438">
        <v>0</v>
      </c>
      <c r="AE108" s="496"/>
    </row>
    <row r="109" spans="1:77" x14ac:dyDescent="0.2">
      <c r="A109" s="383">
        <v>99</v>
      </c>
      <c r="B109" s="519">
        <v>39508</v>
      </c>
      <c r="C109" s="565">
        <f>Breakout!$K$136/12</f>
        <v>6760081.6351559162</v>
      </c>
      <c r="D109" s="566">
        <f>Breakout!$K$137/12</f>
        <v>4922523</v>
      </c>
      <c r="E109" s="566">
        <v>4922523</v>
      </c>
      <c r="F109" s="565">
        <f>Breakout!$K$143/12</f>
        <v>127896.90154933912</v>
      </c>
      <c r="G109" s="566">
        <f>Breakout!$K$144/12</f>
        <v>104449.13626529359</v>
      </c>
      <c r="H109" s="566">
        <v>106580.75129111593</v>
      </c>
      <c r="I109" s="562">
        <v>0</v>
      </c>
      <c r="J109" s="438">
        <v>0</v>
      </c>
      <c r="K109" s="438">
        <v>0</v>
      </c>
      <c r="L109" s="562">
        <v>0</v>
      </c>
      <c r="M109" s="566">
        <f>Breakout!$K$151/12</f>
        <v>60167.847759043296</v>
      </c>
      <c r="N109" s="565">
        <f>Breakout!$K$157/12</f>
        <v>0</v>
      </c>
      <c r="O109" s="566">
        <f>Breakout!$K$158/12</f>
        <v>8333.3333333333339</v>
      </c>
      <c r="P109" s="565">
        <f>Breakout!$K$164/12</f>
        <v>0</v>
      </c>
      <c r="Q109" s="566">
        <f>Breakout!$K$165/12</f>
        <v>0</v>
      </c>
      <c r="R109" s="565">
        <f>Breakout!$K$171/12</f>
        <v>0</v>
      </c>
      <c r="S109" s="566">
        <f>Breakout!$K$172/12</f>
        <v>1318215.918855404</v>
      </c>
      <c r="T109" s="578">
        <f t="shared" si="7"/>
        <v>6887978.5367052555</v>
      </c>
      <c r="U109" s="554">
        <f t="shared" si="8"/>
        <v>6415820.8512388952</v>
      </c>
      <c r="V109" s="578">
        <f t="shared" si="9"/>
        <v>6413689.2362130731</v>
      </c>
      <c r="W109" s="548">
        <f t="shared" si="5"/>
        <v>474289.30049218237</v>
      </c>
      <c r="X109" s="496"/>
      <c r="Y109" s="553">
        <f t="shared" si="6"/>
        <v>472157.6854663603</v>
      </c>
      <c r="Z109" s="496"/>
      <c r="AA109" s="557">
        <f>'power redistribution'!$C$32/12</f>
        <v>58459835.648148142</v>
      </c>
      <c r="AB109" s="557">
        <f>'power redistribution'!$D$32/12</f>
        <v>15466.666666666666</v>
      </c>
      <c r="AC109" s="496"/>
      <c r="AD109" s="438">
        <v>0</v>
      </c>
      <c r="AE109" s="496"/>
    </row>
    <row r="110" spans="1:77" x14ac:dyDescent="0.2">
      <c r="A110" s="383">
        <v>100</v>
      </c>
      <c r="B110" s="519">
        <v>39539</v>
      </c>
      <c r="C110" s="565">
        <f>Breakout!$K$136/12</f>
        <v>6760081.6351559162</v>
      </c>
      <c r="D110" s="566">
        <f>Breakout!$K$137/12</f>
        <v>4922523</v>
      </c>
      <c r="E110" s="566">
        <v>4922523</v>
      </c>
      <c r="F110" s="565">
        <f>Breakout!$K$143/12</f>
        <v>127896.90154933912</v>
      </c>
      <c r="G110" s="566">
        <f>Breakout!$K$144/12</f>
        <v>104449.13626529359</v>
      </c>
      <c r="H110" s="566">
        <v>106580.75129111593</v>
      </c>
      <c r="I110" s="562">
        <v>0</v>
      </c>
      <c r="J110" s="438">
        <v>0</v>
      </c>
      <c r="K110" s="438">
        <v>0</v>
      </c>
      <c r="L110" s="562">
        <v>0</v>
      </c>
      <c r="M110" s="566">
        <f>Breakout!$K$151/12</f>
        <v>60167.847759043296</v>
      </c>
      <c r="N110" s="565">
        <f>Breakout!$K$157/12</f>
        <v>0</v>
      </c>
      <c r="O110" s="566">
        <f>Breakout!$K$158/12</f>
        <v>8333.3333333333339</v>
      </c>
      <c r="P110" s="565">
        <f>Breakout!$K$164/12</f>
        <v>0</v>
      </c>
      <c r="Q110" s="566">
        <f>Breakout!$K$165/12</f>
        <v>0</v>
      </c>
      <c r="R110" s="565">
        <f>Breakout!$K$171/12</f>
        <v>0</v>
      </c>
      <c r="S110" s="566">
        <f>Breakout!$K$172/12</f>
        <v>1318215.918855404</v>
      </c>
      <c r="T110" s="578">
        <f t="shared" si="7"/>
        <v>6887978.5367052555</v>
      </c>
      <c r="U110" s="554">
        <f t="shared" si="8"/>
        <v>6415820.8512388952</v>
      </c>
      <c r="V110" s="578">
        <f t="shared" si="9"/>
        <v>6413689.2362130731</v>
      </c>
      <c r="W110" s="548">
        <f t="shared" si="5"/>
        <v>474289.30049218237</v>
      </c>
      <c r="X110" s="496"/>
      <c r="Y110" s="553">
        <f t="shared" si="6"/>
        <v>472157.6854663603</v>
      </c>
      <c r="Z110" s="496"/>
      <c r="AA110" s="557">
        <f>'power redistribution'!$C$32/12</f>
        <v>58459835.648148142</v>
      </c>
      <c r="AB110" s="557">
        <f>'power redistribution'!$D$32/12</f>
        <v>15466.666666666666</v>
      </c>
      <c r="AC110" s="496"/>
      <c r="AD110" s="438">
        <v>0</v>
      </c>
      <c r="AE110" s="496"/>
    </row>
    <row r="111" spans="1:77" x14ac:dyDescent="0.2">
      <c r="A111" s="383">
        <v>101</v>
      </c>
      <c r="B111" s="519">
        <v>39569</v>
      </c>
      <c r="C111" s="565">
        <f>Breakout!$K$136/12</f>
        <v>6760081.6351559162</v>
      </c>
      <c r="D111" s="566">
        <f>Breakout!$K$137/12</f>
        <v>4922523</v>
      </c>
      <c r="E111" s="566">
        <v>4922523</v>
      </c>
      <c r="F111" s="565">
        <f>Breakout!$K$143/12</f>
        <v>127896.90154933912</v>
      </c>
      <c r="G111" s="566">
        <f>Breakout!$K$144/12</f>
        <v>104449.13626529359</v>
      </c>
      <c r="H111" s="566">
        <v>106580.75129111593</v>
      </c>
      <c r="I111" s="562">
        <v>0</v>
      </c>
      <c r="J111" s="438">
        <v>0</v>
      </c>
      <c r="K111" s="438">
        <v>0</v>
      </c>
      <c r="L111" s="562">
        <v>0</v>
      </c>
      <c r="M111" s="566">
        <f>Breakout!$K$151/12</f>
        <v>60167.847759043296</v>
      </c>
      <c r="N111" s="565">
        <f>Breakout!$K$157/12</f>
        <v>0</v>
      </c>
      <c r="O111" s="566">
        <f>Breakout!$K$158/12</f>
        <v>8333.3333333333339</v>
      </c>
      <c r="P111" s="565">
        <f>Breakout!$K$164/12</f>
        <v>0</v>
      </c>
      <c r="Q111" s="566">
        <f>Breakout!$K$165/12</f>
        <v>0</v>
      </c>
      <c r="R111" s="565">
        <f>Breakout!$K$171/12</f>
        <v>0</v>
      </c>
      <c r="S111" s="566">
        <f>Breakout!$K$172/12</f>
        <v>1318215.918855404</v>
      </c>
      <c r="T111" s="578">
        <f t="shared" si="7"/>
        <v>6887978.5367052555</v>
      </c>
      <c r="U111" s="554">
        <f t="shared" si="8"/>
        <v>6415820.8512388952</v>
      </c>
      <c r="V111" s="578">
        <f t="shared" si="9"/>
        <v>6413689.2362130731</v>
      </c>
      <c r="W111" s="548">
        <f t="shared" si="5"/>
        <v>474289.30049218237</v>
      </c>
      <c r="X111" s="496"/>
      <c r="Y111" s="553">
        <f t="shared" si="6"/>
        <v>472157.6854663603</v>
      </c>
      <c r="Z111" s="496"/>
      <c r="AA111" s="557">
        <f>'power redistribution'!$C$32/12</f>
        <v>58459835.648148142</v>
      </c>
      <c r="AB111" s="557">
        <f>'power redistribution'!$D$32/12</f>
        <v>15466.666666666666</v>
      </c>
      <c r="AC111" s="496"/>
      <c r="AD111" s="438">
        <v>0</v>
      </c>
      <c r="AE111" s="496"/>
    </row>
    <row r="112" spans="1:77" x14ac:dyDescent="0.2">
      <c r="A112" s="383">
        <v>102</v>
      </c>
      <c r="B112" s="519">
        <v>39600</v>
      </c>
      <c r="C112" s="565">
        <f>Breakout!$K$136/12</f>
        <v>6760081.6351559162</v>
      </c>
      <c r="D112" s="566">
        <f>Breakout!$K$137/12</f>
        <v>4922523</v>
      </c>
      <c r="E112" s="566">
        <v>4922523</v>
      </c>
      <c r="F112" s="565">
        <f>Breakout!$K$143/12</f>
        <v>127896.90154933912</v>
      </c>
      <c r="G112" s="566">
        <f>Breakout!$K$144/12</f>
        <v>104449.13626529359</v>
      </c>
      <c r="H112" s="566">
        <v>106580.75129111593</v>
      </c>
      <c r="I112" s="562">
        <v>0</v>
      </c>
      <c r="J112" s="438">
        <v>0</v>
      </c>
      <c r="K112" s="438">
        <v>0</v>
      </c>
      <c r="L112" s="562">
        <v>0</v>
      </c>
      <c r="M112" s="566">
        <f>Breakout!$K$151/12</f>
        <v>60167.847759043296</v>
      </c>
      <c r="N112" s="565">
        <f>Breakout!$K$157/12</f>
        <v>0</v>
      </c>
      <c r="O112" s="566">
        <f>Breakout!$K$158/12</f>
        <v>8333.3333333333339</v>
      </c>
      <c r="P112" s="565">
        <f>Breakout!$K$164/12</f>
        <v>0</v>
      </c>
      <c r="Q112" s="566">
        <f>Breakout!$K$165/12</f>
        <v>0</v>
      </c>
      <c r="R112" s="565">
        <f>Breakout!$K$171/12</f>
        <v>0</v>
      </c>
      <c r="S112" s="566">
        <f>Breakout!$K$172/12</f>
        <v>1318215.918855404</v>
      </c>
      <c r="T112" s="578">
        <f t="shared" si="7"/>
        <v>6887978.5367052555</v>
      </c>
      <c r="U112" s="554">
        <f t="shared" si="8"/>
        <v>6415820.8512388952</v>
      </c>
      <c r="V112" s="578">
        <f t="shared" si="9"/>
        <v>6413689.2362130731</v>
      </c>
      <c r="W112" s="548">
        <f t="shared" si="5"/>
        <v>474289.30049218237</v>
      </c>
      <c r="X112" s="496"/>
      <c r="Y112" s="553">
        <f t="shared" si="6"/>
        <v>472157.6854663603</v>
      </c>
      <c r="Z112" s="496"/>
      <c r="AA112" s="557">
        <f>'power redistribution'!$C$32/12</f>
        <v>58459835.648148142</v>
      </c>
      <c r="AB112" s="557">
        <f>'power redistribution'!$D$32/12</f>
        <v>15466.666666666666</v>
      </c>
      <c r="AC112" s="496"/>
      <c r="AD112" s="438">
        <v>0</v>
      </c>
      <c r="AE112" s="496"/>
    </row>
    <row r="113" spans="1:77" x14ac:dyDescent="0.2">
      <c r="A113" s="383">
        <v>103</v>
      </c>
      <c r="B113" s="519">
        <v>39630</v>
      </c>
      <c r="C113" s="565">
        <f>Breakout!$K$136/12</f>
        <v>6760081.6351559162</v>
      </c>
      <c r="D113" s="566">
        <f>Breakout!$K$137/12</f>
        <v>4922523</v>
      </c>
      <c r="E113" s="566">
        <v>4922523</v>
      </c>
      <c r="F113" s="565">
        <f>Breakout!$K$143/12</f>
        <v>127896.90154933912</v>
      </c>
      <c r="G113" s="566">
        <f>Breakout!$K$144/12</f>
        <v>104449.13626529359</v>
      </c>
      <c r="H113" s="566">
        <v>106580.75129111593</v>
      </c>
      <c r="I113" s="562">
        <v>0</v>
      </c>
      <c r="J113" s="438">
        <v>0</v>
      </c>
      <c r="K113" s="438">
        <v>0</v>
      </c>
      <c r="L113" s="562">
        <v>0</v>
      </c>
      <c r="M113" s="566">
        <f>Breakout!$K$151/12</f>
        <v>60167.847759043296</v>
      </c>
      <c r="N113" s="565">
        <f>Breakout!$K$157/12</f>
        <v>0</v>
      </c>
      <c r="O113" s="566">
        <f>Breakout!$K$158/12</f>
        <v>8333.3333333333339</v>
      </c>
      <c r="P113" s="565">
        <f>Breakout!$K$164/12</f>
        <v>0</v>
      </c>
      <c r="Q113" s="566">
        <f>Breakout!$K$165/12</f>
        <v>0</v>
      </c>
      <c r="R113" s="565">
        <f>Breakout!$K$171/12</f>
        <v>0</v>
      </c>
      <c r="S113" s="566">
        <f>Breakout!$K$172/12</f>
        <v>1318215.918855404</v>
      </c>
      <c r="T113" s="578">
        <f t="shared" si="7"/>
        <v>6887978.5367052555</v>
      </c>
      <c r="U113" s="554">
        <f t="shared" si="8"/>
        <v>6415820.8512388952</v>
      </c>
      <c r="V113" s="578">
        <f t="shared" si="9"/>
        <v>6413689.2362130731</v>
      </c>
      <c r="W113" s="548">
        <f t="shared" si="5"/>
        <v>474289.30049218237</v>
      </c>
      <c r="X113" s="496"/>
      <c r="Y113" s="553">
        <f t="shared" si="6"/>
        <v>472157.6854663603</v>
      </c>
      <c r="Z113" s="496"/>
      <c r="AA113" s="557">
        <f>'power redistribution'!$C$32/12</f>
        <v>58459835.648148142</v>
      </c>
      <c r="AB113" s="557">
        <f>'power redistribution'!$D$32/12</f>
        <v>15466.666666666666</v>
      </c>
      <c r="AC113" s="496"/>
      <c r="AD113" s="438">
        <v>0</v>
      </c>
      <c r="AE113" s="496"/>
    </row>
    <row r="114" spans="1:77" x14ac:dyDescent="0.2">
      <c r="A114" s="383">
        <v>104</v>
      </c>
      <c r="B114" s="519">
        <v>39661</v>
      </c>
      <c r="C114" s="565">
        <f>Breakout!$K$136/12</f>
        <v>6760081.6351559162</v>
      </c>
      <c r="D114" s="566">
        <f>Breakout!$K$137/12</f>
        <v>4922523</v>
      </c>
      <c r="E114" s="566">
        <v>4922523</v>
      </c>
      <c r="F114" s="565">
        <f>Breakout!$K$143/12</f>
        <v>127896.90154933912</v>
      </c>
      <c r="G114" s="566">
        <f>Breakout!$K$144/12</f>
        <v>104449.13626529359</v>
      </c>
      <c r="H114" s="566">
        <v>106580.75129111593</v>
      </c>
      <c r="I114" s="562">
        <v>0</v>
      </c>
      <c r="J114" s="438">
        <v>0</v>
      </c>
      <c r="K114" s="438">
        <v>0</v>
      </c>
      <c r="L114" s="562">
        <v>0</v>
      </c>
      <c r="M114" s="566">
        <f>Breakout!$K$151/12</f>
        <v>60167.847759043296</v>
      </c>
      <c r="N114" s="565">
        <f>Breakout!$K$157/12</f>
        <v>0</v>
      </c>
      <c r="O114" s="566">
        <f>Breakout!$K$158/12</f>
        <v>8333.3333333333339</v>
      </c>
      <c r="P114" s="565">
        <f>Breakout!$K$164/12</f>
        <v>0</v>
      </c>
      <c r="Q114" s="566">
        <f>Breakout!$K$165/12</f>
        <v>0</v>
      </c>
      <c r="R114" s="565">
        <f>Breakout!$K$171/12</f>
        <v>0</v>
      </c>
      <c r="S114" s="566">
        <f>Breakout!$K$172/12</f>
        <v>1318215.918855404</v>
      </c>
      <c r="T114" s="578">
        <f t="shared" si="7"/>
        <v>6887978.5367052555</v>
      </c>
      <c r="U114" s="554">
        <f t="shared" si="8"/>
        <v>6415820.8512388952</v>
      </c>
      <c r="V114" s="578">
        <f t="shared" si="9"/>
        <v>6413689.2362130731</v>
      </c>
      <c r="W114" s="548">
        <f t="shared" si="5"/>
        <v>474289.30049218237</v>
      </c>
      <c r="X114" s="496"/>
      <c r="Y114" s="553">
        <f t="shared" si="6"/>
        <v>472157.6854663603</v>
      </c>
      <c r="Z114" s="496"/>
      <c r="AA114" s="557">
        <f>'power redistribution'!$C$32/12</f>
        <v>58459835.648148142</v>
      </c>
      <c r="AB114" s="557">
        <f>'power redistribution'!$D$32/12</f>
        <v>15466.666666666666</v>
      </c>
      <c r="AC114" s="496"/>
      <c r="AD114" s="438">
        <v>0</v>
      </c>
      <c r="AE114" s="496"/>
    </row>
    <row r="115" spans="1:77" x14ac:dyDescent="0.2">
      <c r="A115" s="383">
        <v>105</v>
      </c>
      <c r="B115" s="519">
        <v>39692</v>
      </c>
      <c r="C115" s="565">
        <f>Breakout!$K$136/12</f>
        <v>6760081.6351559162</v>
      </c>
      <c r="D115" s="566">
        <f>Breakout!$K$137/12</f>
        <v>4922523</v>
      </c>
      <c r="E115" s="566">
        <v>4922523</v>
      </c>
      <c r="F115" s="565">
        <f>Breakout!$K$143/12</f>
        <v>127896.90154933912</v>
      </c>
      <c r="G115" s="566">
        <f>Breakout!$K$144/12</f>
        <v>104449.13626529359</v>
      </c>
      <c r="H115" s="566">
        <v>106580.75129111593</v>
      </c>
      <c r="I115" s="562">
        <v>0</v>
      </c>
      <c r="J115" s="438">
        <v>0</v>
      </c>
      <c r="K115" s="438">
        <v>0</v>
      </c>
      <c r="L115" s="562">
        <v>0</v>
      </c>
      <c r="M115" s="566">
        <f>Breakout!$K$151/12</f>
        <v>60167.847759043296</v>
      </c>
      <c r="N115" s="565">
        <f>Breakout!$K$157/12</f>
        <v>0</v>
      </c>
      <c r="O115" s="566">
        <f>Breakout!$K$158/12</f>
        <v>8333.3333333333339</v>
      </c>
      <c r="P115" s="565">
        <f>Breakout!$K$164/12</f>
        <v>0</v>
      </c>
      <c r="Q115" s="566">
        <f>Breakout!$K$165/12</f>
        <v>0</v>
      </c>
      <c r="R115" s="565">
        <f>Breakout!$K$171/12</f>
        <v>0</v>
      </c>
      <c r="S115" s="566">
        <f>Breakout!$K$172/12</f>
        <v>1318215.918855404</v>
      </c>
      <c r="T115" s="578">
        <f t="shared" si="7"/>
        <v>6887978.5367052555</v>
      </c>
      <c r="U115" s="554">
        <f t="shared" si="8"/>
        <v>6415820.8512388952</v>
      </c>
      <c r="V115" s="578">
        <f t="shared" si="9"/>
        <v>6413689.2362130731</v>
      </c>
      <c r="W115" s="548">
        <f t="shared" si="5"/>
        <v>474289.30049218237</v>
      </c>
      <c r="X115" s="496"/>
      <c r="Y115" s="553">
        <f t="shared" si="6"/>
        <v>472157.6854663603</v>
      </c>
      <c r="Z115" s="496"/>
      <c r="AA115" s="557">
        <f>'power redistribution'!$C$32/12</f>
        <v>58459835.648148142</v>
      </c>
      <c r="AB115" s="557">
        <f>'power redistribution'!$D$32/12</f>
        <v>15466.666666666666</v>
      </c>
      <c r="AC115" s="496"/>
      <c r="AD115" s="438">
        <v>0</v>
      </c>
      <c r="AE115" s="496"/>
    </row>
    <row r="116" spans="1:77" x14ac:dyDescent="0.2">
      <c r="A116" s="383">
        <v>106</v>
      </c>
      <c r="B116" s="519">
        <v>39722</v>
      </c>
      <c r="C116" s="565">
        <f>Breakout!$K$136/12</f>
        <v>6760081.6351559162</v>
      </c>
      <c r="D116" s="566">
        <f>Breakout!$K$137/12</f>
        <v>4922523</v>
      </c>
      <c r="E116" s="566">
        <v>4922523</v>
      </c>
      <c r="F116" s="565">
        <f>Breakout!$K$143/12</f>
        <v>127896.90154933912</v>
      </c>
      <c r="G116" s="566">
        <f>Breakout!$K$144/12</f>
        <v>104449.13626529359</v>
      </c>
      <c r="H116" s="566">
        <v>106580.75129111593</v>
      </c>
      <c r="I116" s="562">
        <v>0</v>
      </c>
      <c r="J116" s="438">
        <v>0</v>
      </c>
      <c r="K116" s="438">
        <v>0</v>
      </c>
      <c r="L116" s="562">
        <v>0</v>
      </c>
      <c r="M116" s="566">
        <f>Breakout!$K$151/12</f>
        <v>60167.847759043296</v>
      </c>
      <c r="N116" s="565">
        <f>Breakout!$K$157/12</f>
        <v>0</v>
      </c>
      <c r="O116" s="566">
        <f>Breakout!$K$158/12</f>
        <v>8333.3333333333339</v>
      </c>
      <c r="P116" s="565">
        <f>Breakout!$K$164/12</f>
        <v>0</v>
      </c>
      <c r="Q116" s="566">
        <f>Breakout!$K$165/12</f>
        <v>0</v>
      </c>
      <c r="R116" s="565">
        <f>Breakout!$K$171/12</f>
        <v>0</v>
      </c>
      <c r="S116" s="566">
        <f>Breakout!$K$172/12</f>
        <v>1318215.918855404</v>
      </c>
      <c r="T116" s="578">
        <f t="shared" si="7"/>
        <v>6887978.5367052555</v>
      </c>
      <c r="U116" s="554">
        <f t="shared" si="8"/>
        <v>6415820.8512388952</v>
      </c>
      <c r="V116" s="578">
        <f t="shared" si="9"/>
        <v>6413689.2362130731</v>
      </c>
      <c r="W116" s="548">
        <f t="shared" si="5"/>
        <v>474289.30049218237</v>
      </c>
      <c r="X116" s="496"/>
      <c r="Y116" s="553">
        <f t="shared" si="6"/>
        <v>472157.6854663603</v>
      </c>
      <c r="Z116" s="496"/>
      <c r="AA116" s="557">
        <f>'power redistribution'!$C$32/12</f>
        <v>58459835.648148142</v>
      </c>
      <c r="AB116" s="557">
        <f>'power redistribution'!$D$32/12</f>
        <v>15466.666666666666</v>
      </c>
      <c r="AC116" s="496"/>
      <c r="AD116" s="438">
        <v>0</v>
      </c>
      <c r="AE116" s="496"/>
    </row>
    <row r="117" spans="1:77" x14ac:dyDescent="0.2">
      <c r="A117" s="383">
        <v>107</v>
      </c>
      <c r="B117" s="519">
        <v>39753</v>
      </c>
      <c r="C117" s="565">
        <f>Breakout!$K$136/12</f>
        <v>6760081.6351559162</v>
      </c>
      <c r="D117" s="566">
        <f>Breakout!$K$137/12</f>
        <v>4922523</v>
      </c>
      <c r="E117" s="566">
        <v>4922523</v>
      </c>
      <c r="F117" s="565">
        <f>Breakout!$K$143/12</f>
        <v>127896.90154933912</v>
      </c>
      <c r="G117" s="566">
        <f>Breakout!$K$144/12</f>
        <v>104449.13626529359</v>
      </c>
      <c r="H117" s="566">
        <v>106580.75129111593</v>
      </c>
      <c r="I117" s="562">
        <v>0</v>
      </c>
      <c r="J117" s="438">
        <v>0</v>
      </c>
      <c r="K117" s="438">
        <v>0</v>
      </c>
      <c r="L117" s="562">
        <v>0</v>
      </c>
      <c r="M117" s="566">
        <f>Breakout!$K$151/12</f>
        <v>60167.847759043296</v>
      </c>
      <c r="N117" s="565">
        <f>Breakout!$K$157/12</f>
        <v>0</v>
      </c>
      <c r="O117" s="566">
        <f>Breakout!$K$158/12</f>
        <v>8333.3333333333339</v>
      </c>
      <c r="P117" s="565">
        <f>Breakout!$K$164/12</f>
        <v>0</v>
      </c>
      <c r="Q117" s="566">
        <f>Breakout!$K$165/12</f>
        <v>0</v>
      </c>
      <c r="R117" s="565">
        <f>Breakout!$K$171/12</f>
        <v>0</v>
      </c>
      <c r="S117" s="566">
        <f>Breakout!$K$172/12</f>
        <v>1318215.918855404</v>
      </c>
      <c r="T117" s="578">
        <f t="shared" si="7"/>
        <v>6887978.5367052555</v>
      </c>
      <c r="U117" s="554">
        <f t="shared" si="8"/>
        <v>6415820.8512388952</v>
      </c>
      <c r="V117" s="578">
        <f t="shared" si="9"/>
        <v>6413689.2362130731</v>
      </c>
      <c r="W117" s="548">
        <f t="shared" si="5"/>
        <v>474289.30049218237</v>
      </c>
      <c r="X117" s="496"/>
      <c r="Y117" s="553">
        <f t="shared" si="6"/>
        <v>472157.6854663603</v>
      </c>
      <c r="Z117" s="496"/>
      <c r="AA117" s="557">
        <f>'power redistribution'!$C$32/12</f>
        <v>58459835.648148142</v>
      </c>
      <c r="AB117" s="557">
        <f>'power redistribution'!$D$32/12</f>
        <v>15466.666666666666</v>
      </c>
      <c r="AC117" s="496"/>
      <c r="AD117" s="438">
        <v>0</v>
      </c>
      <c r="AE117" s="496"/>
    </row>
    <row r="118" spans="1:77" s="525" customFormat="1" x14ac:dyDescent="0.2">
      <c r="A118" s="521">
        <v>108</v>
      </c>
      <c r="B118" s="522">
        <v>39783</v>
      </c>
      <c r="C118" s="563">
        <f>Breakout!$K$136/12</f>
        <v>6760081.6351559162</v>
      </c>
      <c r="D118" s="561">
        <f>Breakout!$K$137/12</f>
        <v>4922523</v>
      </c>
      <c r="E118" s="561">
        <v>4922523</v>
      </c>
      <c r="F118" s="563">
        <f>Breakout!$K$143/12</f>
        <v>127896.90154933912</v>
      </c>
      <c r="G118" s="561">
        <f>Breakout!$K$144/12</f>
        <v>104449.13626529359</v>
      </c>
      <c r="H118" s="561">
        <v>106580.75129111593</v>
      </c>
      <c r="I118" s="562">
        <v>0</v>
      </c>
      <c r="J118" s="438">
        <v>0</v>
      </c>
      <c r="K118" s="438">
        <v>0</v>
      </c>
      <c r="L118" s="562">
        <v>0</v>
      </c>
      <c r="M118" s="561">
        <f>Breakout!$K$151/12</f>
        <v>60167.847759043296</v>
      </c>
      <c r="N118" s="563">
        <f>Breakout!$K$157/12</f>
        <v>0</v>
      </c>
      <c r="O118" s="561">
        <f>Breakout!$K$158/12</f>
        <v>8333.3333333333339</v>
      </c>
      <c r="P118" s="563">
        <f>Breakout!$K$164/12</f>
        <v>0</v>
      </c>
      <c r="Q118" s="561">
        <f>Breakout!$K$165/12</f>
        <v>0</v>
      </c>
      <c r="R118" s="563">
        <f>Breakout!$K$171/12</f>
        <v>0</v>
      </c>
      <c r="S118" s="561">
        <f>Breakout!$K$172/12</f>
        <v>1318215.918855404</v>
      </c>
      <c r="T118" s="578">
        <f t="shared" si="7"/>
        <v>6887978.5367052555</v>
      </c>
      <c r="U118" s="554">
        <f t="shared" si="8"/>
        <v>6415820.8512388952</v>
      </c>
      <c r="V118" s="578">
        <f t="shared" si="9"/>
        <v>6413689.2362130731</v>
      </c>
      <c r="W118" s="548">
        <f t="shared" si="5"/>
        <v>474289.30049218237</v>
      </c>
      <c r="X118" s="524">
        <f>SUM(W107:W118)</f>
        <v>5691471.6059061885</v>
      </c>
      <c r="Y118" s="553">
        <f t="shared" si="6"/>
        <v>472157.6854663603</v>
      </c>
      <c r="Z118" s="524">
        <f>SUM(Y107:Y118)</f>
        <v>5665892.2255963236</v>
      </c>
      <c r="AA118" s="557">
        <f>'power redistribution'!$C$32/12</f>
        <v>58459835.648148142</v>
      </c>
      <c r="AB118" s="557">
        <f>'power redistribution'!$D$32/12</f>
        <v>15466.666666666666</v>
      </c>
      <c r="AC118" s="524"/>
      <c r="AD118" s="438">
        <v>0</v>
      </c>
      <c r="AE118" s="524"/>
      <c r="AF118" s="524"/>
      <c r="AG118" s="524"/>
      <c r="AH118" s="524"/>
      <c r="AI118" s="524"/>
      <c r="AJ118" s="524"/>
      <c r="AK118" s="524"/>
      <c r="AL118" s="524"/>
      <c r="AM118" s="524"/>
      <c r="AN118" s="524"/>
      <c r="AO118" s="524"/>
      <c r="AP118" s="524"/>
      <c r="AQ118" s="524"/>
      <c r="AR118" s="524"/>
      <c r="AS118" s="524"/>
      <c r="AT118" s="524"/>
      <c r="AU118" s="524"/>
      <c r="AV118" s="524"/>
      <c r="AW118" s="524"/>
      <c r="AX118" s="524"/>
      <c r="AY118" s="524"/>
      <c r="AZ118" s="524"/>
      <c r="BA118" s="524"/>
      <c r="BB118" s="524"/>
      <c r="BC118" s="524"/>
      <c r="BD118" s="524"/>
      <c r="BE118" s="524"/>
      <c r="BF118" s="524"/>
      <c r="BG118" s="524"/>
      <c r="BH118" s="524"/>
      <c r="BI118" s="524"/>
      <c r="BJ118" s="524"/>
      <c r="BK118" s="524"/>
      <c r="BL118" s="524"/>
      <c r="BM118" s="524"/>
      <c r="BN118" s="524"/>
      <c r="BO118" s="524"/>
      <c r="BP118" s="524"/>
      <c r="BQ118" s="524"/>
      <c r="BR118" s="524"/>
      <c r="BS118" s="524"/>
      <c r="BT118" s="524"/>
      <c r="BU118" s="524"/>
      <c r="BV118" s="524"/>
      <c r="BW118" s="524"/>
      <c r="BX118" s="524"/>
      <c r="BY118" s="524"/>
    </row>
    <row r="119" spans="1:77" s="532" customFormat="1" x14ac:dyDescent="0.2">
      <c r="A119" s="528">
        <v>109</v>
      </c>
      <c r="B119" s="529">
        <v>39814</v>
      </c>
      <c r="C119" s="564">
        <f>Breakout!$L$136/12</f>
        <v>6760081.6351559162</v>
      </c>
      <c r="D119" s="560">
        <f>Breakout!$L$137/12</f>
        <v>4922523</v>
      </c>
      <c r="E119" s="560">
        <v>4922523</v>
      </c>
      <c r="F119" s="564">
        <f>Breakout!$L$143/12</f>
        <v>132220.81323673442</v>
      </c>
      <c r="G119" s="560">
        <f>Breakout!$L$144/12</f>
        <v>107980.33080999978</v>
      </c>
      <c r="H119" s="560">
        <v>110184.011030612</v>
      </c>
      <c r="I119" s="562">
        <v>0</v>
      </c>
      <c r="J119" s="438">
        <v>0</v>
      </c>
      <c r="K119" s="438">
        <v>0</v>
      </c>
      <c r="L119" s="562">
        <v>0</v>
      </c>
      <c r="M119" s="560">
        <f>Breakout!$L$151/12</f>
        <v>60167.847759043296</v>
      </c>
      <c r="N119" s="564">
        <f>Breakout!$L$157/12</f>
        <v>0</v>
      </c>
      <c r="O119" s="560">
        <f>Breakout!$L$158/12</f>
        <v>8333.3333333333339</v>
      </c>
      <c r="P119" s="564">
        <f>Breakout!$L$164/12</f>
        <v>0</v>
      </c>
      <c r="Q119" s="560">
        <f>Breakout!$L$165/12</f>
        <v>0</v>
      </c>
      <c r="R119" s="564">
        <f>Breakout!$L$171/12</f>
        <v>0</v>
      </c>
      <c r="S119" s="560">
        <f>Breakout!$L$172/12</f>
        <v>1318215.918855404</v>
      </c>
      <c r="T119" s="578">
        <f t="shared" si="7"/>
        <v>6892302.448392651</v>
      </c>
      <c r="U119" s="554">
        <f t="shared" si="8"/>
        <v>6419424.110978391</v>
      </c>
      <c r="V119" s="578">
        <f t="shared" si="9"/>
        <v>6417220.4307577796</v>
      </c>
      <c r="W119" s="548">
        <f t="shared" si="5"/>
        <v>475082.01763487142</v>
      </c>
      <c r="X119" s="531"/>
      <c r="Y119" s="553">
        <f t="shared" si="6"/>
        <v>472878.33741426002</v>
      </c>
      <c r="Z119" s="531"/>
      <c r="AA119" s="557">
        <f>'power redistribution'!$C$32/12</f>
        <v>58459835.648148142</v>
      </c>
      <c r="AB119" s="557">
        <f>'power redistribution'!$D$32/12</f>
        <v>15466.666666666666</v>
      </c>
      <c r="AC119" s="531"/>
      <c r="AD119" s="438">
        <v>0</v>
      </c>
      <c r="AE119" s="531"/>
      <c r="AF119" s="531"/>
      <c r="AG119" s="531"/>
      <c r="AH119" s="531"/>
      <c r="AI119" s="531"/>
      <c r="AJ119" s="531"/>
      <c r="AK119" s="531"/>
      <c r="AL119" s="531"/>
      <c r="AM119" s="531"/>
      <c r="AN119" s="531"/>
      <c r="AO119" s="531"/>
      <c r="AP119" s="531"/>
      <c r="AQ119" s="531"/>
      <c r="AR119" s="531"/>
      <c r="AS119" s="531"/>
      <c r="AT119" s="531"/>
      <c r="AU119" s="531"/>
      <c r="AV119" s="531"/>
      <c r="AW119" s="531"/>
      <c r="AX119" s="531"/>
      <c r="AY119" s="531"/>
      <c r="AZ119" s="531"/>
      <c r="BA119" s="531"/>
      <c r="BB119" s="531"/>
      <c r="BC119" s="531"/>
      <c r="BD119" s="531"/>
      <c r="BE119" s="531"/>
      <c r="BF119" s="531"/>
      <c r="BG119" s="531"/>
      <c r="BH119" s="531"/>
      <c r="BI119" s="531"/>
      <c r="BJ119" s="531"/>
      <c r="BK119" s="531"/>
      <c r="BL119" s="531"/>
      <c r="BM119" s="531"/>
      <c r="BN119" s="531"/>
      <c r="BO119" s="531"/>
      <c r="BP119" s="531"/>
      <c r="BQ119" s="531"/>
      <c r="BR119" s="531"/>
      <c r="BS119" s="531"/>
      <c r="BT119" s="531"/>
      <c r="BU119" s="531"/>
      <c r="BV119" s="531"/>
      <c r="BW119" s="531"/>
      <c r="BX119" s="531"/>
      <c r="BY119" s="531"/>
    </row>
    <row r="120" spans="1:77" x14ac:dyDescent="0.2">
      <c r="A120" s="383">
        <v>110</v>
      </c>
      <c r="B120" s="519">
        <v>39845</v>
      </c>
      <c r="C120" s="565">
        <f>Breakout!$L$136/12</f>
        <v>6760081.6351559162</v>
      </c>
      <c r="D120" s="566">
        <f>Breakout!$L$137/12</f>
        <v>4922523</v>
      </c>
      <c r="E120" s="566">
        <v>4922523</v>
      </c>
      <c r="F120" s="565">
        <f>Breakout!$L$143/12</f>
        <v>132220.81323673442</v>
      </c>
      <c r="G120" s="566">
        <f>Breakout!$L$144/12</f>
        <v>107980.33080999978</v>
      </c>
      <c r="H120" s="566">
        <v>110184.011030612</v>
      </c>
      <c r="I120" s="562">
        <v>0</v>
      </c>
      <c r="J120" s="438">
        <v>0</v>
      </c>
      <c r="K120" s="438">
        <v>0</v>
      </c>
      <c r="L120" s="562">
        <v>0</v>
      </c>
      <c r="M120" s="566">
        <f>Breakout!$L$151/12</f>
        <v>60167.847759043296</v>
      </c>
      <c r="N120" s="565">
        <f>Breakout!$L$157/12</f>
        <v>0</v>
      </c>
      <c r="O120" s="566">
        <f>Breakout!$L$158/12</f>
        <v>8333.3333333333339</v>
      </c>
      <c r="P120" s="565">
        <f>Breakout!$L$164/12</f>
        <v>0</v>
      </c>
      <c r="Q120" s="566">
        <f>Breakout!$L$165/12</f>
        <v>0</v>
      </c>
      <c r="R120" s="565">
        <f>Breakout!$L$171/12</f>
        <v>0</v>
      </c>
      <c r="S120" s="566">
        <f>Breakout!$L$172/12</f>
        <v>1318215.918855404</v>
      </c>
      <c r="T120" s="578">
        <f t="shared" si="7"/>
        <v>6892302.448392651</v>
      </c>
      <c r="U120" s="554">
        <f t="shared" si="8"/>
        <v>6419424.110978391</v>
      </c>
      <c r="V120" s="578">
        <f t="shared" si="9"/>
        <v>6417220.4307577796</v>
      </c>
      <c r="W120" s="548">
        <f t="shared" si="5"/>
        <v>475082.01763487142</v>
      </c>
      <c r="X120" s="496"/>
      <c r="Y120" s="553">
        <f t="shared" si="6"/>
        <v>472878.33741426002</v>
      </c>
      <c r="Z120" s="496"/>
      <c r="AA120" s="557">
        <f>'power redistribution'!$C$32/12</f>
        <v>58459835.648148142</v>
      </c>
      <c r="AB120" s="557">
        <f>'power redistribution'!$D$32/12</f>
        <v>15466.666666666666</v>
      </c>
      <c r="AC120" s="496"/>
      <c r="AD120" s="438">
        <v>0</v>
      </c>
      <c r="AE120" s="496"/>
    </row>
    <row r="121" spans="1:77" x14ac:dyDescent="0.2">
      <c r="A121" s="383">
        <v>111</v>
      </c>
      <c r="B121" s="519">
        <v>39873</v>
      </c>
      <c r="C121" s="565">
        <f>Breakout!$L$136/12</f>
        <v>6760081.6351559162</v>
      </c>
      <c r="D121" s="566">
        <f>Breakout!$L$137/12</f>
        <v>4922523</v>
      </c>
      <c r="E121" s="566">
        <v>4922523</v>
      </c>
      <c r="F121" s="565">
        <f>Breakout!$L$143/12</f>
        <v>132220.81323673442</v>
      </c>
      <c r="G121" s="566">
        <f>Breakout!$L$144/12</f>
        <v>107980.33080999978</v>
      </c>
      <c r="H121" s="566">
        <v>110184.011030612</v>
      </c>
      <c r="I121" s="562">
        <v>0</v>
      </c>
      <c r="J121" s="438">
        <v>0</v>
      </c>
      <c r="K121" s="438">
        <v>0</v>
      </c>
      <c r="L121" s="562">
        <v>0</v>
      </c>
      <c r="M121" s="566">
        <f>Breakout!$L$151/12</f>
        <v>60167.847759043296</v>
      </c>
      <c r="N121" s="565">
        <f>Breakout!$L$157/12</f>
        <v>0</v>
      </c>
      <c r="O121" s="566">
        <f>Breakout!$L$158/12</f>
        <v>8333.3333333333339</v>
      </c>
      <c r="P121" s="565">
        <f>Breakout!$L$164/12</f>
        <v>0</v>
      </c>
      <c r="Q121" s="566">
        <f>Breakout!$L$165/12</f>
        <v>0</v>
      </c>
      <c r="R121" s="565">
        <f>Breakout!$L$171/12</f>
        <v>0</v>
      </c>
      <c r="S121" s="566">
        <f>Breakout!$L$172/12</f>
        <v>1318215.918855404</v>
      </c>
      <c r="T121" s="578">
        <f t="shared" si="7"/>
        <v>6892302.448392651</v>
      </c>
      <c r="U121" s="554">
        <f t="shared" si="8"/>
        <v>6419424.110978391</v>
      </c>
      <c r="V121" s="578">
        <f t="shared" si="9"/>
        <v>6417220.4307577796</v>
      </c>
      <c r="W121" s="548">
        <f t="shared" si="5"/>
        <v>475082.01763487142</v>
      </c>
      <c r="X121" s="496"/>
      <c r="Y121" s="553">
        <f t="shared" si="6"/>
        <v>472878.33741426002</v>
      </c>
      <c r="Z121" s="496"/>
      <c r="AA121" s="557">
        <f>'power redistribution'!$C$32/12</f>
        <v>58459835.648148142</v>
      </c>
      <c r="AB121" s="557">
        <f>'power redistribution'!$D$32/12</f>
        <v>15466.666666666666</v>
      </c>
      <c r="AC121" s="496"/>
      <c r="AD121" s="438">
        <v>0</v>
      </c>
      <c r="AE121" s="496"/>
    </row>
    <row r="122" spans="1:77" x14ac:dyDescent="0.2">
      <c r="A122" s="383">
        <v>112</v>
      </c>
      <c r="B122" s="519">
        <v>39904</v>
      </c>
      <c r="C122" s="565">
        <f>Breakout!$L$136/12</f>
        <v>6760081.6351559162</v>
      </c>
      <c r="D122" s="566">
        <f>Breakout!$L$137/12</f>
        <v>4922523</v>
      </c>
      <c r="E122" s="566">
        <v>4922523</v>
      </c>
      <c r="F122" s="565">
        <f>Breakout!$L$143/12</f>
        <v>132220.81323673442</v>
      </c>
      <c r="G122" s="566">
        <f>Breakout!$L$144/12</f>
        <v>107980.33080999978</v>
      </c>
      <c r="H122" s="566">
        <v>110184.011030612</v>
      </c>
      <c r="I122" s="562">
        <v>0</v>
      </c>
      <c r="J122" s="438">
        <v>0</v>
      </c>
      <c r="K122" s="438">
        <v>0</v>
      </c>
      <c r="L122" s="562">
        <v>0</v>
      </c>
      <c r="M122" s="566">
        <f>Breakout!$L$151/12</f>
        <v>60167.847759043296</v>
      </c>
      <c r="N122" s="565">
        <f>Breakout!$L$157/12</f>
        <v>0</v>
      </c>
      <c r="O122" s="566">
        <f>Breakout!$L$158/12</f>
        <v>8333.3333333333339</v>
      </c>
      <c r="P122" s="565">
        <f>Breakout!$L$164/12</f>
        <v>0</v>
      </c>
      <c r="Q122" s="566">
        <f>Breakout!$L$165/12</f>
        <v>0</v>
      </c>
      <c r="R122" s="565">
        <f>Breakout!$L$171/12</f>
        <v>0</v>
      </c>
      <c r="S122" s="566">
        <f>Breakout!$L$172/12</f>
        <v>1318215.918855404</v>
      </c>
      <c r="T122" s="578">
        <f t="shared" si="7"/>
        <v>6892302.448392651</v>
      </c>
      <c r="U122" s="554">
        <f t="shared" si="8"/>
        <v>6419424.110978391</v>
      </c>
      <c r="V122" s="578">
        <f t="shared" si="9"/>
        <v>6417220.4307577796</v>
      </c>
      <c r="W122" s="548">
        <f t="shared" si="5"/>
        <v>475082.01763487142</v>
      </c>
      <c r="X122" s="496"/>
      <c r="Y122" s="553">
        <f t="shared" si="6"/>
        <v>472878.33741426002</v>
      </c>
      <c r="Z122" s="496"/>
      <c r="AA122" s="557">
        <f>'power redistribution'!$C$32/12</f>
        <v>58459835.648148142</v>
      </c>
      <c r="AB122" s="557">
        <f>'power redistribution'!$D$32/12</f>
        <v>15466.666666666666</v>
      </c>
      <c r="AC122" s="496"/>
      <c r="AD122" s="438">
        <v>0</v>
      </c>
      <c r="AE122" s="496"/>
    </row>
    <row r="123" spans="1:77" x14ac:dyDescent="0.2">
      <c r="A123" s="383">
        <v>113</v>
      </c>
      <c r="B123" s="519">
        <v>39934</v>
      </c>
      <c r="C123" s="565">
        <f>Breakout!$L$136/12</f>
        <v>6760081.6351559162</v>
      </c>
      <c r="D123" s="566">
        <f>Breakout!$L$137/12</f>
        <v>4922523</v>
      </c>
      <c r="E123" s="566">
        <v>4922523</v>
      </c>
      <c r="F123" s="565">
        <f>Breakout!$L$143/12</f>
        <v>132220.81323673442</v>
      </c>
      <c r="G123" s="566">
        <f>Breakout!$L$144/12</f>
        <v>107980.33080999978</v>
      </c>
      <c r="H123" s="566">
        <v>110184.011030612</v>
      </c>
      <c r="I123" s="562">
        <v>0</v>
      </c>
      <c r="J123" s="438">
        <v>0</v>
      </c>
      <c r="K123" s="438">
        <v>0</v>
      </c>
      <c r="L123" s="562">
        <v>0</v>
      </c>
      <c r="M123" s="566">
        <f>Breakout!$L$151/12</f>
        <v>60167.847759043296</v>
      </c>
      <c r="N123" s="565">
        <f>Breakout!$L$157/12</f>
        <v>0</v>
      </c>
      <c r="O123" s="566">
        <f>Breakout!$L$158/12</f>
        <v>8333.3333333333339</v>
      </c>
      <c r="P123" s="565">
        <f>Breakout!$L$164/12</f>
        <v>0</v>
      </c>
      <c r="Q123" s="566">
        <f>Breakout!$L$165/12</f>
        <v>0</v>
      </c>
      <c r="R123" s="565">
        <f>Breakout!$L$171/12</f>
        <v>0</v>
      </c>
      <c r="S123" s="566">
        <f>Breakout!$L$172/12</f>
        <v>1318215.918855404</v>
      </c>
      <c r="T123" s="578">
        <f t="shared" si="7"/>
        <v>6892302.448392651</v>
      </c>
      <c r="U123" s="554">
        <f t="shared" si="8"/>
        <v>6419424.110978391</v>
      </c>
      <c r="V123" s="578">
        <f t="shared" si="9"/>
        <v>6417220.4307577796</v>
      </c>
      <c r="W123" s="548">
        <f t="shared" si="5"/>
        <v>475082.01763487142</v>
      </c>
      <c r="X123" s="496"/>
      <c r="Y123" s="553">
        <f t="shared" si="6"/>
        <v>472878.33741426002</v>
      </c>
      <c r="Z123" s="496"/>
      <c r="AA123" s="557">
        <f>'power redistribution'!$C$32/12</f>
        <v>58459835.648148142</v>
      </c>
      <c r="AB123" s="557">
        <f>'power redistribution'!$D$32/12</f>
        <v>15466.666666666666</v>
      </c>
      <c r="AC123" s="496"/>
      <c r="AD123" s="438">
        <v>0</v>
      </c>
      <c r="AE123" s="496"/>
    </row>
    <row r="124" spans="1:77" x14ac:dyDescent="0.2">
      <c r="A124" s="383">
        <v>114</v>
      </c>
      <c r="B124" s="519">
        <v>39965</v>
      </c>
      <c r="C124" s="565">
        <f>Breakout!$L$136/12</f>
        <v>6760081.6351559162</v>
      </c>
      <c r="D124" s="566">
        <f>Breakout!$L$137/12</f>
        <v>4922523</v>
      </c>
      <c r="E124" s="566">
        <v>4922523</v>
      </c>
      <c r="F124" s="565">
        <f>Breakout!$L$143/12</f>
        <v>132220.81323673442</v>
      </c>
      <c r="G124" s="566">
        <f>Breakout!$L$144/12</f>
        <v>107980.33080999978</v>
      </c>
      <c r="H124" s="566">
        <v>110184.011030612</v>
      </c>
      <c r="I124" s="562">
        <v>0</v>
      </c>
      <c r="J124" s="438">
        <v>0</v>
      </c>
      <c r="K124" s="438">
        <v>0</v>
      </c>
      <c r="L124" s="562">
        <v>0</v>
      </c>
      <c r="M124" s="566">
        <f>Breakout!$L$151/12</f>
        <v>60167.847759043296</v>
      </c>
      <c r="N124" s="565">
        <f>Breakout!$L$157/12</f>
        <v>0</v>
      </c>
      <c r="O124" s="566">
        <f>Breakout!$L$158/12</f>
        <v>8333.3333333333339</v>
      </c>
      <c r="P124" s="565">
        <f>Breakout!$L$164/12</f>
        <v>0</v>
      </c>
      <c r="Q124" s="566">
        <f>Breakout!$L$165/12</f>
        <v>0</v>
      </c>
      <c r="R124" s="565">
        <f>Breakout!$L$171/12</f>
        <v>0</v>
      </c>
      <c r="S124" s="566">
        <f>Breakout!$L$172/12</f>
        <v>1318215.918855404</v>
      </c>
      <c r="T124" s="578">
        <f t="shared" si="7"/>
        <v>6892302.448392651</v>
      </c>
      <c r="U124" s="554">
        <f t="shared" si="8"/>
        <v>6419424.110978391</v>
      </c>
      <c r="V124" s="578">
        <f t="shared" si="9"/>
        <v>6417220.4307577796</v>
      </c>
      <c r="W124" s="548">
        <f t="shared" si="5"/>
        <v>475082.01763487142</v>
      </c>
      <c r="X124" s="496"/>
      <c r="Y124" s="553">
        <f t="shared" si="6"/>
        <v>472878.33741426002</v>
      </c>
      <c r="Z124" s="496"/>
      <c r="AA124" s="557">
        <f>'power redistribution'!$C$32/12</f>
        <v>58459835.648148142</v>
      </c>
      <c r="AB124" s="557">
        <f>'power redistribution'!$D$32/12</f>
        <v>15466.666666666666</v>
      </c>
      <c r="AC124" s="496"/>
      <c r="AD124" s="438">
        <v>0</v>
      </c>
      <c r="AE124" s="496"/>
    </row>
    <row r="125" spans="1:77" x14ac:dyDescent="0.2">
      <c r="A125" s="383">
        <v>115</v>
      </c>
      <c r="B125" s="519">
        <v>39995</v>
      </c>
      <c r="C125" s="565">
        <f>Breakout!$L$136/12</f>
        <v>6760081.6351559162</v>
      </c>
      <c r="D125" s="566">
        <f>Breakout!$L$137/12</f>
        <v>4922523</v>
      </c>
      <c r="E125" s="566">
        <v>4922523</v>
      </c>
      <c r="F125" s="565">
        <f>Breakout!$L$143/12</f>
        <v>132220.81323673442</v>
      </c>
      <c r="G125" s="566">
        <f>Breakout!$L$144/12</f>
        <v>107980.33080999978</v>
      </c>
      <c r="H125" s="566">
        <v>110184.011030612</v>
      </c>
      <c r="I125" s="562">
        <v>0</v>
      </c>
      <c r="J125" s="438">
        <v>0</v>
      </c>
      <c r="K125" s="438">
        <v>0</v>
      </c>
      <c r="L125" s="562">
        <v>0</v>
      </c>
      <c r="M125" s="566">
        <f>Breakout!$L$151/12</f>
        <v>60167.847759043296</v>
      </c>
      <c r="N125" s="565">
        <f>Breakout!$L$157/12</f>
        <v>0</v>
      </c>
      <c r="O125" s="566">
        <f>Breakout!$L$158/12</f>
        <v>8333.3333333333339</v>
      </c>
      <c r="P125" s="565">
        <f>Breakout!$L$164/12</f>
        <v>0</v>
      </c>
      <c r="Q125" s="566">
        <f>Breakout!$L$165/12</f>
        <v>0</v>
      </c>
      <c r="R125" s="565">
        <f>Breakout!$L$171/12</f>
        <v>0</v>
      </c>
      <c r="S125" s="566">
        <f>Breakout!$L$172/12</f>
        <v>1318215.918855404</v>
      </c>
      <c r="T125" s="578">
        <f t="shared" si="7"/>
        <v>6892302.448392651</v>
      </c>
      <c r="U125" s="554">
        <f t="shared" si="8"/>
        <v>6419424.110978391</v>
      </c>
      <c r="V125" s="578">
        <f t="shared" si="9"/>
        <v>6417220.4307577796</v>
      </c>
      <c r="W125" s="548">
        <f t="shared" si="5"/>
        <v>475082.01763487142</v>
      </c>
      <c r="X125" s="496"/>
      <c r="Y125" s="553">
        <f t="shared" si="6"/>
        <v>472878.33741426002</v>
      </c>
      <c r="Z125" s="496"/>
      <c r="AA125" s="557">
        <f>'power redistribution'!$C$32/12</f>
        <v>58459835.648148142</v>
      </c>
      <c r="AB125" s="557">
        <f>'power redistribution'!$D$32/12</f>
        <v>15466.666666666666</v>
      </c>
      <c r="AC125" s="496"/>
      <c r="AD125" s="438">
        <v>0</v>
      </c>
      <c r="AE125" s="496"/>
    </row>
    <row r="126" spans="1:77" x14ac:dyDescent="0.2">
      <c r="A126" s="383">
        <v>116</v>
      </c>
      <c r="B126" s="519">
        <v>40026</v>
      </c>
      <c r="C126" s="565">
        <f>Breakout!$L$136/12</f>
        <v>6760081.6351559162</v>
      </c>
      <c r="D126" s="566">
        <f>Breakout!$L$137/12</f>
        <v>4922523</v>
      </c>
      <c r="E126" s="566">
        <v>4922523</v>
      </c>
      <c r="F126" s="565">
        <f>Breakout!$L$143/12</f>
        <v>132220.81323673442</v>
      </c>
      <c r="G126" s="566">
        <f>Breakout!$L$144/12</f>
        <v>107980.33080999978</v>
      </c>
      <c r="H126" s="566">
        <v>110184.011030612</v>
      </c>
      <c r="I126" s="562">
        <v>0</v>
      </c>
      <c r="J126" s="438">
        <v>0</v>
      </c>
      <c r="K126" s="438">
        <v>0</v>
      </c>
      <c r="L126" s="562">
        <v>0</v>
      </c>
      <c r="M126" s="566">
        <f>Breakout!$L$151/12</f>
        <v>60167.847759043296</v>
      </c>
      <c r="N126" s="565">
        <f>Breakout!$L$157/12</f>
        <v>0</v>
      </c>
      <c r="O126" s="566">
        <f>Breakout!$L$158/12</f>
        <v>8333.3333333333339</v>
      </c>
      <c r="P126" s="565">
        <f>Breakout!$L$164/12</f>
        <v>0</v>
      </c>
      <c r="Q126" s="566">
        <f>Breakout!$L$165/12</f>
        <v>0</v>
      </c>
      <c r="R126" s="565">
        <f>Breakout!$L$171/12</f>
        <v>0</v>
      </c>
      <c r="S126" s="566">
        <f>Breakout!$L$172/12</f>
        <v>1318215.918855404</v>
      </c>
      <c r="T126" s="578">
        <f t="shared" si="7"/>
        <v>6892302.448392651</v>
      </c>
      <c r="U126" s="554">
        <f t="shared" si="8"/>
        <v>6419424.110978391</v>
      </c>
      <c r="V126" s="578">
        <f t="shared" si="9"/>
        <v>6417220.4307577796</v>
      </c>
      <c r="W126" s="548">
        <f t="shared" si="5"/>
        <v>475082.01763487142</v>
      </c>
      <c r="X126" s="496"/>
      <c r="Y126" s="553">
        <f t="shared" si="6"/>
        <v>472878.33741426002</v>
      </c>
      <c r="Z126" s="496"/>
      <c r="AA126" s="557">
        <f>'power redistribution'!$C$32/12</f>
        <v>58459835.648148142</v>
      </c>
      <c r="AB126" s="557">
        <f>'power redistribution'!$D$32/12</f>
        <v>15466.666666666666</v>
      </c>
      <c r="AC126" s="496"/>
      <c r="AD126" s="438">
        <v>0</v>
      </c>
      <c r="AE126" s="496"/>
    </row>
    <row r="127" spans="1:77" x14ac:dyDescent="0.2">
      <c r="A127" s="383">
        <v>117</v>
      </c>
      <c r="B127" s="519">
        <v>40057</v>
      </c>
      <c r="C127" s="565">
        <f>Breakout!$L$136/12</f>
        <v>6760081.6351559162</v>
      </c>
      <c r="D127" s="566">
        <f>Breakout!$L$137/12</f>
        <v>4922523</v>
      </c>
      <c r="E127" s="566">
        <v>4922523</v>
      </c>
      <c r="F127" s="565">
        <f>Breakout!$L$143/12</f>
        <v>132220.81323673442</v>
      </c>
      <c r="G127" s="566">
        <f>Breakout!$L$144/12</f>
        <v>107980.33080999978</v>
      </c>
      <c r="H127" s="566">
        <v>110184.011030612</v>
      </c>
      <c r="I127" s="562">
        <v>0</v>
      </c>
      <c r="J127" s="438">
        <v>0</v>
      </c>
      <c r="K127" s="438">
        <v>0</v>
      </c>
      <c r="L127" s="562">
        <v>0</v>
      </c>
      <c r="M127" s="566">
        <f>Breakout!$L$151/12</f>
        <v>60167.847759043296</v>
      </c>
      <c r="N127" s="565">
        <f>Breakout!$L$157/12</f>
        <v>0</v>
      </c>
      <c r="O127" s="566">
        <f>Breakout!$L$158/12</f>
        <v>8333.3333333333339</v>
      </c>
      <c r="P127" s="565">
        <f>Breakout!$L$164/12</f>
        <v>0</v>
      </c>
      <c r="Q127" s="566">
        <f>Breakout!$L$165/12</f>
        <v>0</v>
      </c>
      <c r="R127" s="565">
        <f>Breakout!$L$171/12</f>
        <v>0</v>
      </c>
      <c r="S127" s="566">
        <f>Breakout!$L$172/12</f>
        <v>1318215.918855404</v>
      </c>
      <c r="T127" s="578">
        <f t="shared" si="7"/>
        <v>6892302.448392651</v>
      </c>
      <c r="U127" s="554">
        <f t="shared" si="8"/>
        <v>6419424.110978391</v>
      </c>
      <c r="V127" s="578">
        <f t="shared" si="9"/>
        <v>6417220.4307577796</v>
      </c>
      <c r="W127" s="548">
        <f t="shared" si="5"/>
        <v>475082.01763487142</v>
      </c>
      <c r="X127" s="496"/>
      <c r="Y127" s="553">
        <f t="shared" si="6"/>
        <v>472878.33741426002</v>
      </c>
      <c r="Z127" s="496"/>
      <c r="AA127" s="557">
        <f>'power redistribution'!$C$32/12</f>
        <v>58459835.648148142</v>
      </c>
      <c r="AB127" s="557">
        <f>'power redistribution'!$D$32/12</f>
        <v>15466.666666666666</v>
      </c>
      <c r="AC127" s="496"/>
      <c r="AD127" s="438">
        <v>0</v>
      </c>
      <c r="AE127" s="496"/>
    </row>
    <row r="128" spans="1:77" x14ac:dyDescent="0.2">
      <c r="A128" s="383">
        <v>118</v>
      </c>
      <c r="B128" s="519">
        <v>40087</v>
      </c>
      <c r="C128" s="565">
        <f>Breakout!$L$136/12</f>
        <v>6760081.6351559162</v>
      </c>
      <c r="D128" s="566">
        <f>Breakout!$L$137/12</f>
        <v>4922523</v>
      </c>
      <c r="E128" s="566">
        <v>4922523</v>
      </c>
      <c r="F128" s="565">
        <f>Breakout!$L$143/12</f>
        <v>132220.81323673442</v>
      </c>
      <c r="G128" s="566">
        <f>Breakout!$L$144/12</f>
        <v>107980.33080999978</v>
      </c>
      <c r="H128" s="566">
        <v>110184.011030612</v>
      </c>
      <c r="I128" s="562">
        <v>0</v>
      </c>
      <c r="J128" s="438">
        <v>0</v>
      </c>
      <c r="K128" s="438">
        <v>0</v>
      </c>
      <c r="L128" s="562">
        <v>0</v>
      </c>
      <c r="M128" s="566">
        <f>Breakout!$L$151/12</f>
        <v>60167.847759043296</v>
      </c>
      <c r="N128" s="565">
        <f>Breakout!$L$157/12</f>
        <v>0</v>
      </c>
      <c r="O128" s="566">
        <f>Breakout!$L$158/12</f>
        <v>8333.3333333333339</v>
      </c>
      <c r="P128" s="565">
        <f>Breakout!$L$164/12</f>
        <v>0</v>
      </c>
      <c r="Q128" s="566">
        <f>Breakout!$L$165/12</f>
        <v>0</v>
      </c>
      <c r="R128" s="565">
        <f>Breakout!$L$171/12</f>
        <v>0</v>
      </c>
      <c r="S128" s="566">
        <f>Breakout!$L$172/12</f>
        <v>1318215.918855404</v>
      </c>
      <c r="T128" s="578">
        <f t="shared" si="7"/>
        <v>6892302.448392651</v>
      </c>
      <c r="U128" s="554">
        <f t="shared" si="8"/>
        <v>6419424.110978391</v>
      </c>
      <c r="V128" s="578">
        <f t="shared" si="9"/>
        <v>6417220.4307577796</v>
      </c>
      <c r="W128" s="548">
        <f t="shared" si="5"/>
        <v>475082.01763487142</v>
      </c>
      <c r="X128" s="496"/>
      <c r="Y128" s="553">
        <f t="shared" si="6"/>
        <v>472878.33741426002</v>
      </c>
      <c r="Z128" s="496"/>
      <c r="AA128" s="557">
        <f>'power redistribution'!$C$32/12</f>
        <v>58459835.648148142</v>
      </c>
      <c r="AB128" s="557">
        <f>'power redistribution'!$D$32/12</f>
        <v>15466.666666666666</v>
      </c>
      <c r="AC128" s="496"/>
      <c r="AD128" s="438">
        <v>0</v>
      </c>
      <c r="AE128" s="496"/>
    </row>
    <row r="129" spans="1:77" x14ac:dyDescent="0.2">
      <c r="A129" s="383">
        <v>119</v>
      </c>
      <c r="B129" s="519">
        <v>40118</v>
      </c>
      <c r="C129" s="565">
        <f>Breakout!$L$136/12</f>
        <v>6760081.6351559162</v>
      </c>
      <c r="D129" s="566">
        <f>Breakout!$L$137/12</f>
        <v>4922523</v>
      </c>
      <c r="E129" s="566">
        <v>4922523</v>
      </c>
      <c r="F129" s="565">
        <f>Breakout!$L$143/12</f>
        <v>132220.81323673442</v>
      </c>
      <c r="G129" s="566">
        <f>Breakout!$L$144/12</f>
        <v>107980.33080999978</v>
      </c>
      <c r="H129" s="566">
        <v>110184.011030612</v>
      </c>
      <c r="I129" s="562">
        <v>0</v>
      </c>
      <c r="J129" s="438">
        <v>0</v>
      </c>
      <c r="K129" s="438">
        <v>0</v>
      </c>
      <c r="L129" s="562">
        <v>0</v>
      </c>
      <c r="M129" s="566">
        <f>Breakout!$L$151/12</f>
        <v>60167.847759043296</v>
      </c>
      <c r="N129" s="565">
        <f>Breakout!$L$157/12</f>
        <v>0</v>
      </c>
      <c r="O129" s="566">
        <f>Breakout!$L$158/12</f>
        <v>8333.3333333333339</v>
      </c>
      <c r="P129" s="565">
        <f>Breakout!$L$164/12</f>
        <v>0</v>
      </c>
      <c r="Q129" s="566">
        <f>Breakout!$L$165/12</f>
        <v>0</v>
      </c>
      <c r="R129" s="565">
        <f>Breakout!$L$171/12</f>
        <v>0</v>
      </c>
      <c r="S129" s="566">
        <f>Breakout!$L$172/12</f>
        <v>1318215.918855404</v>
      </c>
      <c r="T129" s="578">
        <f t="shared" si="7"/>
        <v>6892302.448392651</v>
      </c>
      <c r="U129" s="554">
        <f t="shared" si="8"/>
        <v>6419424.110978391</v>
      </c>
      <c r="V129" s="578">
        <f t="shared" si="9"/>
        <v>6417220.4307577796</v>
      </c>
      <c r="W129" s="548">
        <f t="shared" si="5"/>
        <v>475082.01763487142</v>
      </c>
      <c r="X129" s="496"/>
      <c r="Y129" s="553">
        <f t="shared" si="6"/>
        <v>472878.33741426002</v>
      </c>
      <c r="Z129" s="496"/>
      <c r="AA129" s="557">
        <f>'power redistribution'!$C$32/12</f>
        <v>58459835.648148142</v>
      </c>
      <c r="AB129" s="557">
        <f>'power redistribution'!$D$32/12</f>
        <v>15466.666666666666</v>
      </c>
      <c r="AC129" s="496"/>
      <c r="AD129" s="438">
        <v>0</v>
      </c>
      <c r="AE129" s="496"/>
    </row>
    <row r="130" spans="1:77" s="525" customFormat="1" x14ac:dyDescent="0.2">
      <c r="A130" s="521">
        <v>120</v>
      </c>
      <c r="B130" s="522">
        <v>40148</v>
      </c>
      <c r="C130" s="563">
        <f>Breakout!$L$136/12</f>
        <v>6760081.6351559162</v>
      </c>
      <c r="D130" s="561">
        <f>Breakout!$L$137/12</f>
        <v>4922523</v>
      </c>
      <c r="E130" s="561">
        <v>4922523</v>
      </c>
      <c r="F130" s="563">
        <f>Breakout!$L$143/12</f>
        <v>132220.81323673442</v>
      </c>
      <c r="G130" s="561">
        <f>Breakout!$L$144/12</f>
        <v>107980.33080999978</v>
      </c>
      <c r="H130" s="561">
        <v>110184.011030612</v>
      </c>
      <c r="I130" s="562">
        <v>0</v>
      </c>
      <c r="J130" s="438">
        <v>0</v>
      </c>
      <c r="K130" s="438">
        <v>0</v>
      </c>
      <c r="L130" s="562">
        <v>0</v>
      </c>
      <c r="M130" s="561">
        <f>Breakout!$L$151/12</f>
        <v>60167.847759043296</v>
      </c>
      <c r="N130" s="563">
        <f>Breakout!$L$157/12</f>
        <v>0</v>
      </c>
      <c r="O130" s="561">
        <f>Breakout!$L$158/12</f>
        <v>8333.3333333333339</v>
      </c>
      <c r="P130" s="563">
        <f>Breakout!$L$164/12</f>
        <v>0</v>
      </c>
      <c r="Q130" s="561">
        <f>Breakout!$L$165/12</f>
        <v>0</v>
      </c>
      <c r="R130" s="563">
        <f>Breakout!$L$171/12</f>
        <v>0</v>
      </c>
      <c r="S130" s="561">
        <f>Breakout!$L$172/12</f>
        <v>1318215.918855404</v>
      </c>
      <c r="T130" s="578">
        <f t="shared" si="7"/>
        <v>6892302.448392651</v>
      </c>
      <c r="U130" s="554">
        <f t="shared" si="8"/>
        <v>6419424.110978391</v>
      </c>
      <c r="V130" s="578">
        <f t="shared" si="9"/>
        <v>6417220.4307577796</v>
      </c>
      <c r="W130" s="548">
        <f t="shared" si="5"/>
        <v>475082.01763487142</v>
      </c>
      <c r="X130" s="524">
        <f>SUM(W119:W130)</f>
        <v>5700984.211618457</v>
      </c>
      <c r="Y130" s="553">
        <f t="shared" si="6"/>
        <v>472878.33741426002</v>
      </c>
      <c r="Z130" s="524">
        <f>SUM(Y119:Y130)</f>
        <v>5674540.0489711203</v>
      </c>
      <c r="AA130" s="557">
        <f>'power redistribution'!$C$32/12</f>
        <v>58459835.648148142</v>
      </c>
      <c r="AB130" s="557">
        <f>'power redistribution'!$D$32/12</f>
        <v>15466.666666666666</v>
      </c>
      <c r="AC130" s="524"/>
      <c r="AD130" s="438">
        <v>0</v>
      </c>
      <c r="AE130" s="524"/>
      <c r="AF130" s="524"/>
      <c r="AG130" s="524"/>
      <c r="AH130" s="524"/>
      <c r="AI130" s="524"/>
      <c r="AJ130" s="524"/>
      <c r="AK130" s="524"/>
      <c r="AL130" s="524"/>
      <c r="AM130" s="524"/>
      <c r="AN130" s="524"/>
      <c r="AO130" s="524"/>
      <c r="AP130" s="524"/>
      <c r="AQ130" s="524"/>
      <c r="AR130" s="524"/>
      <c r="AS130" s="524"/>
      <c r="AT130" s="524"/>
      <c r="AU130" s="524"/>
      <c r="AV130" s="524"/>
      <c r="AW130" s="524"/>
      <c r="AX130" s="524"/>
      <c r="AY130" s="524"/>
      <c r="AZ130" s="524"/>
      <c r="BA130" s="524"/>
      <c r="BB130" s="524"/>
      <c r="BC130" s="524"/>
      <c r="BD130" s="524"/>
      <c r="BE130" s="524"/>
      <c r="BF130" s="524"/>
      <c r="BG130" s="524"/>
      <c r="BH130" s="524"/>
      <c r="BI130" s="524"/>
      <c r="BJ130" s="524"/>
      <c r="BK130" s="524"/>
      <c r="BL130" s="524"/>
      <c r="BM130" s="524"/>
      <c r="BN130" s="524"/>
      <c r="BO130" s="524"/>
      <c r="BP130" s="524"/>
      <c r="BQ130" s="524"/>
      <c r="BR130" s="524"/>
      <c r="BS130" s="524"/>
      <c r="BT130" s="524"/>
      <c r="BU130" s="524"/>
      <c r="BV130" s="524"/>
      <c r="BW130" s="524"/>
      <c r="BX130" s="524"/>
      <c r="BY130" s="524"/>
    </row>
    <row r="131" spans="1:77" s="532" customFormat="1" x14ac:dyDescent="0.2">
      <c r="A131" s="528">
        <v>121</v>
      </c>
      <c r="B131" s="529">
        <v>40179</v>
      </c>
      <c r="C131" s="564"/>
      <c r="D131" s="560"/>
      <c r="E131" s="555"/>
      <c r="F131" s="564"/>
      <c r="G131" s="555"/>
      <c r="H131" s="560"/>
      <c r="I131" s="564"/>
      <c r="J131" s="531"/>
      <c r="K131" s="555"/>
      <c r="L131" s="564"/>
      <c r="M131" s="560"/>
      <c r="N131" s="564"/>
      <c r="O131" s="560"/>
      <c r="P131" s="564"/>
      <c r="Q131" s="560"/>
      <c r="R131" s="564"/>
      <c r="S131" s="560"/>
      <c r="T131" s="580"/>
      <c r="U131" s="580"/>
      <c r="V131" s="580"/>
      <c r="W131" s="573"/>
      <c r="X131" s="531"/>
      <c r="Y131" s="575"/>
      <c r="Z131" s="531"/>
      <c r="AA131" s="531"/>
      <c r="AB131" s="531"/>
      <c r="AC131" s="531"/>
      <c r="AD131" s="531"/>
      <c r="AE131" s="531"/>
      <c r="AF131" s="531"/>
      <c r="AG131" s="531"/>
      <c r="AH131" s="531"/>
      <c r="AI131" s="531"/>
      <c r="AJ131" s="531"/>
      <c r="AK131" s="531"/>
      <c r="AL131" s="531"/>
      <c r="AM131" s="531"/>
      <c r="AN131" s="531"/>
      <c r="AO131" s="531"/>
      <c r="AP131" s="531"/>
      <c r="AQ131" s="531"/>
      <c r="AR131" s="531"/>
      <c r="AS131" s="531"/>
      <c r="AT131" s="531"/>
      <c r="AU131" s="531"/>
      <c r="AV131" s="531"/>
      <c r="AW131" s="531"/>
      <c r="AX131" s="531"/>
      <c r="AY131" s="531"/>
      <c r="AZ131" s="531"/>
      <c r="BA131" s="531"/>
      <c r="BB131" s="531"/>
      <c r="BC131" s="531"/>
      <c r="BD131" s="531"/>
      <c r="BE131" s="531"/>
      <c r="BF131" s="531"/>
      <c r="BG131" s="531"/>
      <c r="BH131" s="531"/>
      <c r="BI131" s="531"/>
      <c r="BJ131" s="531"/>
      <c r="BK131" s="531"/>
      <c r="BL131" s="531"/>
      <c r="BM131" s="531"/>
      <c r="BN131" s="531"/>
      <c r="BO131" s="531"/>
      <c r="BP131" s="531"/>
      <c r="BQ131" s="531"/>
      <c r="BR131" s="531"/>
      <c r="BS131" s="531"/>
      <c r="BT131" s="531"/>
      <c r="BU131" s="531"/>
      <c r="BV131" s="531"/>
      <c r="BW131" s="531"/>
      <c r="BX131" s="531"/>
      <c r="BY131" s="531"/>
    </row>
    <row r="132" spans="1:77" x14ac:dyDescent="0.2">
      <c r="A132" s="383">
        <v>122</v>
      </c>
      <c r="B132" s="519">
        <v>40210</v>
      </c>
    </row>
    <row r="133" spans="1:77" x14ac:dyDescent="0.2">
      <c r="A133" s="383">
        <v>123</v>
      </c>
      <c r="B133" s="519">
        <v>40238</v>
      </c>
    </row>
    <row r="134" spans="1:77" x14ac:dyDescent="0.2">
      <c r="A134" s="383">
        <v>124</v>
      </c>
      <c r="B134" s="519">
        <v>40269</v>
      </c>
    </row>
    <row r="135" spans="1:77" x14ac:dyDescent="0.2">
      <c r="A135" s="383">
        <v>125</v>
      </c>
      <c r="B135" s="519">
        <v>40299</v>
      </c>
    </row>
    <row r="136" spans="1:77" x14ac:dyDescent="0.2">
      <c r="A136" s="383">
        <v>126</v>
      </c>
      <c r="B136" s="519">
        <v>40330</v>
      </c>
    </row>
    <row r="137" spans="1:77" x14ac:dyDescent="0.2">
      <c r="A137" s="383">
        <v>127</v>
      </c>
      <c r="B137" s="519">
        <v>40360</v>
      </c>
    </row>
    <row r="138" spans="1:77" x14ac:dyDescent="0.2">
      <c r="A138" s="383">
        <v>128</v>
      </c>
      <c r="B138" s="519">
        <v>40391</v>
      </c>
    </row>
    <row r="139" spans="1:77" x14ac:dyDescent="0.2">
      <c r="A139" s="383">
        <v>129</v>
      </c>
      <c r="B139" s="519">
        <v>40422</v>
      </c>
    </row>
    <row r="140" spans="1:77" x14ac:dyDescent="0.2">
      <c r="A140" s="383">
        <v>130</v>
      </c>
      <c r="B140" s="519">
        <v>40452</v>
      </c>
    </row>
    <row r="141" spans="1:77" x14ac:dyDescent="0.2">
      <c r="A141" s="383">
        <v>131</v>
      </c>
      <c r="B141" s="519">
        <v>40483</v>
      </c>
    </row>
    <row r="142" spans="1:77" s="525" customFormat="1" x14ac:dyDescent="0.2">
      <c r="A142" s="521">
        <v>132</v>
      </c>
      <c r="B142" s="522">
        <v>40513</v>
      </c>
      <c r="C142" s="563"/>
      <c r="D142" s="561"/>
      <c r="E142" s="556"/>
      <c r="F142" s="563"/>
      <c r="G142" s="556"/>
      <c r="H142" s="561"/>
      <c r="I142" s="563"/>
      <c r="J142" s="524"/>
      <c r="K142" s="556"/>
      <c r="L142" s="563"/>
      <c r="M142" s="561"/>
      <c r="N142" s="563"/>
      <c r="O142" s="561"/>
      <c r="P142" s="563"/>
      <c r="Q142" s="561"/>
      <c r="R142" s="563"/>
      <c r="S142" s="561"/>
      <c r="T142" s="581"/>
      <c r="U142" s="581"/>
      <c r="V142" s="581"/>
      <c r="W142" s="574"/>
      <c r="X142" s="524"/>
      <c r="Y142" s="576"/>
      <c r="Z142" s="524"/>
      <c r="AA142" s="524"/>
      <c r="AB142" s="524"/>
      <c r="AC142" s="524"/>
      <c r="AD142" s="524"/>
      <c r="AE142" s="524"/>
      <c r="AF142" s="524"/>
      <c r="AG142" s="524"/>
      <c r="AH142" s="524"/>
      <c r="AI142" s="524"/>
      <c r="AJ142" s="524"/>
      <c r="AK142" s="524"/>
      <c r="AL142" s="524"/>
      <c r="AM142" s="524"/>
      <c r="AN142" s="524"/>
      <c r="AO142" s="524"/>
      <c r="AP142" s="524"/>
      <c r="AQ142" s="524"/>
      <c r="AR142" s="524"/>
      <c r="AS142" s="524"/>
      <c r="AT142" s="524"/>
      <c r="AU142" s="524"/>
      <c r="AV142" s="524"/>
      <c r="AW142" s="524"/>
      <c r="AX142" s="524"/>
      <c r="AY142" s="524"/>
      <c r="AZ142" s="524"/>
      <c r="BA142" s="524"/>
      <c r="BB142" s="524"/>
      <c r="BC142" s="524"/>
      <c r="BD142" s="524"/>
      <c r="BE142" s="524"/>
      <c r="BF142" s="524"/>
      <c r="BG142" s="524"/>
      <c r="BH142" s="524"/>
      <c r="BI142" s="524"/>
      <c r="BJ142" s="524"/>
      <c r="BK142" s="524"/>
      <c r="BL142" s="524"/>
      <c r="BM142" s="524"/>
      <c r="BN142" s="524"/>
      <c r="BO142" s="524"/>
      <c r="BP142" s="524"/>
      <c r="BQ142" s="524"/>
      <c r="BR142" s="524"/>
      <c r="BS142" s="524"/>
      <c r="BT142" s="524"/>
      <c r="BU142" s="524"/>
      <c r="BV142" s="524"/>
      <c r="BW142" s="524"/>
      <c r="BX142" s="524"/>
      <c r="BY142" s="524"/>
    </row>
    <row r="143" spans="1:77" s="532" customFormat="1" x14ac:dyDescent="0.2">
      <c r="A143" s="528">
        <v>133</v>
      </c>
      <c r="B143" s="529">
        <v>40544</v>
      </c>
      <c r="C143" s="564"/>
      <c r="D143" s="560"/>
      <c r="E143" s="555"/>
      <c r="F143" s="564"/>
      <c r="G143" s="555"/>
      <c r="H143" s="560"/>
      <c r="I143" s="564"/>
      <c r="J143" s="531"/>
      <c r="K143" s="555"/>
      <c r="L143" s="564"/>
      <c r="M143" s="560"/>
      <c r="N143" s="564"/>
      <c r="O143" s="560"/>
      <c r="P143" s="564"/>
      <c r="Q143" s="560"/>
      <c r="R143" s="564"/>
      <c r="S143" s="560"/>
      <c r="T143" s="580"/>
      <c r="U143" s="580"/>
      <c r="V143" s="580"/>
      <c r="W143" s="573"/>
      <c r="X143" s="531"/>
      <c r="Y143" s="575"/>
      <c r="Z143" s="531"/>
      <c r="AA143" s="531"/>
      <c r="AB143" s="531"/>
      <c r="AC143" s="531"/>
      <c r="AD143" s="531"/>
      <c r="AE143" s="531"/>
      <c r="AF143" s="531"/>
      <c r="AG143" s="531"/>
      <c r="AH143" s="531"/>
      <c r="AI143" s="531"/>
      <c r="AJ143" s="531"/>
      <c r="AK143" s="531"/>
      <c r="AL143" s="531"/>
      <c r="AM143" s="531"/>
      <c r="AN143" s="531"/>
      <c r="AO143" s="531"/>
      <c r="AP143" s="531"/>
      <c r="AQ143" s="531"/>
      <c r="AR143" s="531"/>
      <c r="AS143" s="531"/>
      <c r="AT143" s="531"/>
      <c r="AU143" s="531"/>
      <c r="AV143" s="531"/>
      <c r="AW143" s="531"/>
      <c r="AX143" s="531"/>
      <c r="AY143" s="531"/>
      <c r="AZ143" s="531"/>
      <c r="BA143" s="531"/>
      <c r="BB143" s="531"/>
      <c r="BC143" s="531"/>
      <c r="BD143" s="531"/>
      <c r="BE143" s="531"/>
      <c r="BF143" s="531"/>
      <c r="BG143" s="531"/>
      <c r="BH143" s="531"/>
      <c r="BI143" s="531"/>
      <c r="BJ143" s="531"/>
      <c r="BK143" s="531"/>
      <c r="BL143" s="531"/>
      <c r="BM143" s="531"/>
      <c r="BN143" s="531"/>
      <c r="BO143" s="531"/>
      <c r="BP143" s="531"/>
      <c r="BQ143" s="531"/>
      <c r="BR143" s="531"/>
      <c r="BS143" s="531"/>
      <c r="BT143" s="531"/>
      <c r="BU143" s="531"/>
      <c r="BV143" s="531"/>
      <c r="BW143" s="531"/>
      <c r="BX143" s="531"/>
      <c r="BY143" s="531"/>
    </row>
    <row r="144" spans="1:77" x14ac:dyDescent="0.2">
      <c r="A144" s="383">
        <v>134</v>
      </c>
      <c r="B144" s="519">
        <v>40575</v>
      </c>
    </row>
    <row r="145" spans="1:77" x14ac:dyDescent="0.2">
      <c r="A145" s="383">
        <v>135</v>
      </c>
      <c r="B145" s="519">
        <v>40603</v>
      </c>
    </row>
    <row r="146" spans="1:77" x14ac:dyDescent="0.2">
      <c r="A146" s="383">
        <v>136</v>
      </c>
      <c r="B146" s="519">
        <v>40634</v>
      </c>
    </row>
    <row r="147" spans="1:77" x14ac:dyDescent="0.2">
      <c r="A147" s="383">
        <v>137</v>
      </c>
      <c r="B147" s="519">
        <v>40664</v>
      </c>
    </row>
    <row r="148" spans="1:77" x14ac:dyDescent="0.2">
      <c r="A148" s="383">
        <v>138</v>
      </c>
      <c r="B148" s="519">
        <v>40695</v>
      </c>
    </row>
    <row r="149" spans="1:77" x14ac:dyDescent="0.2">
      <c r="A149" s="383">
        <v>139</v>
      </c>
      <c r="B149" s="519">
        <v>40725</v>
      </c>
    </row>
    <row r="150" spans="1:77" x14ac:dyDescent="0.2">
      <c r="A150" s="383">
        <v>140</v>
      </c>
      <c r="B150" s="519">
        <v>40756</v>
      </c>
    </row>
    <row r="151" spans="1:77" x14ac:dyDescent="0.2">
      <c r="A151" s="383">
        <v>141</v>
      </c>
      <c r="B151" s="519">
        <v>40787</v>
      </c>
    </row>
    <row r="152" spans="1:77" x14ac:dyDescent="0.2">
      <c r="A152" s="383">
        <v>142</v>
      </c>
      <c r="B152" s="519">
        <v>40817</v>
      </c>
    </row>
    <row r="153" spans="1:77" x14ac:dyDescent="0.2">
      <c r="A153" s="383">
        <v>143</v>
      </c>
      <c r="B153" s="519">
        <v>40848</v>
      </c>
    </row>
    <row r="154" spans="1:77" s="525" customFormat="1" x14ac:dyDescent="0.2">
      <c r="A154" s="521">
        <v>144</v>
      </c>
      <c r="B154" s="522">
        <v>40878</v>
      </c>
      <c r="C154" s="563"/>
      <c r="D154" s="561"/>
      <c r="E154" s="556"/>
      <c r="F154" s="563"/>
      <c r="G154" s="556"/>
      <c r="H154" s="561"/>
      <c r="I154" s="563"/>
      <c r="J154" s="524"/>
      <c r="K154" s="556"/>
      <c r="L154" s="563"/>
      <c r="M154" s="561"/>
      <c r="N154" s="563"/>
      <c r="O154" s="561"/>
      <c r="P154" s="563"/>
      <c r="Q154" s="561"/>
      <c r="R154" s="563"/>
      <c r="S154" s="561"/>
      <c r="T154" s="581"/>
      <c r="U154" s="581"/>
      <c r="V154" s="581"/>
      <c r="W154" s="574"/>
      <c r="X154" s="524"/>
      <c r="Y154" s="576"/>
      <c r="Z154" s="524"/>
      <c r="AA154" s="524"/>
      <c r="AB154" s="524"/>
      <c r="AC154" s="524"/>
      <c r="AD154" s="524"/>
      <c r="AE154" s="524"/>
      <c r="AF154" s="524"/>
      <c r="AG154" s="524"/>
      <c r="AH154" s="524"/>
      <c r="AI154" s="524"/>
      <c r="AJ154" s="524"/>
      <c r="AK154" s="524"/>
      <c r="AL154" s="524"/>
      <c r="AM154" s="524"/>
      <c r="AN154" s="524"/>
      <c r="AO154" s="524"/>
      <c r="AP154" s="524"/>
      <c r="AQ154" s="524"/>
      <c r="AR154" s="524"/>
      <c r="AS154" s="524"/>
      <c r="AT154" s="524"/>
      <c r="AU154" s="524"/>
      <c r="AV154" s="524"/>
      <c r="AW154" s="524"/>
      <c r="AX154" s="524"/>
      <c r="AY154" s="524"/>
      <c r="AZ154" s="524"/>
      <c r="BA154" s="524"/>
      <c r="BB154" s="524"/>
      <c r="BC154" s="524"/>
      <c r="BD154" s="524"/>
      <c r="BE154" s="524"/>
      <c r="BF154" s="524"/>
      <c r="BG154" s="524"/>
      <c r="BH154" s="524"/>
      <c r="BI154" s="524"/>
      <c r="BJ154" s="524"/>
      <c r="BK154" s="524"/>
      <c r="BL154" s="524"/>
      <c r="BM154" s="524"/>
      <c r="BN154" s="524"/>
      <c r="BO154" s="524"/>
      <c r="BP154" s="524"/>
      <c r="BQ154" s="524"/>
      <c r="BR154" s="524"/>
      <c r="BS154" s="524"/>
      <c r="BT154" s="524"/>
      <c r="BU154" s="524"/>
      <c r="BV154" s="524"/>
      <c r="BW154" s="524"/>
      <c r="BX154" s="524"/>
      <c r="BY154" s="524"/>
    </row>
    <row r="155" spans="1:77" s="532" customFormat="1" x14ac:dyDescent="0.2">
      <c r="A155" s="528">
        <v>145</v>
      </c>
      <c r="B155" s="529">
        <v>40909</v>
      </c>
      <c r="C155" s="564"/>
      <c r="D155" s="560"/>
      <c r="E155" s="555"/>
      <c r="F155" s="564"/>
      <c r="G155" s="555"/>
      <c r="H155" s="560"/>
      <c r="I155" s="564"/>
      <c r="J155" s="531"/>
      <c r="K155" s="555"/>
      <c r="L155" s="564"/>
      <c r="M155" s="560"/>
      <c r="N155" s="564"/>
      <c r="O155" s="560"/>
      <c r="P155" s="564"/>
      <c r="Q155" s="560"/>
      <c r="R155" s="564"/>
      <c r="S155" s="560"/>
      <c r="T155" s="580"/>
      <c r="U155" s="580"/>
      <c r="V155" s="580"/>
      <c r="W155" s="573"/>
      <c r="X155" s="531"/>
      <c r="Y155" s="575"/>
      <c r="Z155" s="531"/>
      <c r="AA155" s="531"/>
      <c r="AB155" s="531"/>
      <c r="AC155" s="531"/>
      <c r="AD155" s="531"/>
      <c r="AE155" s="531"/>
      <c r="AF155" s="531"/>
      <c r="AG155" s="531"/>
      <c r="AH155" s="531"/>
      <c r="AI155" s="531"/>
      <c r="AJ155" s="531"/>
      <c r="AK155" s="531"/>
      <c r="AL155" s="531"/>
      <c r="AM155" s="531"/>
      <c r="AN155" s="531"/>
      <c r="AO155" s="531"/>
      <c r="AP155" s="531"/>
      <c r="AQ155" s="531"/>
      <c r="AR155" s="531"/>
      <c r="AS155" s="531"/>
      <c r="AT155" s="531"/>
      <c r="AU155" s="531"/>
      <c r="AV155" s="531"/>
      <c r="AW155" s="531"/>
      <c r="AX155" s="531"/>
      <c r="AY155" s="531"/>
      <c r="AZ155" s="531"/>
      <c r="BA155" s="531"/>
      <c r="BB155" s="531"/>
      <c r="BC155" s="531"/>
      <c r="BD155" s="531"/>
      <c r="BE155" s="531"/>
      <c r="BF155" s="531"/>
      <c r="BG155" s="531"/>
      <c r="BH155" s="531"/>
      <c r="BI155" s="531"/>
      <c r="BJ155" s="531"/>
      <c r="BK155" s="531"/>
      <c r="BL155" s="531"/>
      <c r="BM155" s="531"/>
      <c r="BN155" s="531"/>
      <c r="BO155" s="531"/>
      <c r="BP155" s="531"/>
      <c r="BQ155" s="531"/>
      <c r="BR155" s="531"/>
      <c r="BS155" s="531"/>
      <c r="BT155" s="531"/>
      <c r="BU155" s="531"/>
      <c r="BV155" s="531"/>
      <c r="BW155" s="531"/>
      <c r="BX155" s="531"/>
      <c r="BY155" s="531"/>
    </row>
    <row r="156" spans="1:77" x14ac:dyDescent="0.2">
      <c r="A156" s="383">
        <v>146</v>
      </c>
      <c r="B156" s="519">
        <v>40940</v>
      </c>
    </row>
    <row r="157" spans="1:77" x14ac:dyDescent="0.2">
      <c r="A157" s="383">
        <v>147</v>
      </c>
      <c r="B157" s="519">
        <v>40969</v>
      </c>
    </row>
    <row r="158" spans="1:77" x14ac:dyDescent="0.2">
      <c r="A158" s="383">
        <v>148</v>
      </c>
      <c r="B158" s="519">
        <v>41000</v>
      </c>
    </row>
    <row r="159" spans="1:77" x14ac:dyDescent="0.2">
      <c r="A159" s="383">
        <v>149</v>
      </c>
      <c r="B159" s="519">
        <v>41030</v>
      </c>
    </row>
    <row r="160" spans="1:77" x14ac:dyDescent="0.2">
      <c r="A160" s="383">
        <v>150</v>
      </c>
      <c r="B160" s="519">
        <v>41061</v>
      </c>
    </row>
    <row r="161" spans="1:77" x14ac:dyDescent="0.2">
      <c r="A161" s="383">
        <v>151</v>
      </c>
      <c r="B161" s="519">
        <v>41091</v>
      </c>
    </row>
    <row r="162" spans="1:77" x14ac:dyDescent="0.2">
      <c r="A162" s="383">
        <v>152</v>
      </c>
      <c r="B162" s="519">
        <v>41122</v>
      </c>
    </row>
    <row r="163" spans="1:77" x14ac:dyDescent="0.2">
      <c r="A163" s="383">
        <v>153</v>
      </c>
      <c r="B163" s="519">
        <v>41153</v>
      </c>
    </row>
    <row r="164" spans="1:77" x14ac:dyDescent="0.2">
      <c r="A164" s="383">
        <v>154</v>
      </c>
      <c r="B164" s="519">
        <v>41183</v>
      </c>
    </row>
    <row r="165" spans="1:77" x14ac:dyDescent="0.2">
      <c r="A165" s="383">
        <v>155</v>
      </c>
      <c r="B165" s="519">
        <v>41214</v>
      </c>
    </row>
    <row r="166" spans="1:77" s="525" customFormat="1" x14ac:dyDescent="0.2">
      <c r="A166" s="521">
        <v>156</v>
      </c>
      <c r="B166" s="522">
        <v>41244</v>
      </c>
      <c r="C166" s="563"/>
      <c r="D166" s="561"/>
      <c r="E166" s="556"/>
      <c r="F166" s="563"/>
      <c r="G166" s="556"/>
      <c r="H166" s="561"/>
      <c r="I166" s="563"/>
      <c r="J166" s="524"/>
      <c r="K166" s="556"/>
      <c r="L166" s="563"/>
      <c r="M166" s="561"/>
      <c r="N166" s="563"/>
      <c r="O166" s="561"/>
      <c r="P166" s="563"/>
      <c r="Q166" s="561"/>
      <c r="R166" s="563"/>
      <c r="S166" s="561"/>
      <c r="T166" s="581"/>
      <c r="U166" s="581"/>
      <c r="V166" s="581"/>
      <c r="W166" s="574"/>
      <c r="X166" s="524"/>
      <c r="Y166" s="576"/>
      <c r="Z166" s="524"/>
      <c r="AA166" s="524"/>
      <c r="AB166" s="524"/>
      <c r="AC166" s="524"/>
      <c r="AD166" s="524"/>
      <c r="AE166" s="524"/>
      <c r="AF166" s="524"/>
      <c r="AG166" s="524"/>
      <c r="AH166" s="524"/>
      <c r="AI166" s="524"/>
      <c r="AJ166" s="524"/>
      <c r="AK166" s="524"/>
      <c r="AL166" s="524"/>
      <c r="AM166" s="524"/>
      <c r="AN166" s="524"/>
      <c r="AO166" s="524"/>
      <c r="AP166" s="524"/>
      <c r="AQ166" s="524"/>
      <c r="AR166" s="524"/>
      <c r="AS166" s="524"/>
      <c r="AT166" s="524"/>
      <c r="AU166" s="524"/>
      <c r="AV166" s="524"/>
      <c r="AW166" s="524"/>
      <c r="AX166" s="524"/>
      <c r="AY166" s="524"/>
      <c r="AZ166" s="524"/>
      <c r="BA166" s="524"/>
      <c r="BB166" s="524"/>
      <c r="BC166" s="524"/>
      <c r="BD166" s="524"/>
      <c r="BE166" s="524"/>
      <c r="BF166" s="524"/>
      <c r="BG166" s="524"/>
      <c r="BH166" s="524"/>
      <c r="BI166" s="524"/>
      <c r="BJ166" s="524"/>
      <c r="BK166" s="524"/>
      <c r="BL166" s="524"/>
      <c r="BM166" s="524"/>
      <c r="BN166" s="524"/>
      <c r="BO166" s="524"/>
      <c r="BP166" s="524"/>
      <c r="BQ166" s="524"/>
      <c r="BR166" s="524"/>
      <c r="BS166" s="524"/>
      <c r="BT166" s="524"/>
      <c r="BU166" s="524"/>
      <c r="BV166" s="524"/>
      <c r="BW166" s="524"/>
      <c r="BX166" s="524"/>
      <c r="BY166" s="524"/>
    </row>
    <row r="167" spans="1:77" x14ac:dyDescent="0.2">
      <c r="A167" s="383">
        <v>157</v>
      </c>
      <c r="B167" s="519">
        <v>41275</v>
      </c>
    </row>
    <row r="168" spans="1:77" x14ac:dyDescent="0.2">
      <c r="A168" s="383">
        <v>158</v>
      </c>
      <c r="B168" s="519">
        <v>41306</v>
      </c>
    </row>
    <row r="169" spans="1:77" x14ac:dyDescent="0.2">
      <c r="A169" s="383">
        <v>159</v>
      </c>
      <c r="B169" s="519">
        <v>41334</v>
      </c>
    </row>
    <row r="170" spans="1:77" x14ac:dyDescent="0.2">
      <c r="A170" s="383">
        <v>160</v>
      </c>
      <c r="B170" s="519">
        <v>41365</v>
      </c>
    </row>
    <row r="171" spans="1:77" x14ac:dyDescent="0.2">
      <c r="A171" s="383">
        <v>161</v>
      </c>
      <c r="B171" s="519">
        <v>41395</v>
      </c>
    </row>
    <row r="172" spans="1:77" x14ac:dyDescent="0.2">
      <c r="A172" s="383">
        <v>162</v>
      </c>
      <c r="B172" s="519">
        <v>41426</v>
      </c>
    </row>
    <row r="173" spans="1:77" x14ac:dyDescent="0.2">
      <c r="A173" s="383">
        <v>163</v>
      </c>
      <c r="B173" s="519">
        <v>41456</v>
      </c>
    </row>
    <row r="174" spans="1:77" x14ac:dyDescent="0.2">
      <c r="A174" s="383">
        <v>164</v>
      </c>
      <c r="B174" s="519">
        <v>41487</v>
      </c>
    </row>
    <row r="175" spans="1:77" x14ac:dyDescent="0.2">
      <c r="A175" s="383">
        <v>165</v>
      </c>
      <c r="B175" s="519">
        <v>41518</v>
      </c>
    </row>
    <row r="176" spans="1:77" x14ac:dyDescent="0.2">
      <c r="A176" s="383">
        <v>166</v>
      </c>
      <c r="B176" s="519">
        <v>41548</v>
      </c>
    </row>
    <row r="177" spans="1:77" x14ac:dyDescent="0.2">
      <c r="A177" s="383">
        <v>167</v>
      </c>
      <c r="B177" s="519">
        <v>41579</v>
      </c>
    </row>
    <row r="178" spans="1:77" s="525" customFormat="1" x14ac:dyDescent="0.2">
      <c r="A178" s="521">
        <v>168</v>
      </c>
      <c r="B178" s="522">
        <v>41609</v>
      </c>
      <c r="C178" s="563"/>
      <c r="D178" s="561"/>
      <c r="E178" s="556"/>
      <c r="F178" s="563"/>
      <c r="G178" s="556"/>
      <c r="H178" s="561"/>
      <c r="I178" s="563"/>
      <c r="J178" s="524"/>
      <c r="K178" s="556"/>
      <c r="L178" s="563"/>
      <c r="M178" s="561"/>
      <c r="N178" s="563"/>
      <c r="O178" s="561"/>
      <c r="P178" s="563"/>
      <c r="Q178" s="561"/>
      <c r="R178" s="563"/>
      <c r="S178" s="561"/>
      <c r="T178" s="581"/>
      <c r="U178" s="581"/>
      <c r="V178" s="581"/>
      <c r="W178" s="574"/>
      <c r="X178" s="524"/>
      <c r="Y178" s="576"/>
      <c r="Z178" s="524"/>
      <c r="AA178" s="524"/>
      <c r="AB178" s="524"/>
      <c r="AC178" s="524"/>
      <c r="AD178" s="524"/>
      <c r="AE178" s="524"/>
      <c r="AF178" s="524"/>
      <c r="AG178" s="524"/>
      <c r="AH178" s="524"/>
      <c r="AI178" s="524"/>
      <c r="AJ178" s="524"/>
      <c r="AK178" s="524"/>
      <c r="AL178" s="524"/>
      <c r="AM178" s="524"/>
      <c r="AN178" s="524"/>
      <c r="AO178" s="524"/>
      <c r="AP178" s="524"/>
      <c r="AQ178" s="524"/>
      <c r="AR178" s="524"/>
      <c r="AS178" s="524"/>
      <c r="AT178" s="524"/>
      <c r="AU178" s="524"/>
      <c r="AV178" s="524"/>
      <c r="AW178" s="524"/>
      <c r="AX178" s="524"/>
      <c r="AY178" s="524"/>
      <c r="AZ178" s="524"/>
      <c r="BA178" s="524"/>
      <c r="BB178" s="524"/>
      <c r="BC178" s="524"/>
      <c r="BD178" s="524"/>
      <c r="BE178" s="524"/>
      <c r="BF178" s="524"/>
      <c r="BG178" s="524"/>
      <c r="BH178" s="524"/>
      <c r="BI178" s="524"/>
      <c r="BJ178" s="524"/>
      <c r="BK178" s="524"/>
      <c r="BL178" s="524"/>
      <c r="BM178" s="524"/>
      <c r="BN178" s="524"/>
      <c r="BO178" s="524"/>
      <c r="BP178" s="524"/>
      <c r="BQ178" s="524"/>
      <c r="BR178" s="524"/>
      <c r="BS178" s="524"/>
      <c r="BT178" s="524"/>
      <c r="BU178" s="524"/>
      <c r="BV178" s="524"/>
      <c r="BW178" s="524"/>
      <c r="BX178" s="524"/>
      <c r="BY178" s="524"/>
    </row>
    <row r="179" spans="1:77" x14ac:dyDescent="0.2">
      <c r="A179" s="383">
        <v>169</v>
      </c>
      <c r="B179" s="519">
        <v>41640</v>
      </c>
    </row>
    <row r="180" spans="1:77" x14ac:dyDescent="0.2">
      <c r="A180" s="383">
        <v>170</v>
      </c>
      <c r="B180" s="519">
        <v>41671</v>
      </c>
    </row>
    <row r="181" spans="1:77" x14ac:dyDescent="0.2">
      <c r="A181" s="383">
        <v>171</v>
      </c>
      <c r="B181" s="519">
        <v>41699</v>
      </c>
    </row>
    <row r="182" spans="1:77" x14ac:dyDescent="0.2">
      <c r="A182" s="383">
        <v>172</v>
      </c>
      <c r="B182" s="519">
        <v>41730</v>
      </c>
    </row>
    <row r="183" spans="1:77" x14ac:dyDescent="0.2">
      <c r="A183" s="383">
        <v>173</v>
      </c>
      <c r="B183" s="519">
        <v>41760</v>
      </c>
    </row>
    <row r="184" spans="1:77" x14ac:dyDescent="0.2">
      <c r="A184" s="383">
        <v>174</v>
      </c>
      <c r="B184" s="519">
        <v>41791</v>
      </c>
    </row>
    <row r="185" spans="1:77" x14ac:dyDescent="0.2">
      <c r="A185" s="383">
        <v>175</v>
      </c>
      <c r="B185" s="519">
        <v>41821</v>
      </c>
    </row>
    <row r="186" spans="1:77" x14ac:dyDescent="0.2">
      <c r="A186" s="383">
        <v>176</v>
      </c>
      <c r="B186" s="519">
        <v>41852</v>
      </c>
    </row>
    <row r="187" spans="1:77" x14ac:dyDescent="0.2">
      <c r="A187" s="383">
        <v>177</v>
      </c>
      <c r="B187" s="519">
        <v>41883</v>
      </c>
    </row>
    <row r="188" spans="1:77" x14ac:dyDescent="0.2">
      <c r="A188" s="383">
        <v>178</v>
      </c>
      <c r="B188" s="519">
        <v>41913</v>
      </c>
    </row>
    <row r="189" spans="1:77" x14ac:dyDescent="0.2">
      <c r="A189" s="383">
        <v>179</v>
      </c>
      <c r="B189" s="519">
        <v>41944</v>
      </c>
    </row>
    <row r="190" spans="1:77" x14ac:dyDescent="0.2">
      <c r="A190" s="383">
        <v>180</v>
      </c>
      <c r="B190" s="519">
        <v>41974</v>
      </c>
    </row>
    <row r="191" spans="1:77" x14ac:dyDescent="0.2">
      <c r="A191" s="383">
        <v>181</v>
      </c>
      <c r="B191" s="519">
        <v>42005</v>
      </c>
    </row>
    <row r="192" spans="1:77" x14ac:dyDescent="0.2">
      <c r="A192" s="383">
        <v>182</v>
      </c>
      <c r="B192" s="519">
        <v>42036</v>
      </c>
    </row>
    <row r="193" spans="1:2" x14ac:dyDescent="0.2">
      <c r="A193" s="383">
        <v>183</v>
      </c>
      <c r="B193" s="519">
        <v>42064</v>
      </c>
    </row>
    <row r="194" spans="1:2" x14ac:dyDescent="0.2">
      <c r="A194" s="383">
        <v>184</v>
      </c>
      <c r="B194" s="519">
        <v>42095</v>
      </c>
    </row>
    <row r="195" spans="1:2" x14ac:dyDescent="0.2">
      <c r="A195" s="383">
        <v>185</v>
      </c>
      <c r="B195" s="519">
        <v>42125</v>
      </c>
    </row>
    <row r="196" spans="1:2" x14ac:dyDescent="0.2">
      <c r="A196" s="383">
        <v>186</v>
      </c>
      <c r="B196" s="519">
        <v>42156</v>
      </c>
    </row>
    <row r="197" spans="1:2" x14ac:dyDescent="0.2">
      <c r="A197" s="383">
        <v>187</v>
      </c>
      <c r="B197" s="519">
        <v>42186</v>
      </c>
    </row>
    <row r="198" spans="1:2" x14ac:dyDescent="0.2">
      <c r="A198" s="383">
        <v>188</v>
      </c>
      <c r="B198" s="519">
        <v>42217</v>
      </c>
    </row>
    <row r="199" spans="1:2" x14ac:dyDescent="0.2">
      <c r="A199" s="383">
        <v>189</v>
      </c>
      <c r="B199" s="519">
        <v>42248</v>
      </c>
    </row>
    <row r="200" spans="1:2" x14ac:dyDescent="0.2">
      <c r="A200" s="383">
        <v>190</v>
      </c>
      <c r="B200" s="519">
        <v>42278</v>
      </c>
    </row>
    <row r="201" spans="1:2" x14ac:dyDescent="0.2">
      <c r="A201" s="383">
        <v>191</v>
      </c>
      <c r="B201" s="519">
        <v>42309</v>
      </c>
    </row>
    <row r="202" spans="1:2" x14ac:dyDescent="0.2">
      <c r="A202" s="383">
        <v>192</v>
      </c>
      <c r="B202" s="519">
        <v>42339</v>
      </c>
    </row>
    <row r="203" spans="1:2" x14ac:dyDescent="0.2">
      <c r="A203" s="383">
        <v>193</v>
      </c>
      <c r="B203" s="519">
        <v>42370</v>
      </c>
    </row>
    <row r="204" spans="1:2" x14ac:dyDescent="0.2">
      <c r="A204" s="383">
        <v>194</v>
      </c>
      <c r="B204" s="519">
        <v>42401</v>
      </c>
    </row>
    <row r="205" spans="1:2" x14ac:dyDescent="0.2">
      <c r="A205" s="383">
        <v>195</v>
      </c>
      <c r="B205" s="519">
        <v>42430</v>
      </c>
    </row>
    <row r="206" spans="1:2" x14ac:dyDescent="0.2">
      <c r="A206" s="383">
        <v>196</v>
      </c>
      <c r="B206" s="519">
        <v>42461</v>
      </c>
    </row>
    <row r="207" spans="1:2" x14ac:dyDescent="0.2">
      <c r="A207" s="383">
        <v>197</v>
      </c>
      <c r="B207" s="519">
        <v>42491</v>
      </c>
    </row>
    <row r="208" spans="1:2" x14ac:dyDescent="0.2">
      <c r="A208" s="383">
        <v>198</v>
      </c>
      <c r="B208" s="519">
        <v>42522</v>
      </c>
    </row>
    <row r="209" spans="1:2" x14ac:dyDescent="0.2">
      <c r="A209" s="383">
        <v>199</v>
      </c>
      <c r="B209" s="519">
        <v>42552</v>
      </c>
    </row>
    <row r="210" spans="1:2" x14ac:dyDescent="0.2">
      <c r="A210" s="383">
        <v>200</v>
      </c>
      <c r="B210" s="519">
        <v>42583</v>
      </c>
    </row>
    <row r="211" spans="1:2" x14ac:dyDescent="0.2">
      <c r="A211" s="383">
        <v>201</v>
      </c>
      <c r="B211" s="519">
        <v>42614</v>
      </c>
    </row>
    <row r="212" spans="1:2" x14ac:dyDescent="0.2">
      <c r="A212" s="383">
        <v>202</v>
      </c>
      <c r="B212" s="519">
        <v>42644</v>
      </c>
    </row>
    <row r="213" spans="1:2" x14ac:dyDescent="0.2">
      <c r="A213" s="383">
        <v>203</v>
      </c>
      <c r="B213" s="519">
        <v>42675</v>
      </c>
    </row>
    <row r="214" spans="1:2" x14ac:dyDescent="0.2">
      <c r="A214" s="383">
        <v>204</v>
      </c>
      <c r="B214" s="519">
        <v>42705</v>
      </c>
    </row>
    <row r="215" spans="1:2" x14ac:dyDescent="0.2">
      <c r="A215" s="383">
        <v>205</v>
      </c>
      <c r="B215" s="519">
        <v>42736</v>
      </c>
    </row>
    <row r="216" spans="1:2" x14ac:dyDescent="0.2">
      <c r="A216" s="383">
        <v>206</v>
      </c>
      <c r="B216" s="519">
        <v>42767</v>
      </c>
    </row>
    <row r="217" spans="1:2" x14ac:dyDescent="0.2">
      <c r="A217" s="383">
        <v>207</v>
      </c>
      <c r="B217" s="519">
        <v>42795</v>
      </c>
    </row>
    <row r="218" spans="1:2" x14ac:dyDescent="0.2">
      <c r="A218" s="383">
        <v>208</v>
      </c>
      <c r="B218" s="519">
        <v>42826</v>
      </c>
    </row>
    <row r="219" spans="1:2" x14ac:dyDescent="0.2">
      <c r="A219" s="383">
        <v>209</v>
      </c>
      <c r="B219" s="519">
        <v>42856</v>
      </c>
    </row>
    <row r="220" spans="1:2" x14ac:dyDescent="0.2">
      <c r="A220" s="383">
        <v>210</v>
      </c>
      <c r="B220" s="519">
        <v>42887</v>
      </c>
    </row>
    <row r="221" spans="1:2" x14ac:dyDescent="0.2">
      <c r="A221" s="383">
        <v>211</v>
      </c>
      <c r="B221" s="519">
        <v>42917</v>
      </c>
    </row>
    <row r="222" spans="1:2" x14ac:dyDescent="0.2">
      <c r="A222" s="383">
        <v>212</v>
      </c>
      <c r="B222" s="519">
        <v>42948</v>
      </c>
    </row>
    <row r="223" spans="1:2" x14ac:dyDescent="0.2">
      <c r="A223" s="383">
        <v>213</v>
      </c>
      <c r="B223" s="519">
        <v>42979</v>
      </c>
    </row>
    <row r="224" spans="1:2" x14ac:dyDescent="0.2">
      <c r="A224" s="383">
        <v>214</v>
      </c>
      <c r="B224" s="519">
        <v>43009</v>
      </c>
    </row>
    <row r="225" spans="1:2" x14ac:dyDescent="0.2">
      <c r="A225" s="383">
        <v>215</v>
      </c>
      <c r="B225" s="519">
        <v>43040</v>
      </c>
    </row>
    <row r="226" spans="1:2" x14ac:dyDescent="0.2">
      <c r="A226" s="383">
        <v>216</v>
      </c>
      <c r="B226" s="519">
        <v>43070</v>
      </c>
    </row>
    <row r="227" spans="1:2" x14ac:dyDescent="0.2">
      <c r="A227" s="383">
        <v>217</v>
      </c>
      <c r="B227" s="519">
        <v>43101</v>
      </c>
    </row>
    <row r="228" spans="1:2" x14ac:dyDescent="0.2">
      <c r="A228" s="383">
        <v>218</v>
      </c>
      <c r="B228" s="519">
        <v>43132</v>
      </c>
    </row>
    <row r="229" spans="1:2" x14ac:dyDescent="0.2">
      <c r="A229" s="383">
        <v>219</v>
      </c>
      <c r="B229" s="519">
        <v>43160</v>
      </c>
    </row>
    <row r="230" spans="1:2" x14ac:dyDescent="0.2">
      <c r="A230" s="383">
        <v>220</v>
      </c>
      <c r="B230" s="519">
        <v>43191</v>
      </c>
    </row>
    <row r="231" spans="1:2" x14ac:dyDescent="0.2">
      <c r="A231" s="383">
        <v>221</v>
      </c>
      <c r="B231" s="519">
        <v>43221</v>
      </c>
    </row>
    <row r="232" spans="1:2" x14ac:dyDescent="0.2">
      <c r="A232" s="383">
        <v>222</v>
      </c>
      <c r="B232" s="519">
        <v>43252</v>
      </c>
    </row>
    <row r="233" spans="1:2" x14ac:dyDescent="0.2">
      <c r="A233" s="383">
        <v>223</v>
      </c>
      <c r="B233" s="519">
        <v>43282</v>
      </c>
    </row>
    <row r="234" spans="1:2" x14ac:dyDescent="0.2">
      <c r="A234" s="383">
        <v>224</v>
      </c>
      <c r="B234" s="519">
        <v>43313</v>
      </c>
    </row>
    <row r="235" spans="1:2" x14ac:dyDescent="0.2">
      <c r="A235" s="383">
        <v>225</v>
      </c>
      <c r="B235" s="519">
        <v>43344</v>
      </c>
    </row>
    <row r="236" spans="1:2" x14ac:dyDescent="0.2">
      <c r="A236" s="383">
        <v>226</v>
      </c>
      <c r="B236" s="519">
        <v>43374</v>
      </c>
    </row>
    <row r="237" spans="1:2" x14ac:dyDescent="0.2">
      <c r="A237" s="383">
        <v>227</v>
      </c>
      <c r="B237" s="519">
        <v>43405</v>
      </c>
    </row>
    <row r="238" spans="1:2" x14ac:dyDescent="0.2">
      <c r="A238" s="383">
        <v>228</v>
      </c>
      <c r="B238" s="519">
        <v>43435</v>
      </c>
    </row>
    <row r="239" spans="1:2" x14ac:dyDescent="0.2">
      <c r="A239" s="383">
        <v>229</v>
      </c>
      <c r="B239" s="519">
        <v>43466</v>
      </c>
    </row>
    <row r="240" spans="1:2" x14ac:dyDescent="0.2">
      <c r="A240" s="383">
        <v>230</v>
      </c>
      <c r="B240" s="519">
        <v>43497</v>
      </c>
    </row>
    <row r="241" spans="1:2" x14ac:dyDescent="0.2">
      <c r="A241" s="383">
        <v>231</v>
      </c>
      <c r="B241" s="519">
        <v>43525</v>
      </c>
    </row>
    <row r="242" spans="1:2" x14ac:dyDescent="0.2">
      <c r="A242" s="383">
        <v>232</v>
      </c>
      <c r="B242" s="519">
        <v>43556</v>
      </c>
    </row>
    <row r="243" spans="1:2" x14ac:dyDescent="0.2">
      <c r="A243" s="383">
        <v>233</v>
      </c>
      <c r="B243" s="519">
        <v>43586</v>
      </c>
    </row>
    <row r="244" spans="1:2" x14ac:dyDescent="0.2">
      <c r="A244" s="383">
        <v>234</v>
      </c>
      <c r="B244" s="519">
        <v>43617</v>
      </c>
    </row>
    <row r="245" spans="1:2" x14ac:dyDescent="0.2">
      <c r="A245" s="383">
        <v>235</v>
      </c>
      <c r="B245" s="519">
        <v>43647</v>
      </c>
    </row>
    <row r="246" spans="1:2" x14ac:dyDescent="0.2">
      <c r="A246" s="383">
        <v>236</v>
      </c>
      <c r="B246" s="519">
        <v>43678</v>
      </c>
    </row>
    <row r="247" spans="1:2" x14ac:dyDescent="0.2">
      <c r="A247" s="383">
        <v>237</v>
      </c>
      <c r="B247" s="519">
        <v>43709</v>
      </c>
    </row>
    <row r="248" spans="1:2" x14ac:dyDescent="0.2">
      <c r="A248" s="383">
        <v>238</v>
      </c>
      <c r="B248" s="519">
        <v>43739</v>
      </c>
    </row>
    <row r="249" spans="1:2" x14ac:dyDescent="0.2">
      <c r="A249" s="383">
        <v>239</v>
      </c>
      <c r="B249" s="519">
        <v>43770</v>
      </c>
    </row>
    <row r="250" spans="1:2" x14ac:dyDescent="0.2">
      <c r="A250" s="383">
        <v>240</v>
      </c>
      <c r="B250" s="519">
        <v>43800</v>
      </c>
    </row>
    <row r="251" spans="1:2" x14ac:dyDescent="0.2">
      <c r="A251" s="383">
        <v>241</v>
      </c>
      <c r="B251" s="519">
        <v>43831</v>
      </c>
    </row>
    <row r="252" spans="1:2" x14ac:dyDescent="0.2">
      <c r="A252" s="383">
        <v>242</v>
      </c>
      <c r="B252" s="519">
        <v>43862</v>
      </c>
    </row>
    <row r="253" spans="1:2" x14ac:dyDescent="0.2">
      <c r="A253" s="383">
        <v>243</v>
      </c>
      <c r="B253" s="519">
        <v>43891</v>
      </c>
    </row>
    <row r="254" spans="1:2" x14ac:dyDescent="0.2">
      <c r="A254" s="383">
        <v>244</v>
      </c>
      <c r="B254" s="519">
        <v>43922</v>
      </c>
    </row>
    <row r="255" spans="1:2" x14ac:dyDescent="0.2">
      <c r="A255" s="383">
        <v>245</v>
      </c>
      <c r="B255" s="519">
        <v>43952</v>
      </c>
    </row>
    <row r="256" spans="1:2" x14ac:dyDescent="0.2">
      <c r="A256" s="383">
        <v>246</v>
      </c>
      <c r="B256" s="519">
        <v>43983</v>
      </c>
    </row>
    <row r="257" spans="1:2" x14ac:dyDescent="0.2">
      <c r="A257" s="383">
        <v>247</v>
      </c>
      <c r="B257" s="519">
        <v>44013</v>
      </c>
    </row>
    <row r="258" spans="1:2" x14ac:dyDescent="0.2">
      <c r="A258" s="383">
        <v>248</v>
      </c>
      <c r="B258" s="519">
        <v>44044</v>
      </c>
    </row>
    <row r="259" spans="1:2" x14ac:dyDescent="0.2">
      <c r="A259" s="383">
        <v>249</v>
      </c>
      <c r="B259" s="519">
        <v>44075</v>
      </c>
    </row>
    <row r="260" spans="1:2" x14ac:dyDescent="0.2">
      <c r="A260" s="383">
        <v>250</v>
      </c>
      <c r="B260" s="519">
        <v>44105</v>
      </c>
    </row>
    <row r="261" spans="1:2" x14ac:dyDescent="0.2">
      <c r="A261" s="383">
        <v>251</v>
      </c>
      <c r="B261" s="519">
        <v>44136</v>
      </c>
    </row>
    <row r="262" spans="1:2" x14ac:dyDescent="0.2">
      <c r="A262" s="383">
        <v>252</v>
      </c>
      <c r="B262" s="519">
        <v>44166</v>
      </c>
    </row>
  </sheetData>
  <pageMargins left="0.75" right="0.75" top="1" bottom="1" header="0.5" footer="0.5"/>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BP262"/>
  <sheetViews>
    <sheetView workbookViewId="0">
      <selection activeCell="V25" sqref="V25"/>
    </sheetView>
  </sheetViews>
  <sheetFormatPr defaultRowHeight="12.75" x14ac:dyDescent="0.2"/>
  <cols>
    <col min="1" max="1" width="21.85546875" style="383" customWidth="1"/>
    <col min="2" max="2" width="13.85546875" style="519" customWidth="1"/>
    <col min="3" max="3" width="12.5703125" style="562" customWidth="1"/>
    <col min="4" max="4" width="11.28515625" style="557" customWidth="1"/>
    <col min="5" max="5" width="12.7109375" style="562" customWidth="1"/>
    <col min="6" max="6" width="12.42578125" style="557" customWidth="1"/>
    <col min="7" max="7" width="9.7109375" style="562" customWidth="1"/>
    <col min="8" max="8" width="10.5703125" style="557" customWidth="1"/>
    <col min="9" max="9" width="10.7109375" style="562" customWidth="1"/>
    <col min="10" max="10" width="11.140625" style="557" customWidth="1"/>
    <col min="11" max="11" width="13.28515625" style="578" customWidth="1"/>
    <col min="12" max="12" width="11.85546875" style="578" customWidth="1"/>
    <col min="13" max="13" width="13.28515625" style="578" customWidth="1"/>
    <col min="14" max="14" width="12.7109375" style="548" customWidth="1"/>
    <col min="15" max="15" width="10.42578125" style="438" customWidth="1"/>
    <col min="16" max="16" width="13.5703125" style="553" customWidth="1"/>
    <col min="17" max="17" width="9.7109375" style="438" customWidth="1"/>
    <col min="18" max="18" width="9.140625" style="438"/>
    <col min="19" max="19" width="15.5703125" style="438" customWidth="1"/>
    <col min="20" max="68" width="9.140625" style="438"/>
  </cols>
  <sheetData>
    <row r="1" spans="1:68" x14ac:dyDescent="0.2">
      <c r="A1" s="515" t="s">
        <v>1365</v>
      </c>
      <c r="B1" s="516"/>
    </row>
    <row r="2" spans="1:68" x14ac:dyDescent="0.2">
      <c r="A2" s="515" t="s">
        <v>374</v>
      </c>
      <c r="B2" s="516"/>
    </row>
    <row r="3" spans="1:68" x14ac:dyDescent="0.2">
      <c r="A3" s="515" t="s">
        <v>1214</v>
      </c>
      <c r="B3" s="516"/>
    </row>
    <row r="4" spans="1:68" x14ac:dyDescent="0.2">
      <c r="A4" s="515"/>
      <c r="B4" s="516"/>
      <c r="K4" s="635" t="s">
        <v>789</v>
      </c>
    </row>
    <row r="5" spans="1:68" x14ac:dyDescent="0.2">
      <c r="A5" s="515" t="s">
        <v>375</v>
      </c>
      <c r="B5" s="516"/>
      <c r="K5" s="635">
        <f>SUM(K11:K130)</f>
        <v>8750000.0000000075</v>
      </c>
    </row>
    <row r="6" spans="1:68" x14ac:dyDescent="0.2">
      <c r="A6" s="515" t="s">
        <v>376</v>
      </c>
      <c r="B6" s="516"/>
    </row>
    <row r="7" spans="1:68" x14ac:dyDescent="0.2">
      <c r="A7" s="515"/>
      <c r="B7" s="516"/>
      <c r="M7" s="582"/>
    </row>
    <row r="8" spans="1:68" s="517" customFormat="1" x14ac:dyDescent="0.2">
      <c r="B8" s="518"/>
      <c r="C8" s="550" t="s">
        <v>1475</v>
      </c>
      <c r="D8" s="549" t="s">
        <v>1475</v>
      </c>
      <c r="E8" s="550" t="s">
        <v>1476</v>
      </c>
      <c r="F8" s="549" t="s">
        <v>1476</v>
      </c>
      <c r="G8" s="550" t="s">
        <v>1477</v>
      </c>
      <c r="H8" s="549" t="s">
        <v>1477</v>
      </c>
      <c r="I8" s="550" t="s">
        <v>1470</v>
      </c>
      <c r="J8" s="549" t="s">
        <v>1470</v>
      </c>
      <c r="K8" s="579" t="s">
        <v>770</v>
      </c>
      <c r="L8" s="533" t="s">
        <v>770</v>
      </c>
      <c r="M8" s="579" t="s">
        <v>1474</v>
      </c>
      <c r="N8" s="603" t="s">
        <v>409</v>
      </c>
      <c r="O8" s="604"/>
      <c r="P8" s="605" t="s">
        <v>410</v>
      </c>
      <c r="Q8" s="520"/>
      <c r="R8" s="520"/>
      <c r="S8" s="922" t="s">
        <v>1132</v>
      </c>
      <c r="T8" s="520"/>
      <c r="U8" s="520"/>
      <c r="V8" s="520"/>
      <c r="W8" s="520"/>
      <c r="X8" s="520"/>
      <c r="Y8" s="520"/>
      <c r="Z8" s="520"/>
      <c r="AA8" s="520"/>
      <c r="AB8" s="520"/>
      <c r="AC8" s="520"/>
      <c r="AD8" s="520"/>
      <c r="AE8" s="520"/>
      <c r="AF8" s="520"/>
      <c r="AG8" s="520"/>
      <c r="AH8" s="520"/>
      <c r="AI8" s="520"/>
      <c r="AJ8" s="520"/>
      <c r="AK8" s="520"/>
      <c r="AL8" s="520"/>
      <c r="AM8" s="520"/>
      <c r="AN8" s="520"/>
      <c r="AO8" s="520"/>
      <c r="AP8" s="520"/>
      <c r="AQ8" s="520"/>
      <c r="AR8" s="520"/>
      <c r="AS8" s="520"/>
      <c r="AT8" s="520"/>
      <c r="AU8" s="520"/>
      <c r="AV8" s="520"/>
      <c r="AW8" s="520"/>
      <c r="AX8" s="520"/>
      <c r="AY8" s="520"/>
      <c r="AZ8" s="520"/>
      <c r="BA8" s="520"/>
      <c r="BB8" s="520"/>
      <c r="BC8" s="520"/>
      <c r="BD8" s="520"/>
      <c r="BE8" s="520"/>
      <c r="BF8" s="520"/>
      <c r="BG8" s="520"/>
      <c r="BH8" s="520"/>
      <c r="BI8" s="520"/>
      <c r="BJ8" s="520"/>
      <c r="BK8" s="520"/>
      <c r="BL8" s="520"/>
      <c r="BM8" s="520"/>
      <c r="BN8" s="520"/>
      <c r="BO8" s="520"/>
      <c r="BP8" s="520"/>
    </row>
    <row r="9" spans="1:68" s="517" customFormat="1" x14ac:dyDescent="0.2">
      <c r="A9" s="517" t="s">
        <v>383</v>
      </c>
      <c r="B9" s="518" t="s">
        <v>384</v>
      </c>
      <c r="C9" s="550" t="s">
        <v>1472</v>
      </c>
      <c r="D9" s="549" t="s">
        <v>1472</v>
      </c>
      <c r="E9" s="550" t="s">
        <v>1472</v>
      </c>
      <c r="F9" s="549" t="s">
        <v>1472</v>
      </c>
      <c r="G9" s="550" t="s">
        <v>1478</v>
      </c>
      <c r="H9" s="549" t="s">
        <v>1478</v>
      </c>
      <c r="I9" s="550" t="s">
        <v>1479</v>
      </c>
      <c r="J9" s="549" t="s">
        <v>1479</v>
      </c>
      <c r="K9" s="579" t="s">
        <v>863</v>
      </c>
      <c r="L9" s="533" t="s">
        <v>862</v>
      </c>
      <c r="M9" s="579"/>
      <c r="N9" s="606">
        <f>XNPV(Breakout!$C$5,N10:N130,$B$10:$B$130)</f>
        <v>-267009.74119724211</v>
      </c>
      <c r="O9" s="606"/>
      <c r="P9" s="606">
        <f>XNPV(Breakout!$C$5,P10:P130,$B$10:$B$130)</f>
        <v>-267009.74119724211</v>
      </c>
      <c r="Q9" s="520"/>
      <c r="R9" s="520"/>
      <c r="S9" s="606">
        <f>XNPV(Breakout!$C$5,S10:S130,$B$10:$B$130)</f>
        <v>380000</v>
      </c>
      <c r="T9" s="520"/>
      <c r="U9" s="520"/>
      <c r="V9" s="520"/>
      <c r="W9" s="520"/>
      <c r="X9" s="520"/>
      <c r="Y9" s="520"/>
      <c r="Z9" s="520"/>
      <c r="AA9" s="520"/>
      <c r="AB9" s="520"/>
      <c r="AC9" s="520"/>
      <c r="AD9" s="520"/>
      <c r="AE9" s="520"/>
      <c r="AF9" s="520"/>
      <c r="AG9" s="520"/>
      <c r="AH9" s="520"/>
      <c r="AI9" s="520"/>
      <c r="AJ9" s="520"/>
      <c r="AK9" s="520"/>
      <c r="AL9" s="520"/>
      <c r="AM9" s="520"/>
      <c r="AN9" s="520"/>
      <c r="AO9" s="520"/>
      <c r="AP9" s="520"/>
      <c r="AQ9" s="520"/>
      <c r="AR9" s="520"/>
      <c r="AS9" s="520"/>
      <c r="AT9" s="520"/>
      <c r="AU9" s="520"/>
      <c r="AV9" s="520"/>
      <c r="AW9" s="520"/>
      <c r="AX9" s="520"/>
      <c r="AY9" s="520"/>
      <c r="AZ9" s="520"/>
      <c r="BA9" s="520"/>
      <c r="BB9" s="520"/>
      <c r="BC9" s="520"/>
      <c r="BD9" s="520"/>
      <c r="BE9" s="520"/>
      <c r="BF9" s="520"/>
      <c r="BG9" s="520"/>
      <c r="BH9" s="520"/>
      <c r="BI9" s="520"/>
      <c r="BJ9" s="520"/>
      <c r="BK9" s="520"/>
      <c r="BL9" s="520"/>
      <c r="BM9" s="520"/>
      <c r="BN9" s="520"/>
      <c r="BO9" s="520"/>
      <c r="BP9" s="520"/>
    </row>
    <row r="10" spans="1:68" s="517" customFormat="1" x14ac:dyDescent="0.2">
      <c r="B10" s="518">
        <v>36434</v>
      </c>
      <c r="C10" s="550"/>
      <c r="D10" s="549"/>
      <c r="E10" s="550"/>
      <c r="F10" s="549"/>
      <c r="G10" s="550"/>
      <c r="H10" s="549"/>
      <c r="I10" s="550"/>
      <c r="J10" s="549"/>
      <c r="K10" s="579"/>
      <c r="L10" s="579"/>
      <c r="M10" s="579"/>
      <c r="N10" s="548">
        <f>K10-M10-S10</f>
        <v>-380000</v>
      </c>
      <c r="O10" s="520"/>
      <c r="P10" s="553">
        <f>L10-M10-S10</f>
        <v>-380000</v>
      </c>
      <c r="Q10" s="520"/>
      <c r="R10" s="520"/>
      <c r="S10" s="520">
        <f>380000</f>
        <v>380000</v>
      </c>
      <c r="T10" s="520"/>
      <c r="U10" s="520"/>
      <c r="V10" s="520"/>
      <c r="W10" s="520"/>
      <c r="X10" s="520"/>
      <c r="Y10" s="520"/>
      <c r="Z10" s="520"/>
      <c r="AA10" s="520"/>
      <c r="AB10" s="520"/>
      <c r="AC10" s="520"/>
      <c r="AD10" s="520"/>
      <c r="AE10" s="520"/>
      <c r="AF10" s="520"/>
      <c r="AG10" s="520"/>
      <c r="AH10" s="520"/>
      <c r="AI10" s="520"/>
      <c r="AJ10" s="520"/>
      <c r="AK10" s="520"/>
      <c r="AL10" s="520"/>
      <c r="AM10" s="520"/>
      <c r="AN10" s="520"/>
      <c r="AO10" s="520"/>
      <c r="AP10" s="520"/>
      <c r="AQ10" s="520"/>
      <c r="AR10" s="520"/>
      <c r="AS10" s="520"/>
      <c r="AT10" s="520"/>
      <c r="AU10" s="520"/>
      <c r="AV10" s="520"/>
      <c r="AW10" s="520"/>
      <c r="AX10" s="520"/>
      <c r="AY10" s="520"/>
      <c r="AZ10" s="520"/>
      <c r="BA10" s="520"/>
      <c r="BB10" s="520"/>
      <c r="BC10" s="520"/>
      <c r="BD10" s="520"/>
      <c r="BE10" s="520"/>
      <c r="BF10" s="520"/>
      <c r="BG10" s="520"/>
      <c r="BH10" s="520"/>
      <c r="BI10" s="520"/>
      <c r="BJ10" s="520"/>
      <c r="BK10" s="520"/>
      <c r="BL10" s="520"/>
      <c r="BM10" s="520"/>
      <c r="BN10" s="520"/>
      <c r="BO10" s="520"/>
      <c r="BP10" s="520"/>
    </row>
    <row r="11" spans="1:68" x14ac:dyDescent="0.2">
      <c r="A11" s="383">
        <v>1</v>
      </c>
      <c r="B11" s="519">
        <v>36526</v>
      </c>
      <c r="C11" s="562">
        <v>0</v>
      </c>
      <c r="D11" s="557">
        <f>-Breakout!C209</f>
        <v>4000000</v>
      </c>
      <c r="E11" s="562">
        <f>Breakout!$C$215/12</f>
        <v>0</v>
      </c>
      <c r="F11" s="557">
        <f>Breakout!$C$216/12</f>
        <v>0</v>
      </c>
      <c r="G11" s="562">
        <f>Breakout!$C$222/12</f>
        <v>16666.666666666668</v>
      </c>
      <c r="H11" s="557">
        <f>Breakout!$C$223/12</f>
        <v>0</v>
      </c>
      <c r="I11" s="562">
        <f>Breakout!$C$229/12</f>
        <v>0</v>
      </c>
      <c r="J11" s="557">
        <f>Breakout!$C$230/12</f>
        <v>0</v>
      </c>
      <c r="K11" s="578">
        <f>C11+E11+G11+I11</f>
        <v>16666.666666666668</v>
      </c>
      <c r="L11" s="554">
        <f>C11+E11+G11+I11</f>
        <v>16666.666666666668</v>
      </c>
      <c r="M11" s="578">
        <f>D11+F11+H11+J11</f>
        <v>4000000</v>
      </c>
      <c r="N11" s="548">
        <f t="shared" ref="N11:N74" si="0">K11-M11-S11</f>
        <v>-3983333.3333333335</v>
      </c>
      <c r="P11" s="553">
        <f t="shared" ref="P11:P74" si="1">L11-M11-S11</f>
        <v>-3983333.3333333335</v>
      </c>
      <c r="S11" s="438">
        <v>0</v>
      </c>
    </row>
    <row r="12" spans="1:68" x14ac:dyDescent="0.2">
      <c r="A12" s="383">
        <v>2</v>
      </c>
      <c r="B12" s="519">
        <v>36557</v>
      </c>
      <c r="C12" s="562">
        <v>0</v>
      </c>
      <c r="D12" s="557">
        <v>0</v>
      </c>
      <c r="E12" s="562">
        <f>Breakout!$C$215/12</f>
        <v>0</v>
      </c>
      <c r="F12" s="557">
        <f>Breakout!$C$216/12</f>
        <v>0</v>
      </c>
      <c r="G12" s="562">
        <f>Breakout!$C$222/12</f>
        <v>16666.666666666668</v>
      </c>
      <c r="H12" s="557">
        <f>Breakout!$C$223/12</f>
        <v>0</v>
      </c>
      <c r="I12" s="562">
        <f>Breakout!$C$229/12</f>
        <v>0</v>
      </c>
      <c r="J12" s="557">
        <f>Breakout!$C$230/12</f>
        <v>0</v>
      </c>
      <c r="K12" s="578">
        <f t="shared" ref="K12:K75" si="2">C12+E12+G12+I12</f>
        <v>16666.666666666668</v>
      </c>
      <c r="L12" s="554">
        <f t="shared" ref="L12:L75" si="3">C12+E12+G12+I12</f>
        <v>16666.666666666668</v>
      </c>
      <c r="M12" s="578">
        <f t="shared" ref="M12:M75" si="4">D12+F12+H12+J12</f>
        <v>0</v>
      </c>
      <c r="N12" s="548">
        <f t="shared" si="0"/>
        <v>16666.666666666668</v>
      </c>
      <c r="P12" s="553">
        <f t="shared" si="1"/>
        <v>16666.666666666668</v>
      </c>
      <c r="S12" s="438">
        <v>0</v>
      </c>
    </row>
    <row r="13" spans="1:68" x14ac:dyDescent="0.2">
      <c r="A13" s="383">
        <v>3</v>
      </c>
      <c r="B13" s="519">
        <v>36586</v>
      </c>
      <c r="C13" s="562">
        <v>0</v>
      </c>
      <c r="D13" s="557">
        <v>0</v>
      </c>
      <c r="E13" s="562">
        <f>Breakout!$C$215/12</f>
        <v>0</v>
      </c>
      <c r="F13" s="557">
        <f>Breakout!$C$216/12</f>
        <v>0</v>
      </c>
      <c r="G13" s="562">
        <f>Breakout!$C$222/12</f>
        <v>16666.666666666668</v>
      </c>
      <c r="H13" s="557">
        <f>Breakout!$C$223/12</f>
        <v>0</v>
      </c>
      <c r="I13" s="562">
        <f>Breakout!$C$229/12</f>
        <v>0</v>
      </c>
      <c r="J13" s="557">
        <f>Breakout!$C$230/12</f>
        <v>0</v>
      </c>
      <c r="K13" s="578">
        <f t="shared" si="2"/>
        <v>16666.666666666668</v>
      </c>
      <c r="L13" s="554">
        <f t="shared" si="3"/>
        <v>16666.666666666668</v>
      </c>
      <c r="M13" s="578">
        <f t="shared" si="4"/>
        <v>0</v>
      </c>
      <c r="N13" s="548">
        <f t="shared" si="0"/>
        <v>16666.666666666668</v>
      </c>
      <c r="P13" s="553">
        <f t="shared" si="1"/>
        <v>16666.666666666668</v>
      </c>
      <c r="S13" s="438">
        <v>0</v>
      </c>
    </row>
    <row r="14" spans="1:68" x14ac:dyDescent="0.2">
      <c r="A14" s="383">
        <v>4</v>
      </c>
      <c r="B14" s="519">
        <v>36617</v>
      </c>
      <c r="C14" s="562">
        <v>0</v>
      </c>
      <c r="D14" s="557">
        <v>0</v>
      </c>
      <c r="E14" s="562">
        <f>Breakout!$C$215/12</f>
        <v>0</v>
      </c>
      <c r="F14" s="557">
        <f>Breakout!$C$216/12</f>
        <v>0</v>
      </c>
      <c r="G14" s="562">
        <f>Breakout!$C$222/12</f>
        <v>16666.666666666668</v>
      </c>
      <c r="H14" s="557">
        <f>Breakout!$C$223/12</f>
        <v>0</v>
      </c>
      <c r="I14" s="562">
        <f>Breakout!$C$229/12</f>
        <v>0</v>
      </c>
      <c r="J14" s="557">
        <f>Breakout!$C$230/12</f>
        <v>0</v>
      </c>
      <c r="K14" s="578">
        <f t="shared" si="2"/>
        <v>16666.666666666668</v>
      </c>
      <c r="L14" s="554">
        <f t="shared" si="3"/>
        <v>16666.666666666668</v>
      </c>
      <c r="M14" s="578">
        <f t="shared" si="4"/>
        <v>0</v>
      </c>
      <c r="N14" s="548">
        <f t="shared" si="0"/>
        <v>16666.666666666668</v>
      </c>
      <c r="P14" s="553">
        <f t="shared" si="1"/>
        <v>16666.666666666668</v>
      </c>
      <c r="S14" s="438">
        <v>0</v>
      </c>
    </row>
    <row r="15" spans="1:68" x14ac:dyDescent="0.2">
      <c r="A15" s="383">
        <v>5</v>
      </c>
      <c r="B15" s="519">
        <v>36647</v>
      </c>
      <c r="C15" s="562">
        <v>0</v>
      </c>
      <c r="D15" s="557">
        <v>0</v>
      </c>
      <c r="E15" s="562">
        <f>Breakout!$C$215/12</f>
        <v>0</v>
      </c>
      <c r="F15" s="557">
        <f>Breakout!$C$216/12</f>
        <v>0</v>
      </c>
      <c r="G15" s="562">
        <f>Breakout!$C$222/12</f>
        <v>16666.666666666668</v>
      </c>
      <c r="H15" s="557">
        <f>Breakout!$C$223/12</f>
        <v>0</v>
      </c>
      <c r="I15" s="562">
        <f>Breakout!$C$229/12</f>
        <v>0</v>
      </c>
      <c r="J15" s="557">
        <f>Breakout!$C$230/12</f>
        <v>0</v>
      </c>
      <c r="K15" s="578">
        <f t="shared" si="2"/>
        <v>16666.666666666668</v>
      </c>
      <c r="L15" s="554">
        <f t="shared" si="3"/>
        <v>16666.666666666668</v>
      </c>
      <c r="M15" s="578">
        <f t="shared" si="4"/>
        <v>0</v>
      </c>
      <c r="N15" s="548">
        <f t="shared" si="0"/>
        <v>16666.666666666668</v>
      </c>
      <c r="P15" s="553">
        <f t="shared" si="1"/>
        <v>16666.666666666668</v>
      </c>
      <c r="S15" s="438">
        <v>0</v>
      </c>
    </row>
    <row r="16" spans="1:68" x14ac:dyDescent="0.2">
      <c r="A16" s="383">
        <v>6</v>
      </c>
      <c r="B16" s="519">
        <v>36678</v>
      </c>
      <c r="C16" s="562">
        <v>0</v>
      </c>
      <c r="D16" s="557">
        <v>0</v>
      </c>
      <c r="E16" s="562">
        <f>Breakout!$C$215/12</f>
        <v>0</v>
      </c>
      <c r="F16" s="557">
        <f>Breakout!$C$216/12</f>
        <v>0</v>
      </c>
      <c r="G16" s="562">
        <f>Breakout!$C$222/12</f>
        <v>16666.666666666668</v>
      </c>
      <c r="H16" s="557">
        <f>Breakout!$C$223/12</f>
        <v>0</v>
      </c>
      <c r="I16" s="562">
        <f>Breakout!$C$229/12</f>
        <v>0</v>
      </c>
      <c r="J16" s="557">
        <f>Breakout!$C$230/12</f>
        <v>0</v>
      </c>
      <c r="K16" s="578">
        <f t="shared" si="2"/>
        <v>16666.666666666668</v>
      </c>
      <c r="L16" s="554">
        <f t="shared" si="3"/>
        <v>16666.666666666668</v>
      </c>
      <c r="M16" s="578">
        <f t="shared" si="4"/>
        <v>0</v>
      </c>
      <c r="N16" s="548">
        <f t="shared" si="0"/>
        <v>16666.666666666668</v>
      </c>
      <c r="P16" s="553">
        <f t="shared" si="1"/>
        <v>16666.666666666668</v>
      </c>
      <c r="S16" s="438">
        <v>0</v>
      </c>
    </row>
    <row r="17" spans="1:68" x14ac:dyDescent="0.2">
      <c r="A17" s="383">
        <v>7</v>
      </c>
      <c r="B17" s="519">
        <v>36708</v>
      </c>
      <c r="C17" s="562">
        <v>0</v>
      </c>
      <c r="D17" s="557">
        <v>0</v>
      </c>
      <c r="E17" s="562">
        <f>Breakout!$C$215/12</f>
        <v>0</v>
      </c>
      <c r="F17" s="557">
        <f>Breakout!$C$216/12</f>
        <v>0</v>
      </c>
      <c r="G17" s="562">
        <f>Breakout!$C$222/12</f>
        <v>16666.666666666668</v>
      </c>
      <c r="H17" s="557">
        <f>Breakout!$C$223/12</f>
        <v>0</v>
      </c>
      <c r="I17" s="562">
        <f>Breakout!$C$229/12</f>
        <v>0</v>
      </c>
      <c r="J17" s="557">
        <f>Breakout!$C$230/12</f>
        <v>0</v>
      </c>
      <c r="K17" s="578">
        <f t="shared" si="2"/>
        <v>16666.666666666668</v>
      </c>
      <c r="L17" s="554">
        <f t="shared" si="3"/>
        <v>16666.666666666668</v>
      </c>
      <c r="M17" s="578">
        <f t="shared" si="4"/>
        <v>0</v>
      </c>
      <c r="N17" s="548">
        <f t="shared" si="0"/>
        <v>16666.666666666668</v>
      </c>
      <c r="P17" s="553">
        <f t="shared" si="1"/>
        <v>16666.666666666668</v>
      </c>
      <c r="S17" s="438">
        <v>0</v>
      </c>
    </row>
    <row r="18" spans="1:68" x14ac:dyDescent="0.2">
      <c r="A18" s="383">
        <v>8</v>
      </c>
      <c r="B18" s="519">
        <v>36739</v>
      </c>
      <c r="C18" s="562">
        <v>0</v>
      </c>
      <c r="D18" s="557">
        <v>0</v>
      </c>
      <c r="E18" s="562">
        <f>Breakout!$C$215/12</f>
        <v>0</v>
      </c>
      <c r="F18" s="557">
        <f>Breakout!$C$216/12</f>
        <v>0</v>
      </c>
      <c r="G18" s="562">
        <f>Breakout!$C$222/12</f>
        <v>16666.666666666668</v>
      </c>
      <c r="H18" s="557">
        <f>Breakout!$C$223/12</f>
        <v>0</v>
      </c>
      <c r="I18" s="562">
        <f>Breakout!$C$229/12</f>
        <v>0</v>
      </c>
      <c r="J18" s="557">
        <f>Breakout!$C$230/12</f>
        <v>0</v>
      </c>
      <c r="K18" s="578">
        <f t="shared" si="2"/>
        <v>16666.666666666668</v>
      </c>
      <c r="L18" s="554">
        <f t="shared" si="3"/>
        <v>16666.666666666668</v>
      </c>
      <c r="M18" s="578">
        <f t="shared" si="4"/>
        <v>0</v>
      </c>
      <c r="N18" s="548">
        <f t="shared" si="0"/>
        <v>16666.666666666668</v>
      </c>
      <c r="P18" s="553">
        <f t="shared" si="1"/>
        <v>16666.666666666668</v>
      </c>
      <c r="S18" s="438">
        <v>0</v>
      </c>
    </row>
    <row r="19" spans="1:68" x14ac:dyDescent="0.2">
      <c r="A19" s="383">
        <v>9</v>
      </c>
      <c r="B19" s="519">
        <v>36770</v>
      </c>
      <c r="C19" s="562">
        <v>0</v>
      </c>
      <c r="D19" s="557">
        <v>0</v>
      </c>
      <c r="E19" s="562">
        <f>Breakout!$C$215/12</f>
        <v>0</v>
      </c>
      <c r="F19" s="557">
        <f>Breakout!$C$216/12</f>
        <v>0</v>
      </c>
      <c r="G19" s="562">
        <f>Breakout!$C$222/12</f>
        <v>16666.666666666668</v>
      </c>
      <c r="H19" s="557">
        <f>Breakout!$C$223/12</f>
        <v>0</v>
      </c>
      <c r="I19" s="562">
        <f>Breakout!$C$229/12</f>
        <v>0</v>
      </c>
      <c r="J19" s="557">
        <f>Breakout!$C$230/12</f>
        <v>0</v>
      </c>
      <c r="K19" s="578">
        <f t="shared" si="2"/>
        <v>16666.666666666668</v>
      </c>
      <c r="L19" s="554">
        <f t="shared" si="3"/>
        <v>16666.666666666668</v>
      </c>
      <c r="M19" s="578">
        <f t="shared" si="4"/>
        <v>0</v>
      </c>
      <c r="N19" s="548">
        <f t="shared" si="0"/>
        <v>16666.666666666668</v>
      </c>
      <c r="P19" s="553">
        <f t="shared" si="1"/>
        <v>16666.666666666668</v>
      </c>
      <c r="S19" s="438">
        <v>0</v>
      </c>
    </row>
    <row r="20" spans="1:68" x14ac:dyDescent="0.2">
      <c r="A20" s="383">
        <v>10</v>
      </c>
      <c r="B20" s="519">
        <v>36800</v>
      </c>
      <c r="C20" s="562">
        <v>0</v>
      </c>
      <c r="D20" s="557">
        <v>0</v>
      </c>
      <c r="E20" s="562">
        <f>Breakout!$C$215/12</f>
        <v>0</v>
      </c>
      <c r="F20" s="557">
        <f>Breakout!$C$216/12</f>
        <v>0</v>
      </c>
      <c r="G20" s="562">
        <f>Breakout!$C$222/12</f>
        <v>16666.666666666668</v>
      </c>
      <c r="H20" s="557">
        <f>Breakout!$C$223/12</f>
        <v>0</v>
      </c>
      <c r="I20" s="562">
        <f>Breakout!$C$229/12</f>
        <v>0</v>
      </c>
      <c r="J20" s="557">
        <f>Breakout!$C$230/12</f>
        <v>0</v>
      </c>
      <c r="K20" s="578">
        <f>C20+E20+G20+I20</f>
        <v>16666.666666666668</v>
      </c>
      <c r="L20" s="554">
        <f>C20+E20+G20+I20</f>
        <v>16666.666666666668</v>
      </c>
      <c r="M20" s="578">
        <f>D20+F20+H20+J20</f>
        <v>0</v>
      </c>
      <c r="N20" s="548">
        <f t="shared" si="0"/>
        <v>16666.666666666668</v>
      </c>
      <c r="P20" s="553">
        <f t="shared" si="1"/>
        <v>16666.666666666668</v>
      </c>
      <c r="S20" s="438">
        <v>0</v>
      </c>
    </row>
    <row r="21" spans="1:68" x14ac:dyDescent="0.2">
      <c r="A21" s="383">
        <v>11</v>
      </c>
      <c r="B21" s="519">
        <v>36831</v>
      </c>
      <c r="C21" s="562">
        <v>0</v>
      </c>
      <c r="D21" s="557">
        <v>0</v>
      </c>
      <c r="E21" s="562">
        <f>Breakout!$C$215/12</f>
        <v>0</v>
      </c>
      <c r="F21" s="557">
        <f>Breakout!$C$216/12</f>
        <v>0</v>
      </c>
      <c r="G21" s="562">
        <f>Breakout!$C$222/12</f>
        <v>16666.666666666668</v>
      </c>
      <c r="H21" s="557">
        <f>Breakout!$C$223/12</f>
        <v>0</v>
      </c>
      <c r="I21" s="562">
        <f>Breakout!$C$229/12</f>
        <v>0</v>
      </c>
      <c r="J21" s="557">
        <f>Breakout!$C$230/12</f>
        <v>0</v>
      </c>
      <c r="K21" s="578">
        <f t="shared" si="2"/>
        <v>16666.666666666668</v>
      </c>
      <c r="L21" s="554">
        <f t="shared" si="3"/>
        <v>16666.666666666668</v>
      </c>
      <c r="M21" s="578">
        <f t="shared" si="4"/>
        <v>0</v>
      </c>
      <c r="N21" s="548">
        <f t="shared" si="0"/>
        <v>16666.666666666668</v>
      </c>
      <c r="P21" s="553">
        <f t="shared" si="1"/>
        <v>16666.666666666668</v>
      </c>
      <c r="S21" s="438">
        <v>0</v>
      </c>
    </row>
    <row r="22" spans="1:68" s="525" customFormat="1" x14ac:dyDescent="0.2">
      <c r="A22" s="521">
        <v>12</v>
      </c>
      <c r="B22" s="522">
        <v>36861</v>
      </c>
      <c r="C22" s="562">
        <v>0</v>
      </c>
      <c r="D22" s="557">
        <v>0</v>
      </c>
      <c r="E22" s="563">
        <f>Breakout!$C$215/12</f>
        <v>0</v>
      </c>
      <c r="F22" s="561">
        <f>Breakout!$C$216/12</f>
        <v>0</v>
      </c>
      <c r="G22" s="563">
        <f>Breakout!$C$222/12</f>
        <v>16666.666666666668</v>
      </c>
      <c r="H22" s="561">
        <f>Breakout!$C$223/12</f>
        <v>0</v>
      </c>
      <c r="I22" s="563">
        <f>Breakout!$C$229/12</f>
        <v>0</v>
      </c>
      <c r="J22" s="561">
        <f>Breakout!$C$230/12</f>
        <v>0</v>
      </c>
      <c r="K22" s="578">
        <f t="shared" si="2"/>
        <v>16666.666666666668</v>
      </c>
      <c r="L22" s="554">
        <f t="shared" si="3"/>
        <v>16666.666666666668</v>
      </c>
      <c r="M22" s="578">
        <f t="shared" si="4"/>
        <v>0</v>
      </c>
      <c r="N22" s="548">
        <f t="shared" si="0"/>
        <v>16666.666666666668</v>
      </c>
      <c r="O22" s="524">
        <f>SUM(N11:N22)</f>
        <v>-3800000.0000000019</v>
      </c>
      <c r="P22" s="553">
        <f t="shared" si="1"/>
        <v>16666.666666666668</v>
      </c>
      <c r="Q22" s="524">
        <f>SUM(P11:P22)</f>
        <v>-3800000.0000000019</v>
      </c>
      <c r="R22" s="524"/>
      <c r="S22" s="438">
        <v>0</v>
      </c>
      <c r="T22" s="524"/>
      <c r="U22" s="524"/>
      <c r="V22" s="524"/>
      <c r="W22" s="524"/>
      <c r="X22" s="524"/>
      <c r="Y22" s="524"/>
      <c r="Z22" s="524"/>
      <c r="AA22" s="524"/>
      <c r="AB22" s="524"/>
      <c r="AC22" s="524"/>
      <c r="AD22" s="524"/>
      <c r="AE22" s="524"/>
      <c r="AF22" s="524"/>
      <c r="AG22" s="524"/>
      <c r="AH22" s="524"/>
      <c r="AI22" s="524"/>
      <c r="AJ22" s="524"/>
      <c r="AK22" s="524"/>
      <c r="AL22" s="524"/>
      <c r="AM22" s="524"/>
      <c r="AN22" s="524"/>
      <c r="AO22" s="524"/>
      <c r="AP22" s="524"/>
      <c r="AQ22" s="524"/>
      <c r="AR22" s="524"/>
      <c r="AS22" s="524"/>
      <c r="AT22" s="524"/>
      <c r="AU22" s="524"/>
      <c r="AV22" s="524"/>
      <c r="AW22" s="524"/>
      <c r="AX22" s="524"/>
      <c r="AY22" s="524"/>
      <c r="AZ22" s="524"/>
      <c r="BA22" s="524"/>
      <c r="BB22" s="524"/>
      <c r="BC22" s="524"/>
      <c r="BD22" s="524"/>
      <c r="BE22" s="524"/>
      <c r="BF22" s="524"/>
      <c r="BG22" s="524"/>
      <c r="BH22" s="524"/>
      <c r="BI22" s="524"/>
      <c r="BJ22" s="524"/>
      <c r="BK22" s="524"/>
      <c r="BL22" s="524"/>
      <c r="BM22" s="524"/>
      <c r="BN22" s="524"/>
      <c r="BO22" s="524"/>
      <c r="BP22" s="524"/>
    </row>
    <row r="23" spans="1:68" x14ac:dyDescent="0.2">
      <c r="A23" s="383">
        <v>13</v>
      </c>
      <c r="B23" s="519">
        <v>36892</v>
      </c>
      <c r="C23" s="562">
        <v>0</v>
      </c>
      <c r="D23" s="557">
        <v>0</v>
      </c>
      <c r="E23" s="562">
        <f>Breakout!$D$215/12</f>
        <v>0</v>
      </c>
      <c r="F23" s="557">
        <f>Breakout!$D$216/12</f>
        <v>0</v>
      </c>
      <c r="G23" s="562">
        <f>Breakout!$D$222/12</f>
        <v>29166.666666666668</v>
      </c>
      <c r="H23" s="557">
        <f>Breakout!$D$223/12</f>
        <v>0</v>
      </c>
      <c r="I23" s="562">
        <f>Breakout!$D$229/12</f>
        <v>0</v>
      </c>
      <c r="J23" s="557">
        <f>Breakout!$D$230/12</f>
        <v>0</v>
      </c>
      <c r="K23" s="578">
        <f t="shared" si="2"/>
        <v>29166.666666666668</v>
      </c>
      <c r="L23" s="554">
        <f t="shared" si="3"/>
        <v>29166.666666666668</v>
      </c>
      <c r="M23" s="578">
        <f t="shared" si="4"/>
        <v>0</v>
      </c>
      <c r="N23" s="548">
        <f t="shared" si="0"/>
        <v>29166.666666666668</v>
      </c>
      <c r="P23" s="553">
        <f t="shared" si="1"/>
        <v>29166.666666666668</v>
      </c>
      <c r="S23" s="438">
        <v>0</v>
      </c>
    </row>
    <row r="24" spans="1:68" x14ac:dyDescent="0.2">
      <c r="A24" s="383">
        <v>14</v>
      </c>
      <c r="B24" s="519">
        <v>36923</v>
      </c>
      <c r="C24" s="562">
        <v>0</v>
      </c>
      <c r="D24" s="557">
        <v>0</v>
      </c>
      <c r="E24" s="562">
        <f>Breakout!$D$215/12</f>
        <v>0</v>
      </c>
      <c r="F24" s="557">
        <f>Breakout!$D$216/12</f>
        <v>0</v>
      </c>
      <c r="G24" s="562">
        <f>Breakout!$D$222/12</f>
        <v>29166.666666666668</v>
      </c>
      <c r="H24" s="557">
        <f>Breakout!$D$223/12</f>
        <v>0</v>
      </c>
      <c r="I24" s="562">
        <f>Breakout!$D$229/12</f>
        <v>0</v>
      </c>
      <c r="J24" s="557">
        <f>Breakout!$D$230/12</f>
        <v>0</v>
      </c>
      <c r="K24" s="578">
        <f t="shared" si="2"/>
        <v>29166.666666666668</v>
      </c>
      <c r="L24" s="554">
        <f t="shared" si="3"/>
        <v>29166.666666666668</v>
      </c>
      <c r="M24" s="578">
        <f t="shared" si="4"/>
        <v>0</v>
      </c>
      <c r="N24" s="548">
        <f t="shared" si="0"/>
        <v>29166.666666666668</v>
      </c>
      <c r="P24" s="553">
        <f t="shared" si="1"/>
        <v>29166.666666666668</v>
      </c>
      <c r="S24" s="438">
        <v>0</v>
      </c>
    </row>
    <row r="25" spans="1:68" x14ac:dyDescent="0.2">
      <c r="A25" s="383">
        <v>15</v>
      </c>
      <c r="B25" s="519">
        <v>36951</v>
      </c>
      <c r="C25" s="562">
        <v>0</v>
      </c>
      <c r="D25" s="557">
        <v>0</v>
      </c>
      <c r="E25" s="562">
        <f>Breakout!$D$215/12</f>
        <v>0</v>
      </c>
      <c r="F25" s="557">
        <f>Breakout!$D$216/12</f>
        <v>0</v>
      </c>
      <c r="G25" s="562">
        <f>Breakout!$D$222/12</f>
        <v>29166.666666666668</v>
      </c>
      <c r="H25" s="557">
        <f>Breakout!$D$223/12</f>
        <v>0</v>
      </c>
      <c r="I25" s="562">
        <f>Breakout!$D$229/12</f>
        <v>0</v>
      </c>
      <c r="J25" s="557">
        <f>Breakout!$D$230/12</f>
        <v>0</v>
      </c>
      <c r="K25" s="578">
        <f t="shared" si="2"/>
        <v>29166.666666666668</v>
      </c>
      <c r="L25" s="554">
        <f t="shared" si="3"/>
        <v>29166.666666666668</v>
      </c>
      <c r="M25" s="578">
        <f t="shared" si="4"/>
        <v>0</v>
      </c>
      <c r="N25" s="548">
        <f t="shared" si="0"/>
        <v>29166.666666666668</v>
      </c>
      <c r="P25" s="553">
        <f t="shared" si="1"/>
        <v>29166.666666666668</v>
      </c>
      <c r="S25" s="438">
        <v>0</v>
      </c>
    </row>
    <row r="26" spans="1:68" x14ac:dyDescent="0.2">
      <c r="A26" s="383">
        <v>16</v>
      </c>
      <c r="B26" s="519">
        <v>36982</v>
      </c>
      <c r="C26" s="562">
        <v>0</v>
      </c>
      <c r="D26" s="557">
        <v>0</v>
      </c>
      <c r="E26" s="562">
        <f>Breakout!$D$215/12</f>
        <v>0</v>
      </c>
      <c r="F26" s="557">
        <f>Breakout!$D$216/12</f>
        <v>0</v>
      </c>
      <c r="G26" s="562">
        <f>Breakout!$D$222/12</f>
        <v>29166.666666666668</v>
      </c>
      <c r="H26" s="557">
        <f>Breakout!$D$223/12</f>
        <v>0</v>
      </c>
      <c r="I26" s="562">
        <f>Breakout!$D$229/12</f>
        <v>0</v>
      </c>
      <c r="J26" s="557">
        <f>Breakout!$D$230/12</f>
        <v>0</v>
      </c>
      <c r="K26" s="578">
        <f t="shared" si="2"/>
        <v>29166.666666666668</v>
      </c>
      <c r="L26" s="554">
        <f t="shared" si="3"/>
        <v>29166.666666666668</v>
      </c>
      <c r="M26" s="578">
        <f t="shared" si="4"/>
        <v>0</v>
      </c>
      <c r="N26" s="548">
        <f t="shared" si="0"/>
        <v>29166.666666666668</v>
      </c>
      <c r="P26" s="553">
        <f t="shared" si="1"/>
        <v>29166.666666666668</v>
      </c>
      <c r="S26" s="438">
        <v>0</v>
      </c>
    </row>
    <row r="27" spans="1:68" x14ac:dyDescent="0.2">
      <c r="A27" s="383">
        <v>17</v>
      </c>
      <c r="B27" s="519">
        <v>37012</v>
      </c>
      <c r="C27" s="562">
        <v>0</v>
      </c>
      <c r="D27" s="557">
        <v>0</v>
      </c>
      <c r="E27" s="562">
        <f>Breakout!$D$215/12</f>
        <v>0</v>
      </c>
      <c r="F27" s="557">
        <f>Breakout!$D$216/12</f>
        <v>0</v>
      </c>
      <c r="G27" s="562">
        <f>Breakout!$D$222/12</f>
        <v>29166.666666666668</v>
      </c>
      <c r="H27" s="557">
        <f>Breakout!$D$223/12</f>
        <v>0</v>
      </c>
      <c r="I27" s="562">
        <f>Breakout!$D$229/12</f>
        <v>0</v>
      </c>
      <c r="J27" s="557">
        <f>Breakout!$D$230/12</f>
        <v>0</v>
      </c>
      <c r="K27" s="578">
        <f t="shared" si="2"/>
        <v>29166.666666666668</v>
      </c>
      <c r="L27" s="554">
        <f t="shared" si="3"/>
        <v>29166.666666666668</v>
      </c>
      <c r="M27" s="578">
        <f t="shared" si="4"/>
        <v>0</v>
      </c>
      <c r="N27" s="548">
        <f t="shared" si="0"/>
        <v>29166.666666666668</v>
      </c>
      <c r="P27" s="553">
        <f t="shared" si="1"/>
        <v>29166.666666666668</v>
      </c>
      <c r="S27" s="438">
        <v>0</v>
      </c>
    </row>
    <row r="28" spans="1:68" x14ac:dyDescent="0.2">
      <c r="A28" s="383">
        <v>18</v>
      </c>
      <c r="B28" s="519">
        <v>37043</v>
      </c>
      <c r="C28" s="562">
        <v>0</v>
      </c>
      <c r="D28" s="557">
        <v>0</v>
      </c>
      <c r="E28" s="562">
        <f>Breakout!$D$215/12</f>
        <v>0</v>
      </c>
      <c r="F28" s="557">
        <f>Breakout!$D$216/12</f>
        <v>0</v>
      </c>
      <c r="G28" s="562">
        <f>Breakout!$D$222/12</f>
        <v>29166.666666666668</v>
      </c>
      <c r="H28" s="557">
        <f>Breakout!$D$223/12</f>
        <v>0</v>
      </c>
      <c r="I28" s="562">
        <f>Breakout!$D$229/12</f>
        <v>0</v>
      </c>
      <c r="J28" s="557">
        <f>Breakout!$D$230/12</f>
        <v>0</v>
      </c>
      <c r="K28" s="578">
        <f t="shared" si="2"/>
        <v>29166.666666666668</v>
      </c>
      <c r="L28" s="554">
        <f t="shared" si="3"/>
        <v>29166.666666666668</v>
      </c>
      <c r="M28" s="578">
        <f t="shared" si="4"/>
        <v>0</v>
      </c>
      <c r="N28" s="548">
        <f t="shared" si="0"/>
        <v>29166.666666666668</v>
      </c>
      <c r="P28" s="553">
        <f t="shared" si="1"/>
        <v>29166.666666666668</v>
      </c>
      <c r="S28" s="438">
        <v>0</v>
      </c>
    </row>
    <row r="29" spans="1:68" x14ac:dyDescent="0.2">
      <c r="A29" s="383">
        <v>19</v>
      </c>
      <c r="B29" s="519">
        <v>37073</v>
      </c>
      <c r="C29" s="562">
        <v>0</v>
      </c>
      <c r="D29" s="557">
        <v>0</v>
      </c>
      <c r="E29" s="562">
        <f>Breakout!$D$215/12</f>
        <v>0</v>
      </c>
      <c r="F29" s="557">
        <f>Breakout!$D$216/12</f>
        <v>0</v>
      </c>
      <c r="G29" s="562">
        <f>Breakout!$D$222/12</f>
        <v>29166.666666666668</v>
      </c>
      <c r="H29" s="557">
        <f>Breakout!$D$223/12</f>
        <v>0</v>
      </c>
      <c r="I29" s="562">
        <f>Breakout!$D$229/12</f>
        <v>0</v>
      </c>
      <c r="J29" s="557">
        <f>Breakout!$D$230/12</f>
        <v>0</v>
      </c>
      <c r="K29" s="578">
        <f t="shared" si="2"/>
        <v>29166.666666666668</v>
      </c>
      <c r="L29" s="554">
        <f t="shared" si="3"/>
        <v>29166.666666666668</v>
      </c>
      <c r="M29" s="578">
        <f t="shared" si="4"/>
        <v>0</v>
      </c>
      <c r="N29" s="548">
        <f t="shared" si="0"/>
        <v>29166.666666666668</v>
      </c>
      <c r="P29" s="553">
        <f t="shared" si="1"/>
        <v>29166.666666666668</v>
      </c>
      <c r="S29" s="438">
        <v>0</v>
      </c>
    </row>
    <row r="30" spans="1:68" x14ac:dyDescent="0.2">
      <c r="A30" s="383">
        <v>20</v>
      </c>
      <c r="B30" s="519">
        <v>37104</v>
      </c>
      <c r="C30" s="562">
        <v>0</v>
      </c>
      <c r="D30" s="557">
        <v>0</v>
      </c>
      <c r="E30" s="562">
        <f>Breakout!$D$215/12</f>
        <v>0</v>
      </c>
      <c r="F30" s="557">
        <f>Breakout!$D$216/12</f>
        <v>0</v>
      </c>
      <c r="G30" s="562">
        <f>Breakout!$D$222/12</f>
        <v>29166.666666666668</v>
      </c>
      <c r="H30" s="557">
        <f>Breakout!$D$223/12</f>
        <v>0</v>
      </c>
      <c r="I30" s="562">
        <f>Breakout!$D$229/12</f>
        <v>0</v>
      </c>
      <c r="J30" s="557">
        <f>Breakout!$D$230/12</f>
        <v>0</v>
      </c>
      <c r="K30" s="578">
        <f t="shared" si="2"/>
        <v>29166.666666666668</v>
      </c>
      <c r="L30" s="554">
        <f t="shared" si="3"/>
        <v>29166.666666666668</v>
      </c>
      <c r="M30" s="578">
        <f t="shared" si="4"/>
        <v>0</v>
      </c>
      <c r="N30" s="548">
        <f t="shared" si="0"/>
        <v>29166.666666666668</v>
      </c>
      <c r="P30" s="553">
        <f t="shared" si="1"/>
        <v>29166.666666666668</v>
      </c>
      <c r="S30" s="438">
        <v>0</v>
      </c>
    </row>
    <row r="31" spans="1:68" x14ac:dyDescent="0.2">
      <c r="A31" s="383">
        <v>21</v>
      </c>
      <c r="B31" s="519">
        <v>37135</v>
      </c>
      <c r="C31" s="562">
        <v>0</v>
      </c>
      <c r="D31" s="557">
        <v>0</v>
      </c>
      <c r="E31" s="562">
        <f>Breakout!$D$215/12</f>
        <v>0</v>
      </c>
      <c r="F31" s="557">
        <f>Breakout!$D$216/12</f>
        <v>0</v>
      </c>
      <c r="G31" s="562">
        <f>Breakout!$D$222/12</f>
        <v>29166.666666666668</v>
      </c>
      <c r="H31" s="557">
        <f>Breakout!$D$223/12</f>
        <v>0</v>
      </c>
      <c r="I31" s="562">
        <f>Breakout!$D$229/12</f>
        <v>0</v>
      </c>
      <c r="J31" s="557">
        <f>Breakout!$D$230/12</f>
        <v>0</v>
      </c>
      <c r="K31" s="578">
        <f t="shared" si="2"/>
        <v>29166.666666666668</v>
      </c>
      <c r="L31" s="554">
        <f t="shared" si="3"/>
        <v>29166.666666666668</v>
      </c>
      <c r="M31" s="578">
        <f t="shared" si="4"/>
        <v>0</v>
      </c>
      <c r="N31" s="548">
        <f t="shared" si="0"/>
        <v>29166.666666666668</v>
      </c>
      <c r="P31" s="553">
        <f t="shared" si="1"/>
        <v>29166.666666666668</v>
      </c>
      <c r="S31" s="438">
        <v>0</v>
      </c>
    </row>
    <row r="32" spans="1:68" x14ac:dyDescent="0.2">
      <c r="A32" s="383">
        <v>22</v>
      </c>
      <c r="B32" s="519">
        <v>37165</v>
      </c>
      <c r="C32" s="562">
        <v>0</v>
      </c>
      <c r="D32" s="557">
        <v>0</v>
      </c>
      <c r="E32" s="562">
        <f>Breakout!$D$215/12</f>
        <v>0</v>
      </c>
      <c r="F32" s="557">
        <f>Breakout!$D$216/12</f>
        <v>0</v>
      </c>
      <c r="G32" s="562">
        <f>Breakout!$D$222/12</f>
        <v>29166.666666666668</v>
      </c>
      <c r="H32" s="557">
        <f>Breakout!$D$223/12</f>
        <v>0</v>
      </c>
      <c r="I32" s="562">
        <f>Breakout!$D$229/12</f>
        <v>0</v>
      </c>
      <c r="J32" s="557">
        <f>Breakout!$D$230/12</f>
        <v>0</v>
      </c>
      <c r="K32" s="578">
        <f t="shared" si="2"/>
        <v>29166.666666666668</v>
      </c>
      <c r="L32" s="554">
        <f t="shared" si="3"/>
        <v>29166.666666666668</v>
      </c>
      <c r="M32" s="578">
        <f t="shared" si="4"/>
        <v>0</v>
      </c>
      <c r="N32" s="548">
        <f t="shared" si="0"/>
        <v>29166.666666666668</v>
      </c>
      <c r="P32" s="553">
        <f t="shared" si="1"/>
        <v>29166.666666666668</v>
      </c>
      <c r="S32" s="438">
        <v>0</v>
      </c>
    </row>
    <row r="33" spans="1:68" x14ac:dyDescent="0.2">
      <c r="A33" s="383">
        <v>23</v>
      </c>
      <c r="B33" s="519">
        <v>37196</v>
      </c>
      <c r="C33" s="562">
        <v>0</v>
      </c>
      <c r="D33" s="557">
        <v>0</v>
      </c>
      <c r="E33" s="562">
        <f>Breakout!$D$215/12</f>
        <v>0</v>
      </c>
      <c r="F33" s="557">
        <f>Breakout!$D$216/12</f>
        <v>0</v>
      </c>
      <c r="G33" s="562">
        <f>Breakout!$D$222/12</f>
        <v>29166.666666666668</v>
      </c>
      <c r="H33" s="557">
        <f>Breakout!$D$223/12</f>
        <v>0</v>
      </c>
      <c r="I33" s="562">
        <f>Breakout!$D$229/12</f>
        <v>0</v>
      </c>
      <c r="J33" s="557">
        <f>Breakout!$D$230/12</f>
        <v>0</v>
      </c>
      <c r="K33" s="578">
        <f t="shared" si="2"/>
        <v>29166.666666666668</v>
      </c>
      <c r="L33" s="554">
        <f t="shared" si="3"/>
        <v>29166.666666666668</v>
      </c>
      <c r="M33" s="578">
        <f t="shared" si="4"/>
        <v>0</v>
      </c>
      <c r="N33" s="548">
        <f t="shared" si="0"/>
        <v>29166.666666666668</v>
      </c>
      <c r="P33" s="553">
        <f t="shared" si="1"/>
        <v>29166.666666666668</v>
      </c>
      <c r="S33" s="438">
        <v>0</v>
      </c>
    </row>
    <row r="34" spans="1:68" s="404" customFormat="1" x14ac:dyDescent="0.2">
      <c r="A34" s="526">
        <v>24</v>
      </c>
      <c r="B34" s="527">
        <v>37226</v>
      </c>
      <c r="C34" s="562">
        <v>0</v>
      </c>
      <c r="D34" s="557">
        <v>0</v>
      </c>
      <c r="E34" s="562">
        <f>Breakout!$D$215/12</f>
        <v>0</v>
      </c>
      <c r="F34" s="557">
        <f>Breakout!$D$216/12</f>
        <v>0</v>
      </c>
      <c r="G34" s="562">
        <f>Breakout!$D$222/12</f>
        <v>29166.666666666668</v>
      </c>
      <c r="H34" s="557">
        <f>Breakout!$D$223/12</f>
        <v>0</v>
      </c>
      <c r="I34" s="562">
        <f>Breakout!$D$229/12</f>
        <v>0</v>
      </c>
      <c r="J34" s="557">
        <f>Breakout!$D$230/12</f>
        <v>0</v>
      </c>
      <c r="K34" s="578">
        <f t="shared" si="2"/>
        <v>29166.666666666668</v>
      </c>
      <c r="L34" s="554">
        <f t="shared" si="3"/>
        <v>29166.666666666668</v>
      </c>
      <c r="M34" s="578">
        <f t="shared" si="4"/>
        <v>0</v>
      </c>
      <c r="N34" s="548">
        <f t="shared" si="0"/>
        <v>29166.666666666668</v>
      </c>
      <c r="O34" s="524">
        <f>SUM(N23:N34)</f>
        <v>350000.00000000006</v>
      </c>
      <c r="P34" s="553">
        <f t="shared" si="1"/>
        <v>29166.666666666668</v>
      </c>
      <c r="Q34" s="524">
        <f>SUM(P23:P34)</f>
        <v>350000.00000000006</v>
      </c>
      <c r="R34" s="438"/>
      <c r="S34" s="438">
        <v>0</v>
      </c>
      <c r="T34" s="438"/>
      <c r="U34" s="438"/>
      <c r="V34" s="438"/>
      <c r="W34" s="496"/>
      <c r="X34" s="496"/>
      <c r="Y34" s="496"/>
      <c r="Z34" s="496"/>
      <c r="AA34" s="496"/>
      <c r="AB34" s="496"/>
      <c r="AC34" s="496"/>
      <c r="AD34" s="496"/>
      <c r="AE34" s="496"/>
      <c r="AF34" s="496"/>
      <c r="AG34" s="496"/>
      <c r="AH34" s="496"/>
      <c r="AI34" s="496"/>
      <c r="AJ34" s="496"/>
      <c r="AK34" s="496"/>
      <c r="AL34" s="496"/>
      <c r="AM34" s="496"/>
      <c r="AN34" s="496"/>
      <c r="AO34" s="496"/>
      <c r="AP34" s="496"/>
      <c r="AQ34" s="496"/>
      <c r="AR34" s="496"/>
      <c r="AS34" s="496"/>
      <c r="AT34" s="496"/>
      <c r="AU34" s="496"/>
      <c r="AV34" s="496"/>
      <c r="AW34" s="496"/>
      <c r="AX34" s="496"/>
      <c r="AY34" s="496"/>
      <c r="AZ34" s="496"/>
      <c r="BA34" s="496"/>
      <c r="BB34" s="496"/>
      <c r="BC34" s="496"/>
      <c r="BD34" s="496"/>
      <c r="BE34" s="496"/>
      <c r="BF34" s="496"/>
      <c r="BG34" s="496"/>
      <c r="BH34" s="496"/>
      <c r="BI34" s="496"/>
      <c r="BJ34" s="496"/>
      <c r="BK34" s="496"/>
      <c r="BL34" s="496"/>
      <c r="BM34" s="496"/>
      <c r="BN34" s="496"/>
      <c r="BO34" s="496"/>
      <c r="BP34" s="496"/>
    </row>
    <row r="35" spans="1:68" s="532" customFormat="1" x14ac:dyDescent="0.2">
      <c r="A35" s="528">
        <v>25</v>
      </c>
      <c r="B35" s="529">
        <v>37257</v>
      </c>
      <c r="C35" s="562">
        <v>0</v>
      </c>
      <c r="D35" s="557">
        <v>0</v>
      </c>
      <c r="E35" s="564">
        <f>Breakout!$E$215/12</f>
        <v>0</v>
      </c>
      <c r="F35" s="560">
        <f>Breakout!$E$216/12</f>
        <v>0</v>
      </c>
      <c r="G35" s="564">
        <f>Breakout!$E$222/12</f>
        <v>41666.666666666664</v>
      </c>
      <c r="H35" s="560">
        <f>Breakout!$E$223/12</f>
        <v>0</v>
      </c>
      <c r="I35" s="564">
        <f>Breakout!$E$229/12</f>
        <v>0</v>
      </c>
      <c r="J35" s="560">
        <f>Breakout!$E$230/12</f>
        <v>0</v>
      </c>
      <c r="K35" s="578">
        <f t="shared" si="2"/>
        <v>41666.666666666664</v>
      </c>
      <c r="L35" s="554">
        <f t="shared" si="3"/>
        <v>41666.666666666664</v>
      </c>
      <c r="M35" s="578">
        <f t="shared" si="4"/>
        <v>0</v>
      </c>
      <c r="N35" s="548">
        <f t="shared" si="0"/>
        <v>41666.666666666664</v>
      </c>
      <c r="O35" s="531"/>
      <c r="P35" s="553">
        <f t="shared" si="1"/>
        <v>41666.666666666664</v>
      </c>
      <c r="Q35" s="531"/>
      <c r="R35" s="531"/>
      <c r="S35" s="438">
        <v>0</v>
      </c>
      <c r="T35" s="531"/>
      <c r="U35" s="531"/>
      <c r="V35" s="531"/>
      <c r="W35" s="531"/>
      <c r="X35" s="531"/>
      <c r="Y35" s="531"/>
      <c r="Z35" s="531"/>
      <c r="AA35" s="531"/>
      <c r="AB35" s="531"/>
      <c r="AC35" s="531"/>
      <c r="AD35" s="531"/>
      <c r="AE35" s="531"/>
      <c r="AF35" s="531"/>
      <c r="AG35" s="531"/>
      <c r="AH35" s="531"/>
      <c r="AI35" s="531"/>
      <c r="AJ35" s="531"/>
      <c r="AK35" s="531"/>
      <c r="AL35" s="531"/>
      <c r="AM35" s="531"/>
      <c r="AN35" s="531"/>
      <c r="AO35" s="531"/>
      <c r="AP35" s="531"/>
      <c r="AQ35" s="531"/>
      <c r="AR35" s="531"/>
      <c r="AS35" s="531"/>
      <c r="AT35" s="531"/>
      <c r="AU35" s="531"/>
      <c r="AV35" s="531"/>
      <c r="AW35" s="531"/>
      <c r="AX35" s="531"/>
      <c r="AY35" s="531"/>
      <c r="AZ35" s="531"/>
      <c r="BA35" s="531"/>
      <c r="BB35" s="531"/>
      <c r="BC35" s="531"/>
      <c r="BD35" s="531"/>
      <c r="BE35" s="531"/>
      <c r="BF35" s="531"/>
      <c r="BG35" s="531"/>
      <c r="BH35" s="531"/>
      <c r="BI35" s="531"/>
      <c r="BJ35" s="531"/>
      <c r="BK35" s="531"/>
      <c r="BL35" s="531"/>
      <c r="BM35" s="531"/>
      <c r="BN35" s="531"/>
      <c r="BO35" s="531"/>
      <c r="BP35" s="531"/>
    </row>
    <row r="36" spans="1:68" x14ac:dyDescent="0.2">
      <c r="A36" s="383">
        <v>26</v>
      </c>
      <c r="B36" s="519">
        <v>37288</v>
      </c>
      <c r="C36" s="562">
        <v>0</v>
      </c>
      <c r="D36" s="557">
        <v>0</v>
      </c>
      <c r="E36" s="565">
        <f>Breakout!$E$215/12</f>
        <v>0</v>
      </c>
      <c r="F36" s="566">
        <f>Breakout!$E$216/12</f>
        <v>0</v>
      </c>
      <c r="G36" s="565">
        <f>Breakout!$E$222/12</f>
        <v>41666.666666666664</v>
      </c>
      <c r="H36" s="566">
        <f>Breakout!$E$223/12</f>
        <v>0</v>
      </c>
      <c r="I36" s="565">
        <f>Breakout!$E$229/12</f>
        <v>0</v>
      </c>
      <c r="J36" s="566">
        <f>Breakout!$E$230/12</f>
        <v>0</v>
      </c>
      <c r="K36" s="578">
        <f t="shared" si="2"/>
        <v>41666.666666666664</v>
      </c>
      <c r="L36" s="554">
        <f t="shared" si="3"/>
        <v>41666.666666666664</v>
      </c>
      <c r="M36" s="578">
        <f t="shared" si="4"/>
        <v>0</v>
      </c>
      <c r="N36" s="548">
        <f t="shared" si="0"/>
        <v>41666.666666666664</v>
      </c>
      <c r="O36" s="496"/>
      <c r="P36" s="553">
        <f t="shared" si="1"/>
        <v>41666.666666666664</v>
      </c>
      <c r="Q36" s="496"/>
      <c r="R36" s="496"/>
      <c r="S36" s="438">
        <v>0</v>
      </c>
      <c r="T36" s="496"/>
      <c r="U36" s="496"/>
      <c r="V36" s="496"/>
    </row>
    <row r="37" spans="1:68" x14ac:dyDescent="0.2">
      <c r="A37" s="383">
        <v>27</v>
      </c>
      <c r="B37" s="519">
        <v>37316</v>
      </c>
      <c r="C37" s="562">
        <v>0</v>
      </c>
      <c r="D37" s="557">
        <v>0</v>
      </c>
      <c r="E37" s="565">
        <f>Breakout!$E$215/12</f>
        <v>0</v>
      </c>
      <c r="F37" s="566">
        <f>Breakout!$E$216/12</f>
        <v>0</v>
      </c>
      <c r="G37" s="565">
        <f>Breakout!$E$222/12</f>
        <v>41666.666666666664</v>
      </c>
      <c r="H37" s="566">
        <f>Breakout!$E$223/12</f>
        <v>0</v>
      </c>
      <c r="I37" s="565">
        <f>Breakout!$E$229/12</f>
        <v>0</v>
      </c>
      <c r="J37" s="566">
        <f>Breakout!$E$230/12</f>
        <v>0</v>
      </c>
      <c r="K37" s="578">
        <f t="shared" si="2"/>
        <v>41666.666666666664</v>
      </c>
      <c r="L37" s="554">
        <f t="shared" si="3"/>
        <v>41666.666666666664</v>
      </c>
      <c r="M37" s="578">
        <f t="shared" si="4"/>
        <v>0</v>
      </c>
      <c r="N37" s="548">
        <f t="shared" si="0"/>
        <v>41666.666666666664</v>
      </c>
      <c r="O37" s="496"/>
      <c r="P37" s="553">
        <f t="shared" si="1"/>
        <v>41666.666666666664</v>
      </c>
      <c r="Q37" s="496"/>
      <c r="R37" s="496"/>
      <c r="S37" s="438">
        <v>0</v>
      </c>
      <c r="T37" s="496"/>
      <c r="U37" s="496"/>
      <c r="V37" s="496"/>
    </row>
    <row r="38" spans="1:68" x14ac:dyDescent="0.2">
      <c r="A38" s="383">
        <v>28</v>
      </c>
      <c r="B38" s="519">
        <v>37347</v>
      </c>
      <c r="C38" s="562">
        <v>0</v>
      </c>
      <c r="D38" s="557">
        <v>0</v>
      </c>
      <c r="E38" s="565">
        <f>Breakout!$E$215/12</f>
        <v>0</v>
      </c>
      <c r="F38" s="566">
        <f>Breakout!$E$216/12</f>
        <v>0</v>
      </c>
      <c r="G38" s="565">
        <f>Breakout!$E$222/12</f>
        <v>41666.666666666664</v>
      </c>
      <c r="H38" s="566">
        <f>Breakout!$E$223/12</f>
        <v>0</v>
      </c>
      <c r="I38" s="565">
        <f>Breakout!$E$229/12</f>
        <v>0</v>
      </c>
      <c r="J38" s="566">
        <f>Breakout!$E$230/12</f>
        <v>0</v>
      </c>
      <c r="K38" s="578">
        <f t="shared" si="2"/>
        <v>41666.666666666664</v>
      </c>
      <c r="L38" s="554">
        <f t="shared" si="3"/>
        <v>41666.666666666664</v>
      </c>
      <c r="M38" s="578">
        <f t="shared" si="4"/>
        <v>0</v>
      </c>
      <c r="N38" s="548">
        <f t="shared" si="0"/>
        <v>41666.666666666664</v>
      </c>
      <c r="O38" s="496"/>
      <c r="P38" s="553">
        <f t="shared" si="1"/>
        <v>41666.666666666664</v>
      </c>
      <c r="Q38" s="496"/>
      <c r="R38" s="496"/>
      <c r="S38" s="438">
        <v>0</v>
      </c>
      <c r="T38" s="496"/>
      <c r="U38" s="496"/>
      <c r="V38" s="496"/>
    </row>
    <row r="39" spans="1:68" x14ac:dyDescent="0.2">
      <c r="A39" s="383">
        <v>29</v>
      </c>
      <c r="B39" s="519">
        <v>37377</v>
      </c>
      <c r="C39" s="562">
        <v>0</v>
      </c>
      <c r="D39" s="557">
        <v>0</v>
      </c>
      <c r="E39" s="565">
        <f>Breakout!$E$215/12</f>
        <v>0</v>
      </c>
      <c r="F39" s="566">
        <f>Breakout!$E$216/12</f>
        <v>0</v>
      </c>
      <c r="G39" s="565">
        <f>Breakout!$E$222/12</f>
        <v>41666.666666666664</v>
      </c>
      <c r="H39" s="566">
        <f>Breakout!$E$223/12</f>
        <v>0</v>
      </c>
      <c r="I39" s="565">
        <f>Breakout!$E$229/12</f>
        <v>0</v>
      </c>
      <c r="J39" s="566">
        <f>Breakout!$E$230/12</f>
        <v>0</v>
      </c>
      <c r="K39" s="578">
        <f t="shared" si="2"/>
        <v>41666.666666666664</v>
      </c>
      <c r="L39" s="554">
        <f t="shared" si="3"/>
        <v>41666.666666666664</v>
      </c>
      <c r="M39" s="578">
        <f t="shared" si="4"/>
        <v>0</v>
      </c>
      <c r="N39" s="548">
        <f t="shared" si="0"/>
        <v>41666.666666666664</v>
      </c>
      <c r="O39" s="496"/>
      <c r="P39" s="553">
        <f t="shared" si="1"/>
        <v>41666.666666666664</v>
      </c>
      <c r="Q39" s="496"/>
      <c r="R39" s="496"/>
      <c r="S39" s="438">
        <v>0</v>
      </c>
      <c r="T39" s="496"/>
      <c r="U39" s="496"/>
      <c r="V39" s="496"/>
    </row>
    <row r="40" spans="1:68" x14ac:dyDescent="0.2">
      <c r="A40" s="383">
        <v>30</v>
      </c>
      <c r="B40" s="519">
        <v>37408</v>
      </c>
      <c r="C40" s="562">
        <v>0</v>
      </c>
      <c r="D40" s="557">
        <v>0</v>
      </c>
      <c r="E40" s="565">
        <f>Breakout!$E$215/12</f>
        <v>0</v>
      </c>
      <c r="F40" s="566">
        <f>Breakout!$E$216/12</f>
        <v>0</v>
      </c>
      <c r="G40" s="565">
        <f>Breakout!$E$222/12</f>
        <v>41666.666666666664</v>
      </c>
      <c r="H40" s="566">
        <f>Breakout!$E$223/12</f>
        <v>0</v>
      </c>
      <c r="I40" s="565">
        <f>Breakout!$E$229/12</f>
        <v>0</v>
      </c>
      <c r="J40" s="566">
        <f>Breakout!$E$230/12</f>
        <v>0</v>
      </c>
      <c r="K40" s="578">
        <f t="shared" si="2"/>
        <v>41666.666666666664</v>
      </c>
      <c r="L40" s="554">
        <f t="shared" si="3"/>
        <v>41666.666666666664</v>
      </c>
      <c r="M40" s="578">
        <f t="shared" si="4"/>
        <v>0</v>
      </c>
      <c r="N40" s="548">
        <f t="shared" si="0"/>
        <v>41666.666666666664</v>
      </c>
      <c r="O40" s="496"/>
      <c r="P40" s="553">
        <f t="shared" si="1"/>
        <v>41666.666666666664</v>
      </c>
      <c r="Q40" s="496"/>
      <c r="R40" s="496"/>
      <c r="S40" s="438">
        <v>0</v>
      </c>
      <c r="T40" s="496"/>
      <c r="U40" s="496"/>
      <c r="V40" s="496"/>
    </row>
    <row r="41" spans="1:68" x14ac:dyDescent="0.2">
      <c r="A41" s="383">
        <v>31</v>
      </c>
      <c r="B41" s="519">
        <v>37438</v>
      </c>
      <c r="C41" s="562">
        <v>0</v>
      </c>
      <c r="D41" s="557">
        <v>0</v>
      </c>
      <c r="E41" s="565">
        <f>Breakout!$E$215/12</f>
        <v>0</v>
      </c>
      <c r="F41" s="566">
        <f>Breakout!$E$216/12</f>
        <v>0</v>
      </c>
      <c r="G41" s="565">
        <f>Breakout!$E$222/12</f>
        <v>41666.666666666664</v>
      </c>
      <c r="H41" s="566">
        <f>Breakout!$E$223/12</f>
        <v>0</v>
      </c>
      <c r="I41" s="565">
        <f>Breakout!$E$229/12</f>
        <v>0</v>
      </c>
      <c r="J41" s="566">
        <f>Breakout!$E$230/12</f>
        <v>0</v>
      </c>
      <c r="K41" s="578">
        <f t="shared" si="2"/>
        <v>41666.666666666664</v>
      </c>
      <c r="L41" s="554">
        <f t="shared" si="3"/>
        <v>41666.666666666664</v>
      </c>
      <c r="M41" s="578">
        <f t="shared" si="4"/>
        <v>0</v>
      </c>
      <c r="N41" s="548">
        <f t="shared" si="0"/>
        <v>41666.666666666664</v>
      </c>
      <c r="O41" s="496"/>
      <c r="P41" s="553">
        <f t="shared" si="1"/>
        <v>41666.666666666664</v>
      </c>
      <c r="Q41" s="496"/>
      <c r="R41" s="496"/>
      <c r="S41" s="438">
        <v>0</v>
      </c>
      <c r="T41" s="496"/>
      <c r="U41" s="496"/>
      <c r="V41" s="496"/>
    </row>
    <row r="42" spans="1:68" x14ac:dyDescent="0.2">
      <c r="A42" s="383">
        <v>32</v>
      </c>
      <c r="B42" s="519">
        <v>37469</v>
      </c>
      <c r="C42" s="562">
        <v>0</v>
      </c>
      <c r="D42" s="557">
        <v>0</v>
      </c>
      <c r="E42" s="565">
        <f>Breakout!$E$215/12</f>
        <v>0</v>
      </c>
      <c r="F42" s="566">
        <f>Breakout!$E$216/12</f>
        <v>0</v>
      </c>
      <c r="G42" s="565">
        <f>Breakout!$E$222/12</f>
        <v>41666.666666666664</v>
      </c>
      <c r="H42" s="566">
        <f>Breakout!$E$223/12</f>
        <v>0</v>
      </c>
      <c r="I42" s="565">
        <f>Breakout!$E$229/12</f>
        <v>0</v>
      </c>
      <c r="J42" s="566">
        <f>Breakout!$E$230/12</f>
        <v>0</v>
      </c>
      <c r="K42" s="578">
        <f t="shared" si="2"/>
        <v>41666.666666666664</v>
      </c>
      <c r="L42" s="554">
        <f t="shared" si="3"/>
        <v>41666.666666666664</v>
      </c>
      <c r="M42" s="578">
        <f t="shared" si="4"/>
        <v>0</v>
      </c>
      <c r="N42" s="548">
        <f t="shared" si="0"/>
        <v>41666.666666666664</v>
      </c>
      <c r="O42" s="496"/>
      <c r="P42" s="553">
        <f t="shared" si="1"/>
        <v>41666.666666666664</v>
      </c>
      <c r="Q42" s="496"/>
      <c r="R42" s="496"/>
      <c r="S42" s="438">
        <v>0</v>
      </c>
      <c r="T42" s="496"/>
      <c r="U42" s="496"/>
      <c r="V42" s="496"/>
    </row>
    <row r="43" spans="1:68" x14ac:dyDescent="0.2">
      <c r="A43" s="383">
        <v>33</v>
      </c>
      <c r="B43" s="519">
        <v>37500</v>
      </c>
      <c r="C43" s="562">
        <v>0</v>
      </c>
      <c r="D43" s="557">
        <v>0</v>
      </c>
      <c r="E43" s="565">
        <f>Breakout!$E$215/12</f>
        <v>0</v>
      </c>
      <c r="F43" s="566">
        <f>Breakout!$E$216/12</f>
        <v>0</v>
      </c>
      <c r="G43" s="565">
        <f>Breakout!$E$222/12</f>
        <v>41666.666666666664</v>
      </c>
      <c r="H43" s="566">
        <f>Breakout!$E$223/12</f>
        <v>0</v>
      </c>
      <c r="I43" s="565">
        <f>Breakout!$E$229/12</f>
        <v>0</v>
      </c>
      <c r="J43" s="566">
        <f>Breakout!$E$230/12</f>
        <v>0</v>
      </c>
      <c r="K43" s="578">
        <f t="shared" si="2"/>
        <v>41666.666666666664</v>
      </c>
      <c r="L43" s="554">
        <f t="shared" si="3"/>
        <v>41666.666666666664</v>
      </c>
      <c r="M43" s="578">
        <f t="shared" si="4"/>
        <v>0</v>
      </c>
      <c r="N43" s="548">
        <f t="shared" si="0"/>
        <v>41666.666666666664</v>
      </c>
      <c r="O43" s="496"/>
      <c r="P43" s="553">
        <f t="shared" si="1"/>
        <v>41666.666666666664</v>
      </c>
      <c r="Q43" s="496"/>
      <c r="R43" s="496"/>
      <c r="S43" s="438">
        <v>0</v>
      </c>
      <c r="T43" s="496"/>
      <c r="U43" s="496"/>
      <c r="V43" s="496"/>
    </row>
    <row r="44" spans="1:68" x14ac:dyDescent="0.2">
      <c r="A44" s="383">
        <v>34</v>
      </c>
      <c r="B44" s="519">
        <v>37530</v>
      </c>
      <c r="C44" s="562">
        <v>0</v>
      </c>
      <c r="D44" s="557">
        <v>0</v>
      </c>
      <c r="E44" s="565">
        <f>Breakout!$E$215/12</f>
        <v>0</v>
      </c>
      <c r="F44" s="566">
        <f>Breakout!$E$216/12</f>
        <v>0</v>
      </c>
      <c r="G44" s="565">
        <f>Breakout!$E$222/12</f>
        <v>41666.666666666664</v>
      </c>
      <c r="H44" s="566">
        <f>Breakout!$E$223/12</f>
        <v>0</v>
      </c>
      <c r="I44" s="565">
        <f>Breakout!$E$229/12</f>
        <v>0</v>
      </c>
      <c r="J44" s="566">
        <f>Breakout!$E$230/12</f>
        <v>0</v>
      </c>
      <c r="K44" s="578">
        <f t="shared" si="2"/>
        <v>41666.666666666664</v>
      </c>
      <c r="L44" s="554">
        <f t="shared" si="3"/>
        <v>41666.666666666664</v>
      </c>
      <c r="M44" s="578">
        <f t="shared" si="4"/>
        <v>0</v>
      </c>
      <c r="N44" s="548">
        <f t="shared" si="0"/>
        <v>41666.666666666664</v>
      </c>
      <c r="O44" s="496"/>
      <c r="P44" s="553">
        <f t="shared" si="1"/>
        <v>41666.666666666664</v>
      </c>
      <c r="Q44" s="496"/>
      <c r="R44" s="496"/>
      <c r="S44" s="438">
        <v>0</v>
      </c>
      <c r="T44" s="496"/>
      <c r="U44" s="496"/>
      <c r="V44" s="496"/>
    </row>
    <row r="45" spans="1:68" x14ac:dyDescent="0.2">
      <c r="A45" s="383">
        <v>35</v>
      </c>
      <c r="B45" s="519">
        <v>37561</v>
      </c>
      <c r="C45" s="562">
        <v>0</v>
      </c>
      <c r="D45" s="557">
        <v>0</v>
      </c>
      <c r="E45" s="565">
        <f>Breakout!$E$215/12</f>
        <v>0</v>
      </c>
      <c r="F45" s="566">
        <f>Breakout!$E$216/12</f>
        <v>0</v>
      </c>
      <c r="G45" s="565">
        <f>Breakout!$E$222/12</f>
        <v>41666.666666666664</v>
      </c>
      <c r="H45" s="566">
        <f>Breakout!$E$223/12</f>
        <v>0</v>
      </c>
      <c r="I45" s="565">
        <f>Breakout!$E$229/12</f>
        <v>0</v>
      </c>
      <c r="J45" s="566">
        <f>Breakout!$E$230/12</f>
        <v>0</v>
      </c>
      <c r="K45" s="578">
        <f t="shared" si="2"/>
        <v>41666.666666666664</v>
      </c>
      <c r="L45" s="554">
        <f t="shared" si="3"/>
        <v>41666.666666666664</v>
      </c>
      <c r="M45" s="578">
        <f t="shared" si="4"/>
        <v>0</v>
      </c>
      <c r="N45" s="548">
        <f t="shared" si="0"/>
        <v>41666.666666666664</v>
      </c>
      <c r="O45" s="496"/>
      <c r="P45" s="553">
        <f t="shared" si="1"/>
        <v>41666.666666666664</v>
      </c>
      <c r="Q45" s="496"/>
      <c r="R45" s="496"/>
      <c r="S45" s="438">
        <v>0</v>
      </c>
      <c r="T45" s="496"/>
      <c r="U45" s="496"/>
      <c r="V45" s="496"/>
    </row>
    <row r="46" spans="1:68" s="525" customFormat="1" x14ac:dyDescent="0.2">
      <c r="A46" s="521">
        <v>36</v>
      </c>
      <c r="B46" s="522">
        <v>37591</v>
      </c>
      <c r="C46" s="562">
        <v>0</v>
      </c>
      <c r="D46" s="557">
        <v>0</v>
      </c>
      <c r="E46" s="563">
        <f>Breakout!$E$215/12</f>
        <v>0</v>
      </c>
      <c r="F46" s="561">
        <f>Breakout!$E$216/12</f>
        <v>0</v>
      </c>
      <c r="G46" s="563">
        <f>Breakout!$E$222/12</f>
        <v>41666.666666666664</v>
      </c>
      <c r="H46" s="561">
        <f>Breakout!$E$223/12</f>
        <v>0</v>
      </c>
      <c r="I46" s="563">
        <f>Breakout!$E$229/12</f>
        <v>0</v>
      </c>
      <c r="J46" s="561">
        <f>Breakout!$E$230/12</f>
        <v>0</v>
      </c>
      <c r="K46" s="578">
        <f t="shared" si="2"/>
        <v>41666.666666666664</v>
      </c>
      <c r="L46" s="554">
        <f t="shared" si="3"/>
        <v>41666.666666666664</v>
      </c>
      <c r="M46" s="578">
        <f t="shared" si="4"/>
        <v>0</v>
      </c>
      <c r="N46" s="548">
        <f t="shared" si="0"/>
        <v>41666.666666666664</v>
      </c>
      <c r="O46" s="524">
        <f>SUM(N35:N46)</f>
        <v>500000.00000000006</v>
      </c>
      <c r="P46" s="553">
        <f t="shared" si="1"/>
        <v>41666.666666666664</v>
      </c>
      <c r="Q46" s="524">
        <f>SUM(P35:P46)</f>
        <v>500000.00000000006</v>
      </c>
      <c r="R46" s="524"/>
      <c r="S46" s="438">
        <v>0</v>
      </c>
      <c r="T46" s="524"/>
      <c r="U46" s="524"/>
      <c r="V46" s="524"/>
      <c r="W46" s="524"/>
      <c r="X46" s="524"/>
      <c r="Y46" s="524"/>
      <c r="Z46" s="524"/>
      <c r="AA46" s="524"/>
      <c r="AB46" s="524"/>
      <c r="AC46" s="524"/>
      <c r="AD46" s="524"/>
      <c r="AE46" s="524"/>
      <c r="AF46" s="524"/>
      <c r="AG46" s="524"/>
      <c r="AH46" s="524"/>
      <c r="AI46" s="524"/>
      <c r="AJ46" s="524"/>
      <c r="AK46" s="524"/>
      <c r="AL46" s="524"/>
      <c r="AM46" s="524"/>
      <c r="AN46" s="524"/>
      <c r="AO46" s="524"/>
      <c r="AP46" s="524"/>
      <c r="AQ46" s="524"/>
      <c r="AR46" s="524"/>
      <c r="AS46" s="524"/>
      <c r="AT46" s="524"/>
      <c r="AU46" s="524"/>
      <c r="AV46" s="524"/>
      <c r="AW46" s="524"/>
      <c r="AX46" s="524"/>
      <c r="AY46" s="524"/>
      <c r="AZ46" s="524"/>
      <c r="BA46" s="524"/>
      <c r="BB46" s="524"/>
      <c r="BC46" s="524"/>
      <c r="BD46" s="524"/>
      <c r="BE46" s="524"/>
      <c r="BF46" s="524"/>
      <c r="BG46" s="524"/>
      <c r="BH46" s="524"/>
      <c r="BI46" s="524"/>
      <c r="BJ46" s="524"/>
      <c r="BK46" s="524"/>
      <c r="BL46" s="524"/>
      <c r="BM46" s="524"/>
      <c r="BN46" s="524"/>
      <c r="BO46" s="524"/>
      <c r="BP46" s="524"/>
    </row>
    <row r="47" spans="1:68" s="532" customFormat="1" x14ac:dyDescent="0.2">
      <c r="A47" s="528">
        <v>37</v>
      </c>
      <c r="B47" s="529">
        <v>37622</v>
      </c>
      <c r="C47" s="562">
        <v>0</v>
      </c>
      <c r="D47" s="557">
        <v>0</v>
      </c>
      <c r="E47" s="564">
        <f>Breakout!$F$215/12</f>
        <v>0</v>
      </c>
      <c r="F47" s="560">
        <f>Breakout!$F$216/12</f>
        <v>0</v>
      </c>
      <c r="G47" s="564">
        <f>Breakout!$F$222/12</f>
        <v>54166.666666666664</v>
      </c>
      <c r="H47" s="560">
        <f>Breakout!$F$223/12</f>
        <v>0</v>
      </c>
      <c r="I47" s="564">
        <f>Breakout!$F$229/12</f>
        <v>0</v>
      </c>
      <c r="J47" s="560">
        <f>Breakout!$F$230/12</f>
        <v>0</v>
      </c>
      <c r="K47" s="578">
        <f t="shared" si="2"/>
        <v>54166.666666666664</v>
      </c>
      <c r="L47" s="554">
        <f t="shared" si="3"/>
        <v>54166.666666666664</v>
      </c>
      <c r="M47" s="578">
        <f t="shared" si="4"/>
        <v>0</v>
      </c>
      <c r="N47" s="548">
        <f t="shared" si="0"/>
        <v>54166.666666666664</v>
      </c>
      <c r="O47" s="531"/>
      <c r="P47" s="553">
        <f t="shared" si="1"/>
        <v>54166.666666666664</v>
      </c>
      <c r="Q47" s="531"/>
      <c r="R47" s="531"/>
      <c r="S47" s="438">
        <v>0</v>
      </c>
      <c r="T47" s="531"/>
      <c r="U47" s="531"/>
      <c r="V47" s="531"/>
      <c r="W47" s="531"/>
      <c r="X47" s="531"/>
      <c r="Y47" s="531"/>
      <c r="Z47" s="531"/>
      <c r="AA47" s="531"/>
      <c r="AB47" s="531"/>
      <c r="AC47" s="531"/>
      <c r="AD47" s="531"/>
      <c r="AE47" s="531"/>
      <c r="AF47" s="531"/>
      <c r="AG47" s="531"/>
      <c r="AH47" s="531"/>
      <c r="AI47" s="531"/>
      <c r="AJ47" s="531"/>
      <c r="AK47" s="531"/>
      <c r="AL47" s="531"/>
      <c r="AM47" s="531"/>
      <c r="AN47" s="531"/>
      <c r="AO47" s="531"/>
      <c r="AP47" s="531"/>
      <c r="AQ47" s="531"/>
      <c r="AR47" s="531"/>
      <c r="AS47" s="531"/>
      <c r="AT47" s="531"/>
      <c r="AU47" s="531"/>
      <c r="AV47" s="531"/>
      <c r="AW47" s="531"/>
      <c r="AX47" s="531"/>
      <c r="AY47" s="531"/>
      <c r="AZ47" s="531"/>
      <c r="BA47" s="531"/>
      <c r="BB47" s="531"/>
      <c r="BC47" s="531"/>
      <c r="BD47" s="531"/>
      <c r="BE47" s="531"/>
      <c r="BF47" s="531"/>
      <c r="BG47" s="531"/>
      <c r="BH47" s="531"/>
      <c r="BI47" s="531"/>
      <c r="BJ47" s="531"/>
      <c r="BK47" s="531"/>
      <c r="BL47" s="531"/>
      <c r="BM47" s="531"/>
      <c r="BN47" s="531"/>
      <c r="BO47" s="531"/>
      <c r="BP47" s="531"/>
    </row>
    <row r="48" spans="1:68" x14ac:dyDescent="0.2">
      <c r="A48" s="383">
        <v>38</v>
      </c>
      <c r="B48" s="519">
        <v>37653</v>
      </c>
      <c r="C48" s="562">
        <v>0</v>
      </c>
      <c r="D48" s="557">
        <v>0</v>
      </c>
      <c r="E48" s="565">
        <f>Breakout!$F$215/12</f>
        <v>0</v>
      </c>
      <c r="F48" s="566">
        <f>Breakout!$F$216/12</f>
        <v>0</v>
      </c>
      <c r="G48" s="565">
        <f>Breakout!$F$222/12</f>
        <v>54166.666666666664</v>
      </c>
      <c r="H48" s="566">
        <f>Breakout!$F$223/12</f>
        <v>0</v>
      </c>
      <c r="I48" s="565">
        <f>Breakout!$F$229/12</f>
        <v>0</v>
      </c>
      <c r="J48" s="566">
        <f>Breakout!$F$230/12</f>
        <v>0</v>
      </c>
      <c r="K48" s="578">
        <f t="shared" si="2"/>
        <v>54166.666666666664</v>
      </c>
      <c r="L48" s="554">
        <f t="shared" si="3"/>
        <v>54166.666666666664</v>
      </c>
      <c r="M48" s="578">
        <f t="shared" si="4"/>
        <v>0</v>
      </c>
      <c r="N48" s="548">
        <f t="shared" si="0"/>
        <v>54166.666666666664</v>
      </c>
      <c r="O48" s="496"/>
      <c r="P48" s="553">
        <f t="shared" si="1"/>
        <v>54166.666666666664</v>
      </c>
      <c r="Q48" s="496"/>
      <c r="R48" s="496"/>
      <c r="S48" s="438">
        <v>0</v>
      </c>
      <c r="T48" s="496"/>
      <c r="U48" s="496"/>
      <c r="V48" s="496"/>
    </row>
    <row r="49" spans="1:68" x14ac:dyDescent="0.2">
      <c r="A49" s="383">
        <v>39</v>
      </c>
      <c r="B49" s="519">
        <v>37681</v>
      </c>
      <c r="C49" s="562">
        <v>0</v>
      </c>
      <c r="D49" s="557">
        <v>0</v>
      </c>
      <c r="E49" s="565">
        <f>Breakout!$F$215/12</f>
        <v>0</v>
      </c>
      <c r="F49" s="566">
        <f>Breakout!$F$216/12</f>
        <v>0</v>
      </c>
      <c r="G49" s="565">
        <f>Breakout!$F$222/12</f>
        <v>54166.666666666664</v>
      </c>
      <c r="H49" s="566">
        <f>Breakout!$F$223/12</f>
        <v>0</v>
      </c>
      <c r="I49" s="565">
        <f>Breakout!$F$229/12</f>
        <v>0</v>
      </c>
      <c r="J49" s="566">
        <f>Breakout!$F$230/12</f>
        <v>0</v>
      </c>
      <c r="K49" s="578">
        <f t="shared" si="2"/>
        <v>54166.666666666664</v>
      </c>
      <c r="L49" s="554">
        <f t="shared" si="3"/>
        <v>54166.666666666664</v>
      </c>
      <c r="M49" s="578">
        <f t="shared" si="4"/>
        <v>0</v>
      </c>
      <c r="N49" s="548">
        <f t="shared" si="0"/>
        <v>54166.666666666664</v>
      </c>
      <c r="O49" s="496"/>
      <c r="P49" s="553">
        <f t="shared" si="1"/>
        <v>54166.666666666664</v>
      </c>
      <c r="Q49" s="496"/>
      <c r="R49" s="496"/>
      <c r="S49" s="438">
        <v>0</v>
      </c>
      <c r="T49" s="496"/>
      <c r="U49" s="496"/>
      <c r="V49" s="496"/>
    </row>
    <row r="50" spans="1:68" x14ac:dyDescent="0.2">
      <c r="A50" s="383">
        <v>40</v>
      </c>
      <c r="B50" s="519">
        <v>37712</v>
      </c>
      <c r="C50" s="562">
        <v>0</v>
      </c>
      <c r="D50" s="557">
        <v>0</v>
      </c>
      <c r="E50" s="565">
        <f>Breakout!$F$215/12</f>
        <v>0</v>
      </c>
      <c r="F50" s="566">
        <f>Breakout!$F$216/12</f>
        <v>0</v>
      </c>
      <c r="G50" s="565">
        <f>Breakout!$F$222/12</f>
        <v>54166.666666666664</v>
      </c>
      <c r="H50" s="566">
        <f>Breakout!$F$223/12</f>
        <v>0</v>
      </c>
      <c r="I50" s="565">
        <f>Breakout!$F$229/12</f>
        <v>0</v>
      </c>
      <c r="J50" s="566">
        <f>Breakout!$F$230/12</f>
        <v>0</v>
      </c>
      <c r="K50" s="578">
        <f t="shared" si="2"/>
        <v>54166.666666666664</v>
      </c>
      <c r="L50" s="554">
        <f t="shared" si="3"/>
        <v>54166.666666666664</v>
      </c>
      <c r="M50" s="578">
        <f t="shared" si="4"/>
        <v>0</v>
      </c>
      <c r="N50" s="548">
        <f t="shared" si="0"/>
        <v>54166.666666666664</v>
      </c>
      <c r="O50" s="496"/>
      <c r="P50" s="553">
        <f t="shared" si="1"/>
        <v>54166.666666666664</v>
      </c>
      <c r="Q50" s="496"/>
      <c r="R50" s="496"/>
      <c r="S50" s="438">
        <v>0</v>
      </c>
      <c r="T50" s="496"/>
      <c r="U50" s="496"/>
      <c r="V50" s="496"/>
    </row>
    <row r="51" spans="1:68" x14ac:dyDescent="0.2">
      <c r="A51" s="383">
        <v>41</v>
      </c>
      <c r="B51" s="519">
        <v>37742</v>
      </c>
      <c r="C51" s="562">
        <v>0</v>
      </c>
      <c r="D51" s="557">
        <v>0</v>
      </c>
      <c r="E51" s="565">
        <f>Breakout!$F$215/12</f>
        <v>0</v>
      </c>
      <c r="F51" s="566">
        <f>Breakout!$F$216/12</f>
        <v>0</v>
      </c>
      <c r="G51" s="565">
        <f>Breakout!$F$222/12</f>
        <v>54166.666666666664</v>
      </c>
      <c r="H51" s="566">
        <f>Breakout!$F$223/12</f>
        <v>0</v>
      </c>
      <c r="I51" s="565">
        <f>Breakout!$F$229/12</f>
        <v>0</v>
      </c>
      <c r="J51" s="566">
        <f>Breakout!$F$230/12</f>
        <v>0</v>
      </c>
      <c r="K51" s="578">
        <f t="shared" si="2"/>
        <v>54166.666666666664</v>
      </c>
      <c r="L51" s="554">
        <f t="shared" si="3"/>
        <v>54166.666666666664</v>
      </c>
      <c r="M51" s="578">
        <f t="shared" si="4"/>
        <v>0</v>
      </c>
      <c r="N51" s="548">
        <f t="shared" si="0"/>
        <v>54166.666666666664</v>
      </c>
      <c r="O51" s="496"/>
      <c r="P51" s="553">
        <f t="shared" si="1"/>
        <v>54166.666666666664</v>
      </c>
      <c r="Q51" s="496"/>
      <c r="R51" s="496"/>
      <c r="S51" s="438">
        <v>0</v>
      </c>
      <c r="T51" s="496"/>
      <c r="U51" s="496"/>
      <c r="V51" s="496"/>
    </row>
    <row r="52" spans="1:68" x14ac:dyDescent="0.2">
      <c r="A52" s="383">
        <v>42</v>
      </c>
      <c r="B52" s="519">
        <v>37773</v>
      </c>
      <c r="C52" s="562">
        <v>0</v>
      </c>
      <c r="D52" s="557">
        <v>0</v>
      </c>
      <c r="E52" s="565">
        <f>Breakout!$F$215/12</f>
        <v>0</v>
      </c>
      <c r="F52" s="566">
        <f>Breakout!$F$216/12</f>
        <v>0</v>
      </c>
      <c r="G52" s="565">
        <f>Breakout!$F$222/12</f>
        <v>54166.666666666664</v>
      </c>
      <c r="H52" s="566">
        <f>Breakout!$F$223/12</f>
        <v>0</v>
      </c>
      <c r="I52" s="565">
        <f>Breakout!$F$229/12</f>
        <v>0</v>
      </c>
      <c r="J52" s="566">
        <f>Breakout!$F$230/12</f>
        <v>0</v>
      </c>
      <c r="K52" s="578">
        <f t="shared" si="2"/>
        <v>54166.666666666664</v>
      </c>
      <c r="L52" s="554">
        <f t="shared" si="3"/>
        <v>54166.666666666664</v>
      </c>
      <c r="M52" s="578">
        <f t="shared" si="4"/>
        <v>0</v>
      </c>
      <c r="N52" s="548">
        <f t="shared" si="0"/>
        <v>54166.666666666664</v>
      </c>
      <c r="O52" s="496"/>
      <c r="P52" s="553">
        <f t="shared" si="1"/>
        <v>54166.666666666664</v>
      </c>
      <c r="Q52" s="496"/>
      <c r="R52" s="496"/>
      <c r="S52" s="438">
        <v>0</v>
      </c>
      <c r="T52" s="496"/>
      <c r="U52" s="496"/>
      <c r="V52" s="496"/>
    </row>
    <row r="53" spans="1:68" x14ac:dyDescent="0.2">
      <c r="A53" s="383">
        <v>43</v>
      </c>
      <c r="B53" s="519">
        <v>37803</v>
      </c>
      <c r="C53" s="562">
        <v>0</v>
      </c>
      <c r="D53" s="557">
        <v>0</v>
      </c>
      <c r="E53" s="565">
        <f>Breakout!$F$215/12</f>
        <v>0</v>
      </c>
      <c r="F53" s="566">
        <f>Breakout!$F$216/12</f>
        <v>0</v>
      </c>
      <c r="G53" s="565">
        <f>Breakout!$F$222/12</f>
        <v>54166.666666666664</v>
      </c>
      <c r="H53" s="566">
        <f>Breakout!$F$223/12</f>
        <v>0</v>
      </c>
      <c r="I53" s="565">
        <f>Breakout!$F$229/12</f>
        <v>0</v>
      </c>
      <c r="J53" s="566">
        <f>Breakout!$F$230/12</f>
        <v>0</v>
      </c>
      <c r="K53" s="578">
        <f t="shared" si="2"/>
        <v>54166.666666666664</v>
      </c>
      <c r="L53" s="554">
        <f t="shared" si="3"/>
        <v>54166.666666666664</v>
      </c>
      <c r="M53" s="578">
        <f t="shared" si="4"/>
        <v>0</v>
      </c>
      <c r="N53" s="548">
        <f t="shared" si="0"/>
        <v>54166.666666666664</v>
      </c>
      <c r="O53" s="496"/>
      <c r="P53" s="553">
        <f t="shared" si="1"/>
        <v>54166.666666666664</v>
      </c>
      <c r="Q53" s="496"/>
      <c r="R53" s="496"/>
      <c r="S53" s="438">
        <v>0</v>
      </c>
      <c r="T53" s="496"/>
      <c r="U53" s="496"/>
      <c r="V53" s="496"/>
    </row>
    <row r="54" spans="1:68" x14ac:dyDescent="0.2">
      <c r="A54" s="383">
        <v>44</v>
      </c>
      <c r="B54" s="519">
        <v>37834</v>
      </c>
      <c r="C54" s="562">
        <v>0</v>
      </c>
      <c r="D54" s="557">
        <v>0</v>
      </c>
      <c r="E54" s="565">
        <f>Breakout!$F$215/12</f>
        <v>0</v>
      </c>
      <c r="F54" s="566">
        <f>Breakout!$F$216/12</f>
        <v>0</v>
      </c>
      <c r="G54" s="565">
        <f>Breakout!$F$222/12</f>
        <v>54166.666666666664</v>
      </c>
      <c r="H54" s="566">
        <f>Breakout!$F$223/12</f>
        <v>0</v>
      </c>
      <c r="I54" s="565">
        <f>Breakout!$F$229/12</f>
        <v>0</v>
      </c>
      <c r="J54" s="566">
        <f>Breakout!$F$230/12</f>
        <v>0</v>
      </c>
      <c r="K54" s="578">
        <f t="shared" si="2"/>
        <v>54166.666666666664</v>
      </c>
      <c r="L54" s="554">
        <f t="shared" si="3"/>
        <v>54166.666666666664</v>
      </c>
      <c r="M54" s="578">
        <f t="shared" si="4"/>
        <v>0</v>
      </c>
      <c r="N54" s="548">
        <f t="shared" si="0"/>
        <v>54166.666666666664</v>
      </c>
      <c r="O54" s="496"/>
      <c r="P54" s="553">
        <f t="shared" si="1"/>
        <v>54166.666666666664</v>
      </c>
      <c r="Q54" s="496"/>
      <c r="R54" s="496"/>
      <c r="S54" s="438">
        <v>0</v>
      </c>
      <c r="T54" s="496"/>
      <c r="U54" s="496"/>
      <c r="V54" s="496"/>
    </row>
    <row r="55" spans="1:68" x14ac:dyDescent="0.2">
      <c r="A55" s="383">
        <v>45</v>
      </c>
      <c r="B55" s="519">
        <v>37865</v>
      </c>
      <c r="C55" s="562">
        <v>0</v>
      </c>
      <c r="D55" s="557">
        <v>0</v>
      </c>
      <c r="E55" s="565">
        <f>Breakout!$F$215/12</f>
        <v>0</v>
      </c>
      <c r="F55" s="566">
        <f>Breakout!$F$216/12</f>
        <v>0</v>
      </c>
      <c r="G55" s="565">
        <f>Breakout!$F$222/12</f>
        <v>54166.666666666664</v>
      </c>
      <c r="H55" s="566">
        <f>Breakout!$F$223/12</f>
        <v>0</v>
      </c>
      <c r="I55" s="565">
        <f>Breakout!$F$229/12</f>
        <v>0</v>
      </c>
      <c r="J55" s="566">
        <f>Breakout!$F$230/12</f>
        <v>0</v>
      </c>
      <c r="K55" s="578">
        <f t="shared" si="2"/>
        <v>54166.666666666664</v>
      </c>
      <c r="L55" s="554">
        <f t="shared" si="3"/>
        <v>54166.666666666664</v>
      </c>
      <c r="M55" s="578">
        <f t="shared" si="4"/>
        <v>0</v>
      </c>
      <c r="N55" s="548">
        <f t="shared" si="0"/>
        <v>54166.666666666664</v>
      </c>
      <c r="O55" s="496"/>
      <c r="P55" s="553">
        <f t="shared" si="1"/>
        <v>54166.666666666664</v>
      </c>
      <c r="Q55" s="496"/>
      <c r="R55" s="496"/>
      <c r="S55" s="438">
        <v>0</v>
      </c>
      <c r="T55" s="496"/>
      <c r="U55" s="496"/>
      <c r="V55" s="496"/>
    </row>
    <row r="56" spans="1:68" x14ac:dyDescent="0.2">
      <c r="A56" s="383">
        <v>46</v>
      </c>
      <c r="B56" s="519">
        <v>37895</v>
      </c>
      <c r="C56" s="562">
        <v>0</v>
      </c>
      <c r="D56" s="557">
        <v>0</v>
      </c>
      <c r="E56" s="565">
        <f>Breakout!$F$215/12</f>
        <v>0</v>
      </c>
      <c r="F56" s="566">
        <f>Breakout!$F$216/12</f>
        <v>0</v>
      </c>
      <c r="G56" s="565">
        <f>Breakout!$F$222/12</f>
        <v>54166.666666666664</v>
      </c>
      <c r="H56" s="566">
        <f>Breakout!$F$223/12</f>
        <v>0</v>
      </c>
      <c r="I56" s="565">
        <f>Breakout!$F$229/12</f>
        <v>0</v>
      </c>
      <c r="J56" s="566">
        <f>Breakout!$F$230/12</f>
        <v>0</v>
      </c>
      <c r="K56" s="578">
        <f t="shared" si="2"/>
        <v>54166.666666666664</v>
      </c>
      <c r="L56" s="554">
        <f t="shared" si="3"/>
        <v>54166.666666666664</v>
      </c>
      <c r="M56" s="578">
        <f t="shared" si="4"/>
        <v>0</v>
      </c>
      <c r="N56" s="548">
        <f t="shared" si="0"/>
        <v>54166.666666666664</v>
      </c>
      <c r="O56" s="496"/>
      <c r="P56" s="553">
        <f t="shared" si="1"/>
        <v>54166.666666666664</v>
      </c>
      <c r="Q56" s="496"/>
      <c r="R56" s="496"/>
      <c r="S56" s="438">
        <v>0</v>
      </c>
      <c r="T56" s="496"/>
      <c r="U56" s="496"/>
      <c r="V56" s="496"/>
    </row>
    <row r="57" spans="1:68" x14ac:dyDescent="0.2">
      <c r="A57" s="383">
        <v>47</v>
      </c>
      <c r="B57" s="519">
        <v>37926</v>
      </c>
      <c r="C57" s="562">
        <v>0</v>
      </c>
      <c r="D57" s="557">
        <v>0</v>
      </c>
      <c r="E57" s="565">
        <f>Breakout!$F$215/12</f>
        <v>0</v>
      </c>
      <c r="F57" s="566">
        <f>Breakout!$F$216/12</f>
        <v>0</v>
      </c>
      <c r="G57" s="565">
        <f>Breakout!$F$222/12</f>
        <v>54166.666666666664</v>
      </c>
      <c r="H57" s="566">
        <f>Breakout!$F$223/12</f>
        <v>0</v>
      </c>
      <c r="I57" s="565">
        <f>Breakout!$F$229/12</f>
        <v>0</v>
      </c>
      <c r="J57" s="566">
        <f>Breakout!$F$230/12</f>
        <v>0</v>
      </c>
      <c r="K57" s="578">
        <f t="shared" si="2"/>
        <v>54166.666666666664</v>
      </c>
      <c r="L57" s="554">
        <f t="shared" si="3"/>
        <v>54166.666666666664</v>
      </c>
      <c r="M57" s="578">
        <f t="shared" si="4"/>
        <v>0</v>
      </c>
      <c r="N57" s="548">
        <f t="shared" si="0"/>
        <v>54166.666666666664</v>
      </c>
      <c r="O57" s="496"/>
      <c r="P57" s="553">
        <f t="shared" si="1"/>
        <v>54166.666666666664</v>
      </c>
      <c r="Q57" s="496"/>
      <c r="R57" s="496"/>
      <c r="S57" s="438">
        <v>0</v>
      </c>
      <c r="T57" s="496"/>
      <c r="U57" s="496"/>
      <c r="V57" s="496"/>
    </row>
    <row r="58" spans="1:68" s="525" customFormat="1" x14ac:dyDescent="0.2">
      <c r="A58" s="521">
        <v>48</v>
      </c>
      <c r="B58" s="522">
        <v>37956</v>
      </c>
      <c r="C58" s="562">
        <v>0</v>
      </c>
      <c r="D58" s="557">
        <v>0</v>
      </c>
      <c r="E58" s="563">
        <f>Breakout!$F$215/12</f>
        <v>0</v>
      </c>
      <c r="F58" s="561">
        <f>Breakout!$F$216/12</f>
        <v>0</v>
      </c>
      <c r="G58" s="563">
        <f>Breakout!$F$222/12</f>
        <v>54166.666666666664</v>
      </c>
      <c r="H58" s="561">
        <f>Breakout!$F$223/12</f>
        <v>0</v>
      </c>
      <c r="I58" s="563">
        <f>Breakout!$F$229/12</f>
        <v>0</v>
      </c>
      <c r="J58" s="561">
        <f>Breakout!$F$230/12</f>
        <v>0</v>
      </c>
      <c r="K58" s="578">
        <f t="shared" si="2"/>
        <v>54166.666666666664</v>
      </c>
      <c r="L58" s="554">
        <f t="shared" si="3"/>
        <v>54166.666666666664</v>
      </c>
      <c r="M58" s="578">
        <f t="shared" si="4"/>
        <v>0</v>
      </c>
      <c r="N58" s="548">
        <f t="shared" si="0"/>
        <v>54166.666666666664</v>
      </c>
      <c r="O58" s="524">
        <f>SUM(N47:N58)</f>
        <v>650000</v>
      </c>
      <c r="P58" s="553">
        <f t="shared" si="1"/>
        <v>54166.666666666664</v>
      </c>
      <c r="Q58" s="524">
        <f>SUM(P47:P58)</f>
        <v>650000</v>
      </c>
      <c r="R58" s="524"/>
      <c r="S58" s="438">
        <v>0</v>
      </c>
      <c r="T58" s="524"/>
      <c r="U58" s="524"/>
      <c r="V58" s="524"/>
      <c r="W58" s="524"/>
      <c r="X58" s="524"/>
      <c r="Y58" s="524"/>
      <c r="Z58" s="524"/>
      <c r="AA58" s="524"/>
      <c r="AB58" s="524"/>
      <c r="AC58" s="524"/>
      <c r="AD58" s="524"/>
      <c r="AE58" s="524"/>
      <c r="AF58" s="524"/>
      <c r="AG58" s="524"/>
      <c r="AH58" s="524"/>
      <c r="AI58" s="524"/>
      <c r="AJ58" s="524"/>
      <c r="AK58" s="524"/>
      <c r="AL58" s="524"/>
      <c r="AM58" s="524"/>
      <c r="AN58" s="524"/>
      <c r="AO58" s="524"/>
      <c r="AP58" s="524"/>
      <c r="AQ58" s="524"/>
      <c r="AR58" s="524"/>
      <c r="AS58" s="524"/>
      <c r="AT58" s="524"/>
      <c r="AU58" s="524"/>
      <c r="AV58" s="524"/>
      <c r="AW58" s="524"/>
      <c r="AX58" s="524"/>
      <c r="AY58" s="524"/>
      <c r="AZ58" s="524"/>
      <c r="BA58" s="524"/>
      <c r="BB58" s="524"/>
      <c r="BC58" s="524"/>
      <c r="BD58" s="524"/>
      <c r="BE58" s="524"/>
      <c r="BF58" s="524"/>
      <c r="BG58" s="524"/>
      <c r="BH58" s="524"/>
      <c r="BI58" s="524"/>
      <c r="BJ58" s="524"/>
      <c r="BK58" s="524"/>
      <c r="BL58" s="524"/>
      <c r="BM58" s="524"/>
      <c r="BN58" s="524"/>
      <c r="BO58" s="524"/>
      <c r="BP58" s="524"/>
    </row>
    <row r="59" spans="1:68" s="532" customFormat="1" x14ac:dyDescent="0.2">
      <c r="A59" s="528">
        <v>49</v>
      </c>
      <c r="B59" s="529">
        <v>37987</v>
      </c>
      <c r="C59" s="562">
        <v>0</v>
      </c>
      <c r="D59" s="557">
        <v>0</v>
      </c>
      <c r="E59" s="564">
        <f>Breakout!$G$215/12</f>
        <v>0</v>
      </c>
      <c r="F59" s="560">
        <f>Breakout!$G$216/12</f>
        <v>0</v>
      </c>
      <c r="G59" s="564">
        <f>Breakout!$G$222/12</f>
        <v>66666.666666666672</v>
      </c>
      <c r="H59" s="560">
        <f>Breakout!$G$223/12</f>
        <v>0</v>
      </c>
      <c r="I59" s="564">
        <f>Breakout!$G$229/12</f>
        <v>0</v>
      </c>
      <c r="J59" s="560">
        <f>Breakout!$G$230/12</f>
        <v>0</v>
      </c>
      <c r="K59" s="578">
        <f t="shared" si="2"/>
        <v>66666.666666666672</v>
      </c>
      <c r="L59" s="554">
        <f t="shared" si="3"/>
        <v>66666.666666666672</v>
      </c>
      <c r="M59" s="578">
        <f t="shared" si="4"/>
        <v>0</v>
      </c>
      <c r="N59" s="548">
        <f t="shared" si="0"/>
        <v>66666.666666666672</v>
      </c>
      <c r="O59" s="531"/>
      <c r="P59" s="553">
        <f t="shared" si="1"/>
        <v>66666.666666666672</v>
      </c>
      <c r="Q59" s="531"/>
      <c r="R59" s="531"/>
      <c r="S59" s="438">
        <v>0</v>
      </c>
      <c r="T59" s="531"/>
      <c r="U59" s="531"/>
      <c r="V59" s="531"/>
      <c r="W59" s="531"/>
      <c r="X59" s="531"/>
      <c r="Y59" s="531"/>
      <c r="Z59" s="531"/>
      <c r="AA59" s="531"/>
      <c r="AB59" s="531"/>
      <c r="AC59" s="531"/>
      <c r="AD59" s="531"/>
      <c r="AE59" s="531"/>
      <c r="AF59" s="531"/>
      <c r="AG59" s="531"/>
      <c r="AH59" s="531"/>
      <c r="AI59" s="531"/>
      <c r="AJ59" s="531"/>
      <c r="AK59" s="531"/>
      <c r="AL59" s="531"/>
      <c r="AM59" s="531"/>
      <c r="AN59" s="531"/>
      <c r="AO59" s="531"/>
      <c r="AP59" s="531"/>
      <c r="AQ59" s="531"/>
      <c r="AR59" s="531"/>
      <c r="AS59" s="531"/>
      <c r="AT59" s="531"/>
      <c r="AU59" s="531"/>
      <c r="AV59" s="531"/>
      <c r="AW59" s="531"/>
      <c r="AX59" s="531"/>
      <c r="AY59" s="531"/>
      <c r="AZ59" s="531"/>
      <c r="BA59" s="531"/>
      <c r="BB59" s="531"/>
      <c r="BC59" s="531"/>
      <c r="BD59" s="531"/>
      <c r="BE59" s="531"/>
      <c r="BF59" s="531"/>
      <c r="BG59" s="531"/>
      <c r="BH59" s="531"/>
      <c r="BI59" s="531"/>
      <c r="BJ59" s="531"/>
      <c r="BK59" s="531"/>
      <c r="BL59" s="531"/>
      <c r="BM59" s="531"/>
      <c r="BN59" s="531"/>
      <c r="BO59" s="531"/>
      <c r="BP59" s="531"/>
    </row>
    <row r="60" spans="1:68" x14ac:dyDescent="0.2">
      <c r="A60" s="383">
        <v>50</v>
      </c>
      <c r="B60" s="519">
        <v>38018</v>
      </c>
      <c r="C60" s="562">
        <v>0</v>
      </c>
      <c r="D60" s="557">
        <v>0</v>
      </c>
      <c r="E60" s="565">
        <f>Breakout!$G$215/12</f>
        <v>0</v>
      </c>
      <c r="F60" s="566">
        <f>Breakout!$G$216/12</f>
        <v>0</v>
      </c>
      <c r="G60" s="565">
        <f>Breakout!$G$222/12</f>
        <v>66666.666666666672</v>
      </c>
      <c r="H60" s="566">
        <f>Breakout!$G$223/12</f>
        <v>0</v>
      </c>
      <c r="I60" s="565">
        <f>Breakout!$G$229/12</f>
        <v>0</v>
      </c>
      <c r="J60" s="566">
        <f>Breakout!$G$230/12</f>
        <v>0</v>
      </c>
      <c r="K60" s="578">
        <f t="shared" si="2"/>
        <v>66666.666666666672</v>
      </c>
      <c r="L60" s="554">
        <f t="shared" si="3"/>
        <v>66666.666666666672</v>
      </c>
      <c r="M60" s="578">
        <f t="shared" si="4"/>
        <v>0</v>
      </c>
      <c r="N60" s="548">
        <f t="shared" si="0"/>
        <v>66666.666666666672</v>
      </c>
      <c r="O60" s="496"/>
      <c r="P60" s="553">
        <f t="shared" si="1"/>
        <v>66666.666666666672</v>
      </c>
      <c r="Q60" s="496"/>
      <c r="R60" s="496"/>
      <c r="S60" s="438">
        <v>0</v>
      </c>
      <c r="T60" s="496"/>
      <c r="U60" s="496"/>
      <c r="V60" s="496"/>
    </row>
    <row r="61" spans="1:68" x14ac:dyDescent="0.2">
      <c r="A61" s="383">
        <v>51</v>
      </c>
      <c r="B61" s="519">
        <v>38047</v>
      </c>
      <c r="C61" s="562">
        <v>0</v>
      </c>
      <c r="D61" s="557">
        <v>0</v>
      </c>
      <c r="E61" s="565">
        <f>Breakout!$G$215/12</f>
        <v>0</v>
      </c>
      <c r="F61" s="566">
        <f>Breakout!$G$216/12</f>
        <v>0</v>
      </c>
      <c r="G61" s="565">
        <f>Breakout!$G$222/12</f>
        <v>66666.666666666672</v>
      </c>
      <c r="H61" s="566">
        <f>Breakout!$G$223/12</f>
        <v>0</v>
      </c>
      <c r="I61" s="565">
        <f>Breakout!$G$229/12</f>
        <v>0</v>
      </c>
      <c r="J61" s="566">
        <f>Breakout!$G$230/12</f>
        <v>0</v>
      </c>
      <c r="K61" s="578">
        <f t="shared" si="2"/>
        <v>66666.666666666672</v>
      </c>
      <c r="L61" s="554">
        <f t="shared" si="3"/>
        <v>66666.666666666672</v>
      </c>
      <c r="M61" s="578">
        <f t="shared" si="4"/>
        <v>0</v>
      </c>
      <c r="N61" s="548">
        <f t="shared" si="0"/>
        <v>66666.666666666672</v>
      </c>
      <c r="O61" s="496"/>
      <c r="P61" s="553">
        <f t="shared" si="1"/>
        <v>66666.666666666672</v>
      </c>
      <c r="Q61" s="496"/>
      <c r="R61" s="496"/>
      <c r="S61" s="438">
        <v>0</v>
      </c>
      <c r="T61" s="496"/>
      <c r="U61" s="496"/>
      <c r="V61" s="496"/>
    </row>
    <row r="62" spans="1:68" x14ac:dyDescent="0.2">
      <c r="A62" s="383">
        <v>52</v>
      </c>
      <c r="B62" s="519">
        <v>38078</v>
      </c>
      <c r="C62" s="562">
        <v>0</v>
      </c>
      <c r="D62" s="557">
        <v>0</v>
      </c>
      <c r="E62" s="565">
        <f>Breakout!$G$215/12</f>
        <v>0</v>
      </c>
      <c r="F62" s="566">
        <f>Breakout!$G$216/12</f>
        <v>0</v>
      </c>
      <c r="G62" s="565">
        <f>Breakout!$G$222/12</f>
        <v>66666.666666666672</v>
      </c>
      <c r="H62" s="566">
        <f>Breakout!$G$223/12</f>
        <v>0</v>
      </c>
      <c r="I62" s="565">
        <f>Breakout!$G$229/12</f>
        <v>0</v>
      </c>
      <c r="J62" s="566">
        <f>Breakout!$G$230/12</f>
        <v>0</v>
      </c>
      <c r="K62" s="578">
        <f t="shared" si="2"/>
        <v>66666.666666666672</v>
      </c>
      <c r="L62" s="554">
        <f t="shared" si="3"/>
        <v>66666.666666666672</v>
      </c>
      <c r="M62" s="578">
        <f t="shared" si="4"/>
        <v>0</v>
      </c>
      <c r="N62" s="548">
        <f t="shared" si="0"/>
        <v>66666.666666666672</v>
      </c>
      <c r="O62" s="496"/>
      <c r="P62" s="553">
        <f t="shared" si="1"/>
        <v>66666.666666666672</v>
      </c>
      <c r="Q62" s="496"/>
      <c r="R62" s="496"/>
      <c r="S62" s="438">
        <v>0</v>
      </c>
      <c r="T62" s="496"/>
      <c r="U62" s="496"/>
      <c r="V62" s="496"/>
    </row>
    <row r="63" spans="1:68" x14ac:dyDescent="0.2">
      <c r="A63" s="383">
        <v>53</v>
      </c>
      <c r="B63" s="519">
        <v>38108</v>
      </c>
      <c r="C63" s="562">
        <v>0</v>
      </c>
      <c r="D63" s="557">
        <v>0</v>
      </c>
      <c r="E63" s="565">
        <f>Breakout!$G$215/12</f>
        <v>0</v>
      </c>
      <c r="F63" s="566">
        <f>Breakout!$G$216/12</f>
        <v>0</v>
      </c>
      <c r="G63" s="565">
        <f>Breakout!$G$222/12</f>
        <v>66666.666666666672</v>
      </c>
      <c r="H63" s="566">
        <f>Breakout!$G$223/12</f>
        <v>0</v>
      </c>
      <c r="I63" s="565">
        <f>Breakout!$G$229/12</f>
        <v>0</v>
      </c>
      <c r="J63" s="566">
        <f>Breakout!$G$230/12</f>
        <v>0</v>
      </c>
      <c r="K63" s="578">
        <f t="shared" si="2"/>
        <v>66666.666666666672</v>
      </c>
      <c r="L63" s="554">
        <f t="shared" si="3"/>
        <v>66666.666666666672</v>
      </c>
      <c r="M63" s="578">
        <f t="shared" si="4"/>
        <v>0</v>
      </c>
      <c r="N63" s="548">
        <f t="shared" si="0"/>
        <v>66666.666666666672</v>
      </c>
      <c r="O63" s="496"/>
      <c r="P63" s="553">
        <f t="shared" si="1"/>
        <v>66666.666666666672</v>
      </c>
      <c r="Q63" s="496"/>
      <c r="R63" s="496"/>
      <c r="S63" s="438">
        <v>0</v>
      </c>
      <c r="T63" s="496"/>
      <c r="U63" s="496"/>
      <c r="V63" s="496"/>
    </row>
    <row r="64" spans="1:68" x14ac:dyDescent="0.2">
      <c r="A64" s="383">
        <v>54</v>
      </c>
      <c r="B64" s="519">
        <v>38139</v>
      </c>
      <c r="C64" s="562">
        <v>0</v>
      </c>
      <c r="D64" s="557">
        <v>0</v>
      </c>
      <c r="E64" s="565">
        <f>Breakout!$G$215/12</f>
        <v>0</v>
      </c>
      <c r="F64" s="566">
        <f>Breakout!$G$216/12</f>
        <v>0</v>
      </c>
      <c r="G64" s="565">
        <f>Breakout!$G$222/12</f>
        <v>66666.666666666672</v>
      </c>
      <c r="H64" s="566">
        <f>Breakout!$G$223/12</f>
        <v>0</v>
      </c>
      <c r="I64" s="565">
        <f>Breakout!$G$229/12</f>
        <v>0</v>
      </c>
      <c r="J64" s="566">
        <f>Breakout!$G$230/12</f>
        <v>0</v>
      </c>
      <c r="K64" s="578">
        <f t="shared" si="2"/>
        <v>66666.666666666672</v>
      </c>
      <c r="L64" s="554">
        <f t="shared" si="3"/>
        <v>66666.666666666672</v>
      </c>
      <c r="M64" s="578">
        <f t="shared" si="4"/>
        <v>0</v>
      </c>
      <c r="N64" s="548">
        <f t="shared" si="0"/>
        <v>66666.666666666672</v>
      </c>
      <c r="O64" s="496"/>
      <c r="P64" s="553">
        <f t="shared" si="1"/>
        <v>66666.666666666672</v>
      </c>
      <c r="Q64" s="496"/>
      <c r="R64" s="496"/>
      <c r="S64" s="438">
        <v>0</v>
      </c>
      <c r="T64" s="496"/>
      <c r="U64" s="496"/>
      <c r="V64" s="496"/>
    </row>
    <row r="65" spans="1:68" x14ac:dyDescent="0.2">
      <c r="A65" s="383">
        <v>55</v>
      </c>
      <c r="B65" s="519">
        <v>38169</v>
      </c>
      <c r="C65" s="562">
        <v>0</v>
      </c>
      <c r="D65" s="557">
        <v>0</v>
      </c>
      <c r="E65" s="565">
        <f>Breakout!$G$215/12</f>
        <v>0</v>
      </c>
      <c r="F65" s="566">
        <f>Breakout!$G$216/12</f>
        <v>0</v>
      </c>
      <c r="G65" s="565">
        <f>Breakout!$G$222/12</f>
        <v>66666.666666666672</v>
      </c>
      <c r="H65" s="566">
        <f>Breakout!$G$223/12</f>
        <v>0</v>
      </c>
      <c r="I65" s="565">
        <f>Breakout!$G$229/12</f>
        <v>0</v>
      </c>
      <c r="J65" s="566">
        <f>Breakout!$G$230/12</f>
        <v>0</v>
      </c>
      <c r="K65" s="578">
        <f t="shared" si="2"/>
        <v>66666.666666666672</v>
      </c>
      <c r="L65" s="554">
        <f t="shared" si="3"/>
        <v>66666.666666666672</v>
      </c>
      <c r="M65" s="578">
        <f t="shared" si="4"/>
        <v>0</v>
      </c>
      <c r="N65" s="548">
        <f t="shared" si="0"/>
        <v>66666.666666666672</v>
      </c>
      <c r="O65" s="496"/>
      <c r="P65" s="553">
        <f t="shared" si="1"/>
        <v>66666.666666666672</v>
      </c>
      <c r="Q65" s="496"/>
      <c r="R65" s="496"/>
      <c r="S65" s="438">
        <v>0</v>
      </c>
      <c r="T65" s="496"/>
      <c r="U65" s="496"/>
      <c r="V65" s="496"/>
    </row>
    <row r="66" spans="1:68" x14ac:dyDescent="0.2">
      <c r="A66" s="383">
        <v>56</v>
      </c>
      <c r="B66" s="519">
        <v>38200</v>
      </c>
      <c r="C66" s="562">
        <v>0</v>
      </c>
      <c r="D66" s="557">
        <v>0</v>
      </c>
      <c r="E66" s="565">
        <f>Breakout!$G$215/12</f>
        <v>0</v>
      </c>
      <c r="F66" s="566">
        <f>Breakout!$G$216/12</f>
        <v>0</v>
      </c>
      <c r="G66" s="565">
        <f>Breakout!$G$222/12</f>
        <v>66666.666666666672</v>
      </c>
      <c r="H66" s="566">
        <f>Breakout!$G$223/12</f>
        <v>0</v>
      </c>
      <c r="I66" s="565">
        <f>Breakout!$G$229/12</f>
        <v>0</v>
      </c>
      <c r="J66" s="566">
        <f>Breakout!$G$230/12</f>
        <v>0</v>
      </c>
      <c r="K66" s="578">
        <f t="shared" si="2"/>
        <v>66666.666666666672</v>
      </c>
      <c r="L66" s="554">
        <f t="shared" si="3"/>
        <v>66666.666666666672</v>
      </c>
      <c r="M66" s="578">
        <f t="shared" si="4"/>
        <v>0</v>
      </c>
      <c r="N66" s="548">
        <f t="shared" si="0"/>
        <v>66666.666666666672</v>
      </c>
      <c r="O66" s="496"/>
      <c r="P66" s="553">
        <f t="shared" si="1"/>
        <v>66666.666666666672</v>
      </c>
      <c r="Q66" s="496"/>
      <c r="R66" s="496"/>
      <c r="S66" s="438">
        <v>0</v>
      </c>
      <c r="T66" s="496"/>
      <c r="U66" s="496"/>
      <c r="V66" s="496"/>
    </row>
    <row r="67" spans="1:68" x14ac:dyDescent="0.2">
      <c r="A67" s="383">
        <v>57</v>
      </c>
      <c r="B67" s="519">
        <v>38231</v>
      </c>
      <c r="C67" s="562">
        <v>0</v>
      </c>
      <c r="D67" s="557">
        <v>0</v>
      </c>
      <c r="E67" s="565">
        <f>Breakout!$G$215/12</f>
        <v>0</v>
      </c>
      <c r="F67" s="566">
        <f>Breakout!$G$216/12</f>
        <v>0</v>
      </c>
      <c r="G67" s="565">
        <f>Breakout!$G$222/12</f>
        <v>66666.666666666672</v>
      </c>
      <c r="H67" s="566">
        <f>Breakout!$G$223/12</f>
        <v>0</v>
      </c>
      <c r="I67" s="565">
        <f>Breakout!$G$229/12</f>
        <v>0</v>
      </c>
      <c r="J67" s="566">
        <f>Breakout!$G$230/12</f>
        <v>0</v>
      </c>
      <c r="K67" s="578">
        <f t="shared" si="2"/>
        <v>66666.666666666672</v>
      </c>
      <c r="L67" s="554">
        <f t="shared" si="3"/>
        <v>66666.666666666672</v>
      </c>
      <c r="M67" s="578">
        <f t="shared" si="4"/>
        <v>0</v>
      </c>
      <c r="N67" s="548">
        <f t="shared" si="0"/>
        <v>66666.666666666672</v>
      </c>
      <c r="O67" s="496"/>
      <c r="P67" s="553">
        <f t="shared" si="1"/>
        <v>66666.666666666672</v>
      </c>
      <c r="Q67" s="496"/>
      <c r="R67" s="496"/>
      <c r="S67" s="438">
        <v>0</v>
      </c>
      <c r="T67" s="496"/>
      <c r="U67" s="496"/>
      <c r="V67" s="496"/>
    </row>
    <row r="68" spans="1:68" x14ac:dyDescent="0.2">
      <c r="A68" s="383">
        <v>58</v>
      </c>
      <c r="B68" s="519">
        <v>38261</v>
      </c>
      <c r="C68" s="562">
        <v>0</v>
      </c>
      <c r="D68" s="557">
        <v>0</v>
      </c>
      <c r="E68" s="565">
        <f>Breakout!$G$215/12</f>
        <v>0</v>
      </c>
      <c r="F68" s="566">
        <f>Breakout!$G$216/12</f>
        <v>0</v>
      </c>
      <c r="G68" s="565">
        <f>Breakout!$G$222/12</f>
        <v>66666.666666666672</v>
      </c>
      <c r="H68" s="566">
        <f>Breakout!$G$223/12</f>
        <v>0</v>
      </c>
      <c r="I68" s="565">
        <f>Breakout!$G$229/12</f>
        <v>0</v>
      </c>
      <c r="J68" s="566">
        <f>Breakout!$G$230/12</f>
        <v>0</v>
      </c>
      <c r="K68" s="578">
        <f t="shared" si="2"/>
        <v>66666.666666666672</v>
      </c>
      <c r="L68" s="554">
        <f t="shared" si="3"/>
        <v>66666.666666666672</v>
      </c>
      <c r="M68" s="578">
        <f t="shared" si="4"/>
        <v>0</v>
      </c>
      <c r="N68" s="548">
        <f t="shared" si="0"/>
        <v>66666.666666666672</v>
      </c>
      <c r="O68" s="496"/>
      <c r="P68" s="553">
        <f t="shared" si="1"/>
        <v>66666.666666666672</v>
      </c>
      <c r="Q68" s="496"/>
      <c r="R68" s="496"/>
      <c r="S68" s="438">
        <v>0</v>
      </c>
      <c r="T68" s="496"/>
      <c r="U68" s="496"/>
      <c r="V68" s="496"/>
    </row>
    <row r="69" spans="1:68" x14ac:dyDescent="0.2">
      <c r="A69" s="383">
        <v>59</v>
      </c>
      <c r="B69" s="519">
        <v>38292</v>
      </c>
      <c r="C69" s="562">
        <v>0</v>
      </c>
      <c r="D69" s="557">
        <v>0</v>
      </c>
      <c r="E69" s="565">
        <f>Breakout!$G$215/12</f>
        <v>0</v>
      </c>
      <c r="F69" s="566">
        <f>Breakout!$G$216/12</f>
        <v>0</v>
      </c>
      <c r="G69" s="565">
        <f>Breakout!$G$222/12</f>
        <v>66666.666666666672</v>
      </c>
      <c r="H69" s="566">
        <f>Breakout!$G$223/12</f>
        <v>0</v>
      </c>
      <c r="I69" s="565">
        <f>Breakout!$G$229/12</f>
        <v>0</v>
      </c>
      <c r="J69" s="566">
        <f>Breakout!$G$230/12</f>
        <v>0</v>
      </c>
      <c r="K69" s="578">
        <f t="shared" si="2"/>
        <v>66666.666666666672</v>
      </c>
      <c r="L69" s="554">
        <f t="shared" si="3"/>
        <v>66666.666666666672</v>
      </c>
      <c r="M69" s="578">
        <f t="shared" si="4"/>
        <v>0</v>
      </c>
      <c r="N69" s="548">
        <f t="shared" si="0"/>
        <v>66666.666666666672</v>
      </c>
      <c r="O69" s="496"/>
      <c r="P69" s="553">
        <f t="shared" si="1"/>
        <v>66666.666666666672</v>
      </c>
      <c r="Q69" s="496"/>
      <c r="R69" s="496"/>
      <c r="S69" s="438">
        <v>0</v>
      </c>
      <c r="T69" s="496"/>
      <c r="U69" s="496"/>
      <c r="V69" s="496"/>
    </row>
    <row r="70" spans="1:68" s="525" customFormat="1" x14ac:dyDescent="0.2">
      <c r="A70" s="521">
        <v>60</v>
      </c>
      <c r="B70" s="519">
        <v>38322</v>
      </c>
      <c r="C70" s="562">
        <v>0</v>
      </c>
      <c r="D70" s="557">
        <v>0</v>
      </c>
      <c r="E70" s="563">
        <f>Breakout!$G$215/12</f>
        <v>0</v>
      </c>
      <c r="F70" s="561">
        <f>Breakout!$G$216/12</f>
        <v>0</v>
      </c>
      <c r="G70" s="563">
        <f>Breakout!$G$222/12</f>
        <v>66666.666666666672</v>
      </c>
      <c r="H70" s="561">
        <f>Breakout!$G$223/12</f>
        <v>0</v>
      </c>
      <c r="I70" s="563">
        <f>Breakout!$G$229/12</f>
        <v>0</v>
      </c>
      <c r="J70" s="561">
        <f>Breakout!$G$230/12</f>
        <v>0</v>
      </c>
      <c r="K70" s="578">
        <f t="shared" si="2"/>
        <v>66666.666666666672</v>
      </c>
      <c r="L70" s="554">
        <f t="shared" si="3"/>
        <v>66666.666666666672</v>
      </c>
      <c r="M70" s="578">
        <f t="shared" si="4"/>
        <v>0</v>
      </c>
      <c r="N70" s="548">
        <f t="shared" si="0"/>
        <v>66666.666666666672</v>
      </c>
      <c r="O70" s="524">
        <f>SUM(N59:N70)</f>
        <v>799999.99999999988</v>
      </c>
      <c r="P70" s="553">
        <f t="shared" si="1"/>
        <v>66666.666666666672</v>
      </c>
      <c r="Q70" s="524">
        <f>SUM(P59:P70)</f>
        <v>799999.99999999988</v>
      </c>
      <c r="R70" s="524"/>
      <c r="S70" s="438">
        <v>0</v>
      </c>
      <c r="T70" s="524"/>
      <c r="U70" s="524"/>
      <c r="V70" s="524"/>
      <c r="W70" s="524"/>
      <c r="X70" s="524"/>
      <c r="Y70" s="524"/>
      <c r="Z70" s="524"/>
      <c r="AA70" s="524"/>
      <c r="AB70" s="524"/>
      <c r="AC70" s="524"/>
      <c r="AD70" s="524"/>
      <c r="AE70" s="524"/>
      <c r="AF70" s="524"/>
      <c r="AG70" s="524"/>
      <c r="AH70" s="524"/>
      <c r="AI70" s="524"/>
      <c r="AJ70" s="524"/>
      <c r="AK70" s="524"/>
      <c r="AL70" s="524"/>
      <c r="AM70" s="524"/>
      <c r="AN70" s="524"/>
      <c r="AO70" s="524"/>
      <c r="AP70" s="524"/>
      <c r="AQ70" s="524"/>
      <c r="AR70" s="524"/>
      <c r="AS70" s="524"/>
      <c r="AT70" s="524"/>
      <c r="AU70" s="524"/>
      <c r="AV70" s="524"/>
      <c r="AW70" s="524"/>
      <c r="AX70" s="524"/>
      <c r="AY70" s="524"/>
      <c r="AZ70" s="524"/>
      <c r="BA70" s="524"/>
      <c r="BB70" s="524"/>
      <c r="BC70" s="524"/>
      <c r="BD70" s="524"/>
      <c r="BE70" s="524"/>
      <c r="BF70" s="524"/>
      <c r="BG70" s="524"/>
      <c r="BH70" s="524"/>
      <c r="BI70" s="524"/>
      <c r="BJ70" s="524"/>
      <c r="BK70" s="524"/>
      <c r="BL70" s="524"/>
      <c r="BM70" s="524"/>
      <c r="BN70" s="524"/>
      <c r="BO70" s="524"/>
      <c r="BP70" s="524"/>
    </row>
    <row r="71" spans="1:68" s="532" customFormat="1" x14ac:dyDescent="0.2">
      <c r="A71" s="528">
        <v>61</v>
      </c>
      <c r="B71" s="519">
        <v>38353</v>
      </c>
      <c r="C71" s="562">
        <v>0</v>
      </c>
      <c r="D71" s="557">
        <v>0</v>
      </c>
      <c r="E71" s="564">
        <f>Breakout!$H$215/12</f>
        <v>0</v>
      </c>
      <c r="F71" s="560">
        <f>Breakout!$H$216/12</f>
        <v>0</v>
      </c>
      <c r="G71" s="564">
        <f>Breakout!$H$222/12</f>
        <v>79166.666666666672</v>
      </c>
      <c r="H71" s="560">
        <f>Breakout!$H$223/12</f>
        <v>0</v>
      </c>
      <c r="I71" s="564">
        <f>Breakout!$H$229/12</f>
        <v>0</v>
      </c>
      <c r="J71" s="560">
        <f>Breakout!$H$230/12</f>
        <v>0</v>
      </c>
      <c r="K71" s="578">
        <f t="shared" si="2"/>
        <v>79166.666666666672</v>
      </c>
      <c r="L71" s="554">
        <f t="shared" si="3"/>
        <v>79166.666666666672</v>
      </c>
      <c r="M71" s="578">
        <f t="shared" si="4"/>
        <v>0</v>
      </c>
      <c r="N71" s="548">
        <f t="shared" si="0"/>
        <v>79166.666666666672</v>
      </c>
      <c r="O71" s="531"/>
      <c r="P71" s="553">
        <f t="shared" si="1"/>
        <v>79166.666666666672</v>
      </c>
      <c r="Q71" s="531"/>
      <c r="R71" s="531"/>
      <c r="S71" s="438">
        <v>0</v>
      </c>
      <c r="T71" s="531"/>
      <c r="U71" s="531"/>
      <c r="V71" s="531"/>
      <c r="W71" s="531"/>
      <c r="X71" s="531"/>
      <c r="Y71" s="531"/>
      <c r="Z71" s="531"/>
      <c r="AA71" s="531"/>
      <c r="AB71" s="531"/>
      <c r="AC71" s="531"/>
      <c r="AD71" s="531"/>
      <c r="AE71" s="531"/>
      <c r="AF71" s="531"/>
      <c r="AG71" s="531"/>
      <c r="AH71" s="531"/>
      <c r="AI71" s="531"/>
      <c r="AJ71" s="531"/>
      <c r="AK71" s="531"/>
      <c r="AL71" s="531"/>
      <c r="AM71" s="531"/>
      <c r="AN71" s="531"/>
      <c r="AO71" s="531"/>
      <c r="AP71" s="531"/>
      <c r="AQ71" s="531"/>
      <c r="AR71" s="531"/>
      <c r="AS71" s="531"/>
      <c r="AT71" s="531"/>
      <c r="AU71" s="531"/>
      <c r="AV71" s="531"/>
      <c r="AW71" s="531"/>
      <c r="AX71" s="531"/>
      <c r="AY71" s="531"/>
      <c r="AZ71" s="531"/>
      <c r="BA71" s="531"/>
      <c r="BB71" s="531"/>
      <c r="BC71" s="531"/>
      <c r="BD71" s="531"/>
      <c r="BE71" s="531"/>
      <c r="BF71" s="531"/>
      <c r="BG71" s="531"/>
      <c r="BH71" s="531"/>
      <c r="BI71" s="531"/>
      <c r="BJ71" s="531"/>
      <c r="BK71" s="531"/>
      <c r="BL71" s="531"/>
      <c r="BM71" s="531"/>
      <c r="BN71" s="531"/>
      <c r="BO71" s="531"/>
      <c r="BP71" s="531"/>
    </row>
    <row r="72" spans="1:68" x14ac:dyDescent="0.2">
      <c r="A72" s="383">
        <v>62</v>
      </c>
      <c r="B72" s="519">
        <v>38384</v>
      </c>
      <c r="C72" s="562">
        <v>0</v>
      </c>
      <c r="D72" s="557">
        <v>0</v>
      </c>
      <c r="E72" s="565">
        <f>Breakout!$H$215/12</f>
        <v>0</v>
      </c>
      <c r="F72" s="566">
        <f>Breakout!$H$216/12</f>
        <v>0</v>
      </c>
      <c r="G72" s="565">
        <f>Breakout!$H$222/12</f>
        <v>79166.666666666672</v>
      </c>
      <c r="H72" s="566">
        <f>Breakout!$H$223/12</f>
        <v>0</v>
      </c>
      <c r="I72" s="565">
        <f>Breakout!$H$229/12</f>
        <v>0</v>
      </c>
      <c r="J72" s="566">
        <f>Breakout!$H$230/12</f>
        <v>0</v>
      </c>
      <c r="K72" s="578">
        <f t="shared" si="2"/>
        <v>79166.666666666672</v>
      </c>
      <c r="L72" s="554">
        <f t="shared" si="3"/>
        <v>79166.666666666672</v>
      </c>
      <c r="M72" s="578">
        <f t="shared" si="4"/>
        <v>0</v>
      </c>
      <c r="N72" s="548">
        <f t="shared" si="0"/>
        <v>79166.666666666672</v>
      </c>
      <c r="O72" s="496"/>
      <c r="P72" s="553">
        <f t="shared" si="1"/>
        <v>79166.666666666672</v>
      </c>
      <c r="Q72" s="496"/>
      <c r="R72" s="496"/>
      <c r="S72" s="438">
        <v>0</v>
      </c>
      <c r="T72" s="496"/>
      <c r="U72" s="496"/>
      <c r="V72" s="496"/>
    </row>
    <row r="73" spans="1:68" x14ac:dyDescent="0.2">
      <c r="A73" s="383">
        <v>63</v>
      </c>
      <c r="B73" s="519">
        <v>38412</v>
      </c>
      <c r="C73" s="562">
        <v>0</v>
      </c>
      <c r="D73" s="557">
        <v>0</v>
      </c>
      <c r="E73" s="565">
        <f>Breakout!$H$215/12</f>
        <v>0</v>
      </c>
      <c r="F73" s="566">
        <f>Breakout!$H$216/12</f>
        <v>0</v>
      </c>
      <c r="G73" s="565">
        <f>Breakout!$H$222/12</f>
        <v>79166.666666666672</v>
      </c>
      <c r="H73" s="566">
        <f>Breakout!$H$223/12</f>
        <v>0</v>
      </c>
      <c r="I73" s="565">
        <f>Breakout!$H$229/12</f>
        <v>0</v>
      </c>
      <c r="J73" s="566">
        <f>Breakout!$H$230/12</f>
        <v>0</v>
      </c>
      <c r="K73" s="578">
        <f t="shared" si="2"/>
        <v>79166.666666666672</v>
      </c>
      <c r="L73" s="554">
        <f t="shared" si="3"/>
        <v>79166.666666666672</v>
      </c>
      <c r="M73" s="578">
        <f t="shared" si="4"/>
        <v>0</v>
      </c>
      <c r="N73" s="548">
        <f t="shared" si="0"/>
        <v>79166.666666666672</v>
      </c>
      <c r="O73" s="496"/>
      <c r="P73" s="553">
        <f t="shared" si="1"/>
        <v>79166.666666666672</v>
      </c>
      <c r="Q73" s="496"/>
      <c r="R73" s="496"/>
      <c r="S73" s="438">
        <v>0</v>
      </c>
      <c r="T73" s="496"/>
      <c r="U73" s="496"/>
      <c r="V73" s="496"/>
    </row>
    <row r="74" spans="1:68" x14ac:dyDescent="0.2">
      <c r="A74" s="383">
        <v>64</v>
      </c>
      <c r="B74" s="519">
        <v>38443</v>
      </c>
      <c r="C74" s="562">
        <v>0</v>
      </c>
      <c r="D74" s="557">
        <v>0</v>
      </c>
      <c r="E74" s="565">
        <f>Breakout!$H$215/12</f>
        <v>0</v>
      </c>
      <c r="F74" s="566">
        <f>Breakout!$H$216/12</f>
        <v>0</v>
      </c>
      <c r="G74" s="565">
        <f>Breakout!$H$222/12</f>
        <v>79166.666666666672</v>
      </c>
      <c r="H74" s="566">
        <f>Breakout!$H$223/12</f>
        <v>0</v>
      </c>
      <c r="I74" s="565">
        <f>Breakout!$H$229/12</f>
        <v>0</v>
      </c>
      <c r="J74" s="566">
        <f>Breakout!$H$230/12</f>
        <v>0</v>
      </c>
      <c r="K74" s="578">
        <f t="shared" si="2"/>
        <v>79166.666666666672</v>
      </c>
      <c r="L74" s="554">
        <f t="shared" si="3"/>
        <v>79166.666666666672</v>
      </c>
      <c r="M74" s="578">
        <f t="shared" si="4"/>
        <v>0</v>
      </c>
      <c r="N74" s="548">
        <f t="shared" si="0"/>
        <v>79166.666666666672</v>
      </c>
      <c r="O74" s="496"/>
      <c r="P74" s="553">
        <f t="shared" si="1"/>
        <v>79166.666666666672</v>
      </c>
      <c r="Q74" s="496"/>
      <c r="R74" s="496"/>
      <c r="S74" s="438">
        <v>0</v>
      </c>
      <c r="T74" s="496"/>
      <c r="U74" s="496"/>
      <c r="V74" s="496"/>
    </row>
    <row r="75" spans="1:68" x14ac:dyDescent="0.2">
      <c r="A75" s="383">
        <v>65</v>
      </c>
      <c r="B75" s="519">
        <v>38473</v>
      </c>
      <c r="C75" s="562">
        <v>0</v>
      </c>
      <c r="D75" s="557">
        <v>0</v>
      </c>
      <c r="E75" s="565">
        <f>Breakout!$H$215/12</f>
        <v>0</v>
      </c>
      <c r="F75" s="566">
        <f>Breakout!$H$216/12</f>
        <v>0</v>
      </c>
      <c r="G75" s="565">
        <f>Breakout!$H$222/12</f>
        <v>79166.666666666672</v>
      </c>
      <c r="H75" s="566">
        <f>Breakout!$H$223/12</f>
        <v>0</v>
      </c>
      <c r="I75" s="565">
        <f>Breakout!$H$229/12</f>
        <v>0</v>
      </c>
      <c r="J75" s="566">
        <f>Breakout!$H$230/12</f>
        <v>0</v>
      </c>
      <c r="K75" s="578">
        <f t="shared" si="2"/>
        <v>79166.666666666672</v>
      </c>
      <c r="L75" s="554">
        <f t="shared" si="3"/>
        <v>79166.666666666672</v>
      </c>
      <c r="M75" s="578">
        <f t="shared" si="4"/>
        <v>0</v>
      </c>
      <c r="N75" s="548">
        <f t="shared" ref="N75:N130" si="5">K75-M75-S75</f>
        <v>79166.666666666672</v>
      </c>
      <c r="O75" s="496"/>
      <c r="P75" s="553">
        <f t="shared" ref="P75:P130" si="6">L75-M75-S75</f>
        <v>79166.666666666672</v>
      </c>
      <c r="Q75" s="496"/>
      <c r="R75" s="496"/>
      <c r="S75" s="438">
        <v>0</v>
      </c>
      <c r="T75" s="496"/>
      <c r="U75" s="496"/>
      <c r="V75" s="496"/>
    </row>
    <row r="76" spans="1:68" x14ac:dyDescent="0.2">
      <c r="A76" s="383">
        <v>66</v>
      </c>
      <c r="B76" s="519">
        <v>38504</v>
      </c>
      <c r="C76" s="562">
        <v>0</v>
      </c>
      <c r="D76" s="557">
        <v>0</v>
      </c>
      <c r="E76" s="565">
        <f>Breakout!$H$215/12</f>
        <v>0</v>
      </c>
      <c r="F76" s="566">
        <f>Breakout!$H$216/12</f>
        <v>0</v>
      </c>
      <c r="G76" s="565">
        <f>Breakout!$H$222/12</f>
        <v>79166.666666666672</v>
      </c>
      <c r="H76" s="566">
        <f>Breakout!$H$223/12</f>
        <v>0</v>
      </c>
      <c r="I76" s="565">
        <f>Breakout!$H$229/12</f>
        <v>0</v>
      </c>
      <c r="J76" s="566">
        <f>Breakout!$H$230/12</f>
        <v>0</v>
      </c>
      <c r="K76" s="578">
        <f t="shared" ref="K76:K130" si="7">C76+E76+G76+I76</f>
        <v>79166.666666666672</v>
      </c>
      <c r="L76" s="554">
        <f t="shared" ref="L76:L130" si="8">C76+E76+G76+I76</f>
        <v>79166.666666666672</v>
      </c>
      <c r="M76" s="578">
        <f t="shared" ref="M76:M130" si="9">D76+F76+H76+J76</f>
        <v>0</v>
      </c>
      <c r="N76" s="548">
        <f t="shared" si="5"/>
        <v>79166.666666666672</v>
      </c>
      <c r="O76" s="496"/>
      <c r="P76" s="553">
        <f t="shared" si="6"/>
        <v>79166.666666666672</v>
      </c>
      <c r="Q76" s="496"/>
      <c r="R76" s="496"/>
      <c r="S76" s="438">
        <v>0</v>
      </c>
      <c r="T76" s="496"/>
      <c r="U76" s="496"/>
      <c r="V76" s="496"/>
    </row>
    <row r="77" spans="1:68" x14ac:dyDescent="0.2">
      <c r="A77" s="383">
        <v>67</v>
      </c>
      <c r="B77" s="519">
        <v>38534</v>
      </c>
      <c r="C77" s="562">
        <v>0</v>
      </c>
      <c r="D77" s="557">
        <v>0</v>
      </c>
      <c r="E77" s="565">
        <f>Breakout!$H$215/12</f>
        <v>0</v>
      </c>
      <c r="F77" s="566">
        <f>Breakout!$H$216/12</f>
        <v>0</v>
      </c>
      <c r="G77" s="565">
        <f>Breakout!$H$222/12</f>
        <v>79166.666666666672</v>
      </c>
      <c r="H77" s="566">
        <f>Breakout!$H$223/12</f>
        <v>0</v>
      </c>
      <c r="I77" s="565">
        <f>Breakout!$H$229/12</f>
        <v>0</v>
      </c>
      <c r="J77" s="566">
        <f>Breakout!$H$230/12</f>
        <v>0</v>
      </c>
      <c r="K77" s="578">
        <f t="shared" si="7"/>
        <v>79166.666666666672</v>
      </c>
      <c r="L77" s="554">
        <f t="shared" si="8"/>
        <v>79166.666666666672</v>
      </c>
      <c r="M77" s="578">
        <f t="shared" si="9"/>
        <v>0</v>
      </c>
      <c r="N77" s="548">
        <f t="shared" si="5"/>
        <v>79166.666666666672</v>
      </c>
      <c r="O77" s="496"/>
      <c r="P77" s="553">
        <f t="shared" si="6"/>
        <v>79166.666666666672</v>
      </c>
      <c r="Q77" s="496"/>
      <c r="R77" s="496"/>
      <c r="S77" s="438">
        <v>0</v>
      </c>
      <c r="T77" s="496"/>
      <c r="U77" s="496"/>
      <c r="V77" s="496"/>
    </row>
    <row r="78" spans="1:68" x14ac:dyDescent="0.2">
      <c r="A78" s="383">
        <v>68</v>
      </c>
      <c r="B78" s="519">
        <v>38565</v>
      </c>
      <c r="C78" s="562">
        <v>0</v>
      </c>
      <c r="D78" s="557">
        <v>0</v>
      </c>
      <c r="E78" s="565">
        <f>Breakout!$H$215/12</f>
        <v>0</v>
      </c>
      <c r="F78" s="566">
        <f>Breakout!$H$216/12</f>
        <v>0</v>
      </c>
      <c r="G78" s="565">
        <f>Breakout!$H$222/12</f>
        <v>79166.666666666672</v>
      </c>
      <c r="H78" s="566">
        <f>Breakout!$H$223/12</f>
        <v>0</v>
      </c>
      <c r="I78" s="565">
        <f>Breakout!$H$229/12</f>
        <v>0</v>
      </c>
      <c r="J78" s="566">
        <f>Breakout!$H$230/12</f>
        <v>0</v>
      </c>
      <c r="K78" s="578">
        <f t="shared" si="7"/>
        <v>79166.666666666672</v>
      </c>
      <c r="L78" s="554">
        <f t="shared" si="8"/>
        <v>79166.666666666672</v>
      </c>
      <c r="M78" s="578">
        <f t="shared" si="9"/>
        <v>0</v>
      </c>
      <c r="N78" s="548">
        <f t="shared" si="5"/>
        <v>79166.666666666672</v>
      </c>
      <c r="O78" s="496"/>
      <c r="P78" s="553">
        <f t="shared" si="6"/>
        <v>79166.666666666672</v>
      </c>
      <c r="Q78" s="496"/>
      <c r="R78" s="496"/>
      <c r="S78" s="438">
        <v>0</v>
      </c>
      <c r="T78" s="496"/>
      <c r="U78" s="496"/>
      <c r="V78" s="496"/>
    </row>
    <row r="79" spans="1:68" x14ac:dyDescent="0.2">
      <c r="A79" s="383">
        <v>69</v>
      </c>
      <c r="B79" s="519">
        <v>38596</v>
      </c>
      <c r="C79" s="562">
        <v>0</v>
      </c>
      <c r="D79" s="557">
        <v>0</v>
      </c>
      <c r="E79" s="565">
        <f>Breakout!$H$215/12</f>
        <v>0</v>
      </c>
      <c r="F79" s="566">
        <f>Breakout!$H$216/12</f>
        <v>0</v>
      </c>
      <c r="G79" s="565">
        <f>Breakout!$H$222/12</f>
        <v>79166.666666666672</v>
      </c>
      <c r="H79" s="566">
        <f>Breakout!$H$223/12</f>
        <v>0</v>
      </c>
      <c r="I79" s="565">
        <f>Breakout!$H$229/12</f>
        <v>0</v>
      </c>
      <c r="J79" s="566">
        <f>Breakout!$H$230/12</f>
        <v>0</v>
      </c>
      <c r="K79" s="578">
        <f t="shared" si="7"/>
        <v>79166.666666666672</v>
      </c>
      <c r="L79" s="554">
        <f t="shared" si="8"/>
        <v>79166.666666666672</v>
      </c>
      <c r="M79" s="578">
        <f t="shared" si="9"/>
        <v>0</v>
      </c>
      <c r="N79" s="548">
        <f t="shared" si="5"/>
        <v>79166.666666666672</v>
      </c>
      <c r="O79" s="496"/>
      <c r="P79" s="553">
        <f t="shared" si="6"/>
        <v>79166.666666666672</v>
      </c>
      <c r="Q79" s="496"/>
      <c r="R79" s="496"/>
      <c r="S79" s="438">
        <v>0</v>
      </c>
      <c r="T79" s="496"/>
      <c r="U79" s="496"/>
      <c r="V79" s="496"/>
    </row>
    <row r="80" spans="1:68" x14ac:dyDescent="0.2">
      <c r="A80" s="383">
        <v>70</v>
      </c>
      <c r="B80" s="519">
        <v>38626</v>
      </c>
      <c r="C80" s="562">
        <v>0</v>
      </c>
      <c r="D80" s="557">
        <v>0</v>
      </c>
      <c r="E80" s="565">
        <f>Breakout!$H$215/12</f>
        <v>0</v>
      </c>
      <c r="F80" s="566">
        <f>Breakout!$H$216/12</f>
        <v>0</v>
      </c>
      <c r="G80" s="565">
        <f>Breakout!$H$222/12</f>
        <v>79166.666666666672</v>
      </c>
      <c r="H80" s="566">
        <f>Breakout!$H$223/12</f>
        <v>0</v>
      </c>
      <c r="I80" s="565">
        <f>Breakout!$H$229/12</f>
        <v>0</v>
      </c>
      <c r="J80" s="566">
        <f>Breakout!$H$230/12</f>
        <v>0</v>
      </c>
      <c r="K80" s="578">
        <f t="shared" si="7"/>
        <v>79166.666666666672</v>
      </c>
      <c r="L80" s="554">
        <f t="shared" si="8"/>
        <v>79166.666666666672</v>
      </c>
      <c r="M80" s="578">
        <f t="shared" si="9"/>
        <v>0</v>
      </c>
      <c r="N80" s="548">
        <f t="shared" si="5"/>
        <v>79166.666666666672</v>
      </c>
      <c r="O80" s="496"/>
      <c r="P80" s="553">
        <f t="shared" si="6"/>
        <v>79166.666666666672</v>
      </c>
      <c r="Q80" s="496"/>
      <c r="R80" s="496"/>
      <c r="S80" s="438">
        <v>0</v>
      </c>
      <c r="T80" s="496"/>
      <c r="U80" s="496"/>
      <c r="V80" s="496"/>
    </row>
    <row r="81" spans="1:68" x14ac:dyDescent="0.2">
      <c r="A81" s="383">
        <v>71</v>
      </c>
      <c r="B81" s="519">
        <v>38657</v>
      </c>
      <c r="C81" s="562">
        <v>0</v>
      </c>
      <c r="D81" s="557">
        <v>0</v>
      </c>
      <c r="E81" s="565">
        <f>Breakout!$H$215/12</f>
        <v>0</v>
      </c>
      <c r="F81" s="566">
        <f>Breakout!$H$216/12</f>
        <v>0</v>
      </c>
      <c r="G81" s="565">
        <f>Breakout!$H$222/12</f>
        <v>79166.666666666672</v>
      </c>
      <c r="H81" s="566">
        <f>Breakout!$H$223/12</f>
        <v>0</v>
      </c>
      <c r="I81" s="565">
        <f>Breakout!$H$229/12</f>
        <v>0</v>
      </c>
      <c r="J81" s="566">
        <f>Breakout!$H$230/12</f>
        <v>0</v>
      </c>
      <c r="K81" s="578">
        <f t="shared" si="7"/>
        <v>79166.666666666672</v>
      </c>
      <c r="L81" s="554">
        <f t="shared" si="8"/>
        <v>79166.666666666672</v>
      </c>
      <c r="M81" s="578">
        <f t="shared" si="9"/>
        <v>0</v>
      </c>
      <c r="N81" s="548">
        <f t="shared" si="5"/>
        <v>79166.666666666672</v>
      </c>
      <c r="O81" s="496"/>
      <c r="P81" s="553">
        <f t="shared" si="6"/>
        <v>79166.666666666672</v>
      </c>
      <c r="Q81" s="496"/>
      <c r="R81" s="496"/>
      <c r="S81" s="438">
        <v>0</v>
      </c>
      <c r="T81" s="496"/>
      <c r="U81" s="496"/>
      <c r="V81" s="496"/>
    </row>
    <row r="82" spans="1:68" s="525" customFormat="1" x14ac:dyDescent="0.2">
      <c r="A82" s="521">
        <v>72</v>
      </c>
      <c r="B82" s="522">
        <v>38687</v>
      </c>
      <c r="C82" s="562">
        <v>0</v>
      </c>
      <c r="D82" s="557">
        <v>0</v>
      </c>
      <c r="E82" s="563">
        <f>Breakout!$H$215/12</f>
        <v>0</v>
      </c>
      <c r="F82" s="561">
        <f>Breakout!$H$216/12</f>
        <v>0</v>
      </c>
      <c r="G82" s="563">
        <f>Breakout!$H$222/12</f>
        <v>79166.666666666672</v>
      </c>
      <c r="H82" s="561">
        <f>Breakout!$H$223/12</f>
        <v>0</v>
      </c>
      <c r="I82" s="563">
        <f>Breakout!$H$229/12</f>
        <v>0</v>
      </c>
      <c r="J82" s="561">
        <f>Breakout!$H$230/12</f>
        <v>0</v>
      </c>
      <c r="K82" s="578">
        <f t="shared" si="7"/>
        <v>79166.666666666672</v>
      </c>
      <c r="L82" s="554">
        <f t="shared" si="8"/>
        <v>79166.666666666672</v>
      </c>
      <c r="M82" s="578">
        <f t="shared" si="9"/>
        <v>0</v>
      </c>
      <c r="N82" s="548">
        <f t="shared" si="5"/>
        <v>79166.666666666672</v>
      </c>
      <c r="O82" s="524">
        <f>SUM(N71:N82)</f>
        <v>949999.99999999988</v>
      </c>
      <c r="P82" s="553">
        <f t="shared" si="6"/>
        <v>79166.666666666672</v>
      </c>
      <c r="Q82" s="524">
        <f>SUM(P71:P82)</f>
        <v>949999.99999999988</v>
      </c>
      <c r="R82" s="524"/>
      <c r="S82" s="438">
        <v>0</v>
      </c>
      <c r="T82" s="524"/>
      <c r="U82" s="524"/>
      <c r="V82" s="524"/>
      <c r="W82" s="524"/>
      <c r="X82" s="524"/>
      <c r="Y82" s="524"/>
      <c r="Z82" s="524"/>
      <c r="AA82" s="524"/>
      <c r="AB82" s="524"/>
      <c r="AC82" s="524"/>
      <c r="AD82" s="524"/>
      <c r="AE82" s="524"/>
      <c r="AF82" s="524"/>
      <c r="AG82" s="524"/>
      <c r="AH82" s="524"/>
      <c r="AI82" s="524"/>
      <c r="AJ82" s="524"/>
      <c r="AK82" s="524"/>
      <c r="AL82" s="524"/>
      <c r="AM82" s="524"/>
      <c r="AN82" s="524"/>
      <c r="AO82" s="524"/>
      <c r="AP82" s="524"/>
      <c r="AQ82" s="524"/>
      <c r="AR82" s="524"/>
      <c r="AS82" s="524"/>
      <c r="AT82" s="524"/>
      <c r="AU82" s="524"/>
      <c r="AV82" s="524"/>
      <c r="AW82" s="524"/>
      <c r="AX82" s="524"/>
      <c r="AY82" s="524"/>
      <c r="AZ82" s="524"/>
      <c r="BA82" s="524"/>
      <c r="BB82" s="524"/>
      <c r="BC82" s="524"/>
      <c r="BD82" s="524"/>
      <c r="BE82" s="524"/>
      <c r="BF82" s="524"/>
      <c r="BG82" s="524"/>
      <c r="BH82" s="524"/>
      <c r="BI82" s="524"/>
      <c r="BJ82" s="524"/>
      <c r="BK82" s="524"/>
      <c r="BL82" s="524"/>
      <c r="BM82" s="524"/>
      <c r="BN82" s="524"/>
      <c r="BO82" s="524"/>
      <c r="BP82" s="524"/>
    </row>
    <row r="83" spans="1:68" s="532" customFormat="1" x14ac:dyDescent="0.2">
      <c r="A83" s="528">
        <v>73</v>
      </c>
      <c r="B83" s="529">
        <v>38718</v>
      </c>
      <c r="C83" s="562">
        <v>0</v>
      </c>
      <c r="D83" s="557">
        <v>0</v>
      </c>
      <c r="E83" s="564">
        <f>Breakout!$I$215/12</f>
        <v>0</v>
      </c>
      <c r="F83" s="560">
        <f>Breakout!$I$216/12</f>
        <v>0</v>
      </c>
      <c r="G83" s="564">
        <f>Breakout!$I$222/12</f>
        <v>91666.666666666672</v>
      </c>
      <c r="H83" s="560">
        <f>Breakout!$I$223/12</f>
        <v>0</v>
      </c>
      <c r="I83" s="564">
        <f>Breakout!$I$229/12</f>
        <v>0</v>
      </c>
      <c r="J83" s="560">
        <f>Breakout!$I$230/12</f>
        <v>0</v>
      </c>
      <c r="K83" s="578">
        <f t="shared" si="7"/>
        <v>91666.666666666672</v>
      </c>
      <c r="L83" s="554">
        <f t="shared" si="8"/>
        <v>91666.666666666672</v>
      </c>
      <c r="M83" s="578">
        <f t="shared" si="9"/>
        <v>0</v>
      </c>
      <c r="N83" s="548">
        <f t="shared" si="5"/>
        <v>91666.666666666672</v>
      </c>
      <c r="O83" s="531"/>
      <c r="P83" s="553">
        <f t="shared" si="6"/>
        <v>91666.666666666672</v>
      </c>
      <c r="Q83" s="531"/>
      <c r="R83" s="531"/>
      <c r="S83" s="438">
        <v>0</v>
      </c>
      <c r="T83" s="531"/>
      <c r="U83" s="531"/>
      <c r="V83" s="531"/>
      <c r="W83" s="531"/>
      <c r="X83" s="531"/>
      <c r="Y83" s="531"/>
      <c r="Z83" s="531"/>
      <c r="AA83" s="531"/>
      <c r="AB83" s="531"/>
      <c r="AC83" s="531"/>
      <c r="AD83" s="531"/>
      <c r="AE83" s="531"/>
      <c r="AF83" s="531"/>
      <c r="AG83" s="531"/>
      <c r="AH83" s="531"/>
      <c r="AI83" s="531"/>
      <c r="AJ83" s="531"/>
      <c r="AK83" s="531"/>
      <c r="AL83" s="531"/>
      <c r="AM83" s="531"/>
      <c r="AN83" s="531"/>
      <c r="AO83" s="531"/>
      <c r="AP83" s="531"/>
      <c r="AQ83" s="531"/>
      <c r="AR83" s="531"/>
      <c r="AS83" s="531"/>
      <c r="AT83" s="531"/>
      <c r="AU83" s="531"/>
      <c r="AV83" s="531"/>
      <c r="AW83" s="531"/>
      <c r="AX83" s="531"/>
      <c r="AY83" s="531"/>
      <c r="AZ83" s="531"/>
      <c r="BA83" s="531"/>
      <c r="BB83" s="531"/>
      <c r="BC83" s="531"/>
      <c r="BD83" s="531"/>
      <c r="BE83" s="531"/>
      <c r="BF83" s="531"/>
      <c r="BG83" s="531"/>
      <c r="BH83" s="531"/>
      <c r="BI83" s="531"/>
      <c r="BJ83" s="531"/>
      <c r="BK83" s="531"/>
      <c r="BL83" s="531"/>
      <c r="BM83" s="531"/>
      <c r="BN83" s="531"/>
      <c r="BO83" s="531"/>
      <c r="BP83" s="531"/>
    </row>
    <row r="84" spans="1:68" x14ac:dyDescent="0.2">
      <c r="A84" s="383">
        <v>74</v>
      </c>
      <c r="B84" s="522">
        <v>38749</v>
      </c>
      <c r="C84" s="562">
        <v>0</v>
      </c>
      <c r="D84" s="557">
        <v>0</v>
      </c>
      <c r="E84" s="565">
        <f>Breakout!$I$215/12</f>
        <v>0</v>
      </c>
      <c r="F84" s="566">
        <f>Breakout!$I$216/12</f>
        <v>0</v>
      </c>
      <c r="G84" s="565">
        <f>Breakout!$I$222/12</f>
        <v>91666.666666666672</v>
      </c>
      <c r="H84" s="566">
        <f>Breakout!$I$223/12</f>
        <v>0</v>
      </c>
      <c r="I84" s="565">
        <f>Breakout!$I$229/12</f>
        <v>0</v>
      </c>
      <c r="J84" s="566">
        <f>Breakout!$I$230/12</f>
        <v>0</v>
      </c>
      <c r="K84" s="578">
        <f t="shared" si="7"/>
        <v>91666.666666666672</v>
      </c>
      <c r="L84" s="554">
        <f t="shared" si="8"/>
        <v>91666.666666666672</v>
      </c>
      <c r="M84" s="578">
        <f t="shared" si="9"/>
        <v>0</v>
      </c>
      <c r="N84" s="548">
        <f t="shared" si="5"/>
        <v>91666.666666666672</v>
      </c>
      <c r="O84" s="496"/>
      <c r="P84" s="553">
        <f t="shared" si="6"/>
        <v>91666.666666666672</v>
      </c>
      <c r="Q84" s="496"/>
      <c r="R84" s="496"/>
      <c r="S84" s="438">
        <v>0</v>
      </c>
      <c r="T84" s="496"/>
      <c r="U84" s="496"/>
      <c r="V84" s="496"/>
    </row>
    <row r="85" spans="1:68" x14ac:dyDescent="0.2">
      <c r="A85" s="383">
        <v>75</v>
      </c>
      <c r="B85" s="529">
        <v>38777</v>
      </c>
      <c r="C85" s="562">
        <v>0</v>
      </c>
      <c r="D85" s="557">
        <v>0</v>
      </c>
      <c r="E85" s="565">
        <f>Breakout!$I$215/12</f>
        <v>0</v>
      </c>
      <c r="F85" s="566">
        <f>Breakout!$I$216/12</f>
        <v>0</v>
      </c>
      <c r="G85" s="565">
        <f>Breakout!$I$222/12</f>
        <v>91666.666666666672</v>
      </c>
      <c r="H85" s="566">
        <f>Breakout!$I$223/12</f>
        <v>0</v>
      </c>
      <c r="I85" s="565">
        <f>Breakout!$I$229/12</f>
        <v>0</v>
      </c>
      <c r="J85" s="566">
        <f>Breakout!$I$230/12</f>
        <v>0</v>
      </c>
      <c r="K85" s="578">
        <f t="shared" si="7"/>
        <v>91666.666666666672</v>
      </c>
      <c r="L85" s="554">
        <f t="shared" si="8"/>
        <v>91666.666666666672</v>
      </c>
      <c r="M85" s="578">
        <f t="shared" si="9"/>
        <v>0</v>
      </c>
      <c r="N85" s="548">
        <f t="shared" si="5"/>
        <v>91666.666666666672</v>
      </c>
      <c r="O85" s="496"/>
      <c r="P85" s="553">
        <f t="shared" si="6"/>
        <v>91666.666666666672</v>
      </c>
      <c r="Q85" s="496"/>
      <c r="R85" s="496"/>
      <c r="S85" s="438">
        <v>0</v>
      </c>
      <c r="T85" s="496"/>
      <c r="U85" s="496"/>
      <c r="V85" s="496"/>
    </row>
    <row r="86" spans="1:68" x14ac:dyDescent="0.2">
      <c r="A86" s="383">
        <v>76</v>
      </c>
      <c r="B86" s="519">
        <v>38808</v>
      </c>
      <c r="C86" s="562">
        <v>0</v>
      </c>
      <c r="D86" s="557">
        <v>0</v>
      </c>
      <c r="E86" s="565">
        <f>Breakout!$I$215/12</f>
        <v>0</v>
      </c>
      <c r="F86" s="566">
        <f>Breakout!$I$216/12</f>
        <v>0</v>
      </c>
      <c r="G86" s="565">
        <f>Breakout!$I$222/12</f>
        <v>91666.666666666672</v>
      </c>
      <c r="H86" s="566">
        <f>Breakout!$I$223/12</f>
        <v>0</v>
      </c>
      <c r="I86" s="565">
        <f>Breakout!$I$229/12</f>
        <v>0</v>
      </c>
      <c r="J86" s="566">
        <f>Breakout!$I$230/12</f>
        <v>0</v>
      </c>
      <c r="K86" s="578">
        <f t="shared" si="7"/>
        <v>91666.666666666672</v>
      </c>
      <c r="L86" s="554">
        <f t="shared" si="8"/>
        <v>91666.666666666672</v>
      </c>
      <c r="M86" s="578">
        <f t="shared" si="9"/>
        <v>0</v>
      </c>
      <c r="N86" s="548">
        <f t="shared" si="5"/>
        <v>91666.666666666672</v>
      </c>
      <c r="O86" s="496"/>
      <c r="P86" s="553">
        <f t="shared" si="6"/>
        <v>91666.666666666672</v>
      </c>
      <c r="Q86" s="496"/>
      <c r="R86" s="496"/>
      <c r="S86" s="438">
        <v>0</v>
      </c>
      <c r="T86" s="496"/>
      <c r="U86" s="496"/>
      <c r="V86" s="496"/>
    </row>
    <row r="87" spans="1:68" x14ac:dyDescent="0.2">
      <c r="A87" s="383">
        <v>77</v>
      </c>
      <c r="B87" s="519">
        <v>38838</v>
      </c>
      <c r="C87" s="562">
        <v>0</v>
      </c>
      <c r="D87" s="557">
        <v>0</v>
      </c>
      <c r="E87" s="565">
        <f>Breakout!$I$215/12</f>
        <v>0</v>
      </c>
      <c r="F87" s="566">
        <f>Breakout!$I$216/12</f>
        <v>0</v>
      </c>
      <c r="G87" s="565">
        <f>Breakout!$I$222/12</f>
        <v>91666.666666666672</v>
      </c>
      <c r="H87" s="566">
        <f>Breakout!$I$223/12</f>
        <v>0</v>
      </c>
      <c r="I87" s="565">
        <f>Breakout!$I$229/12</f>
        <v>0</v>
      </c>
      <c r="J87" s="566">
        <f>Breakout!$I$230/12</f>
        <v>0</v>
      </c>
      <c r="K87" s="578">
        <f t="shared" si="7"/>
        <v>91666.666666666672</v>
      </c>
      <c r="L87" s="554">
        <f t="shared" si="8"/>
        <v>91666.666666666672</v>
      </c>
      <c r="M87" s="578">
        <f t="shared" si="9"/>
        <v>0</v>
      </c>
      <c r="N87" s="548">
        <f t="shared" si="5"/>
        <v>91666.666666666672</v>
      </c>
      <c r="O87" s="496"/>
      <c r="P87" s="553">
        <f t="shared" si="6"/>
        <v>91666.666666666672</v>
      </c>
      <c r="Q87" s="496"/>
      <c r="R87" s="496"/>
      <c r="S87" s="438">
        <v>0</v>
      </c>
      <c r="T87" s="496"/>
      <c r="U87" s="496"/>
      <c r="V87" s="496"/>
    </row>
    <row r="88" spans="1:68" x14ac:dyDescent="0.2">
      <c r="A88" s="383">
        <v>78</v>
      </c>
      <c r="B88" s="519">
        <v>38869</v>
      </c>
      <c r="C88" s="562">
        <v>0</v>
      </c>
      <c r="D88" s="557">
        <v>0</v>
      </c>
      <c r="E88" s="565">
        <f>Breakout!$I$215/12</f>
        <v>0</v>
      </c>
      <c r="F88" s="566">
        <f>Breakout!$I$216/12</f>
        <v>0</v>
      </c>
      <c r="G88" s="565">
        <f>Breakout!$I$222/12</f>
        <v>91666.666666666672</v>
      </c>
      <c r="H88" s="566">
        <f>Breakout!$I$223/12</f>
        <v>0</v>
      </c>
      <c r="I88" s="565">
        <f>Breakout!$I$229/12</f>
        <v>0</v>
      </c>
      <c r="J88" s="566">
        <f>Breakout!$I$230/12</f>
        <v>0</v>
      </c>
      <c r="K88" s="578">
        <f t="shared" si="7"/>
        <v>91666.666666666672</v>
      </c>
      <c r="L88" s="554">
        <f t="shared" si="8"/>
        <v>91666.666666666672</v>
      </c>
      <c r="M88" s="578">
        <f t="shared" si="9"/>
        <v>0</v>
      </c>
      <c r="N88" s="548">
        <f t="shared" si="5"/>
        <v>91666.666666666672</v>
      </c>
      <c r="O88" s="496"/>
      <c r="P88" s="553">
        <f t="shared" si="6"/>
        <v>91666.666666666672</v>
      </c>
      <c r="Q88" s="496"/>
      <c r="R88" s="496"/>
      <c r="S88" s="438">
        <v>0</v>
      </c>
      <c r="T88" s="496"/>
      <c r="U88" s="496"/>
      <c r="V88" s="496"/>
    </row>
    <row r="89" spans="1:68" x14ac:dyDescent="0.2">
      <c r="A89" s="383">
        <v>79</v>
      </c>
      <c r="B89" s="519">
        <v>38899</v>
      </c>
      <c r="C89" s="562">
        <v>0</v>
      </c>
      <c r="D89" s="557">
        <v>0</v>
      </c>
      <c r="E89" s="565">
        <f>Breakout!$I$215/12</f>
        <v>0</v>
      </c>
      <c r="F89" s="566">
        <f>Breakout!$I$216/12</f>
        <v>0</v>
      </c>
      <c r="G89" s="565">
        <f>Breakout!$I$222/12</f>
        <v>91666.666666666672</v>
      </c>
      <c r="H89" s="566">
        <f>Breakout!$I$223/12</f>
        <v>0</v>
      </c>
      <c r="I89" s="565">
        <f>Breakout!$I$229/12</f>
        <v>0</v>
      </c>
      <c r="J89" s="566">
        <f>Breakout!$I$230/12</f>
        <v>0</v>
      </c>
      <c r="K89" s="578">
        <f t="shared" si="7"/>
        <v>91666.666666666672</v>
      </c>
      <c r="L89" s="554">
        <f t="shared" si="8"/>
        <v>91666.666666666672</v>
      </c>
      <c r="M89" s="578">
        <f t="shared" si="9"/>
        <v>0</v>
      </c>
      <c r="N89" s="548">
        <f t="shared" si="5"/>
        <v>91666.666666666672</v>
      </c>
      <c r="O89" s="496"/>
      <c r="P89" s="553">
        <f t="shared" si="6"/>
        <v>91666.666666666672</v>
      </c>
      <c r="Q89" s="496"/>
      <c r="R89" s="496"/>
      <c r="S89" s="438">
        <v>0</v>
      </c>
      <c r="T89" s="496"/>
      <c r="U89" s="496"/>
      <c r="V89" s="496"/>
    </row>
    <row r="90" spans="1:68" x14ac:dyDescent="0.2">
      <c r="A90" s="383">
        <v>80</v>
      </c>
      <c r="B90" s="519">
        <v>38930</v>
      </c>
      <c r="C90" s="562">
        <v>0</v>
      </c>
      <c r="D90" s="557">
        <v>0</v>
      </c>
      <c r="E90" s="565">
        <f>Breakout!$I$215/12</f>
        <v>0</v>
      </c>
      <c r="F90" s="566">
        <f>Breakout!$I$216/12</f>
        <v>0</v>
      </c>
      <c r="G90" s="565">
        <f>Breakout!$I$222/12</f>
        <v>91666.666666666672</v>
      </c>
      <c r="H90" s="566">
        <f>Breakout!$I$223/12</f>
        <v>0</v>
      </c>
      <c r="I90" s="565">
        <f>Breakout!$I$229/12</f>
        <v>0</v>
      </c>
      <c r="J90" s="566">
        <f>Breakout!$I$230/12</f>
        <v>0</v>
      </c>
      <c r="K90" s="578">
        <f t="shared" si="7"/>
        <v>91666.666666666672</v>
      </c>
      <c r="L90" s="554">
        <f t="shared" si="8"/>
        <v>91666.666666666672</v>
      </c>
      <c r="M90" s="578">
        <f t="shared" si="9"/>
        <v>0</v>
      </c>
      <c r="N90" s="548">
        <f t="shared" si="5"/>
        <v>91666.666666666672</v>
      </c>
      <c r="O90" s="496"/>
      <c r="P90" s="553">
        <f t="shared" si="6"/>
        <v>91666.666666666672</v>
      </c>
      <c r="Q90" s="496"/>
      <c r="R90" s="496"/>
      <c r="S90" s="438">
        <v>0</v>
      </c>
      <c r="T90" s="496"/>
      <c r="U90" s="496"/>
      <c r="V90" s="496"/>
    </row>
    <row r="91" spans="1:68" x14ac:dyDescent="0.2">
      <c r="A91" s="383">
        <v>81</v>
      </c>
      <c r="B91" s="519">
        <v>38961</v>
      </c>
      <c r="C91" s="562">
        <v>0</v>
      </c>
      <c r="D91" s="557">
        <v>0</v>
      </c>
      <c r="E91" s="565">
        <f>Breakout!$I$215/12</f>
        <v>0</v>
      </c>
      <c r="F91" s="566">
        <f>Breakout!$I$216/12</f>
        <v>0</v>
      </c>
      <c r="G91" s="565">
        <f>Breakout!$I$222/12</f>
        <v>91666.666666666672</v>
      </c>
      <c r="H91" s="566">
        <f>Breakout!$I$223/12</f>
        <v>0</v>
      </c>
      <c r="I91" s="565">
        <f>Breakout!$I$229/12</f>
        <v>0</v>
      </c>
      <c r="J91" s="566">
        <f>Breakout!$I$230/12</f>
        <v>0</v>
      </c>
      <c r="K91" s="578">
        <f t="shared" si="7"/>
        <v>91666.666666666672</v>
      </c>
      <c r="L91" s="554">
        <f t="shared" si="8"/>
        <v>91666.666666666672</v>
      </c>
      <c r="M91" s="578">
        <f t="shared" si="9"/>
        <v>0</v>
      </c>
      <c r="N91" s="548">
        <f t="shared" si="5"/>
        <v>91666.666666666672</v>
      </c>
      <c r="O91" s="496"/>
      <c r="P91" s="553">
        <f t="shared" si="6"/>
        <v>91666.666666666672</v>
      </c>
      <c r="Q91" s="496"/>
      <c r="R91" s="496"/>
      <c r="S91" s="438">
        <v>0</v>
      </c>
      <c r="T91" s="496"/>
      <c r="U91" s="496"/>
      <c r="V91" s="496"/>
    </row>
    <row r="92" spans="1:68" x14ac:dyDescent="0.2">
      <c r="A92" s="383">
        <v>82</v>
      </c>
      <c r="B92" s="519">
        <v>38991</v>
      </c>
      <c r="C92" s="562">
        <v>0</v>
      </c>
      <c r="D92" s="557">
        <v>0</v>
      </c>
      <c r="E92" s="565">
        <f>Breakout!$I$215/12</f>
        <v>0</v>
      </c>
      <c r="F92" s="566">
        <f>Breakout!$I$216/12</f>
        <v>0</v>
      </c>
      <c r="G92" s="565">
        <f>Breakout!$I$222/12</f>
        <v>91666.666666666672</v>
      </c>
      <c r="H92" s="566">
        <f>Breakout!$I$223/12</f>
        <v>0</v>
      </c>
      <c r="I92" s="565">
        <f>Breakout!$I$229/12</f>
        <v>0</v>
      </c>
      <c r="J92" s="566">
        <f>Breakout!$I$230/12</f>
        <v>0</v>
      </c>
      <c r="K92" s="578">
        <f t="shared" si="7"/>
        <v>91666.666666666672</v>
      </c>
      <c r="L92" s="554">
        <f t="shared" si="8"/>
        <v>91666.666666666672</v>
      </c>
      <c r="M92" s="578">
        <f t="shared" si="9"/>
        <v>0</v>
      </c>
      <c r="N92" s="548">
        <f t="shared" si="5"/>
        <v>91666.666666666672</v>
      </c>
      <c r="O92" s="496"/>
      <c r="P92" s="553">
        <f t="shared" si="6"/>
        <v>91666.666666666672</v>
      </c>
      <c r="Q92" s="496"/>
      <c r="R92" s="496"/>
      <c r="S92" s="438">
        <v>0</v>
      </c>
      <c r="T92" s="496"/>
      <c r="U92" s="496"/>
      <c r="V92" s="496"/>
    </row>
    <row r="93" spans="1:68" x14ac:dyDescent="0.2">
      <c r="A93" s="383">
        <v>83</v>
      </c>
      <c r="B93" s="519">
        <v>39022</v>
      </c>
      <c r="C93" s="562">
        <v>0</v>
      </c>
      <c r="D93" s="557">
        <v>0</v>
      </c>
      <c r="E93" s="565">
        <f>Breakout!$I$215/12</f>
        <v>0</v>
      </c>
      <c r="F93" s="566">
        <f>Breakout!$I$216/12</f>
        <v>0</v>
      </c>
      <c r="G93" s="565">
        <f>Breakout!$I$222/12</f>
        <v>91666.666666666672</v>
      </c>
      <c r="H93" s="566">
        <f>Breakout!$I$223/12</f>
        <v>0</v>
      </c>
      <c r="I93" s="565">
        <f>Breakout!$I$229/12</f>
        <v>0</v>
      </c>
      <c r="J93" s="566">
        <f>Breakout!$I$230/12</f>
        <v>0</v>
      </c>
      <c r="K93" s="578">
        <f t="shared" si="7"/>
        <v>91666.666666666672</v>
      </c>
      <c r="L93" s="554">
        <f t="shared" si="8"/>
        <v>91666.666666666672</v>
      </c>
      <c r="M93" s="578">
        <f t="shared" si="9"/>
        <v>0</v>
      </c>
      <c r="N93" s="548">
        <f t="shared" si="5"/>
        <v>91666.666666666672</v>
      </c>
      <c r="O93" s="496"/>
      <c r="P93" s="553">
        <f t="shared" si="6"/>
        <v>91666.666666666672</v>
      </c>
      <c r="Q93" s="496"/>
      <c r="R93" s="496"/>
      <c r="S93" s="438">
        <v>0</v>
      </c>
      <c r="T93" s="496"/>
      <c r="U93" s="496"/>
      <c r="V93" s="496"/>
    </row>
    <row r="94" spans="1:68" s="525" customFormat="1" x14ac:dyDescent="0.2">
      <c r="A94" s="521">
        <v>84</v>
      </c>
      <c r="B94" s="522">
        <v>39052</v>
      </c>
      <c r="C94" s="562">
        <v>0</v>
      </c>
      <c r="D94" s="557">
        <v>0</v>
      </c>
      <c r="E94" s="563">
        <f>Breakout!$I$215/12</f>
        <v>0</v>
      </c>
      <c r="F94" s="561">
        <f>Breakout!$I$216/12</f>
        <v>0</v>
      </c>
      <c r="G94" s="563">
        <f>Breakout!$I$222/12</f>
        <v>91666.666666666672</v>
      </c>
      <c r="H94" s="561">
        <f>Breakout!$I$223/12</f>
        <v>0</v>
      </c>
      <c r="I94" s="563">
        <f>Breakout!$I$229/12</f>
        <v>0</v>
      </c>
      <c r="J94" s="561">
        <f>Breakout!$I$230/12</f>
        <v>0</v>
      </c>
      <c r="K94" s="578">
        <f t="shared" si="7"/>
        <v>91666.666666666672</v>
      </c>
      <c r="L94" s="554">
        <f t="shared" si="8"/>
        <v>91666.666666666672</v>
      </c>
      <c r="M94" s="578">
        <f t="shared" si="9"/>
        <v>0</v>
      </c>
      <c r="N94" s="548">
        <f t="shared" si="5"/>
        <v>91666.666666666672</v>
      </c>
      <c r="O94" s="524">
        <f>SUM(N83:N94)</f>
        <v>1099999.9999999998</v>
      </c>
      <c r="P94" s="553">
        <f t="shared" si="6"/>
        <v>91666.666666666672</v>
      </c>
      <c r="Q94" s="524">
        <f>SUM(P83:P94)</f>
        <v>1099999.9999999998</v>
      </c>
      <c r="R94" s="524"/>
      <c r="S94" s="438">
        <v>0</v>
      </c>
      <c r="T94" s="524"/>
      <c r="U94" s="524"/>
      <c r="V94" s="524"/>
      <c r="W94" s="524"/>
      <c r="X94" s="524"/>
      <c r="Y94" s="524"/>
      <c r="Z94" s="524"/>
      <c r="AA94" s="524"/>
      <c r="AB94" s="524"/>
      <c r="AC94" s="524"/>
      <c r="AD94" s="524"/>
      <c r="AE94" s="524"/>
      <c r="AF94" s="524"/>
      <c r="AG94" s="524"/>
      <c r="AH94" s="524"/>
      <c r="AI94" s="524"/>
      <c r="AJ94" s="524"/>
      <c r="AK94" s="524"/>
      <c r="AL94" s="524"/>
      <c r="AM94" s="524"/>
      <c r="AN94" s="524"/>
      <c r="AO94" s="524"/>
      <c r="AP94" s="524"/>
      <c r="AQ94" s="524"/>
      <c r="AR94" s="524"/>
      <c r="AS94" s="524"/>
      <c r="AT94" s="524"/>
      <c r="AU94" s="524"/>
      <c r="AV94" s="524"/>
      <c r="AW94" s="524"/>
      <c r="AX94" s="524"/>
      <c r="AY94" s="524"/>
      <c r="AZ94" s="524"/>
      <c r="BA94" s="524"/>
      <c r="BB94" s="524"/>
      <c r="BC94" s="524"/>
      <c r="BD94" s="524"/>
      <c r="BE94" s="524"/>
      <c r="BF94" s="524"/>
      <c r="BG94" s="524"/>
      <c r="BH94" s="524"/>
      <c r="BI94" s="524"/>
      <c r="BJ94" s="524"/>
      <c r="BK94" s="524"/>
      <c r="BL94" s="524"/>
      <c r="BM94" s="524"/>
      <c r="BN94" s="524"/>
      <c r="BO94" s="524"/>
      <c r="BP94" s="524"/>
    </row>
    <row r="95" spans="1:68" s="532" customFormat="1" x14ac:dyDescent="0.2">
      <c r="A95" s="528">
        <v>85</v>
      </c>
      <c r="B95" s="529">
        <v>39083</v>
      </c>
      <c r="C95" s="562">
        <v>0</v>
      </c>
      <c r="D95" s="557">
        <v>0</v>
      </c>
      <c r="E95" s="564">
        <f>Breakout!$J$215/12</f>
        <v>0</v>
      </c>
      <c r="F95" s="560">
        <f>Breakout!$J$216/12</f>
        <v>0</v>
      </c>
      <c r="G95" s="564">
        <f>Breakout!$J$222/12</f>
        <v>104166.66666666667</v>
      </c>
      <c r="H95" s="560">
        <f>Breakout!$J$223/12</f>
        <v>0</v>
      </c>
      <c r="I95" s="564">
        <f>Breakout!$J$229/12</f>
        <v>0</v>
      </c>
      <c r="J95" s="560">
        <f>Breakout!$J$230/12</f>
        <v>0</v>
      </c>
      <c r="K95" s="578">
        <f t="shared" si="7"/>
        <v>104166.66666666667</v>
      </c>
      <c r="L95" s="554">
        <f t="shared" si="8"/>
        <v>104166.66666666667</v>
      </c>
      <c r="M95" s="578">
        <f t="shared" si="9"/>
        <v>0</v>
      </c>
      <c r="N95" s="548">
        <f t="shared" si="5"/>
        <v>104166.66666666667</v>
      </c>
      <c r="O95" s="531"/>
      <c r="P95" s="553">
        <f t="shared" si="6"/>
        <v>104166.66666666667</v>
      </c>
      <c r="Q95" s="531"/>
      <c r="R95" s="531"/>
      <c r="S95" s="438">
        <v>0</v>
      </c>
      <c r="T95" s="531"/>
      <c r="U95" s="531"/>
      <c r="V95" s="531"/>
      <c r="W95" s="531"/>
      <c r="X95" s="531"/>
      <c r="Y95" s="531"/>
      <c r="Z95" s="531"/>
      <c r="AA95" s="531"/>
      <c r="AB95" s="531"/>
      <c r="AC95" s="531"/>
      <c r="AD95" s="531"/>
      <c r="AE95" s="531"/>
      <c r="AF95" s="531"/>
      <c r="AG95" s="531"/>
      <c r="AH95" s="531"/>
      <c r="AI95" s="531"/>
      <c r="AJ95" s="531"/>
      <c r="AK95" s="531"/>
      <c r="AL95" s="531"/>
      <c r="AM95" s="531"/>
      <c r="AN95" s="531"/>
      <c r="AO95" s="531"/>
      <c r="AP95" s="531"/>
      <c r="AQ95" s="531"/>
      <c r="AR95" s="531"/>
      <c r="AS95" s="531"/>
      <c r="AT95" s="531"/>
      <c r="AU95" s="531"/>
      <c r="AV95" s="531"/>
      <c r="AW95" s="531"/>
      <c r="AX95" s="531"/>
      <c r="AY95" s="531"/>
      <c r="AZ95" s="531"/>
      <c r="BA95" s="531"/>
      <c r="BB95" s="531"/>
      <c r="BC95" s="531"/>
      <c r="BD95" s="531"/>
      <c r="BE95" s="531"/>
      <c r="BF95" s="531"/>
      <c r="BG95" s="531"/>
      <c r="BH95" s="531"/>
      <c r="BI95" s="531"/>
      <c r="BJ95" s="531"/>
      <c r="BK95" s="531"/>
      <c r="BL95" s="531"/>
      <c r="BM95" s="531"/>
      <c r="BN95" s="531"/>
      <c r="BO95" s="531"/>
      <c r="BP95" s="531"/>
    </row>
    <row r="96" spans="1:68" x14ac:dyDescent="0.2">
      <c r="A96" s="383">
        <v>86</v>
      </c>
      <c r="B96" s="519">
        <v>39114</v>
      </c>
      <c r="C96" s="562">
        <v>0</v>
      </c>
      <c r="D96" s="557">
        <v>0</v>
      </c>
      <c r="E96" s="565">
        <f>Breakout!$J$215/12</f>
        <v>0</v>
      </c>
      <c r="F96" s="566">
        <f>Breakout!$J$216/12</f>
        <v>0</v>
      </c>
      <c r="G96" s="565">
        <f>Breakout!$J$222/12</f>
        <v>104166.66666666667</v>
      </c>
      <c r="H96" s="566">
        <f>Breakout!$J$223/12</f>
        <v>0</v>
      </c>
      <c r="I96" s="565">
        <f>Breakout!$J$229/12</f>
        <v>0</v>
      </c>
      <c r="J96" s="566">
        <f>Breakout!$J$230/12</f>
        <v>0</v>
      </c>
      <c r="K96" s="578">
        <f t="shared" si="7"/>
        <v>104166.66666666667</v>
      </c>
      <c r="L96" s="554">
        <f t="shared" si="8"/>
        <v>104166.66666666667</v>
      </c>
      <c r="M96" s="578">
        <f t="shared" si="9"/>
        <v>0</v>
      </c>
      <c r="N96" s="548">
        <f t="shared" si="5"/>
        <v>104166.66666666667</v>
      </c>
      <c r="O96" s="496"/>
      <c r="P96" s="553">
        <f t="shared" si="6"/>
        <v>104166.66666666667</v>
      </c>
      <c r="Q96" s="496"/>
      <c r="R96" s="496"/>
      <c r="S96" s="438">
        <v>0</v>
      </c>
      <c r="T96" s="496"/>
      <c r="U96" s="496"/>
      <c r="V96" s="496"/>
    </row>
    <row r="97" spans="1:68" x14ac:dyDescent="0.2">
      <c r="A97" s="383">
        <v>87</v>
      </c>
      <c r="B97" s="519">
        <v>39142</v>
      </c>
      <c r="C97" s="562">
        <v>0</v>
      </c>
      <c r="D97" s="557">
        <v>0</v>
      </c>
      <c r="E97" s="565">
        <f>Breakout!$J$215/12</f>
        <v>0</v>
      </c>
      <c r="F97" s="566">
        <f>Breakout!$J$216/12</f>
        <v>0</v>
      </c>
      <c r="G97" s="565">
        <f>Breakout!$J$222/12</f>
        <v>104166.66666666667</v>
      </c>
      <c r="H97" s="566">
        <f>Breakout!$J$223/12</f>
        <v>0</v>
      </c>
      <c r="I97" s="565">
        <f>Breakout!$J$229/12</f>
        <v>0</v>
      </c>
      <c r="J97" s="566">
        <f>Breakout!$J$230/12</f>
        <v>0</v>
      </c>
      <c r="K97" s="578">
        <f t="shared" si="7"/>
        <v>104166.66666666667</v>
      </c>
      <c r="L97" s="554">
        <f t="shared" si="8"/>
        <v>104166.66666666667</v>
      </c>
      <c r="M97" s="578">
        <f t="shared" si="9"/>
        <v>0</v>
      </c>
      <c r="N97" s="548">
        <f t="shared" si="5"/>
        <v>104166.66666666667</v>
      </c>
      <c r="O97" s="496"/>
      <c r="P97" s="553">
        <f t="shared" si="6"/>
        <v>104166.66666666667</v>
      </c>
      <c r="Q97" s="496"/>
      <c r="R97" s="496"/>
      <c r="S97" s="438">
        <v>0</v>
      </c>
      <c r="T97" s="496"/>
      <c r="U97" s="496"/>
      <c r="V97" s="496"/>
    </row>
    <row r="98" spans="1:68" x14ac:dyDescent="0.2">
      <c r="A98" s="383">
        <v>88</v>
      </c>
      <c r="B98" s="519">
        <v>39173</v>
      </c>
      <c r="C98" s="562">
        <v>0</v>
      </c>
      <c r="D98" s="557">
        <v>0</v>
      </c>
      <c r="E98" s="565">
        <f>Breakout!$J$215/12</f>
        <v>0</v>
      </c>
      <c r="F98" s="566">
        <f>Breakout!$J$216/12</f>
        <v>0</v>
      </c>
      <c r="G98" s="565">
        <f>Breakout!$J$222/12</f>
        <v>104166.66666666667</v>
      </c>
      <c r="H98" s="566">
        <f>Breakout!$J$223/12</f>
        <v>0</v>
      </c>
      <c r="I98" s="565">
        <f>Breakout!$J$229/12</f>
        <v>0</v>
      </c>
      <c r="J98" s="566">
        <f>Breakout!$J$230/12</f>
        <v>0</v>
      </c>
      <c r="K98" s="578">
        <f t="shared" si="7"/>
        <v>104166.66666666667</v>
      </c>
      <c r="L98" s="554">
        <f t="shared" si="8"/>
        <v>104166.66666666667</v>
      </c>
      <c r="M98" s="578">
        <f t="shared" si="9"/>
        <v>0</v>
      </c>
      <c r="N98" s="548">
        <f t="shared" si="5"/>
        <v>104166.66666666667</v>
      </c>
      <c r="O98" s="496"/>
      <c r="P98" s="553">
        <f t="shared" si="6"/>
        <v>104166.66666666667</v>
      </c>
      <c r="Q98" s="496"/>
      <c r="R98" s="496"/>
      <c r="S98" s="438">
        <v>0</v>
      </c>
      <c r="T98" s="496"/>
      <c r="U98" s="496"/>
      <c r="V98" s="496"/>
    </row>
    <row r="99" spans="1:68" x14ac:dyDescent="0.2">
      <c r="A99" s="383">
        <v>89</v>
      </c>
      <c r="B99" s="519">
        <v>39203</v>
      </c>
      <c r="C99" s="562">
        <v>0</v>
      </c>
      <c r="D99" s="557">
        <v>0</v>
      </c>
      <c r="E99" s="565">
        <f>Breakout!$J$215/12</f>
        <v>0</v>
      </c>
      <c r="F99" s="566">
        <f>Breakout!$J$216/12</f>
        <v>0</v>
      </c>
      <c r="G99" s="565">
        <f>Breakout!$J$222/12</f>
        <v>104166.66666666667</v>
      </c>
      <c r="H99" s="566">
        <f>Breakout!$J$223/12</f>
        <v>0</v>
      </c>
      <c r="I99" s="565">
        <f>Breakout!$J$229/12</f>
        <v>0</v>
      </c>
      <c r="J99" s="566">
        <f>Breakout!$J$230/12</f>
        <v>0</v>
      </c>
      <c r="K99" s="578">
        <f t="shared" si="7"/>
        <v>104166.66666666667</v>
      </c>
      <c r="L99" s="554">
        <f t="shared" si="8"/>
        <v>104166.66666666667</v>
      </c>
      <c r="M99" s="578">
        <f t="shared" si="9"/>
        <v>0</v>
      </c>
      <c r="N99" s="548">
        <f t="shared" si="5"/>
        <v>104166.66666666667</v>
      </c>
      <c r="O99" s="496"/>
      <c r="P99" s="553">
        <f t="shared" si="6"/>
        <v>104166.66666666667</v>
      </c>
      <c r="Q99" s="496"/>
      <c r="R99" s="496"/>
      <c r="S99" s="438">
        <v>0</v>
      </c>
      <c r="T99" s="496"/>
      <c r="U99" s="496"/>
      <c r="V99" s="496"/>
    </row>
    <row r="100" spans="1:68" x14ac:dyDescent="0.2">
      <c r="A100" s="383">
        <v>90</v>
      </c>
      <c r="B100" s="519">
        <v>39234</v>
      </c>
      <c r="C100" s="562">
        <v>0</v>
      </c>
      <c r="D100" s="557">
        <v>0</v>
      </c>
      <c r="E100" s="565">
        <f>Breakout!$J$215/12</f>
        <v>0</v>
      </c>
      <c r="F100" s="566">
        <f>Breakout!$J$216/12</f>
        <v>0</v>
      </c>
      <c r="G100" s="565">
        <f>Breakout!$J$222/12</f>
        <v>104166.66666666667</v>
      </c>
      <c r="H100" s="566">
        <f>Breakout!$J$223/12</f>
        <v>0</v>
      </c>
      <c r="I100" s="565">
        <f>Breakout!$J$229/12</f>
        <v>0</v>
      </c>
      <c r="J100" s="566">
        <f>Breakout!$J$230/12</f>
        <v>0</v>
      </c>
      <c r="K100" s="578">
        <f t="shared" si="7"/>
        <v>104166.66666666667</v>
      </c>
      <c r="L100" s="554">
        <f t="shared" si="8"/>
        <v>104166.66666666667</v>
      </c>
      <c r="M100" s="578">
        <f t="shared" si="9"/>
        <v>0</v>
      </c>
      <c r="N100" s="548">
        <f t="shared" si="5"/>
        <v>104166.66666666667</v>
      </c>
      <c r="O100" s="496"/>
      <c r="P100" s="553">
        <f t="shared" si="6"/>
        <v>104166.66666666667</v>
      </c>
      <c r="Q100" s="496"/>
      <c r="R100" s="496"/>
      <c r="S100" s="438">
        <v>0</v>
      </c>
      <c r="T100" s="496"/>
      <c r="U100" s="496"/>
      <c r="V100" s="496"/>
    </row>
    <row r="101" spans="1:68" x14ac:dyDescent="0.2">
      <c r="A101" s="383">
        <v>91</v>
      </c>
      <c r="B101" s="519">
        <v>39264</v>
      </c>
      <c r="C101" s="562">
        <v>0</v>
      </c>
      <c r="D101" s="557">
        <v>0</v>
      </c>
      <c r="E101" s="565">
        <f>Breakout!$J$215/12</f>
        <v>0</v>
      </c>
      <c r="F101" s="566">
        <f>Breakout!$J$216/12</f>
        <v>0</v>
      </c>
      <c r="G101" s="565">
        <f>Breakout!$J$222/12</f>
        <v>104166.66666666667</v>
      </c>
      <c r="H101" s="566">
        <f>Breakout!$J$223/12</f>
        <v>0</v>
      </c>
      <c r="I101" s="565">
        <f>Breakout!$J$229/12</f>
        <v>0</v>
      </c>
      <c r="J101" s="566">
        <f>Breakout!$J$230/12</f>
        <v>0</v>
      </c>
      <c r="K101" s="578">
        <f t="shared" si="7"/>
        <v>104166.66666666667</v>
      </c>
      <c r="L101" s="554">
        <f t="shared" si="8"/>
        <v>104166.66666666667</v>
      </c>
      <c r="M101" s="578">
        <f t="shared" si="9"/>
        <v>0</v>
      </c>
      <c r="N101" s="548">
        <f t="shared" si="5"/>
        <v>104166.66666666667</v>
      </c>
      <c r="O101" s="496"/>
      <c r="P101" s="553">
        <f t="shared" si="6"/>
        <v>104166.66666666667</v>
      </c>
      <c r="Q101" s="496"/>
      <c r="R101" s="496"/>
      <c r="S101" s="438">
        <v>0</v>
      </c>
      <c r="T101" s="496"/>
      <c r="U101" s="496"/>
      <c r="V101" s="496"/>
    </row>
    <row r="102" spans="1:68" x14ac:dyDescent="0.2">
      <c r="A102" s="383">
        <v>92</v>
      </c>
      <c r="B102" s="519">
        <v>39295</v>
      </c>
      <c r="C102" s="562">
        <v>0</v>
      </c>
      <c r="D102" s="557">
        <v>0</v>
      </c>
      <c r="E102" s="565">
        <f>Breakout!$J$215/12</f>
        <v>0</v>
      </c>
      <c r="F102" s="566">
        <f>Breakout!$J$216/12</f>
        <v>0</v>
      </c>
      <c r="G102" s="565">
        <f>Breakout!$J$222/12</f>
        <v>104166.66666666667</v>
      </c>
      <c r="H102" s="566">
        <f>Breakout!$J$223/12</f>
        <v>0</v>
      </c>
      <c r="I102" s="565">
        <f>Breakout!$J$229/12</f>
        <v>0</v>
      </c>
      <c r="J102" s="566">
        <f>Breakout!$J$230/12</f>
        <v>0</v>
      </c>
      <c r="K102" s="578">
        <f t="shared" si="7"/>
        <v>104166.66666666667</v>
      </c>
      <c r="L102" s="554">
        <f t="shared" si="8"/>
        <v>104166.66666666667</v>
      </c>
      <c r="M102" s="578">
        <f t="shared" si="9"/>
        <v>0</v>
      </c>
      <c r="N102" s="548">
        <f t="shared" si="5"/>
        <v>104166.66666666667</v>
      </c>
      <c r="O102" s="496"/>
      <c r="P102" s="553">
        <f t="shared" si="6"/>
        <v>104166.66666666667</v>
      </c>
      <c r="Q102" s="496"/>
      <c r="R102" s="496"/>
      <c r="S102" s="438">
        <v>0</v>
      </c>
      <c r="T102" s="496"/>
      <c r="U102" s="496"/>
      <c r="V102" s="496"/>
    </row>
    <row r="103" spans="1:68" x14ac:dyDescent="0.2">
      <c r="A103" s="383">
        <v>93</v>
      </c>
      <c r="B103" s="519">
        <v>39326</v>
      </c>
      <c r="C103" s="562">
        <v>0</v>
      </c>
      <c r="D103" s="557">
        <v>0</v>
      </c>
      <c r="E103" s="565">
        <f>Breakout!$J$215/12</f>
        <v>0</v>
      </c>
      <c r="F103" s="566">
        <f>Breakout!$J$216/12</f>
        <v>0</v>
      </c>
      <c r="G103" s="565">
        <f>Breakout!$J$222/12</f>
        <v>104166.66666666667</v>
      </c>
      <c r="H103" s="566">
        <f>Breakout!$J$223/12</f>
        <v>0</v>
      </c>
      <c r="I103" s="565">
        <f>Breakout!$J$229/12</f>
        <v>0</v>
      </c>
      <c r="J103" s="566">
        <f>Breakout!$J$230/12</f>
        <v>0</v>
      </c>
      <c r="K103" s="578">
        <f t="shared" si="7"/>
        <v>104166.66666666667</v>
      </c>
      <c r="L103" s="554">
        <f t="shared" si="8"/>
        <v>104166.66666666667</v>
      </c>
      <c r="M103" s="578">
        <f t="shared" si="9"/>
        <v>0</v>
      </c>
      <c r="N103" s="548">
        <f t="shared" si="5"/>
        <v>104166.66666666667</v>
      </c>
      <c r="O103" s="496"/>
      <c r="P103" s="553">
        <f t="shared" si="6"/>
        <v>104166.66666666667</v>
      </c>
      <c r="Q103" s="496"/>
      <c r="R103" s="496"/>
      <c r="S103" s="438">
        <v>0</v>
      </c>
      <c r="T103" s="496"/>
      <c r="U103" s="496"/>
      <c r="V103" s="496"/>
    </row>
    <row r="104" spans="1:68" x14ac:dyDescent="0.2">
      <c r="A104" s="383">
        <v>94</v>
      </c>
      <c r="B104" s="519">
        <v>39356</v>
      </c>
      <c r="C104" s="562">
        <v>0</v>
      </c>
      <c r="D104" s="557">
        <v>0</v>
      </c>
      <c r="E104" s="565">
        <f>Breakout!$J$215/12</f>
        <v>0</v>
      </c>
      <c r="F104" s="566">
        <f>Breakout!$J$216/12</f>
        <v>0</v>
      </c>
      <c r="G104" s="565">
        <f>Breakout!$J$222/12</f>
        <v>104166.66666666667</v>
      </c>
      <c r="H104" s="566">
        <f>Breakout!$J$223/12</f>
        <v>0</v>
      </c>
      <c r="I104" s="565">
        <f>Breakout!$J$229/12</f>
        <v>0</v>
      </c>
      <c r="J104" s="566">
        <f>Breakout!$J$230/12</f>
        <v>0</v>
      </c>
      <c r="K104" s="578">
        <f t="shared" si="7"/>
        <v>104166.66666666667</v>
      </c>
      <c r="L104" s="554">
        <f t="shared" si="8"/>
        <v>104166.66666666667</v>
      </c>
      <c r="M104" s="578">
        <f t="shared" si="9"/>
        <v>0</v>
      </c>
      <c r="N104" s="548">
        <f t="shared" si="5"/>
        <v>104166.66666666667</v>
      </c>
      <c r="O104" s="496"/>
      <c r="P104" s="553">
        <f t="shared" si="6"/>
        <v>104166.66666666667</v>
      </c>
      <c r="Q104" s="496"/>
      <c r="R104" s="496"/>
      <c r="S104" s="438">
        <v>0</v>
      </c>
      <c r="T104" s="496"/>
      <c r="U104" s="496"/>
      <c r="V104" s="496"/>
    </row>
    <row r="105" spans="1:68" x14ac:dyDescent="0.2">
      <c r="A105" s="383">
        <v>95</v>
      </c>
      <c r="B105" s="519">
        <v>39387</v>
      </c>
      <c r="C105" s="562">
        <v>0</v>
      </c>
      <c r="D105" s="557">
        <v>0</v>
      </c>
      <c r="E105" s="565">
        <f>Breakout!$J$215/12</f>
        <v>0</v>
      </c>
      <c r="F105" s="566">
        <f>Breakout!$J$216/12</f>
        <v>0</v>
      </c>
      <c r="G105" s="565">
        <f>Breakout!$J$222/12</f>
        <v>104166.66666666667</v>
      </c>
      <c r="H105" s="566">
        <f>Breakout!$J$223/12</f>
        <v>0</v>
      </c>
      <c r="I105" s="565">
        <f>Breakout!$J$229/12</f>
        <v>0</v>
      </c>
      <c r="J105" s="566">
        <f>Breakout!$J$230/12</f>
        <v>0</v>
      </c>
      <c r="K105" s="578">
        <f t="shared" si="7"/>
        <v>104166.66666666667</v>
      </c>
      <c r="L105" s="554">
        <f t="shared" si="8"/>
        <v>104166.66666666667</v>
      </c>
      <c r="M105" s="578">
        <f t="shared" si="9"/>
        <v>0</v>
      </c>
      <c r="N105" s="548">
        <f t="shared" si="5"/>
        <v>104166.66666666667</v>
      </c>
      <c r="O105" s="496"/>
      <c r="P105" s="553">
        <f t="shared" si="6"/>
        <v>104166.66666666667</v>
      </c>
      <c r="Q105" s="496"/>
      <c r="R105" s="496"/>
      <c r="S105" s="438">
        <v>0</v>
      </c>
      <c r="T105" s="496"/>
      <c r="U105" s="496"/>
      <c r="V105" s="496"/>
    </row>
    <row r="106" spans="1:68" s="525" customFormat="1" x14ac:dyDescent="0.2">
      <c r="A106" s="521">
        <v>96</v>
      </c>
      <c r="B106" s="522">
        <v>39417</v>
      </c>
      <c r="C106" s="562">
        <v>0</v>
      </c>
      <c r="D106" s="557">
        <v>0</v>
      </c>
      <c r="E106" s="563">
        <f>Breakout!$J$215/12</f>
        <v>0</v>
      </c>
      <c r="F106" s="561">
        <f>Breakout!$J$216/12</f>
        <v>0</v>
      </c>
      <c r="G106" s="563">
        <f>Breakout!$J$222/12</f>
        <v>104166.66666666667</v>
      </c>
      <c r="H106" s="561">
        <f>Breakout!$J$223/12</f>
        <v>0</v>
      </c>
      <c r="I106" s="563">
        <f>Breakout!$J$229/12</f>
        <v>0</v>
      </c>
      <c r="J106" s="561">
        <f>Breakout!$J$230/12</f>
        <v>0</v>
      </c>
      <c r="K106" s="578">
        <f t="shared" si="7"/>
        <v>104166.66666666667</v>
      </c>
      <c r="L106" s="554">
        <f t="shared" si="8"/>
        <v>104166.66666666667</v>
      </c>
      <c r="M106" s="578">
        <f t="shared" si="9"/>
        <v>0</v>
      </c>
      <c r="N106" s="548">
        <f t="shared" si="5"/>
        <v>104166.66666666667</v>
      </c>
      <c r="O106" s="524">
        <f>SUM(N95:N106)</f>
        <v>1250000</v>
      </c>
      <c r="P106" s="553">
        <f t="shared" si="6"/>
        <v>104166.66666666667</v>
      </c>
      <c r="Q106" s="524">
        <f>SUM(P95:P106)</f>
        <v>1250000</v>
      </c>
      <c r="R106" s="524"/>
      <c r="S106" s="438">
        <v>0</v>
      </c>
      <c r="T106" s="524"/>
      <c r="U106" s="524"/>
      <c r="V106" s="524"/>
      <c r="W106" s="524"/>
      <c r="X106" s="524"/>
      <c r="Y106" s="524"/>
      <c r="Z106" s="524"/>
      <c r="AA106" s="524"/>
      <c r="AB106" s="524"/>
      <c r="AC106" s="524"/>
      <c r="AD106" s="524"/>
      <c r="AE106" s="524"/>
      <c r="AF106" s="524"/>
      <c r="AG106" s="524"/>
      <c r="AH106" s="524"/>
      <c r="AI106" s="524"/>
      <c r="AJ106" s="524"/>
      <c r="AK106" s="524"/>
      <c r="AL106" s="524"/>
      <c r="AM106" s="524"/>
      <c r="AN106" s="524"/>
      <c r="AO106" s="524"/>
      <c r="AP106" s="524"/>
      <c r="AQ106" s="524"/>
      <c r="AR106" s="524"/>
      <c r="AS106" s="524"/>
      <c r="AT106" s="524"/>
      <c r="AU106" s="524"/>
      <c r="AV106" s="524"/>
      <c r="AW106" s="524"/>
      <c r="AX106" s="524"/>
      <c r="AY106" s="524"/>
      <c r="AZ106" s="524"/>
      <c r="BA106" s="524"/>
      <c r="BB106" s="524"/>
      <c r="BC106" s="524"/>
      <c r="BD106" s="524"/>
      <c r="BE106" s="524"/>
      <c r="BF106" s="524"/>
      <c r="BG106" s="524"/>
      <c r="BH106" s="524"/>
      <c r="BI106" s="524"/>
      <c r="BJ106" s="524"/>
      <c r="BK106" s="524"/>
      <c r="BL106" s="524"/>
      <c r="BM106" s="524"/>
      <c r="BN106" s="524"/>
      <c r="BO106" s="524"/>
      <c r="BP106" s="524"/>
    </row>
    <row r="107" spans="1:68" s="532" customFormat="1" x14ac:dyDescent="0.2">
      <c r="A107" s="528">
        <v>97</v>
      </c>
      <c r="B107" s="529">
        <v>39448</v>
      </c>
      <c r="C107" s="562">
        <v>0</v>
      </c>
      <c r="D107" s="557">
        <v>0</v>
      </c>
      <c r="E107" s="564">
        <f>Breakout!$K$215/12</f>
        <v>0</v>
      </c>
      <c r="F107" s="560">
        <f>Breakout!$K$216/12</f>
        <v>0</v>
      </c>
      <c r="G107" s="564">
        <f>Breakout!$K$222/12</f>
        <v>116666.66666666667</v>
      </c>
      <c r="H107" s="560">
        <f>Breakout!$K$223/12</f>
        <v>0</v>
      </c>
      <c r="I107" s="564">
        <f>Breakout!$K$229/12</f>
        <v>0</v>
      </c>
      <c r="J107" s="560">
        <f>Breakout!$K$230/12</f>
        <v>0</v>
      </c>
      <c r="K107" s="578">
        <f t="shared" si="7"/>
        <v>116666.66666666667</v>
      </c>
      <c r="L107" s="554">
        <f t="shared" si="8"/>
        <v>116666.66666666667</v>
      </c>
      <c r="M107" s="578">
        <f t="shared" si="9"/>
        <v>0</v>
      </c>
      <c r="N107" s="548">
        <f t="shared" si="5"/>
        <v>116666.66666666667</v>
      </c>
      <c r="O107" s="531"/>
      <c r="P107" s="553">
        <f t="shared" si="6"/>
        <v>116666.66666666667</v>
      </c>
      <c r="Q107" s="531"/>
      <c r="R107" s="531"/>
      <c r="S107" s="438">
        <v>0</v>
      </c>
      <c r="T107" s="531"/>
      <c r="U107" s="531"/>
      <c r="V107" s="531"/>
      <c r="W107" s="531"/>
      <c r="X107" s="531"/>
      <c r="Y107" s="531"/>
      <c r="Z107" s="531"/>
      <c r="AA107" s="531"/>
      <c r="AB107" s="531"/>
      <c r="AC107" s="531"/>
      <c r="AD107" s="531"/>
      <c r="AE107" s="531"/>
      <c r="AF107" s="531"/>
      <c r="AG107" s="531"/>
      <c r="AH107" s="531"/>
      <c r="AI107" s="531"/>
      <c r="AJ107" s="531"/>
      <c r="AK107" s="531"/>
      <c r="AL107" s="531"/>
      <c r="AM107" s="531"/>
      <c r="AN107" s="531"/>
      <c r="AO107" s="531"/>
      <c r="AP107" s="531"/>
      <c r="AQ107" s="531"/>
      <c r="AR107" s="531"/>
      <c r="AS107" s="531"/>
      <c r="AT107" s="531"/>
      <c r="AU107" s="531"/>
      <c r="AV107" s="531"/>
      <c r="AW107" s="531"/>
      <c r="AX107" s="531"/>
      <c r="AY107" s="531"/>
      <c r="AZ107" s="531"/>
      <c r="BA107" s="531"/>
      <c r="BB107" s="531"/>
      <c r="BC107" s="531"/>
      <c r="BD107" s="531"/>
      <c r="BE107" s="531"/>
      <c r="BF107" s="531"/>
      <c r="BG107" s="531"/>
      <c r="BH107" s="531"/>
      <c r="BI107" s="531"/>
      <c r="BJ107" s="531"/>
      <c r="BK107" s="531"/>
      <c r="BL107" s="531"/>
      <c r="BM107" s="531"/>
      <c r="BN107" s="531"/>
      <c r="BO107" s="531"/>
      <c r="BP107" s="531"/>
    </row>
    <row r="108" spans="1:68" x14ac:dyDescent="0.2">
      <c r="A108" s="383">
        <v>98</v>
      </c>
      <c r="B108" s="519">
        <v>39479</v>
      </c>
      <c r="C108" s="562">
        <v>0</v>
      </c>
      <c r="D108" s="557">
        <v>0</v>
      </c>
      <c r="E108" s="565">
        <f>Breakout!$K$215/12</f>
        <v>0</v>
      </c>
      <c r="F108" s="566">
        <f>Breakout!$K$216/12</f>
        <v>0</v>
      </c>
      <c r="G108" s="565">
        <f>Breakout!$K$222/12</f>
        <v>116666.66666666667</v>
      </c>
      <c r="H108" s="566">
        <f>Breakout!$K$223/12</f>
        <v>0</v>
      </c>
      <c r="I108" s="565">
        <f>Breakout!$K$229/12</f>
        <v>0</v>
      </c>
      <c r="J108" s="566">
        <f>Breakout!$K$230/12</f>
        <v>0</v>
      </c>
      <c r="K108" s="578">
        <f t="shared" si="7"/>
        <v>116666.66666666667</v>
      </c>
      <c r="L108" s="554">
        <f t="shared" si="8"/>
        <v>116666.66666666667</v>
      </c>
      <c r="M108" s="578">
        <f t="shared" si="9"/>
        <v>0</v>
      </c>
      <c r="N108" s="548">
        <f t="shared" si="5"/>
        <v>116666.66666666667</v>
      </c>
      <c r="O108" s="496"/>
      <c r="P108" s="553">
        <f t="shared" si="6"/>
        <v>116666.66666666667</v>
      </c>
      <c r="Q108" s="496"/>
      <c r="R108" s="496"/>
      <c r="S108" s="438">
        <v>0</v>
      </c>
      <c r="T108" s="496"/>
      <c r="U108" s="496"/>
      <c r="V108" s="496"/>
    </row>
    <row r="109" spans="1:68" x14ac:dyDescent="0.2">
      <c r="A109" s="383">
        <v>99</v>
      </c>
      <c r="B109" s="519">
        <v>39508</v>
      </c>
      <c r="C109" s="562">
        <v>0</v>
      </c>
      <c r="D109" s="557">
        <v>0</v>
      </c>
      <c r="E109" s="565">
        <f>Breakout!$K$215/12</f>
        <v>0</v>
      </c>
      <c r="F109" s="566">
        <f>Breakout!$K$216/12</f>
        <v>0</v>
      </c>
      <c r="G109" s="565">
        <f>Breakout!$K$222/12</f>
        <v>116666.66666666667</v>
      </c>
      <c r="H109" s="566">
        <f>Breakout!$K$223/12</f>
        <v>0</v>
      </c>
      <c r="I109" s="565">
        <f>Breakout!$K$229/12</f>
        <v>0</v>
      </c>
      <c r="J109" s="566">
        <f>Breakout!$K$230/12</f>
        <v>0</v>
      </c>
      <c r="K109" s="578">
        <f t="shared" si="7"/>
        <v>116666.66666666667</v>
      </c>
      <c r="L109" s="554">
        <f t="shared" si="8"/>
        <v>116666.66666666667</v>
      </c>
      <c r="M109" s="578">
        <f t="shared" si="9"/>
        <v>0</v>
      </c>
      <c r="N109" s="548">
        <f t="shared" si="5"/>
        <v>116666.66666666667</v>
      </c>
      <c r="O109" s="496"/>
      <c r="P109" s="553">
        <f t="shared" si="6"/>
        <v>116666.66666666667</v>
      </c>
      <c r="Q109" s="496"/>
      <c r="R109" s="496"/>
      <c r="S109" s="438">
        <v>0</v>
      </c>
      <c r="T109" s="496"/>
      <c r="U109" s="496"/>
      <c r="V109" s="496"/>
    </row>
    <row r="110" spans="1:68" x14ac:dyDescent="0.2">
      <c r="A110" s="383">
        <v>100</v>
      </c>
      <c r="B110" s="519">
        <v>39539</v>
      </c>
      <c r="C110" s="562">
        <v>0</v>
      </c>
      <c r="D110" s="557">
        <v>0</v>
      </c>
      <c r="E110" s="565">
        <f>Breakout!$K$215/12</f>
        <v>0</v>
      </c>
      <c r="F110" s="566">
        <f>Breakout!$K$216/12</f>
        <v>0</v>
      </c>
      <c r="G110" s="565">
        <f>Breakout!$K$222/12</f>
        <v>116666.66666666667</v>
      </c>
      <c r="H110" s="566">
        <f>Breakout!$K$223/12</f>
        <v>0</v>
      </c>
      <c r="I110" s="565">
        <f>Breakout!$K$229/12</f>
        <v>0</v>
      </c>
      <c r="J110" s="566">
        <f>Breakout!$K$230/12</f>
        <v>0</v>
      </c>
      <c r="K110" s="578">
        <f t="shared" si="7"/>
        <v>116666.66666666667</v>
      </c>
      <c r="L110" s="554">
        <f t="shared" si="8"/>
        <v>116666.66666666667</v>
      </c>
      <c r="M110" s="578">
        <f t="shared" si="9"/>
        <v>0</v>
      </c>
      <c r="N110" s="548">
        <f t="shared" si="5"/>
        <v>116666.66666666667</v>
      </c>
      <c r="O110" s="496"/>
      <c r="P110" s="553">
        <f t="shared" si="6"/>
        <v>116666.66666666667</v>
      </c>
      <c r="Q110" s="496"/>
      <c r="R110" s="496"/>
      <c r="S110" s="438">
        <v>0</v>
      </c>
      <c r="T110" s="496"/>
      <c r="U110" s="496"/>
      <c r="V110" s="496"/>
    </row>
    <row r="111" spans="1:68" x14ac:dyDescent="0.2">
      <c r="A111" s="383">
        <v>101</v>
      </c>
      <c r="B111" s="519">
        <v>39569</v>
      </c>
      <c r="C111" s="562">
        <v>0</v>
      </c>
      <c r="D111" s="557">
        <v>0</v>
      </c>
      <c r="E111" s="565">
        <f>Breakout!$K$215/12</f>
        <v>0</v>
      </c>
      <c r="F111" s="566">
        <f>Breakout!$K$216/12</f>
        <v>0</v>
      </c>
      <c r="G111" s="565">
        <f>Breakout!$K$222/12</f>
        <v>116666.66666666667</v>
      </c>
      <c r="H111" s="566">
        <f>Breakout!$K$223/12</f>
        <v>0</v>
      </c>
      <c r="I111" s="565">
        <f>Breakout!$K$229/12</f>
        <v>0</v>
      </c>
      <c r="J111" s="566">
        <f>Breakout!$K$230/12</f>
        <v>0</v>
      </c>
      <c r="K111" s="578">
        <f t="shared" si="7"/>
        <v>116666.66666666667</v>
      </c>
      <c r="L111" s="554">
        <f t="shared" si="8"/>
        <v>116666.66666666667</v>
      </c>
      <c r="M111" s="578">
        <f t="shared" si="9"/>
        <v>0</v>
      </c>
      <c r="N111" s="548">
        <f t="shared" si="5"/>
        <v>116666.66666666667</v>
      </c>
      <c r="O111" s="496"/>
      <c r="P111" s="553">
        <f t="shared" si="6"/>
        <v>116666.66666666667</v>
      </c>
      <c r="Q111" s="496"/>
      <c r="R111" s="496"/>
      <c r="S111" s="438">
        <v>0</v>
      </c>
      <c r="T111" s="496"/>
      <c r="U111" s="496"/>
      <c r="V111" s="496"/>
    </row>
    <row r="112" spans="1:68" x14ac:dyDescent="0.2">
      <c r="A112" s="383">
        <v>102</v>
      </c>
      <c r="B112" s="519">
        <v>39600</v>
      </c>
      <c r="C112" s="562">
        <v>0</v>
      </c>
      <c r="D112" s="557">
        <v>0</v>
      </c>
      <c r="E112" s="565">
        <f>Breakout!$K$215/12</f>
        <v>0</v>
      </c>
      <c r="F112" s="566">
        <f>Breakout!$K$216/12</f>
        <v>0</v>
      </c>
      <c r="G112" s="565">
        <f>Breakout!$K$222/12</f>
        <v>116666.66666666667</v>
      </c>
      <c r="H112" s="566">
        <f>Breakout!$K$223/12</f>
        <v>0</v>
      </c>
      <c r="I112" s="565">
        <f>Breakout!$K$229/12</f>
        <v>0</v>
      </c>
      <c r="J112" s="566">
        <f>Breakout!$K$230/12</f>
        <v>0</v>
      </c>
      <c r="K112" s="578">
        <f t="shared" si="7"/>
        <v>116666.66666666667</v>
      </c>
      <c r="L112" s="554">
        <f t="shared" si="8"/>
        <v>116666.66666666667</v>
      </c>
      <c r="M112" s="578">
        <f t="shared" si="9"/>
        <v>0</v>
      </c>
      <c r="N112" s="548">
        <f t="shared" si="5"/>
        <v>116666.66666666667</v>
      </c>
      <c r="O112" s="496"/>
      <c r="P112" s="553">
        <f t="shared" si="6"/>
        <v>116666.66666666667</v>
      </c>
      <c r="Q112" s="496"/>
      <c r="R112" s="496"/>
      <c r="S112" s="438">
        <v>0</v>
      </c>
      <c r="T112" s="496"/>
      <c r="U112" s="496"/>
      <c r="V112" s="496"/>
    </row>
    <row r="113" spans="1:68" x14ac:dyDescent="0.2">
      <c r="A113" s="383">
        <v>103</v>
      </c>
      <c r="B113" s="519">
        <v>39630</v>
      </c>
      <c r="C113" s="562">
        <v>0</v>
      </c>
      <c r="D113" s="557">
        <v>0</v>
      </c>
      <c r="E113" s="565">
        <f>Breakout!$K$215/12</f>
        <v>0</v>
      </c>
      <c r="F113" s="566">
        <f>Breakout!$K$216/12</f>
        <v>0</v>
      </c>
      <c r="G113" s="565">
        <f>Breakout!$K$222/12</f>
        <v>116666.66666666667</v>
      </c>
      <c r="H113" s="566">
        <f>Breakout!$K$223/12</f>
        <v>0</v>
      </c>
      <c r="I113" s="565">
        <f>Breakout!$K$229/12</f>
        <v>0</v>
      </c>
      <c r="J113" s="566">
        <f>Breakout!$K$230/12</f>
        <v>0</v>
      </c>
      <c r="K113" s="578">
        <f t="shared" si="7"/>
        <v>116666.66666666667</v>
      </c>
      <c r="L113" s="554">
        <f t="shared" si="8"/>
        <v>116666.66666666667</v>
      </c>
      <c r="M113" s="578">
        <f t="shared" si="9"/>
        <v>0</v>
      </c>
      <c r="N113" s="548">
        <f t="shared" si="5"/>
        <v>116666.66666666667</v>
      </c>
      <c r="O113" s="496"/>
      <c r="P113" s="553">
        <f t="shared" si="6"/>
        <v>116666.66666666667</v>
      </c>
      <c r="Q113" s="496"/>
      <c r="R113" s="496"/>
      <c r="S113" s="438">
        <v>0</v>
      </c>
      <c r="T113" s="496"/>
      <c r="U113" s="496"/>
      <c r="V113" s="496"/>
    </row>
    <row r="114" spans="1:68" x14ac:dyDescent="0.2">
      <c r="A114" s="383">
        <v>104</v>
      </c>
      <c r="B114" s="519">
        <v>39661</v>
      </c>
      <c r="C114" s="562">
        <v>0</v>
      </c>
      <c r="D114" s="557">
        <v>0</v>
      </c>
      <c r="E114" s="565">
        <f>Breakout!$K$215/12</f>
        <v>0</v>
      </c>
      <c r="F114" s="566">
        <f>Breakout!$K$216/12</f>
        <v>0</v>
      </c>
      <c r="G114" s="565">
        <f>Breakout!$K$222/12</f>
        <v>116666.66666666667</v>
      </c>
      <c r="H114" s="566">
        <f>Breakout!$K$223/12</f>
        <v>0</v>
      </c>
      <c r="I114" s="565">
        <f>Breakout!$K$229/12</f>
        <v>0</v>
      </c>
      <c r="J114" s="566">
        <f>Breakout!$K$230/12</f>
        <v>0</v>
      </c>
      <c r="K114" s="578">
        <f t="shared" si="7"/>
        <v>116666.66666666667</v>
      </c>
      <c r="L114" s="554">
        <f t="shared" si="8"/>
        <v>116666.66666666667</v>
      </c>
      <c r="M114" s="578">
        <f t="shared" si="9"/>
        <v>0</v>
      </c>
      <c r="N114" s="548">
        <f t="shared" si="5"/>
        <v>116666.66666666667</v>
      </c>
      <c r="O114" s="496"/>
      <c r="P114" s="553">
        <f t="shared" si="6"/>
        <v>116666.66666666667</v>
      </c>
      <c r="Q114" s="496"/>
      <c r="R114" s="496"/>
      <c r="S114" s="438">
        <v>0</v>
      </c>
      <c r="T114" s="496"/>
      <c r="U114" s="496"/>
      <c r="V114" s="496"/>
    </row>
    <row r="115" spans="1:68" x14ac:dyDescent="0.2">
      <c r="A115" s="383">
        <v>105</v>
      </c>
      <c r="B115" s="519">
        <v>39692</v>
      </c>
      <c r="C115" s="562">
        <v>0</v>
      </c>
      <c r="D115" s="557">
        <v>0</v>
      </c>
      <c r="E115" s="565">
        <f>Breakout!$K$215/12</f>
        <v>0</v>
      </c>
      <c r="F115" s="566">
        <f>Breakout!$K$216/12</f>
        <v>0</v>
      </c>
      <c r="G115" s="565">
        <f>Breakout!$K$222/12</f>
        <v>116666.66666666667</v>
      </c>
      <c r="H115" s="566">
        <f>Breakout!$K$223/12</f>
        <v>0</v>
      </c>
      <c r="I115" s="565">
        <f>Breakout!$K$229/12</f>
        <v>0</v>
      </c>
      <c r="J115" s="566">
        <f>Breakout!$K$230/12</f>
        <v>0</v>
      </c>
      <c r="K115" s="578">
        <f t="shared" si="7"/>
        <v>116666.66666666667</v>
      </c>
      <c r="L115" s="554">
        <f t="shared" si="8"/>
        <v>116666.66666666667</v>
      </c>
      <c r="M115" s="578">
        <f t="shared" si="9"/>
        <v>0</v>
      </c>
      <c r="N115" s="548">
        <f t="shared" si="5"/>
        <v>116666.66666666667</v>
      </c>
      <c r="O115" s="496"/>
      <c r="P115" s="553">
        <f t="shared" si="6"/>
        <v>116666.66666666667</v>
      </c>
      <c r="Q115" s="496"/>
      <c r="R115" s="496"/>
      <c r="S115" s="438">
        <v>0</v>
      </c>
      <c r="T115" s="496"/>
      <c r="U115" s="496"/>
      <c r="V115" s="496"/>
    </row>
    <row r="116" spans="1:68" x14ac:dyDescent="0.2">
      <c r="A116" s="383">
        <v>106</v>
      </c>
      <c r="B116" s="519">
        <v>39722</v>
      </c>
      <c r="C116" s="562">
        <v>0</v>
      </c>
      <c r="D116" s="557">
        <v>0</v>
      </c>
      <c r="E116" s="565">
        <f>Breakout!$K$215/12</f>
        <v>0</v>
      </c>
      <c r="F116" s="566">
        <f>Breakout!$K$216/12</f>
        <v>0</v>
      </c>
      <c r="G116" s="565">
        <f>Breakout!$K$222/12</f>
        <v>116666.66666666667</v>
      </c>
      <c r="H116" s="566">
        <f>Breakout!$K$223/12</f>
        <v>0</v>
      </c>
      <c r="I116" s="565">
        <f>Breakout!$K$229/12</f>
        <v>0</v>
      </c>
      <c r="J116" s="566">
        <f>Breakout!$K$230/12</f>
        <v>0</v>
      </c>
      <c r="K116" s="578">
        <f t="shared" si="7"/>
        <v>116666.66666666667</v>
      </c>
      <c r="L116" s="554">
        <f t="shared" si="8"/>
        <v>116666.66666666667</v>
      </c>
      <c r="M116" s="578">
        <f t="shared" si="9"/>
        <v>0</v>
      </c>
      <c r="N116" s="548">
        <f t="shared" si="5"/>
        <v>116666.66666666667</v>
      </c>
      <c r="O116" s="496"/>
      <c r="P116" s="553">
        <f t="shared" si="6"/>
        <v>116666.66666666667</v>
      </c>
      <c r="Q116" s="496"/>
      <c r="R116" s="496"/>
      <c r="S116" s="438">
        <v>0</v>
      </c>
      <c r="T116" s="496"/>
      <c r="U116" s="496"/>
      <c r="V116" s="496"/>
    </row>
    <row r="117" spans="1:68" x14ac:dyDescent="0.2">
      <c r="A117" s="383">
        <v>107</v>
      </c>
      <c r="B117" s="519">
        <v>39753</v>
      </c>
      <c r="C117" s="562">
        <v>0</v>
      </c>
      <c r="D117" s="557">
        <v>0</v>
      </c>
      <c r="E117" s="565">
        <f>Breakout!$K$215/12</f>
        <v>0</v>
      </c>
      <c r="F117" s="566">
        <f>Breakout!$K$216/12</f>
        <v>0</v>
      </c>
      <c r="G117" s="565">
        <f>Breakout!$K$222/12</f>
        <v>116666.66666666667</v>
      </c>
      <c r="H117" s="566">
        <f>Breakout!$K$223/12</f>
        <v>0</v>
      </c>
      <c r="I117" s="565">
        <f>Breakout!$K$229/12</f>
        <v>0</v>
      </c>
      <c r="J117" s="566">
        <f>Breakout!$K$230/12</f>
        <v>0</v>
      </c>
      <c r="K117" s="578">
        <f t="shared" si="7"/>
        <v>116666.66666666667</v>
      </c>
      <c r="L117" s="554">
        <f t="shared" si="8"/>
        <v>116666.66666666667</v>
      </c>
      <c r="M117" s="578">
        <f t="shared" si="9"/>
        <v>0</v>
      </c>
      <c r="N117" s="548">
        <f t="shared" si="5"/>
        <v>116666.66666666667</v>
      </c>
      <c r="O117" s="496"/>
      <c r="P117" s="553">
        <f t="shared" si="6"/>
        <v>116666.66666666667</v>
      </c>
      <c r="Q117" s="496"/>
      <c r="R117" s="496"/>
      <c r="S117" s="438">
        <v>0</v>
      </c>
      <c r="T117" s="496"/>
      <c r="U117" s="496"/>
      <c r="V117" s="496"/>
    </row>
    <row r="118" spans="1:68" s="525" customFormat="1" x14ac:dyDescent="0.2">
      <c r="A118" s="521">
        <v>108</v>
      </c>
      <c r="B118" s="522">
        <v>39783</v>
      </c>
      <c r="C118" s="562">
        <v>0</v>
      </c>
      <c r="D118" s="557">
        <v>0</v>
      </c>
      <c r="E118" s="563">
        <f>Breakout!$K$215/12</f>
        <v>0</v>
      </c>
      <c r="F118" s="561">
        <f>Breakout!$K$216/12</f>
        <v>0</v>
      </c>
      <c r="G118" s="563">
        <f>Breakout!$K$222/12</f>
        <v>116666.66666666667</v>
      </c>
      <c r="H118" s="561">
        <f>Breakout!$K$223/12</f>
        <v>0</v>
      </c>
      <c r="I118" s="563">
        <f>Breakout!$K$229/12</f>
        <v>0</v>
      </c>
      <c r="J118" s="561">
        <f>Breakout!$K$230/12</f>
        <v>0</v>
      </c>
      <c r="K118" s="578">
        <f t="shared" si="7"/>
        <v>116666.66666666667</v>
      </c>
      <c r="L118" s="554">
        <f t="shared" si="8"/>
        <v>116666.66666666667</v>
      </c>
      <c r="M118" s="578">
        <f t="shared" si="9"/>
        <v>0</v>
      </c>
      <c r="N118" s="548">
        <f t="shared" si="5"/>
        <v>116666.66666666667</v>
      </c>
      <c r="O118" s="524">
        <f>SUM(N107:N118)</f>
        <v>1400000.0000000002</v>
      </c>
      <c r="P118" s="553">
        <f t="shared" si="6"/>
        <v>116666.66666666667</v>
      </c>
      <c r="Q118" s="524">
        <f>SUM(P107:P118)</f>
        <v>1400000.0000000002</v>
      </c>
      <c r="R118" s="524"/>
      <c r="S118" s="438">
        <v>0</v>
      </c>
      <c r="T118" s="524"/>
      <c r="U118" s="524"/>
      <c r="V118" s="524"/>
      <c r="W118" s="524"/>
      <c r="X118" s="524"/>
      <c r="Y118" s="524"/>
      <c r="Z118" s="524"/>
      <c r="AA118" s="524"/>
      <c r="AB118" s="524"/>
      <c r="AC118" s="524"/>
      <c r="AD118" s="524"/>
      <c r="AE118" s="524"/>
      <c r="AF118" s="524"/>
      <c r="AG118" s="524"/>
      <c r="AH118" s="524"/>
      <c r="AI118" s="524"/>
      <c r="AJ118" s="524"/>
      <c r="AK118" s="524"/>
      <c r="AL118" s="524"/>
      <c r="AM118" s="524"/>
      <c r="AN118" s="524"/>
      <c r="AO118" s="524"/>
      <c r="AP118" s="524"/>
      <c r="AQ118" s="524"/>
      <c r="AR118" s="524"/>
      <c r="AS118" s="524"/>
      <c r="AT118" s="524"/>
      <c r="AU118" s="524"/>
      <c r="AV118" s="524"/>
      <c r="AW118" s="524"/>
      <c r="AX118" s="524"/>
      <c r="AY118" s="524"/>
      <c r="AZ118" s="524"/>
      <c r="BA118" s="524"/>
      <c r="BB118" s="524"/>
      <c r="BC118" s="524"/>
      <c r="BD118" s="524"/>
      <c r="BE118" s="524"/>
      <c r="BF118" s="524"/>
      <c r="BG118" s="524"/>
      <c r="BH118" s="524"/>
      <c r="BI118" s="524"/>
      <c r="BJ118" s="524"/>
      <c r="BK118" s="524"/>
      <c r="BL118" s="524"/>
      <c r="BM118" s="524"/>
      <c r="BN118" s="524"/>
      <c r="BO118" s="524"/>
      <c r="BP118" s="524"/>
    </row>
    <row r="119" spans="1:68" s="532" customFormat="1" x14ac:dyDescent="0.2">
      <c r="A119" s="528">
        <v>109</v>
      </c>
      <c r="B119" s="529">
        <v>39814</v>
      </c>
      <c r="C119" s="562">
        <v>0</v>
      </c>
      <c r="D119" s="557">
        <v>0</v>
      </c>
      <c r="E119" s="564">
        <f>Breakout!$L$215/12</f>
        <v>0</v>
      </c>
      <c r="F119" s="560">
        <f>Breakout!$L$216/12</f>
        <v>0</v>
      </c>
      <c r="G119" s="564">
        <f>Breakout!$L$222/12</f>
        <v>129166.66666666667</v>
      </c>
      <c r="H119" s="560">
        <f>Breakout!$L$223/12</f>
        <v>0</v>
      </c>
      <c r="I119" s="564">
        <f>Breakout!$L$229/12</f>
        <v>0</v>
      </c>
      <c r="J119" s="560">
        <f>Breakout!$L$230/12</f>
        <v>0</v>
      </c>
      <c r="K119" s="578">
        <f t="shared" si="7"/>
        <v>129166.66666666667</v>
      </c>
      <c r="L119" s="554">
        <f t="shared" si="8"/>
        <v>129166.66666666667</v>
      </c>
      <c r="M119" s="578">
        <f t="shared" si="9"/>
        <v>0</v>
      </c>
      <c r="N119" s="548">
        <f t="shared" si="5"/>
        <v>129166.66666666667</v>
      </c>
      <c r="O119" s="531"/>
      <c r="P119" s="553">
        <f t="shared" si="6"/>
        <v>129166.66666666667</v>
      </c>
      <c r="Q119" s="531"/>
      <c r="R119" s="531"/>
      <c r="S119" s="438">
        <v>0</v>
      </c>
      <c r="T119" s="531"/>
      <c r="U119" s="531"/>
      <c r="V119" s="531"/>
      <c r="W119" s="531"/>
      <c r="X119" s="531"/>
      <c r="Y119" s="531"/>
      <c r="Z119" s="531"/>
      <c r="AA119" s="531"/>
      <c r="AB119" s="531"/>
      <c r="AC119" s="531"/>
      <c r="AD119" s="531"/>
      <c r="AE119" s="531"/>
      <c r="AF119" s="531"/>
      <c r="AG119" s="531"/>
      <c r="AH119" s="531"/>
      <c r="AI119" s="531"/>
      <c r="AJ119" s="531"/>
      <c r="AK119" s="531"/>
      <c r="AL119" s="531"/>
      <c r="AM119" s="531"/>
      <c r="AN119" s="531"/>
      <c r="AO119" s="531"/>
      <c r="AP119" s="531"/>
      <c r="AQ119" s="531"/>
      <c r="AR119" s="531"/>
      <c r="AS119" s="531"/>
      <c r="AT119" s="531"/>
      <c r="AU119" s="531"/>
      <c r="AV119" s="531"/>
      <c r="AW119" s="531"/>
      <c r="AX119" s="531"/>
      <c r="AY119" s="531"/>
      <c r="AZ119" s="531"/>
      <c r="BA119" s="531"/>
      <c r="BB119" s="531"/>
      <c r="BC119" s="531"/>
      <c r="BD119" s="531"/>
      <c r="BE119" s="531"/>
      <c r="BF119" s="531"/>
      <c r="BG119" s="531"/>
      <c r="BH119" s="531"/>
      <c r="BI119" s="531"/>
      <c r="BJ119" s="531"/>
      <c r="BK119" s="531"/>
      <c r="BL119" s="531"/>
      <c r="BM119" s="531"/>
      <c r="BN119" s="531"/>
      <c r="BO119" s="531"/>
      <c r="BP119" s="531"/>
    </row>
    <row r="120" spans="1:68" x14ac:dyDescent="0.2">
      <c r="A120" s="383">
        <v>110</v>
      </c>
      <c r="B120" s="519">
        <v>39845</v>
      </c>
      <c r="C120" s="562">
        <v>0</v>
      </c>
      <c r="D120" s="557">
        <v>0</v>
      </c>
      <c r="E120" s="565">
        <f>Breakout!$L$215/12</f>
        <v>0</v>
      </c>
      <c r="F120" s="566">
        <f>Breakout!$L$216/12</f>
        <v>0</v>
      </c>
      <c r="G120" s="565">
        <f>Breakout!$L$222/12</f>
        <v>129166.66666666667</v>
      </c>
      <c r="H120" s="566">
        <f>Breakout!$L$223/12</f>
        <v>0</v>
      </c>
      <c r="I120" s="565">
        <f>Breakout!$L$229/12</f>
        <v>0</v>
      </c>
      <c r="J120" s="566">
        <f>Breakout!$L$230/12</f>
        <v>0</v>
      </c>
      <c r="K120" s="578">
        <f t="shared" si="7"/>
        <v>129166.66666666667</v>
      </c>
      <c r="L120" s="554">
        <f t="shared" si="8"/>
        <v>129166.66666666667</v>
      </c>
      <c r="M120" s="578">
        <f t="shared" si="9"/>
        <v>0</v>
      </c>
      <c r="N120" s="548">
        <f t="shared" si="5"/>
        <v>129166.66666666667</v>
      </c>
      <c r="O120" s="496"/>
      <c r="P120" s="553">
        <f t="shared" si="6"/>
        <v>129166.66666666667</v>
      </c>
      <c r="Q120" s="496"/>
      <c r="R120" s="496"/>
      <c r="S120" s="438">
        <v>0</v>
      </c>
      <c r="T120" s="496"/>
      <c r="U120" s="496"/>
      <c r="V120" s="496"/>
    </row>
    <row r="121" spans="1:68" x14ac:dyDescent="0.2">
      <c r="A121" s="383">
        <v>111</v>
      </c>
      <c r="B121" s="519">
        <v>39873</v>
      </c>
      <c r="C121" s="562">
        <v>0</v>
      </c>
      <c r="D121" s="557">
        <v>0</v>
      </c>
      <c r="E121" s="565">
        <f>Breakout!$L$215/12</f>
        <v>0</v>
      </c>
      <c r="F121" s="566">
        <f>Breakout!$L$216/12</f>
        <v>0</v>
      </c>
      <c r="G121" s="565">
        <f>Breakout!$L$222/12</f>
        <v>129166.66666666667</v>
      </c>
      <c r="H121" s="566">
        <f>Breakout!$L$223/12</f>
        <v>0</v>
      </c>
      <c r="I121" s="565">
        <f>Breakout!$L$229/12</f>
        <v>0</v>
      </c>
      <c r="J121" s="566">
        <f>Breakout!$L$230/12</f>
        <v>0</v>
      </c>
      <c r="K121" s="578">
        <f t="shared" si="7"/>
        <v>129166.66666666667</v>
      </c>
      <c r="L121" s="554">
        <f t="shared" si="8"/>
        <v>129166.66666666667</v>
      </c>
      <c r="M121" s="578">
        <f t="shared" si="9"/>
        <v>0</v>
      </c>
      <c r="N121" s="548">
        <f t="shared" si="5"/>
        <v>129166.66666666667</v>
      </c>
      <c r="O121" s="496"/>
      <c r="P121" s="553">
        <f t="shared" si="6"/>
        <v>129166.66666666667</v>
      </c>
      <c r="Q121" s="496"/>
      <c r="R121" s="496"/>
      <c r="S121" s="438">
        <v>0</v>
      </c>
      <c r="T121" s="496"/>
      <c r="U121" s="496"/>
      <c r="V121" s="496"/>
    </row>
    <row r="122" spans="1:68" x14ac:dyDescent="0.2">
      <c r="A122" s="383">
        <v>112</v>
      </c>
      <c r="B122" s="519">
        <v>39904</v>
      </c>
      <c r="C122" s="562">
        <v>0</v>
      </c>
      <c r="D122" s="557">
        <v>0</v>
      </c>
      <c r="E122" s="565">
        <f>Breakout!$L$215/12</f>
        <v>0</v>
      </c>
      <c r="F122" s="566">
        <f>Breakout!$L$216/12</f>
        <v>0</v>
      </c>
      <c r="G122" s="565">
        <f>Breakout!$L$222/12</f>
        <v>129166.66666666667</v>
      </c>
      <c r="H122" s="566">
        <f>Breakout!$L$223/12</f>
        <v>0</v>
      </c>
      <c r="I122" s="565">
        <f>Breakout!$L$229/12</f>
        <v>0</v>
      </c>
      <c r="J122" s="566">
        <f>Breakout!$L$230/12</f>
        <v>0</v>
      </c>
      <c r="K122" s="578">
        <f t="shared" si="7"/>
        <v>129166.66666666667</v>
      </c>
      <c r="L122" s="554">
        <f t="shared" si="8"/>
        <v>129166.66666666667</v>
      </c>
      <c r="M122" s="578">
        <f t="shared" si="9"/>
        <v>0</v>
      </c>
      <c r="N122" s="548">
        <f t="shared" si="5"/>
        <v>129166.66666666667</v>
      </c>
      <c r="O122" s="496"/>
      <c r="P122" s="553">
        <f t="shared" si="6"/>
        <v>129166.66666666667</v>
      </c>
      <c r="Q122" s="496"/>
      <c r="R122" s="496"/>
      <c r="S122" s="438">
        <v>0</v>
      </c>
      <c r="T122" s="496"/>
      <c r="U122" s="496"/>
      <c r="V122" s="496"/>
    </row>
    <row r="123" spans="1:68" x14ac:dyDescent="0.2">
      <c r="A123" s="383">
        <v>113</v>
      </c>
      <c r="B123" s="519">
        <v>39934</v>
      </c>
      <c r="C123" s="562">
        <v>0</v>
      </c>
      <c r="D123" s="557">
        <v>0</v>
      </c>
      <c r="E123" s="565">
        <f>Breakout!$L$215/12</f>
        <v>0</v>
      </c>
      <c r="F123" s="566">
        <f>Breakout!$L$216/12</f>
        <v>0</v>
      </c>
      <c r="G123" s="565">
        <f>Breakout!$L$222/12</f>
        <v>129166.66666666667</v>
      </c>
      <c r="H123" s="566">
        <f>Breakout!$L$223/12</f>
        <v>0</v>
      </c>
      <c r="I123" s="565">
        <f>Breakout!$L$229/12</f>
        <v>0</v>
      </c>
      <c r="J123" s="566">
        <f>Breakout!$L$230/12</f>
        <v>0</v>
      </c>
      <c r="K123" s="578">
        <f t="shared" si="7"/>
        <v>129166.66666666667</v>
      </c>
      <c r="L123" s="554">
        <f t="shared" si="8"/>
        <v>129166.66666666667</v>
      </c>
      <c r="M123" s="578">
        <f t="shared" si="9"/>
        <v>0</v>
      </c>
      <c r="N123" s="548">
        <f t="shared" si="5"/>
        <v>129166.66666666667</v>
      </c>
      <c r="O123" s="496"/>
      <c r="P123" s="553">
        <f t="shared" si="6"/>
        <v>129166.66666666667</v>
      </c>
      <c r="Q123" s="496"/>
      <c r="R123" s="496"/>
      <c r="S123" s="438">
        <v>0</v>
      </c>
      <c r="T123" s="496"/>
      <c r="U123" s="496"/>
      <c r="V123" s="496"/>
    </row>
    <row r="124" spans="1:68" x14ac:dyDescent="0.2">
      <c r="A124" s="383">
        <v>114</v>
      </c>
      <c r="B124" s="519">
        <v>39965</v>
      </c>
      <c r="C124" s="562">
        <v>0</v>
      </c>
      <c r="D124" s="557">
        <v>0</v>
      </c>
      <c r="E124" s="565">
        <f>Breakout!$L$215/12</f>
        <v>0</v>
      </c>
      <c r="F124" s="566">
        <f>Breakout!$L$216/12</f>
        <v>0</v>
      </c>
      <c r="G124" s="565">
        <f>Breakout!$L$222/12</f>
        <v>129166.66666666667</v>
      </c>
      <c r="H124" s="566">
        <f>Breakout!$L$223/12</f>
        <v>0</v>
      </c>
      <c r="I124" s="565">
        <f>Breakout!$L$229/12</f>
        <v>0</v>
      </c>
      <c r="J124" s="566">
        <f>Breakout!$L$230/12</f>
        <v>0</v>
      </c>
      <c r="K124" s="578">
        <f t="shared" si="7"/>
        <v>129166.66666666667</v>
      </c>
      <c r="L124" s="554">
        <f t="shared" si="8"/>
        <v>129166.66666666667</v>
      </c>
      <c r="M124" s="578">
        <f t="shared" si="9"/>
        <v>0</v>
      </c>
      <c r="N124" s="548">
        <f t="shared" si="5"/>
        <v>129166.66666666667</v>
      </c>
      <c r="O124" s="496"/>
      <c r="P124" s="553">
        <f t="shared" si="6"/>
        <v>129166.66666666667</v>
      </c>
      <c r="Q124" s="496"/>
      <c r="R124" s="496"/>
      <c r="S124" s="438">
        <v>0</v>
      </c>
      <c r="T124" s="496"/>
      <c r="U124" s="496"/>
      <c r="V124" s="496"/>
    </row>
    <row r="125" spans="1:68" x14ac:dyDescent="0.2">
      <c r="A125" s="383">
        <v>115</v>
      </c>
      <c r="B125" s="519">
        <v>39995</v>
      </c>
      <c r="C125" s="562">
        <v>0</v>
      </c>
      <c r="D125" s="557">
        <v>0</v>
      </c>
      <c r="E125" s="565">
        <f>Breakout!$L$215/12</f>
        <v>0</v>
      </c>
      <c r="F125" s="566">
        <f>Breakout!$L$216/12</f>
        <v>0</v>
      </c>
      <c r="G125" s="565">
        <f>Breakout!$L$222/12</f>
        <v>129166.66666666667</v>
      </c>
      <c r="H125" s="566">
        <f>Breakout!$L$223/12</f>
        <v>0</v>
      </c>
      <c r="I125" s="565">
        <f>Breakout!$L$229/12</f>
        <v>0</v>
      </c>
      <c r="J125" s="566">
        <f>Breakout!$L$230/12</f>
        <v>0</v>
      </c>
      <c r="K125" s="578">
        <f t="shared" si="7"/>
        <v>129166.66666666667</v>
      </c>
      <c r="L125" s="554">
        <f t="shared" si="8"/>
        <v>129166.66666666667</v>
      </c>
      <c r="M125" s="578">
        <f t="shared" si="9"/>
        <v>0</v>
      </c>
      <c r="N125" s="548">
        <f t="shared" si="5"/>
        <v>129166.66666666667</v>
      </c>
      <c r="O125" s="496"/>
      <c r="P125" s="553">
        <f t="shared" si="6"/>
        <v>129166.66666666667</v>
      </c>
      <c r="Q125" s="496"/>
      <c r="R125" s="496"/>
      <c r="S125" s="438">
        <v>0</v>
      </c>
      <c r="T125" s="496"/>
      <c r="U125" s="496"/>
      <c r="V125" s="496"/>
    </row>
    <row r="126" spans="1:68" x14ac:dyDescent="0.2">
      <c r="A126" s="383">
        <v>116</v>
      </c>
      <c r="B126" s="519">
        <v>40026</v>
      </c>
      <c r="C126" s="562">
        <v>0</v>
      </c>
      <c r="D126" s="557">
        <v>0</v>
      </c>
      <c r="E126" s="565">
        <f>Breakout!$L$215/12</f>
        <v>0</v>
      </c>
      <c r="F126" s="566">
        <f>Breakout!$L$216/12</f>
        <v>0</v>
      </c>
      <c r="G126" s="565">
        <f>Breakout!$L$222/12</f>
        <v>129166.66666666667</v>
      </c>
      <c r="H126" s="566">
        <f>Breakout!$L$223/12</f>
        <v>0</v>
      </c>
      <c r="I126" s="565">
        <f>Breakout!$L$229/12</f>
        <v>0</v>
      </c>
      <c r="J126" s="566">
        <f>Breakout!$L$230/12</f>
        <v>0</v>
      </c>
      <c r="K126" s="578">
        <f t="shared" si="7"/>
        <v>129166.66666666667</v>
      </c>
      <c r="L126" s="554">
        <f t="shared" si="8"/>
        <v>129166.66666666667</v>
      </c>
      <c r="M126" s="578">
        <f t="shared" si="9"/>
        <v>0</v>
      </c>
      <c r="N126" s="548">
        <f t="shared" si="5"/>
        <v>129166.66666666667</v>
      </c>
      <c r="O126" s="496"/>
      <c r="P126" s="553">
        <f t="shared" si="6"/>
        <v>129166.66666666667</v>
      </c>
      <c r="Q126" s="496"/>
      <c r="R126" s="496"/>
      <c r="S126" s="438">
        <v>0</v>
      </c>
      <c r="T126" s="496"/>
      <c r="U126" s="496"/>
      <c r="V126" s="496"/>
    </row>
    <row r="127" spans="1:68" x14ac:dyDescent="0.2">
      <c r="A127" s="383">
        <v>117</v>
      </c>
      <c r="B127" s="519">
        <v>40057</v>
      </c>
      <c r="C127" s="562">
        <v>0</v>
      </c>
      <c r="D127" s="557">
        <v>0</v>
      </c>
      <c r="E127" s="565">
        <f>Breakout!$L$215/12</f>
        <v>0</v>
      </c>
      <c r="F127" s="566">
        <f>Breakout!$L$216/12</f>
        <v>0</v>
      </c>
      <c r="G127" s="565">
        <f>Breakout!$L$222/12</f>
        <v>129166.66666666667</v>
      </c>
      <c r="H127" s="566">
        <f>Breakout!$L$223/12</f>
        <v>0</v>
      </c>
      <c r="I127" s="565">
        <f>Breakout!$L$229/12</f>
        <v>0</v>
      </c>
      <c r="J127" s="566">
        <f>Breakout!$L$230/12</f>
        <v>0</v>
      </c>
      <c r="K127" s="578">
        <f t="shared" si="7"/>
        <v>129166.66666666667</v>
      </c>
      <c r="L127" s="554">
        <f t="shared" si="8"/>
        <v>129166.66666666667</v>
      </c>
      <c r="M127" s="578">
        <f t="shared" si="9"/>
        <v>0</v>
      </c>
      <c r="N127" s="548">
        <f t="shared" si="5"/>
        <v>129166.66666666667</v>
      </c>
      <c r="O127" s="496"/>
      <c r="P127" s="553">
        <f t="shared" si="6"/>
        <v>129166.66666666667</v>
      </c>
      <c r="Q127" s="496"/>
      <c r="R127" s="496"/>
      <c r="S127" s="438">
        <v>0</v>
      </c>
      <c r="T127" s="496"/>
      <c r="U127" s="496"/>
      <c r="V127" s="496"/>
    </row>
    <row r="128" spans="1:68" x14ac:dyDescent="0.2">
      <c r="A128" s="383">
        <v>118</v>
      </c>
      <c r="B128" s="519">
        <v>40087</v>
      </c>
      <c r="C128" s="562">
        <v>0</v>
      </c>
      <c r="D128" s="557">
        <v>0</v>
      </c>
      <c r="E128" s="565">
        <f>Breakout!$L$215/12</f>
        <v>0</v>
      </c>
      <c r="F128" s="566">
        <f>Breakout!$L$216/12</f>
        <v>0</v>
      </c>
      <c r="G128" s="565">
        <f>Breakout!$L$222/12</f>
        <v>129166.66666666667</v>
      </c>
      <c r="H128" s="566">
        <f>Breakout!$L$223/12</f>
        <v>0</v>
      </c>
      <c r="I128" s="565">
        <f>Breakout!$L$229/12</f>
        <v>0</v>
      </c>
      <c r="J128" s="566">
        <f>Breakout!$L$230/12</f>
        <v>0</v>
      </c>
      <c r="K128" s="578">
        <f t="shared" si="7"/>
        <v>129166.66666666667</v>
      </c>
      <c r="L128" s="554">
        <f t="shared" si="8"/>
        <v>129166.66666666667</v>
      </c>
      <c r="M128" s="578">
        <f t="shared" si="9"/>
        <v>0</v>
      </c>
      <c r="N128" s="548">
        <f t="shared" si="5"/>
        <v>129166.66666666667</v>
      </c>
      <c r="O128" s="496"/>
      <c r="P128" s="553">
        <f t="shared" si="6"/>
        <v>129166.66666666667</v>
      </c>
      <c r="Q128" s="496"/>
      <c r="R128" s="496"/>
      <c r="S128" s="438">
        <v>0</v>
      </c>
      <c r="T128" s="496"/>
      <c r="U128" s="496"/>
      <c r="V128" s="496"/>
    </row>
    <row r="129" spans="1:68" x14ac:dyDescent="0.2">
      <c r="A129" s="383">
        <v>119</v>
      </c>
      <c r="B129" s="519">
        <v>40118</v>
      </c>
      <c r="C129" s="562">
        <v>0</v>
      </c>
      <c r="D129" s="557">
        <v>0</v>
      </c>
      <c r="E129" s="565">
        <f>Breakout!$L$215/12</f>
        <v>0</v>
      </c>
      <c r="F129" s="566">
        <f>Breakout!$L$216/12</f>
        <v>0</v>
      </c>
      <c r="G129" s="565">
        <f>Breakout!$L$222/12</f>
        <v>129166.66666666667</v>
      </c>
      <c r="H129" s="566">
        <f>Breakout!$L$223/12</f>
        <v>0</v>
      </c>
      <c r="I129" s="565">
        <f>Breakout!$L$229/12</f>
        <v>0</v>
      </c>
      <c r="J129" s="566">
        <f>Breakout!$L$230/12</f>
        <v>0</v>
      </c>
      <c r="K129" s="578">
        <f t="shared" si="7"/>
        <v>129166.66666666667</v>
      </c>
      <c r="L129" s="554">
        <f t="shared" si="8"/>
        <v>129166.66666666667</v>
      </c>
      <c r="M129" s="578">
        <f t="shared" si="9"/>
        <v>0</v>
      </c>
      <c r="N129" s="548">
        <f t="shared" si="5"/>
        <v>129166.66666666667</v>
      </c>
      <c r="O129" s="496"/>
      <c r="P129" s="553">
        <f t="shared" si="6"/>
        <v>129166.66666666667</v>
      </c>
      <c r="Q129" s="496"/>
      <c r="R129" s="496"/>
      <c r="S129" s="438">
        <v>0</v>
      </c>
      <c r="T129" s="496"/>
      <c r="U129" s="496"/>
      <c r="V129" s="496"/>
    </row>
    <row r="130" spans="1:68" s="525" customFormat="1" x14ac:dyDescent="0.2">
      <c r="A130" s="521">
        <v>120</v>
      </c>
      <c r="B130" s="522">
        <v>40148</v>
      </c>
      <c r="C130" s="562">
        <v>0</v>
      </c>
      <c r="D130" s="557">
        <v>0</v>
      </c>
      <c r="E130" s="563">
        <f>Breakout!$L$215/12</f>
        <v>0</v>
      </c>
      <c r="F130" s="561">
        <f>Breakout!$L$216/12</f>
        <v>0</v>
      </c>
      <c r="G130" s="563">
        <f>Breakout!$L$222/12</f>
        <v>129166.66666666667</v>
      </c>
      <c r="H130" s="561">
        <f>Breakout!$L$223/12</f>
        <v>0</v>
      </c>
      <c r="I130" s="563">
        <f>Breakout!$L$229/12</f>
        <v>0</v>
      </c>
      <c r="J130" s="561">
        <f>Breakout!$L$230/12</f>
        <v>0</v>
      </c>
      <c r="K130" s="578">
        <f t="shared" si="7"/>
        <v>129166.66666666667</v>
      </c>
      <c r="L130" s="554">
        <f t="shared" si="8"/>
        <v>129166.66666666667</v>
      </c>
      <c r="M130" s="578">
        <f t="shared" si="9"/>
        <v>0</v>
      </c>
      <c r="N130" s="548">
        <f t="shared" si="5"/>
        <v>129166.66666666667</v>
      </c>
      <c r="O130" s="524">
        <f>SUM(N119:N130)</f>
        <v>1550000.0000000002</v>
      </c>
      <c r="P130" s="553">
        <f t="shared" si="6"/>
        <v>129166.66666666667</v>
      </c>
      <c r="Q130" s="524">
        <f>SUM(P119:P130)</f>
        <v>1550000.0000000002</v>
      </c>
      <c r="R130" s="524"/>
      <c r="S130" s="438">
        <v>0</v>
      </c>
      <c r="T130" s="524"/>
      <c r="U130" s="524"/>
      <c r="V130" s="524"/>
      <c r="W130" s="524"/>
      <c r="X130" s="524"/>
      <c r="Y130" s="524"/>
      <c r="Z130" s="524"/>
      <c r="AA130" s="524"/>
      <c r="AB130" s="524"/>
      <c r="AC130" s="524"/>
      <c r="AD130" s="524"/>
      <c r="AE130" s="524"/>
      <c r="AF130" s="524"/>
      <c r="AG130" s="524"/>
      <c r="AH130" s="524"/>
      <c r="AI130" s="524"/>
      <c r="AJ130" s="524"/>
      <c r="AK130" s="524"/>
      <c r="AL130" s="524"/>
      <c r="AM130" s="524"/>
      <c r="AN130" s="524"/>
      <c r="AO130" s="524"/>
      <c r="AP130" s="524"/>
      <c r="AQ130" s="524"/>
      <c r="AR130" s="524"/>
      <c r="AS130" s="524"/>
      <c r="AT130" s="524"/>
      <c r="AU130" s="524"/>
      <c r="AV130" s="524"/>
      <c r="AW130" s="524"/>
      <c r="AX130" s="524"/>
      <c r="AY130" s="524"/>
      <c r="AZ130" s="524"/>
      <c r="BA130" s="524"/>
      <c r="BB130" s="524"/>
      <c r="BC130" s="524"/>
      <c r="BD130" s="524"/>
      <c r="BE130" s="524"/>
      <c r="BF130" s="524"/>
      <c r="BG130" s="524"/>
      <c r="BH130" s="524"/>
      <c r="BI130" s="524"/>
      <c r="BJ130" s="524"/>
      <c r="BK130" s="524"/>
      <c r="BL130" s="524"/>
      <c r="BM130" s="524"/>
      <c r="BN130" s="524"/>
      <c r="BO130" s="524"/>
      <c r="BP130" s="524"/>
    </row>
    <row r="131" spans="1:68" s="532" customFormat="1" x14ac:dyDescent="0.2">
      <c r="A131" s="528">
        <v>121</v>
      </c>
      <c r="B131" s="529">
        <v>40179</v>
      </c>
      <c r="C131" s="564"/>
      <c r="D131" s="560"/>
      <c r="E131" s="564"/>
      <c r="F131" s="560"/>
      <c r="G131" s="564"/>
      <c r="H131" s="560"/>
      <c r="I131" s="564"/>
      <c r="J131" s="560"/>
      <c r="K131" s="580"/>
      <c r="L131" s="580"/>
      <c r="M131" s="580"/>
      <c r="N131" s="573"/>
      <c r="O131" s="531"/>
      <c r="P131" s="575"/>
      <c r="Q131" s="531"/>
      <c r="R131" s="531"/>
      <c r="S131" s="531"/>
      <c r="T131" s="531"/>
      <c r="U131" s="531"/>
      <c r="V131" s="531"/>
      <c r="W131" s="531"/>
      <c r="X131" s="531"/>
      <c r="Y131" s="531"/>
      <c r="Z131" s="531"/>
      <c r="AA131" s="531"/>
      <c r="AB131" s="531"/>
      <c r="AC131" s="531"/>
      <c r="AD131" s="531"/>
      <c r="AE131" s="531"/>
      <c r="AF131" s="531"/>
      <c r="AG131" s="531"/>
      <c r="AH131" s="531"/>
      <c r="AI131" s="531"/>
      <c r="AJ131" s="531"/>
      <c r="AK131" s="531"/>
      <c r="AL131" s="531"/>
      <c r="AM131" s="531"/>
      <c r="AN131" s="531"/>
      <c r="AO131" s="531"/>
      <c r="AP131" s="531"/>
      <c r="AQ131" s="531"/>
      <c r="AR131" s="531"/>
      <c r="AS131" s="531"/>
      <c r="AT131" s="531"/>
      <c r="AU131" s="531"/>
      <c r="AV131" s="531"/>
      <c r="AW131" s="531"/>
      <c r="AX131" s="531"/>
      <c r="AY131" s="531"/>
      <c r="AZ131" s="531"/>
      <c r="BA131" s="531"/>
      <c r="BB131" s="531"/>
      <c r="BC131" s="531"/>
      <c r="BD131" s="531"/>
      <c r="BE131" s="531"/>
      <c r="BF131" s="531"/>
      <c r="BG131" s="531"/>
      <c r="BH131" s="531"/>
      <c r="BI131" s="531"/>
      <c r="BJ131" s="531"/>
      <c r="BK131" s="531"/>
      <c r="BL131" s="531"/>
      <c r="BM131" s="531"/>
      <c r="BN131" s="531"/>
      <c r="BO131" s="531"/>
      <c r="BP131" s="531"/>
    </row>
    <row r="132" spans="1:68" x14ac:dyDescent="0.2">
      <c r="A132" s="383">
        <v>122</v>
      </c>
      <c r="B132" s="519">
        <v>40210</v>
      </c>
    </row>
    <row r="133" spans="1:68" x14ac:dyDescent="0.2">
      <c r="A133" s="383">
        <v>123</v>
      </c>
      <c r="B133" s="519">
        <v>40238</v>
      </c>
    </row>
    <row r="134" spans="1:68" x14ac:dyDescent="0.2">
      <c r="A134" s="383">
        <v>124</v>
      </c>
      <c r="B134" s="519">
        <v>40269</v>
      </c>
    </row>
    <row r="135" spans="1:68" x14ac:dyDescent="0.2">
      <c r="A135" s="383">
        <v>125</v>
      </c>
      <c r="B135" s="519">
        <v>40299</v>
      </c>
    </row>
    <row r="136" spans="1:68" x14ac:dyDescent="0.2">
      <c r="A136" s="383">
        <v>126</v>
      </c>
      <c r="B136" s="519">
        <v>40330</v>
      </c>
    </row>
    <row r="137" spans="1:68" x14ac:dyDescent="0.2">
      <c r="A137" s="383">
        <v>127</v>
      </c>
      <c r="B137" s="519">
        <v>40360</v>
      </c>
    </row>
    <row r="138" spans="1:68" x14ac:dyDescent="0.2">
      <c r="A138" s="383">
        <v>128</v>
      </c>
      <c r="B138" s="519">
        <v>40391</v>
      </c>
    </row>
    <row r="139" spans="1:68" x14ac:dyDescent="0.2">
      <c r="A139" s="383">
        <v>129</v>
      </c>
      <c r="B139" s="519">
        <v>40422</v>
      </c>
    </row>
    <row r="140" spans="1:68" x14ac:dyDescent="0.2">
      <c r="A140" s="383">
        <v>130</v>
      </c>
      <c r="B140" s="519">
        <v>40452</v>
      </c>
    </row>
    <row r="141" spans="1:68" x14ac:dyDescent="0.2">
      <c r="A141" s="383">
        <v>131</v>
      </c>
      <c r="B141" s="519">
        <v>40483</v>
      </c>
    </row>
    <row r="142" spans="1:68" s="525" customFormat="1" x14ac:dyDescent="0.2">
      <c r="A142" s="521">
        <v>132</v>
      </c>
      <c r="B142" s="522">
        <v>40513</v>
      </c>
      <c r="C142" s="563"/>
      <c r="D142" s="561"/>
      <c r="E142" s="563"/>
      <c r="F142" s="561"/>
      <c r="G142" s="563"/>
      <c r="H142" s="561"/>
      <c r="I142" s="563"/>
      <c r="J142" s="561"/>
      <c r="K142" s="581"/>
      <c r="L142" s="581"/>
      <c r="M142" s="581"/>
      <c r="N142" s="574"/>
      <c r="O142" s="524"/>
      <c r="P142" s="576"/>
      <c r="Q142" s="524"/>
      <c r="R142" s="524"/>
      <c r="S142" s="524"/>
      <c r="T142" s="524"/>
      <c r="U142" s="524"/>
      <c r="V142" s="524"/>
      <c r="W142" s="524"/>
      <c r="X142" s="524"/>
      <c r="Y142" s="524"/>
      <c r="Z142" s="524"/>
      <c r="AA142" s="524"/>
      <c r="AB142" s="524"/>
      <c r="AC142" s="524"/>
      <c r="AD142" s="524"/>
      <c r="AE142" s="524"/>
      <c r="AF142" s="524"/>
      <c r="AG142" s="524"/>
      <c r="AH142" s="524"/>
      <c r="AI142" s="524"/>
      <c r="AJ142" s="524"/>
      <c r="AK142" s="524"/>
      <c r="AL142" s="524"/>
      <c r="AM142" s="524"/>
      <c r="AN142" s="524"/>
      <c r="AO142" s="524"/>
      <c r="AP142" s="524"/>
      <c r="AQ142" s="524"/>
      <c r="AR142" s="524"/>
      <c r="AS142" s="524"/>
      <c r="AT142" s="524"/>
      <c r="AU142" s="524"/>
      <c r="AV142" s="524"/>
      <c r="AW142" s="524"/>
      <c r="AX142" s="524"/>
      <c r="AY142" s="524"/>
      <c r="AZ142" s="524"/>
      <c r="BA142" s="524"/>
      <c r="BB142" s="524"/>
      <c r="BC142" s="524"/>
      <c r="BD142" s="524"/>
      <c r="BE142" s="524"/>
      <c r="BF142" s="524"/>
      <c r="BG142" s="524"/>
      <c r="BH142" s="524"/>
      <c r="BI142" s="524"/>
      <c r="BJ142" s="524"/>
      <c r="BK142" s="524"/>
      <c r="BL142" s="524"/>
      <c r="BM142" s="524"/>
      <c r="BN142" s="524"/>
      <c r="BO142" s="524"/>
      <c r="BP142" s="524"/>
    </row>
    <row r="143" spans="1:68" s="532" customFormat="1" x14ac:dyDescent="0.2">
      <c r="A143" s="528">
        <v>133</v>
      </c>
      <c r="B143" s="529">
        <v>40544</v>
      </c>
      <c r="C143" s="564"/>
      <c r="D143" s="560"/>
      <c r="E143" s="564"/>
      <c r="F143" s="560"/>
      <c r="G143" s="564"/>
      <c r="H143" s="560"/>
      <c r="I143" s="564"/>
      <c r="J143" s="560"/>
      <c r="K143" s="580"/>
      <c r="L143" s="580"/>
      <c r="M143" s="580"/>
      <c r="N143" s="573"/>
      <c r="O143" s="531"/>
      <c r="P143" s="575"/>
      <c r="Q143" s="531"/>
      <c r="R143" s="531"/>
      <c r="S143" s="531"/>
      <c r="T143" s="531"/>
      <c r="U143" s="531"/>
      <c r="V143" s="531"/>
      <c r="W143" s="531"/>
      <c r="X143" s="531"/>
      <c r="Y143" s="531"/>
      <c r="Z143" s="531"/>
      <c r="AA143" s="531"/>
      <c r="AB143" s="531"/>
      <c r="AC143" s="531"/>
      <c r="AD143" s="531"/>
      <c r="AE143" s="531"/>
      <c r="AF143" s="531"/>
      <c r="AG143" s="531"/>
      <c r="AH143" s="531"/>
      <c r="AI143" s="531"/>
      <c r="AJ143" s="531"/>
      <c r="AK143" s="531"/>
      <c r="AL143" s="531"/>
      <c r="AM143" s="531"/>
      <c r="AN143" s="531"/>
      <c r="AO143" s="531"/>
      <c r="AP143" s="531"/>
      <c r="AQ143" s="531"/>
      <c r="AR143" s="531"/>
      <c r="AS143" s="531"/>
      <c r="AT143" s="531"/>
      <c r="AU143" s="531"/>
      <c r="AV143" s="531"/>
      <c r="AW143" s="531"/>
      <c r="AX143" s="531"/>
      <c r="AY143" s="531"/>
      <c r="AZ143" s="531"/>
      <c r="BA143" s="531"/>
      <c r="BB143" s="531"/>
      <c r="BC143" s="531"/>
      <c r="BD143" s="531"/>
      <c r="BE143" s="531"/>
      <c r="BF143" s="531"/>
      <c r="BG143" s="531"/>
      <c r="BH143" s="531"/>
      <c r="BI143" s="531"/>
      <c r="BJ143" s="531"/>
      <c r="BK143" s="531"/>
      <c r="BL143" s="531"/>
      <c r="BM143" s="531"/>
      <c r="BN143" s="531"/>
      <c r="BO143" s="531"/>
      <c r="BP143" s="531"/>
    </row>
    <row r="144" spans="1:68" x14ac:dyDescent="0.2">
      <c r="A144" s="383">
        <v>134</v>
      </c>
      <c r="B144" s="519">
        <v>40575</v>
      </c>
    </row>
    <row r="145" spans="1:68" x14ac:dyDescent="0.2">
      <c r="A145" s="383">
        <v>135</v>
      </c>
      <c r="B145" s="519">
        <v>40603</v>
      </c>
    </row>
    <row r="146" spans="1:68" x14ac:dyDescent="0.2">
      <c r="A146" s="383">
        <v>136</v>
      </c>
      <c r="B146" s="519">
        <v>40634</v>
      </c>
    </row>
    <row r="147" spans="1:68" x14ac:dyDescent="0.2">
      <c r="A147" s="383">
        <v>137</v>
      </c>
      <c r="B147" s="519">
        <v>40664</v>
      </c>
    </row>
    <row r="148" spans="1:68" x14ac:dyDescent="0.2">
      <c r="A148" s="383">
        <v>138</v>
      </c>
      <c r="B148" s="519">
        <v>40695</v>
      </c>
    </row>
    <row r="149" spans="1:68" x14ac:dyDescent="0.2">
      <c r="A149" s="383">
        <v>139</v>
      </c>
      <c r="B149" s="519">
        <v>40725</v>
      </c>
    </row>
    <row r="150" spans="1:68" x14ac:dyDescent="0.2">
      <c r="A150" s="383">
        <v>140</v>
      </c>
      <c r="B150" s="519">
        <v>40756</v>
      </c>
    </row>
    <row r="151" spans="1:68" x14ac:dyDescent="0.2">
      <c r="A151" s="383">
        <v>141</v>
      </c>
      <c r="B151" s="519">
        <v>40787</v>
      </c>
    </row>
    <row r="152" spans="1:68" x14ac:dyDescent="0.2">
      <c r="A152" s="383">
        <v>142</v>
      </c>
      <c r="B152" s="519">
        <v>40817</v>
      </c>
    </row>
    <row r="153" spans="1:68" x14ac:dyDescent="0.2">
      <c r="A153" s="383">
        <v>143</v>
      </c>
      <c r="B153" s="519">
        <v>40848</v>
      </c>
    </row>
    <row r="154" spans="1:68" s="525" customFormat="1" x14ac:dyDescent="0.2">
      <c r="A154" s="521">
        <v>144</v>
      </c>
      <c r="B154" s="522">
        <v>40878</v>
      </c>
      <c r="C154" s="563"/>
      <c r="D154" s="561"/>
      <c r="E154" s="563"/>
      <c r="F154" s="561"/>
      <c r="G154" s="563"/>
      <c r="H154" s="561"/>
      <c r="I154" s="563"/>
      <c r="J154" s="561"/>
      <c r="K154" s="581"/>
      <c r="L154" s="581"/>
      <c r="M154" s="581"/>
      <c r="N154" s="574"/>
      <c r="O154" s="524"/>
      <c r="P154" s="576"/>
      <c r="Q154" s="524"/>
      <c r="R154" s="524"/>
      <c r="S154" s="524"/>
      <c r="T154" s="524"/>
      <c r="U154" s="524"/>
      <c r="V154" s="524"/>
      <c r="W154" s="524"/>
      <c r="X154" s="524"/>
      <c r="Y154" s="524"/>
      <c r="Z154" s="524"/>
      <c r="AA154" s="524"/>
      <c r="AB154" s="524"/>
      <c r="AC154" s="524"/>
      <c r="AD154" s="524"/>
      <c r="AE154" s="524"/>
      <c r="AF154" s="524"/>
      <c r="AG154" s="524"/>
      <c r="AH154" s="524"/>
      <c r="AI154" s="524"/>
      <c r="AJ154" s="524"/>
      <c r="AK154" s="524"/>
      <c r="AL154" s="524"/>
      <c r="AM154" s="524"/>
      <c r="AN154" s="524"/>
      <c r="AO154" s="524"/>
      <c r="AP154" s="524"/>
      <c r="AQ154" s="524"/>
      <c r="AR154" s="524"/>
      <c r="AS154" s="524"/>
      <c r="AT154" s="524"/>
      <c r="AU154" s="524"/>
      <c r="AV154" s="524"/>
      <c r="AW154" s="524"/>
      <c r="AX154" s="524"/>
      <c r="AY154" s="524"/>
      <c r="AZ154" s="524"/>
      <c r="BA154" s="524"/>
      <c r="BB154" s="524"/>
      <c r="BC154" s="524"/>
      <c r="BD154" s="524"/>
      <c r="BE154" s="524"/>
      <c r="BF154" s="524"/>
      <c r="BG154" s="524"/>
      <c r="BH154" s="524"/>
      <c r="BI154" s="524"/>
      <c r="BJ154" s="524"/>
      <c r="BK154" s="524"/>
      <c r="BL154" s="524"/>
      <c r="BM154" s="524"/>
      <c r="BN154" s="524"/>
      <c r="BO154" s="524"/>
      <c r="BP154" s="524"/>
    </row>
    <row r="155" spans="1:68" s="532" customFormat="1" x14ac:dyDescent="0.2">
      <c r="A155" s="528">
        <v>145</v>
      </c>
      <c r="B155" s="529">
        <v>40909</v>
      </c>
      <c r="C155" s="564"/>
      <c r="D155" s="560"/>
      <c r="E155" s="564"/>
      <c r="F155" s="560"/>
      <c r="G155" s="564"/>
      <c r="H155" s="560"/>
      <c r="I155" s="564"/>
      <c r="J155" s="560"/>
      <c r="K155" s="580"/>
      <c r="L155" s="580"/>
      <c r="M155" s="580"/>
      <c r="N155" s="573"/>
      <c r="O155" s="531"/>
      <c r="P155" s="575"/>
      <c r="Q155" s="531"/>
      <c r="R155" s="531"/>
      <c r="S155" s="531"/>
      <c r="T155" s="531"/>
      <c r="U155" s="531"/>
      <c r="V155" s="531"/>
      <c r="W155" s="531"/>
      <c r="X155" s="531"/>
      <c r="Y155" s="531"/>
      <c r="Z155" s="531"/>
      <c r="AA155" s="531"/>
      <c r="AB155" s="531"/>
      <c r="AC155" s="531"/>
      <c r="AD155" s="531"/>
      <c r="AE155" s="531"/>
      <c r="AF155" s="531"/>
      <c r="AG155" s="531"/>
      <c r="AH155" s="531"/>
      <c r="AI155" s="531"/>
      <c r="AJ155" s="531"/>
      <c r="AK155" s="531"/>
      <c r="AL155" s="531"/>
      <c r="AM155" s="531"/>
      <c r="AN155" s="531"/>
      <c r="AO155" s="531"/>
      <c r="AP155" s="531"/>
      <c r="AQ155" s="531"/>
      <c r="AR155" s="531"/>
      <c r="AS155" s="531"/>
      <c r="AT155" s="531"/>
      <c r="AU155" s="531"/>
      <c r="AV155" s="531"/>
      <c r="AW155" s="531"/>
      <c r="AX155" s="531"/>
      <c r="AY155" s="531"/>
      <c r="AZ155" s="531"/>
      <c r="BA155" s="531"/>
      <c r="BB155" s="531"/>
      <c r="BC155" s="531"/>
      <c r="BD155" s="531"/>
      <c r="BE155" s="531"/>
      <c r="BF155" s="531"/>
      <c r="BG155" s="531"/>
      <c r="BH155" s="531"/>
      <c r="BI155" s="531"/>
      <c r="BJ155" s="531"/>
      <c r="BK155" s="531"/>
      <c r="BL155" s="531"/>
      <c r="BM155" s="531"/>
      <c r="BN155" s="531"/>
      <c r="BO155" s="531"/>
      <c r="BP155" s="531"/>
    </row>
    <row r="156" spans="1:68" x14ac:dyDescent="0.2">
      <c r="A156" s="383">
        <v>146</v>
      </c>
      <c r="B156" s="519">
        <v>40940</v>
      </c>
    </row>
    <row r="157" spans="1:68" x14ac:dyDescent="0.2">
      <c r="A157" s="383">
        <v>147</v>
      </c>
      <c r="B157" s="519">
        <v>40969</v>
      </c>
    </row>
    <row r="158" spans="1:68" x14ac:dyDescent="0.2">
      <c r="A158" s="383">
        <v>148</v>
      </c>
      <c r="B158" s="519">
        <v>41000</v>
      </c>
    </row>
    <row r="159" spans="1:68" x14ac:dyDescent="0.2">
      <c r="A159" s="383">
        <v>149</v>
      </c>
      <c r="B159" s="519">
        <v>41030</v>
      </c>
    </row>
    <row r="160" spans="1:68" x14ac:dyDescent="0.2">
      <c r="A160" s="383">
        <v>150</v>
      </c>
      <c r="B160" s="519">
        <v>41061</v>
      </c>
    </row>
    <row r="161" spans="1:68" x14ac:dyDescent="0.2">
      <c r="A161" s="383">
        <v>151</v>
      </c>
      <c r="B161" s="519">
        <v>41091</v>
      </c>
    </row>
    <row r="162" spans="1:68" x14ac:dyDescent="0.2">
      <c r="A162" s="383">
        <v>152</v>
      </c>
      <c r="B162" s="519">
        <v>41122</v>
      </c>
    </row>
    <row r="163" spans="1:68" x14ac:dyDescent="0.2">
      <c r="A163" s="383">
        <v>153</v>
      </c>
      <c r="B163" s="519">
        <v>41153</v>
      </c>
    </row>
    <row r="164" spans="1:68" x14ac:dyDescent="0.2">
      <c r="A164" s="383">
        <v>154</v>
      </c>
      <c r="B164" s="519">
        <v>41183</v>
      </c>
    </row>
    <row r="165" spans="1:68" x14ac:dyDescent="0.2">
      <c r="A165" s="383">
        <v>155</v>
      </c>
      <c r="B165" s="519">
        <v>41214</v>
      </c>
    </row>
    <row r="166" spans="1:68" s="525" customFormat="1" x14ac:dyDescent="0.2">
      <c r="A166" s="521">
        <v>156</v>
      </c>
      <c r="B166" s="522">
        <v>41244</v>
      </c>
      <c r="C166" s="563"/>
      <c r="D166" s="561"/>
      <c r="E166" s="563"/>
      <c r="F166" s="561"/>
      <c r="G166" s="563"/>
      <c r="H166" s="561"/>
      <c r="I166" s="563"/>
      <c r="J166" s="561"/>
      <c r="K166" s="581"/>
      <c r="L166" s="581"/>
      <c r="M166" s="581"/>
      <c r="N166" s="574"/>
      <c r="O166" s="524"/>
      <c r="P166" s="576"/>
      <c r="Q166" s="524"/>
      <c r="R166" s="524"/>
      <c r="S166" s="524"/>
      <c r="T166" s="524"/>
      <c r="U166" s="524"/>
      <c r="V166" s="524"/>
      <c r="W166" s="524"/>
      <c r="X166" s="524"/>
      <c r="Y166" s="524"/>
      <c r="Z166" s="524"/>
      <c r="AA166" s="524"/>
      <c r="AB166" s="524"/>
      <c r="AC166" s="524"/>
      <c r="AD166" s="524"/>
      <c r="AE166" s="524"/>
      <c r="AF166" s="524"/>
      <c r="AG166" s="524"/>
      <c r="AH166" s="524"/>
      <c r="AI166" s="524"/>
      <c r="AJ166" s="524"/>
      <c r="AK166" s="524"/>
      <c r="AL166" s="524"/>
      <c r="AM166" s="524"/>
      <c r="AN166" s="524"/>
      <c r="AO166" s="524"/>
      <c r="AP166" s="524"/>
      <c r="AQ166" s="524"/>
      <c r="AR166" s="524"/>
      <c r="AS166" s="524"/>
      <c r="AT166" s="524"/>
      <c r="AU166" s="524"/>
      <c r="AV166" s="524"/>
      <c r="AW166" s="524"/>
      <c r="AX166" s="524"/>
      <c r="AY166" s="524"/>
      <c r="AZ166" s="524"/>
      <c r="BA166" s="524"/>
      <c r="BB166" s="524"/>
      <c r="BC166" s="524"/>
      <c r="BD166" s="524"/>
      <c r="BE166" s="524"/>
      <c r="BF166" s="524"/>
      <c r="BG166" s="524"/>
      <c r="BH166" s="524"/>
      <c r="BI166" s="524"/>
      <c r="BJ166" s="524"/>
      <c r="BK166" s="524"/>
      <c r="BL166" s="524"/>
      <c r="BM166" s="524"/>
      <c r="BN166" s="524"/>
      <c r="BO166" s="524"/>
      <c r="BP166" s="524"/>
    </row>
    <row r="167" spans="1:68" x14ac:dyDescent="0.2">
      <c r="A167" s="383">
        <v>157</v>
      </c>
      <c r="B167" s="519">
        <v>41275</v>
      </c>
    </row>
    <row r="168" spans="1:68" x14ac:dyDescent="0.2">
      <c r="A168" s="383">
        <v>158</v>
      </c>
      <c r="B168" s="519">
        <v>41306</v>
      </c>
    </row>
    <row r="169" spans="1:68" x14ac:dyDescent="0.2">
      <c r="A169" s="383">
        <v>159</v>
      </c>
      <c r="B169" s="519">
        <v>41334</v>
      </c>
    </row>
    <row r="170" spans="1:68" x14ac:dyDescent="0.2">
      <c r="A170" s="383">
        <v>160</v>
      </c>
      <c r="B170" s="519">
        <v>41365</v>
      </c>
    </row>
    <row r="171" spans="1:68" x14ac:dyDescent="0.2">
      <c r="A171" s="383">
        <v>161</v>
      </c>
      <c r="B171" s="519">
        <v>41395</v>
      </c>
    </row>
    <row r="172" spans="1:68" x14ac:dyDescent="0.2">
      <c r="A172" s="383">
        <v>162</v>
      </c>
      <c r="B172" s="519">
        <v>41426</v>
      </c>
    </row>
    <row r="173" spans="1:68" x14ac:dyDescent="0.2">
      <c r="A173" s="383">
        <v>163</v>
      </c>
      <c r="B173" s="519">
        <v>41456</v>
      </c>
    </row>
    <row r="174" spans="1:68" x14ac:dyDescent="0.2">
      <c r="A174" s="383">
        <v>164</v>
      </c>
      <c r="B174" s="519">
        <v>41487</v>
      </c>
    </row>
    <row r="175" spans="1:68" x14ac:dyDescent="0.2">
      <c r="A175" s="383">
        <v>165</v>
      </c>
      <c r="B175" s="519">
        <v>41518</v>
      </c>
    </row>
    <row r="176" spans="1:68" x14ac:dyDescent="0.2">
      <c r="A176" s="383">
        <v>166</v>
      </c>
      <c r="B176" s="519">
        <v>41548</v>
      </c>
    </row>
    <row r="177" spans="1:68" x14ac:dyDescent="0.2">
      <c r="A177" s="383">
        <v>167</v>
      </c>
      <c r="B177" s="519">
        <v>41579</v>
      </c>
    </row>
    <row r="178" spans="1:68" s="525" customFormat="1" x14ac:dyDescent="0.2">
      <c r="A178" s="521">
        <v>168</v>
      </c>
      <c r="B178" s="522">
        <v>41609</v>
      </c>
      <c r="C178" s="563"/>
      <c r="D178" s="561"/>
      <c r="E178" s="563"/>
      <c r="F178" s="561"/>
      <c r="G178" s="563"/>
      <c r="H178" s="561"/>
      <c r="I178" s="563"/>
      <c r="J178" s="561"/>
      <c r="K178" s="581"/>
      <c r="L178" s="581"/>
      <c r="M178" s="581"/>
      <c r="N178" s="574"/>
      <c r="O178" s="524"/>
      <c r="P178" s="576"/>
      <c r="Q178" s="524"/>
      <c r="R178" s="524"/>
      <c r="S178" s="524"/>
      <c r="T178" s="524"/>
      <c r="U178" s="524"/>
      <c r="V178" s="524"/>
      <c r="W178" s="524"/>
      <c r="X178" s="524"/>
      <c r="Y178" s="524"/>
      <c r="Z178" s="524"/>
      <c r="AA178" s="524"/>
      <c r="AB178" s="524"/>
      <c r="AC178" s="524"/>
      <c r="AD178" s="524"/>
      <c r="AE178" s="524"/>
      <c r="AF178" s="524"/>
      <c r="AG178" s="524"/>
      <c r="AH178" s="524"/>
      <c r="AI178" s="524"/>
      <c r="AJ178" s="524"/>
      <c r="AK178" s="524"/>
      <c r="AL178" s="524"/>
      <c r="AM178" s="524"/>
      <c r="AN178" s="524"/>
      <c r="AO178" s="524"/>
      <c r="AP178" s="524"/>
      <c r="AQ178" s="524"/>
      <c r="AR178" s="524"/>
      <c r="AS178" s="524"/>
      <c r="AT178" s="524"/>
      <c r="AU178" s="524"/>
      <c r="AV178" s="524"/>
      <c r="AW178" s="524"/>
      <c r="AX178" s="524"/>
      <c r="AY178" s="524"/>
      <c r="AZ178" s="524"/>
      <c r="BA178" s="524"/>
      <c r="BB178" s="524"/>
      <c r="BC178" s="524"/>
      <c r="BD178" s="524"/>
      <c r="BE178" s="524"/>
      <c r="BF178" s="524"/>
      <c r="BG178" s="524"/>
      <c r="BH178" s="524"/>
      <c r="BI178" s="524"/>
      <c r="BJ178" s="524"/>
      <c r="BK178" s="524"/>
      <c r="BL178" s="524"/>
      <c r="BM178" s="524"/>
      <c r="BN178" s="524"/>
      <c r="BO178" s="524"/>
      <c r="BP178" s="524"/>
    </row>
    <row r="179" spans="1:68" x14ac:dyDescent="0.2">
      <c r="A179" s="383">
        <v>169</v>
      </c>
      <c r="B179" s="519">
        <v>41640</v>
      </c>
    </row>
    <row r="180" spans="1:68" x14ac:dyDescent="0.2">
      <c r="A180" s="383">
        <v>170</v>
      </c>
      <c r="B180" s="519">
        <v>41671</v>
      </c>
    </row>
    <row r="181" spans="1:68" x14ac:dyDescent="0.2">
      <c r="A181" s="383">
        <v>171</v>
      </c>
      <c r="B181" s="519">
        <v>41699</v>
      </c>
    </row>
    <row r="182" spans="1:68" x14ac:dyDescent="0.2">
      <c r="A182" s="383">
        <v>172</v>
      </c>
      <c r="B182" s="519">
        <v>41730</v>
      </c>
    </row>
    <row r="183" spans="1:68" x14ac:dyDescent="0.2">
      <c r="A183" s="383">
        <v>173</v>
      </c>
      <c r="B183" s="519">
        <v>41760</v>
      </c>
    </row>
    <row r="184" spans="1:68" x14ac:dyDescent="0.2">
      <c r="A184" s="383">
        <v>174</v>
      </c>
      <c r="B184" s="519">
        <v>41791</v>
      </c>
    </row>
    <row r="185" spans="1:68" x14ac:dyDescent="0.2">
      <c r="A185" s="383">
        <v>175</v>
      </c>
      <c r="B185" s="519">
        <v>41821</v>
      </c>
    </row>
    <row r="186" spans="1:68" x14ac:dyDescent="0.2">
      <c r="A186" s="383">
        <v>176</v>
      </c>
      <c r="B186" s="519">
        <v>41852</v>
      </c>
    </row>
    <row r="187" spans="1:68" x14ac:dyDescent="0.2">
      <c r="A187" s="383">
        <v>177</v>
      </c>
      <c r="B187" s="519">
        <v>41883</v>
      </c>
    </row>
    <row r="188" spans="1:68" x14ac:dyDescent="0.2">
      <c r="A188" s="383">
        <v>178</v>
      </c>
      <c r="B188" s="519">
        <v>41913</v>
      </c>
    </row>
    <row r="189" spans="1:68" x14ac:dyDescent="0.2">
      <c r="A189" s="383">
        <v>179</v>
      </c>
      <c r="B189" s="519">
        <v>41944</v>
      </c>
    </row>
    <row r="190" spans="1:68" x14ac:dyDescent="0.2">
      <c r="A190" s="383">
        <v>180</v>
      </c>
      <c r="B190" s="519">
        <v>41974</v>
      </c>
    </row>
    <row r="191" spans="1:68" x14ac:dyDescent="0.2">
      <c r="A191" s="383">
        <v>181</v>
      </c>
      <c r="B191" s="519">
        <v>42005</v>
      </c>
    </row>
    <row r="192" spans="1:68" x14ac:dyDescent="0.2">
      <c r="A192" s="383">
        <v>182</v>
      </c>
      <c r="B192" s="519">
        <v>42036</v>
      </c>
    </row>
    <row r="193" spans="1:2" x14ac:dyDescent="0.2">
      <c r="A193" s="383">
        <v>183</v>
      </c>
      <c r="B193" s="519">
        <v>42064</v>
      </c>
    </row>
    <row r="194" spans="1:2" x14ac:dyDescent="0.2">
      <c r="A194" s="383">
        <v>184</v>
      </c>
      <c r="B194" s="519">
        <v>42095</v>
      </c>
    </row>
    <row r="195" spans="1:2" x14ac:dyDescent="0.2">
      <c r="A195" s="383">
        <v>185</v>
      </c>
      <c r="B195" s="519">
        <v>42125</v>
      </c>
    </row>
    <row r="196" spans="1:2" x14ac:dyDescent="0.2">
      <c r="A196" s="383">
        <v>186</v>
      </c>
      <c r="B196" s="519">
        <v>42156</v>
      </c>
    </row>
    <row r="197" spans="1:2" x14ac:dyDescent="0.2">
      <c r="A197" s="383">
        <v>187</v>
      </c>
      <c r="B197" s="519">
        <v>42186</v>
      </c>
    </row>
    <row r="198" spans="1:2" x14ac:dyDescent="0.2">
      <c r="A198" s="383">
        <v>188</v>
      </c>
      <c r="B198" s="519">
        <v>42217</v>
      </c>
    </row>
    <row r="199" spans="1:2" x14ac:dyDescent="0.2">
      <c r="A199" s="383">
        <v>189</v>
      </c>
      <c r="B199" s="519">
        <v>42248</v>
      </c>
    </row>
    <row r="200" spans="1:2" x14ac:dyDescent="0.2">
      <c r="A200" s="383">
        <v>190</v>
      </c>
      <c r="B200" s="519">
        <v>42278</v>
      </c>
    </row>
    <row r="201" spans="1:2" x14ac:dyDescent="0.2">
      <c r="A201" s="383">
        <v>191</v>
      </c>
      <c r="B201" s="519">
        <v>42309</v>
      </c>
    </row>
    <row r="202" spans="1:2" x14ac:dyDescent="0.2">
      <c r="A202" s="383">
        <v>192</v>
      </c>
      <c r="B202" s="519">
        <v>42339</v>
      </c>
    </row>
    <row r="203" spans="1:2" x14ac:dyDescent="0.2">
      <c r="A203" s="383">
        <v>193</v>
      </c>
      <c r="B203" s="519">
        <v>42370</v>
      </c>
    </row>
    <row r="204" spans="1:2" x14ac:dyDescent="0.2">
      <c r="A204" s="383">
        <v>194</v>
      </c>
      <c r="B204" s="519">
        <v>42401</v>
      </c>
    </row>
    <row r="205" spans="1:2" x14ac:dyDescent="0.2">
      <c r="A205" s="383">
        <v>195</v>
      </c>
      <c r="B205" s="519">
        <v>42430</v>
      </c>
    </row>
    <row r="206" spans="1:2" x14ac:dyDescent="0.2">
      <c r="A206" s="383">
        <v>196</v>
      </c>
      <c r="B206" s="519">
        <v>42461</v>
      </c>
    </row>
    <row r="207" spans="1:2" x14ac:dyDescent="0.2">
      <c r="A207" s="383">
        <v>197</v>
      </c>
      <c r="B207" s="519">
        <v>42491</v>
      </c>
    </row>
    <row r="208" spans="1:2" x14ac:dyDescent="0.2">
      <c r="A208" s="383">
        <v>198</v>
      </c>
      <c r="B208" s="519">
        <v>42522</v>
      </c>
    </row>
    <row r="209" spans="1:2" x14ac:dyDescent="0.2">
      <c r="A209" s="383">
        <v>199</v>
      </c>
      <c r="B209" s="519">
        <v>42552</v>
      </c>
    </row>
    <row r="210" spans="1:2" x14ac:dyDescent="0.2">
      <c r="A210" s="383">
        <v>200</v>
      </c>
      <c r="B210" s="519">
        <v>42583</v>
      </c>
    </row>
    <row r="211" spans="1:2" x14ac:dyDescent="0.2">
      <c r="A211" s="383">
        <v>201</v>
      </c>
      <c r="B211" s="519">
        <v>42614</v>
      </c>
    </row>
    <row r="212" spans="1:2" x14ac:dyDescent="0.2">
      <c r="A212" s="383">
        <v>202</v>
      </c>
      <c r="B212" s="519">
        <v>42644</v>
      </c>
    </row>
    <row r="213" spans="1:2" x14ac:dyDescent="0.2">
      <c r="A213" s="383">
        <v>203</v>
      </c>
      <c r="B213" s="519">
        <v>42675</v>
      </c>
    </row>
    <row r="214" spans="1:2" x14ac:dyDescent="0.2">
      <c r="A214" s="383">
        <v>204</v>
      </c>
      <c r="B214" s="519">
        <v>42705</v>
      </c>
    </row>
    <row r="215" spans="1:2" x14ac:dyDescent="0.2">
      <c r="A215" s="383">
        <v>205</v>
      </c>
      <c r="B215" s="519">
        <v>42736</v>
      </c>
    </row>
    <row r="216" spans="1:2" x14ac:dyDescent="0.2">
      <c r="A216" s="383">
        <v>206</v>
      </c>
      <c r="B216" s="519">
        <v>42767</v>
      </c>
    </row>
    <row r="217" spans="1:2" x14ac:dyDescent="0.2">
      <c r="A217" s="383">
        <v>207</v>
      </c>
      <c r="B217" s="519">
        <v>42795</v>
      </c>
    </row>
    <row r="218" spans="1:2" x14ac:dyDescent="0.2">
      <c r="A218" s="383">
        <v>208</v>
      </c>
      <c r="B218" s="519">
        <v>42826</v>
      </c>
    </row>
    <row r="219" spans="1:2" x14ac:dyDescent="0.2">
      <c r="A219" s="383">
        <v>209</v>
      </c>
      <c r="B219" s="519">
        <v>42856</v>
      </c>
    </row>
    <row r="220" spans="1:2" x14ac:dyDescent="0.2">
      <c r="A220" s="383">
        <v>210</v>
      </c>
      <c r="B220" s="519">
        <v>42887</v>
      </c>
    </row>
    <row r="221" spans="1:2" x14ac:dyDescent="0.2">
      <c r="A221" s="383">
        <v>211</v>
      </c>
      <c r="B221" s="519">
        <v>42917</v>
      </c>
    </row>
    <row r="222" spans="1:2" x14ac:dyDescent="0.2">
      <c r="A222" s="383">
        <v>212</v>
      </c>
      <c r="B222" s="519">
        <v>42948</v>
      </c>
    </row>
    <row r="223" spans="1:2" x14ac:dyDescent="0.2">
      <c r="A223" s="383">
        <v>213</v>
      </c>
      <c r="B223" s="519">
        <v>42979</v>
      </c>
    </row>
    <row r="224" spans="1:2" x14ac:dyDescent="0.2">
      <c r="A224" s="383">
        <v>214</v>
      </c>
      <c r="B224" s="519">
        <v>43009</v>
      </c>
    </row>
    <row r="225" spans="1:2" x14ac:dyDescent="0.2">
      <c r="A225" s="383">
        <v>215</v>
      </c>
      <c r="B225" s="519">
        <v>43040</v>
      </c>
    </row>
    <row r="226" spans="1:2" x14ac:dyDescent="0.2">
      <c r="A226" s="383">
        <v>216</v>
      </c>
      <c r="B226" s="519">
        <v>43070</v>
      </c>
    </row>
    <row r="227" spans="1:2" x14ac:dyDescent="0.2">
      <c r="A227" s="383">
        <v>217</v>
      </c>
      <c r="B227" s="519">
        <v>43101</v>
      </c>
    </row>
    <row r="228" spans="1:2" x14ac:dyDescent="0.2">
      <c r="A228" s="383">
        <v>218</v>
      </c>
      <c r="B228" s="519">
        <v>43132</v>
      </c>
    </row>
    <row r="229" spans="1:2" x14ac:dyDescent="0.2">
      <c r="A229" s="383">
        <v>219</v>
      </c>
      <c r="B229" s="519">
        <v>43160</v>
      </c>
    </row>
    <row r="230" spans="1:2" x14ac:dyDescent="0.2">
      <c r="A230" s="383">
        <v>220</v>
      </c>
      <c r="B230" s="519">
        <v>43191</v>
      </c>
    </row>
    <row r="231" spans="1:2" x14ac:dyDescent="0.2">
      <c r="A231" s="383">
        <v>221</v>
      </c>
      <c r="B231" s="519">
        <v>43221</v>
      </c>
    </row>
    <row r="232" spans="1:2" x14ac:dyDescent="0.2">
      <c r="A232" s="383">
        <v>222</v>
      </c>
      <c r="B232" s="519">
        <v>43252</v>
      </c>
    </row>
    <row r="233" spans="1:2" x14ac:dyDescent="0.2">
      <c r="A233" s="383">
        <v>223</v>
      </c>
      <c r="B233" s="519">
        <v>43282</v>
      </c>
    </row>
    <row r="234" spans="1:2" x14ac:dyDescent="0.2">
      <c r="A234" s="383">
        <v>224</v>
      </c>
      <c r="B234" s="519">
        <v>43313</v>
      </c>
    </row>
    <row r="235" spans="1:2" x14ac:dyDescent="0.2">
      <c r="A235" s="383">
        <v>225</v>
      </c>
      <c r="B235" s="519">
        <v>43344</v>
      </c>
    </row>
    <row r="236" spans="1:2" x14ac:dyDescent="0.2">
      <c r="A236" s="383">
        <v>226</v>
      </c>
      <c r="B236" s="519">
        <v>43374</v>
      </c>
    </row>
    <row r="237" spans="1:2" x14ac:dyDescent="0.2">
      <c r="A237" s="383">
        <v>227</v>
      </c>
      <c r="B237" s="519">
        <v>43405</v>
      </c>
    </row>
    <row r="238" spans="1:2" x14ac:dyDescent="0.2">
      <c r="A238" s="383">
        <v>228</v>
      </c>
      <c r="B238" s="519">
        <v>43435</v>
      </c>
    </row>
    <row r="239" spans="1:2" x14ac:dyDescent="0.2">
      <c r="A239" s="383">
        <v>229</v>
      </c>
      <c r="B239" s="519">
        <v>43466</v>
      </c>
    </row>
    <row r="240" spans="1:2" x14ac:dyDescent="0.2">
      <c r="A240" s="383">
        <v>230</v>
      </c>
      <c r="B240" s="519">
        <v>43497</v>
      </c>
    </row>
    <row r="241" spans="1:2" x14ac:dyDescent="0.2">
      <c r="A241" s="383">
        <v>231</v>
      </c>
      <c r="B241" s="519">
        <v>43525</v>
      </c>
    </row>
    <row r="242" spans="1:2" x14ac:dyDescent="0.2">
      <c r="A242" s="383">
        <v>232</v>
      </c>
      <c r="B242" s="519">
        <v>43556</v>
      </c>
    </row>
    <row r="243" spans="1:2" x14ac:dyDescent="0.2">
      <c r="A243" s="383">
        <v>233</v>
      </c>
      <c r="B243" s="519">
        <v>43586</v>
      </c>
    </row>
    <row r="244" spans="1:2" x14ac:dyDescent="0.2">
      <c r="A244" s="383">
        <v>234</v>
      </c>
      <c r="B244" s="519">
        <v>43617</v>
      </c>
    </row>
    <row r="245" spans="1:2" x14ac:dyDescent="0.2">
      <c r="A245" s="383">
        <v>235</v>
      </c>
      <c r="B245" s="519">
        <v>43647</v>
      </c>
    </row>
    <row r="246" spans="1:2" x14ac:dyDescent="0.2">
      <c r="A246" s="383">
        <v>236</v>
      </c>
      <c r="B246" s="519">
        <v>43678</v>
      </c>
    </row>
    <row r="247" spans="1:2" x14ac:dyDescent="0.2">
      <c r="A247" s="383">
        <v>237</v>
      </c>
      <c r="B247" s="519">
        <v>43709</v>
      </c>
    </row>
    <row r="248" spans="1:2" x14ac:dyDescent="0.2">
      <c r="A248" s="383">
        <v>238</v>
      </c>
      <c r="B248" s="519">
        <v>43739</v>
      </c>
    </row>
    <row r="249" spans="1:2" x14ac:dyDescent="0.2">
      <c r="A249" s="383">
        <v>239</v>
      </c>
      <c r="B249" s="519">
        <v>43770</v>
      </c>
    </row>
    <row r="250" spans="1:2" x14ac:dyDescent="0.2">
      <c r="A250" s="383">
        <v>240</v>
      </c>
      <c r="B250" s="519">
        <v>43800</v>
      </c>
    </row>
    <row r="251" spans="1:2" x14ac:dyDescent="0.2">
      <c r="A251" s="383">
        <v>241</v>
      </c>
      <c r="B251" s="519">
        <v>43831</v>
      </c>
    </row>
    <row r="252" spans="1:2" x14ac:dyDescent="0.2">
      <c r="A252" s="383">
        <v>242</v>
      </c>
      <c r="B252" s="519">
        <v>43862</v>
      </c>
    </row>
    <row r="253" spans="1:2" x14ac:dyDescent="0.2">
      <c r="A253" s="383">
        <v>243</v>
      </c>
      <c r="B253" s="519">
        <v>43891</v>
      </c>
    </row>
    <row r="254" spans="1:2" x14ac:dyDescent="0.2">
      <c r="A254" s="383">
        <v>244</v>
      </c>
      <c r="B254" s="519">
        <v>43922</v>
      </c>
    </row>
    <row r="255" spans="1:2" x14ac:dyDescent="0.2">
      <c r="A255" s="383">
        <v>245</v>
      </c>
      <c r="B255" s="519">
        <v>43952</v>
      </c>
    </row>
    <row r="256" spans="1:2" x14ac:dyDescent="0.2">
      <c r="A256" s="383">
        <v>246</v>
      </c>
      <c r="B256" s="519">
        <v>43983</v>
      </c>
    </row>
    <row r="257" spans="1:2" x14ac:dyDescent="0.2">
      <c r="A257" s="383">
        <v>247</v>
      </c>
      <c r="B257" s="519">
        <v>44013</v>
      </c>
    </row>
    <row r="258" spans="1:2" x14ac:dyDescent="0.2">
      <c r="A258" s="383">
        <v>248</v>
      </c>
      <c r="B258" s="519">
        <v>44044</v>
      </c>
    </row>
    <row r="259" spans="1:2" x14ac:dyDescent="0.2">
      <c r="A259" s="383">
        <v>249</v>
      </c>
      <c r="B259" s="519">
        <v>44075</v>
      </c>
    </row>
    <row r="260" spans="1:2" x14ac:dyDescent="0.2">
      <c r="A260" s="383">
        <v>250</v>
      </c>
      <c r="B260" s="519">
        <v>44105</v>
      </c>
    </row>
    <row r="261" spans="1:2" x14ac:dyDescent="0.2">
      <c r="A261" s="383">
        <v>251</v>
      </c>
      <c r="B261" s="519">
        <v>44136</v>
      </c>
    </row>
    <row r="262" spans="1:2" x14ac:dyDescent="0.2">
      <c r="A262" s="383">
        <v>252</v>
      </c>
      <c r="B262" s="519">
        <v>44166</v>
      </c>
    </row>
  </sheetData>
  <pageMargins left="0.75" right="0.75" top="1" bottom="1" header="0.5" footer="0.5"/>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N248"/>
  <sheetViews>
    <sheetView zoomScale="92" workbookViewId="0">
      <pane ySplit="12" topLeftCell="A13" activePane="bottomLeft" state="frozen"/>
      <selection activeCell="AP20" sqref="AP20"/>
      <selection pane="bottomLeft" activeCell="C5" sqref="C5"/>
    </sheetView>
  </sheetViews>
  <sheetFormatPr defaultRowHeight="12.75" x14ac:dyDescent="0.2"/>
  <cols>
    <col min="1" max="1" width="19.5703125" customWidth="1"/>
    <col min="2" max="2" width="14.42578125" customWidth="1"/>
    <col min="3" max="12" width="12.42578125" style="381" customWidth="1"/>
  </cols>
  <sheetData>
    <row r="1" spans="1:12" x14ac:dyDescent="0.2">
      <c r="F1" s="381" t="s">
        <v>865</v>
      </c>
    </row>
    <row r="2" spans="1:12" x14ac:dyDescent="0.2">
      <c r="A2" s="380" t="s">
        <v>765</v>
      </c>
      <c r="C2" s="380" t="str">
        <f>'wholesale services'!C10</f>
        <v>mid</v>
      </c>
      <c r="F2" s="381" t="s">
        <v>769</v>
      </c>
      <c r="G2" s="384">
        <f>'wholesale services'!G54</f>
        <v>0.71486787727900314</v>
      </c>
    </row>
    <row r="3" spans="1:12" x14ac:dyDescent="0.2">
      <c r="A3" s="380" t="s">
        <v>1020</v>
      </c>
      <c r="C3" s="382">
        <f>'wholesale services'!C9</f>
        <v>0.04</v>
      </c>
      <c r="F3" s="381" t="s">
        <v>772</v>
      </c>
      <c r="G3" s="384">
        <f>'wholesale services'!G55</f>
        <v>2.5327078788751369E-2</v>
      </c>
    </row>
    <row r="4" spans="1:12" x14ac:dyDescent="0.2">
      <c r="A4" s="383" t="s">
        <v>766</v>
      </c>
      <c r="B4" s="380"/>
      <c r="C4" s="384">
        <f>'wholesale services'!C8</f>
        <v>5.5E-2</v>
      </c>
      <c r="F4" s="381" t="s">
        <v>774</v>
      </c>
      <c r="G4" s="384">
        <f>'wholesale services'!G56</f>
        <v>1.2748758367419935E-2</v>
      </c>
    </row>
    <row r="5" spans="1:12" x14ac:dyDescent="0.2">
      <c r="A5" s="383" t="s">
        <v>1277</v>
      </c>
      <c r="B5" s="380"/>
      <c r="C5" s="384">
        <f>'general info'!B45</f>
        <v>0.13500000000000001</v>
      </c>
      <c r="F5" s="381" t="s">
        <v>1062</v>
      </c>
      <c r="G5" s="384">
        <f>'wholesale services'!G57</f>
        <v>9.273528646675383E-2</v>
      </c>
    </row>
    <row r="6" spans="1:12" x14ac:dyDescent="0.2">
      <c r="A6" s="383" t="s">
        <v>1026</v>
      </c>
      <c r="B6" s="380"/>
      <c r="C6" s="384">
        <v>6.0000000000000001E-3</v>
      </c>
      <c r="F6" s="381" t="s">
        <v>775</v>
      </c>
      <c r="G6" s="384">
        <f>'wholesale services'!G58</f>
        <v>8.5323491660383277E-2</v>
      </c>
    </row>
    <row r="7" spans="1:12" x14ac:dyDescent="0.2">
      <c r="F7" s="381" t="s">
        <v>776</v>
      </c>
      <c r="G7" s="384">
        <f>'wholesale services'!G59</f>
        <v>6.4736558785475976E-2</v>
      </c>
    </row>
    <row r="8" spans="1:12" x14ac:dyDescent="0.2">
      <c r="F8" s="381" t="s">
        <v>866</v>
      </c>
      <c r="G8" s="384">
        <f>'wholesale services'!G61</f>
        <v>4.2609486522125449E-3</v>
      </c>
    </row>
    <row r="9" spans="1:12" x14ac:dyDescent="0.2">
      <c r="G9" s="384">
        <f>SUM(G2:G8)</f>
        <v>1.0000000000000002</v>
      </c>
    </row>
    <row r="10" spans="1:12" ht="15.75" x14ac:dyDescent="0.25">
      <c r="A10" s="385" t="s">
        <v>767</v>
      </c>
    </row>
    <row r="11" spans="1:12" x14ac:dyDescent="0.2">
      <c r="C11" s="381">
        <v>1</v>
      </c>
      <c r="D11" s="381">
        <v>2</v>
      </c>
      <c r="E11" s="381">
        <v>3</v>
      </c>
      <c r="F11" s="381">
        <v>4</v>
      </c>
      <c r="G11" s="381">
        <v>5</v>
      </c>
      <c r="H11" s="381">
        <v>6</v>
      </c>
      <c r="I11" s="381">
        <v>7</v>
      </c>
      <c r="J11" s="381">
        <v>8</v>
      </c>
      <c r="K11" s="381">
        <v>9</v>
      </c>
      <c r="L11" s="381">
        <v>10</v>
      </c>
    </row>
    <row r="12" spans="1:12" x14ac:dyDescent="0.2">
      <c r="B12" t="s">
        <v>768</v>
      </c>
    </row>
    <row r="13" spans="1:12" x14ac:dyDescent="0.2">
      <c r="A13" s="369" t="s">
        <v>769</v>
      </c>
    </row>
    <row r="14" spans="1:12" x14ac:dyDescent="0.2">
      <c r="A14" t="s">
        <v>742</v>
      </c>
      <c r="C14" s="381">
        <f>'wholesale services'!$F$54*(1+$C$6)</f>
        <v>42194658</v>
      </c>
    </row>
    <row r="15" spans="1:12" x14ac:dyDescent="0.2">
      <c r="A15" t="s">
        <v>352</v>
      </c>
      <c r="C15" s="381">
        <f>C14</f>
        <v>42194658</v>
      </c>
      <c r="D15" s="381">
        <f t="shared" ref="D15:L15" si="0">C15*(1+$B$16)+$G$2*$B$16*D97</f>
        <v>42639488.871752702</v>
      </c>
      <c r="E15" s="381">
        <f t="shared" si="0"/>
        <v>43081353.759481102</v>
      </c>
      <c r="F15" s="381">
        <f t="shared" si="0"/>
        <v>43528300.093418375</v>
      </c>
      <c r="G15" s="381">
        <f t="shared" si="0"/>
        <v>43980386.31019593</v>
      </c>
      <c r="H15" s="381">
        <f t="shared" si="0"/>
        <v>44437671.518466428</v>
      </c>
      <c r="I15" s="381">
        <f t="shared" si="0"/>
        <v>44900215.50663203</v>
      </c>
      <c r="J15" s="381">
        <f t="shared" si="0"/>
        <v>45368078.750661537</v>
      </c>
      <c r="K15" s="381">
        <f t="shared" si="0"/>
        <v>45841322.421997383</v>
      </c>
      <c r="L15" s="381">
        <f t="shared" si="0"/>
        <v>46320008.395553596</v>
      </c>
    </row>
    <row r="16" spans="1:12" x14ac:dyDescent="0.2">
      <c r="A16" t="s">
        <v>353</v>
      </c>
      <c r="B16" s="386">
        <f>'wholesale services'!D104</f>
        <v>1.15E-2</v>
      </c>
      <c r="C16" s="381">
        <f>C14*(1-$C$3)</f>
        <v>40506871.68</v>
      </c>
      <c r="D16" s="381">
        <f t="shared" ref="D16:L16" si="1">C16*(1+$B$16)+$G$2*$B$16*D97</f>
        <v>40932293.009072706</v>
      </c>
      <c r="E16" s="381">
        <f t="shared" si="1"/>
        <v>41354525.144380286</v>
      </c>
      <c r="F16" s="381">
        <f t="shared" si="1"/>
        <v>41781612.949243903</v>
      </c>
      <c r="G16" s="381">
        <f t="shared" si="1"/>
        <v>42213612.263863452</v>
      </c>
      <c r="H16" s="381">
        <f t="shared" si="1"/>
        <v>42650579.570601121</v>
      </c>
      <c r="I16" s="381">
        <f t="shared" si="1"/>
        <v>43092572.001366273</v>
      </c>
      <c r="J16" s="381">
        <f t="shared" si="1"/>
        <v>43539647.345085226</v>
      </c>
      <c r="K16" s="381">
        <f t="shared" si="1"/>
        <v>43991864.055256948</v>
      </c>
      <c r="L16" s="381">
        <f t="shared" si="1"/>
        <v>44449281.257595643</v>
      </c>
    </row>
    <row r="17" spans="1:12" ht="13.5" thickBot="1" x14ac:dyDescent="0.25">
      <c r="A17" t="s">
        <v>771</v>
      </c>
      <c r="C17" s="381">
        <f>'wholesale services'!D112</f>
        <v>39006989.999999993</v>
      </c>
      <c r="D17" s="381">
        <f>'wholesale services'!E112</f>
        <v>32686951.528749995</v>
      </c>
      <c r="E17" s="381">
        <f>'wholesale services'!F112</f>
        <v>31422943.834499996</v>
      </c>
      <c r="F17" s="381">
        <f>'wholesale services'!G112</f>
        <v>31422943.834499996</v>
      </c>
      <c r="G17" s="381">
        <f>'wholesale services'!H112</f>
        <v>31422943.834499996</v>
      </c>
      <c r="H17" s="381">
        <f>'wholesale services'!I112</f>
        <v>31422943.834499996</v>
      </c>
      <c r="I17" s="381">
        <f>'wholesale services'!J112</f>
        <v>31422943.834499996</v>
      </c>
      <c r="J17" s="381">
        <f>'wholesale services'!K112</f>
        <v>31422943.834499996</v>
      </c>
      <c r="K17" s="381">
        <f>'wholesale services'!L112</f>
        <v>31422943.834499996</v>
      </c>
      <c r="L17" s="381">
        <f>'wholesale services'!M112</f>
        <v>31422943.834499996</v>
      </c>
    </row>
    <row r="18" spans="1:12" s="458" customFormat="1" ht="13.5" thickTop="1" x14ac:dyDescent="0.2">
      <c r="A18" s="458" t="s">
        <v>354</v>
      </c>
      <c r="C18" s="459">
        <f>C15-C17</f>
        <v>3187668.0000000075</v>
      </c>
      <c r="D18" s="459">
        <f t="shared" ref="D18:L18" si="2">D15-D17</f>
        <v>9952537.3430027068</v>
      </c>
      <c r="E18" s="459">
        <f t="shared" si="2"/>
        <v>11658409.924981106</v>
      </c>
      <c r="F18" s="459">
        <f t="shared" si="2"/>
        <v>12105356.258918379</v>
      </c>
      <c r="G18" s="459">
        <f t="shared" si="2"/>
        <v>12557442.475695934</v>
      </c>
      <c r="H18" s="459">
        <f t="shared" si="2"/>
        <v>13014727.683966432</v>
      </c>
      <c r="I18" s="459">
        <f t="shared" si="2"/>
        <v>13477271.672132034</v>
      </c>
      <c r="J18" s="459">
        <f t="shared" si="2"/>
        <v>13945134.916161541</v>
      </c>
      <c r="K18" s="459">
        <f t="shared" si="2"/>
        <v>14418378.587497387</v>
      </c>
      <c r="L18" s="459">
        <f t="shared" si="2"/>
        <v>14897064.5610536</v>
      </c>
    </row>
    <row r="19" spans="1:12" s="387" customFormat="1" x14ac:dyDescent="0.2">
      <c r="A19" s="387" t="s">
        <v>355</v>
      </c>
      <c r="C19" s="388">
        <f>C16-C17</f>
        <v>1499881.6800000072</v>
      </c>
      <c r="D19" s="388">
        <f t="shared" ref="D19:L19" si="3">D16-D17</f>
        <v>8245341.4803227112</v>
      </c>
      <c r="E19" s="388">
        <f t="shared" si="3"/>
        <v>9931581.3098802902</v>
      </c>
      <c r="F19" s="388">
        <f t="shared" si="3"/>
        <v>10358669.114743907</v>
      </c>
      <c r="G19" s="388">
        <f t="shared" si="3"/>
        <v>10790668.429363456</v>
      </c>
      <c r="H19" s="388">
        <f t="shared" si="3"/>
        <v>11227635.736101124</v>
      </c>
      <c r="I19" s="388">
        <f t="shared" si="3"/>
        <v>11669628.166866276</v>
      </c>
      <c r="J19" s="388">
        <f t="shared" si="3"/>
        <v>12116703.51058523</v>
      </c>
      <c r="K19" s="388">
        <f t="shared" si="3"/>
        <v>12568920.220756952</v>
      </c>
      <c r="L19" s="388">
        <f t="shared" si="3"/>
        <v>13026337.423095647</v>
      </c>
    </row>
    <row r="20" spans="1:12" s="460" customFormat="1" x14ac:dyDescent="0.2">
      <c r="A20" s="389" t="s">
        <v>356</v>
      </c>
      <c r="B20" s="390">
        <f>NPV($C$5,C18:L18)</f>
        <v>57986508.722272016</v>
      </c>
      <c r="C20" s="391">
        <f>B20/$B$120</f>
        <v>0.18550636924359395</v>
      </c>
      <c r="D20" s="391"/>
      <c r="E20" s="391"/>
      <c r="F20" s="391"/>
      <c r="G20" s="391"/>
      <c r="H20" s="391"/>
      <c r="I20" s="391"/>
      <c r="J20" s="391"/>
      <c r="K20" s="391"/>
      <c r="L20" s="391"/>
    </row>
    <row r="21" spans="1:12" s="379" customFormat="1" x14ac:dyDescent="0.2">
      <c r="A21" s="389" t="s">
        <v>357</v>
      </c>
      <c r="B21" s="390">
        <f>NPV($C$5,C19:L19)</f>
        <v>48638900.097319901</v>
      </c>
      <c r="C21" s="391">
        <f>B21/$B$120</f>
        <v>0.15560215574058403</v>
      </c>
      <c r="D21" s="378"/>
      <c r="E21" s="378"/>
      <c r="F21" s="378"/>
      <c r="G21" s="378"/>
      <c r="H21" s="378"/>
      <c r="I21" s="378"/>
      <c r="J21" s="378"/>
      <c r="K21" s="378"/>
      <c r="L21" s="378"/>
    </row>
    <row r="22" spans="1:12" s="379" customFormat="1" x14ac:dyDescent="0.2">
      <c r="A22" s="389" t="s">
        <v>351</v>
      </c>
      <c r="B22" s="390">
        <f>B20-B21</f>
        <v>9347608.6249521151</v>
      </c>
      <c r="C22" s="391"/>
      <c r="D22" s="378"/>
      <c r="E22" s="378"/>
      <c r="F22" s="378"/>
      <c r="G22" s="378"/>
      <c r="H22" s="378"/>
      <c r="I22" s="378"/>
      <c r="J22" s="378"/>
      <c r="K22" s="378"/>
      <c r="L22" s="378"/>
    </row>
    <row r="24" spans="1:12" x14ac:dyDescent="0.2">
      <c r="A24" s="369" t="s">
        <v>772</v>
      </c>
    </row>
    <row r="25" spans="1:12" x14ac:dyDescent="0.2">
      <c r="A25" t="s">
        <v>742</v>
      </c>
      <c r="C25" s="381">
        <f>'wholesale services'!F55*(1+$C$6)</f>
        <v>1494916</v>
      </c>
    </row>
    <row r="26" spans="1:12" x14ac:dyDescent="0.2">
      <c r="A26" t="s">
        <v>352</v>
      </c>
      <c r="C26" s="381">
        <f>C25</f>
        <v>1494916</v>
      </c>
      <c r="D26" s="381">
        <f t="shared" ref="D26:L26" si="4">C26*(1+$B$27)+$B$27*$G$3*D97</f>
        <v>1510675.9283652699</v>
      </c>
      <c r="E26" s="381">
        <f t="shared" si="4"/>
        <v>1526330.7747797943</v>
      </c>
      <c r="F26" s="381">
        <f t="shared" si="4"/>
        <v>1542165.6519280856</v>
      </c>
      <c r="G26" s="381">
        <f t="shared" si="4"/>
        <v>1558182.6301635823</v>
      </c>
      <c r="H26" s="381">
        <f t="shared" si="4"/>
        <v>1574383.8036487873</v>
      </c>
      <c r="I26" s="381">
        <f t="shared" si="4"/>
        <v>1590771.2906290721</v>
      </c>
      <c r="J26" s="381">
        <f t="shared" si="4"/>
        <v>1607347.2337096303</v>
      </c>
      <c r="K26" s="381">
        <f t="shared" si="4"/>
        <v>1624113.8001356148</v>
      </c>
      <c r="L26" s="381">
        <f t="shared" si="4"/>
        <v>1641073.1820754982</v>
      </c>
    </row>
    <row r="27" spans="1:12" x14ac:dyDescent="0.2">
      <c r="A27" t="s">
        <v>353</v>
      </c>
      <c r="B27" s="386">
        <f>B16</f>
        <v>1.15E-2</v>
      </c>
      <c r="C27" s="381">
        <f>C25*(1-$C$3)</f>
        <v>1435119.3599999999</v>
      </c>
      <c r="D27" s="381">
        <f t="shared" ref="D27:L27" si="5">C27*(1+$B$27)+$B$27*$G$3*D97</f>
        <v>1450191.62700527</v>
      </c>
      <c r="E27" s="381">
        <f t="shared" si="5"/>
        <v>1465150.9039541543</v>
      </c>
      <c r="F27" s="381">
        <f t="shared" si="5"/>
        <v>1480282.212587951</v>
      </c>
      <c r="G27" s="381">
        <f t="shared" si="5"/>
        <v>1495587.5312710362</v>
      </c>
      <c r="H27" s="381">
        <f t="shared" si="5"/>
        <v>1511068.861118977</v>
      </c>
      <c r="I27" s="381">
        <f t="shared" si="5"/>
        <v>1526728.2262601689</v>
      </c>
      <c r="J27" s="381">
        <f t="shared" si="5"/>
        <v>1542567.6741004847</v>
      </c>
      <c r="K27" s="381">
        <f t="shared" si="5"/>
        <v>1558589.2755909641</v>
      </c>
      <c r="L27" s="381">
        <f t="shared" si="5"/>
        <v>1574795.125498584</v>
      </c>
    </row>
    <row r="28" spans="1:12" ht="13.5" thickBot="1" x14ac:dyDescent="0.25">
      <c r="A28" t="s">
        <v>771</v>
      </c>
      <c r="C28" s="381">
        <f>'wholesale services'!D115</f>
        <v>1708211.5107084466</v>
      </c>
      <c r="D28" s="381">
        <f>'wholesale services'!E115</f>
        <v>1301250.1260907315</v>
      </c>
      <c r="E28" s="381">
        <f>'wholesale services'!F115</f>
        <v>1232294.1750597835</v>
      </c>
      <c r="F28" s="381">
        <f>'wholesale services'!G115</f>
        <v>1253412.838192123</v>
      </c>
      <c r="G28" s="381">
        <f>'wholesale services'!H115</f>
        <v>1279128.2537550048</v>
      </c>
      <c r="H28" s="381">
        <f>'wholesale services'!I115</f>
        <v>1309408.5175675321</v>
      </c>
      <c r="I28" s="381">
        <f>'wholesale services'!J115</f>
        <v>1344223.4220026238</v>
      </c>
      <c r="J28" s="381">
        <f>'wholesale services'!K115</f>
        <v>1383544.5266948738</v>
      </c>
      <c r="K28" s="381">
        <f>'wholesale services'!L115</f>
        <v>1427345.192026017</v>
      </c>
      <c r="L28" s="381">
        <f>'wholesale services'!M115</f>
        <v>1475600.5796310711</v>
      </c>
    </row>
    <row r="29" spans="1:12" s="458" customFormat="1" ht="13.5" thickTop="1" x14ac:dyDescent="0.2">
      <c r="A29" s="458" t="s">
        <v>354</v>
      </c>
      <c r="C29" s="459">
        <f>C26-C28</f>
        <v>-213295.51070844661</v>
      </c>
      <c r="D29" s="459">
        <f t="shared" ref="D29:L29" si="6">D26-D28</f>
        <v>209425.80227453844</v>
      </c>
      <c r="E29" s="459">
        <f t="shared" si="6"/>
        <v>294036.59972001077</v>
      </c>
      <c r="F29" s="459">
        <f t="shared" si="6"/>
        <v>288752.81373596261</v>
      </c>
      <c r="G29" s="459">
        <f t="shared" si="6"/>
        <v>279054.37640857743</v>
      </c>
      <c r="H29" s="459">
        <f t="shared" si="6"/>
        <v>264975.28608125518</v>
      </c>
      <c r="I29" s="459">
        <f t="shared" si="6"/>
        <v>246547.86862644833</v>
      </c>
      <c r="J29" s="459">
        <f t="shared" si="6"/>
        <v>223802.70701475651</v>
      </c>
      <c r="K29" s="459">
        <f t="shared" si="6"/>
        <v>196768.60810959782</v>
      </c>
      <c r="L29" s="459">
        <f t="shared" si="6"/>
        <v>165472.60244442709</v>
      </c>
    </row>
    <row r="30" spans="1:12" s="387" customFormat="1" x14ac:dyDescent="0.2">
      <c r="A30" s="387" t="s">
        <v>355</v>
      </c>
      <c r="C30" s="388">
        <f>C27-C28</f>
        <v>-273092.15070844674</v>
      </c>
      <c r="D30" s="388">
        <f t="shared" ref="D30:L30" si="7">D27-D28</f>
        <v>148941.50091453851</v>
      </c>
      <c r="E30" s="388">
        <f t="shared" si="7"/>
        <v>232856.72889437084</v>
      </c>
      <c r="F30" s="388">
        <f t="shared" si="7"/>
        <v>226869.374395828</v>
      </c>
      <c r="G30" s="388">
        <f t="shared" si="7"/>
        <v>216459.2775160314</v>
      </c>
      <c r="H30" s="388">
        <f t="shared" si="7"/>
        <v>201660.34355144482</v>
      </c>
      <c r="I30" s="388">
        <f t="shared" si="7"/>
        <v>182504.80425754515</v>
      </c>
      <c r="J30" s="388">
        <f t="shared" si="7"/>
        <v>159023.14740561089</v>
      </c>
      <c r="K30" s="388">
        <f t="shared" si="7"/>
        <v>131244.08356494713</v>
      </c>
      <c r="L30" s="388">
        <f t="shared" si="7"/>
        <v>99194.545867512934</v>
      </c>
    </row>
    <row r="31" spans="1:12" s="460" customFormat="1" x14ac:dyDescent="0.2">
      <c r="A31" s="389" t="s">
        <v>356</v>
      </c>
      <c r="B31" s="390">
        <f>NPV($C$5,C29:L29)</f>
        <v>914303.11226015352</v>
      </c>
      <c r="C31" s="391">
        <f>B31/$B$120</f>
        <v>2.924974351462448E-3</v>
      </c>
      <c r="D31" s="461"/>
      <c r="E31" s="461"/>
      <c r="F31" s="461"/>
      <c r="G31" s="461"/>
      <c r="H31" s="461"/>
      <c r="I31" s="461"/>
      <c r="J31" s="461"/>
      <c r="K31" s="461"/>
      <c r="L31" s="461"/>
    </row>
    <row r="32" spans="1:12" s="379" customFormat="1" x14ac:dyDescent="0.2">
      <c r="A32" s="389" t="s">
        <v>357</v>
      </c>
      <c r="B32" s="390">
        <f>NPV($C$5,C30:L30)</f>
        <v>583126.36246450618</v>
      </c>
      <c r="C32" s="391">
        <f>B32/$B$120</f>
        <v>1.865496935314992E-3</v>
      </c>
      <c r="D32" s="378"/>
      <c r="E32" s="378"/>
      <c r="F32" s="378"/>
      <c r="G32" s="378"/>
      <c r="H32" s="378"/>
      <c r="I32" s="378"/>
      <c r="J32" s="378"/>
      <c r="K32" s="378"/>
      <c r="L32" s="378"/>
    </row>
    <row r="33" spans="1:12" s="379" customFormat="1" x14ac:dyDescent="0.2">
      <c r="A33" s="389" t="s">
        <v>351</v>
      </c>
      <c r="B33" s="390">
        <f>B31-B32</f>
        <v>331176.74979564734</v>
      </c>
      <c r="C33" s="391"/>
      <c r="D33" s="378"/>
      <c r="E33" s="378"/>
      <c r="F33" s="378"/>
      <c r="G33" s="378"/>
      <c r="H33" s="378"/>
      <c r="I33" s="378"/>
      <c r="J33" s="378"/>
      <c r="K33" s="378"/>
      <c r="L33" s="378"/>
    </row>
    <row r="35" spans="1:12" x14ac:dyDescent="0.2">
      <c r="A35" s="369" t="s">
        <v>774</v>
      </c>
    </row>
    <row r="36" spans="1:12" x14ac:dyDescent="0.2">
      <c r="A36" t="s">
        <v>742</v>
      </c>
      <c r="C36" s="381">
        <f>'wholesale services'!F56*(1+$C$6)</f>
        <v>752488</v>
      </c>
    </row>
    <row r="37" spans="1:12" x14ac:dyDescent="0.2">
      <c r="A37" t="s">
        <v>352</v>
      </c>
      <c r="C37" s="381">
        <f>C36</f>
        <v>752488</v>
      </c>
      <c r="D37" s="381">
        <f t="shared" ref="D37:L37" si="8">C37*(1+$B$38)+$B$38*$G$4*D97</f>
        <v>760420.99220539839</v>
      </c>
      <c r="E37" s="381">
        <f t="shared" si="8"/>
        <v>768301.0898622385</v>
      </c>
      <c r="F37" s="381">
        <f t="shared" si="8"/>
        <v>776271.80864213221</v>
      </c>
      <c r="G37" s="381">
        <f t="shared" si="8"/>
        <v>784334.19068799471</v>
      </c>
      <c r="H37" s="381">
        <f t="shared" si="8"/>
        <v>792489.29012738459</v>
      </c>
      <c r="I37" s="381">
        <f t="shared" si="8"/>
        <v>800738.17321032751</v>
      </c>
      <c r="J37" s="381">
        <f t="shared" si="8"/>
        <v>809081.91844872432</v>
      </c>
      <c r="K37" s="381">
        <f t="shared" si="8"/>
        <v>817521.61675736262</v>
      </c>
      <c r="L37" s="381">
        <f t="shared" si="8"/>
        <v>826058.37159655034</v>
      </c>
    </row>
    <row r="38" spans="1:12" x14ac:dyDescent="0.2">
      <c r="A38" t="s">
        <v>353</v>
      </c>
      <c r="B38" s="386">
        <f>B27</f>
        <v>1.15E-2</v>
      </c>
      <c r="C38" s="381">
        <f>C36*(1-$C$3)</f>
        <v>722388.47999999998</v>
      </c>
      <c r="D38" s="381">
        <f t="shared" ref="D38:L38" si="9">C38*(1+$B$38)+$B$38*$G$4*D97</f>
        <v>729975.32772539835</v>
      </c>
      <c r="E38" s="381">
        <f t="shared" si="9"/>
        <v>737505.30024071841</v>
      </c>
      <c r="F38" s="381">
        <f t="shared" si="9"/>
        <v>745121.86743996467</v>
      </c>
      <c r="G38" s="381">
        <f t="shared" si="9"/>
        <v>752826.0251620023</v>
      </c>
      <c r="H38" s="381">
        <f t="shared" si="9"/>
        <v>760618.78069784329</v>
      </c>
      <c r="I38" s="381">
        <f t="shared" si="9"/>
        <v>768501.15292234649</v>
      </c>
      <c r="J38" s="381">
        <f t="shared" si="9"/>
        <v>776474.17242743145</v>
      </c>
      <c r="K38" s="381">
        <f t="shared" si="9"/>
        <v>784538.88165682496</v>
      </c>
      <c r="L38" s="381">
        <f t="shared" si="9"/>
        <v>792696.3350423564</v>
      </c>
    </row>
    <row r="39" spans="1:12" ht="13.5" thickBot="1" x14ac:dyDescent="0.25">
      <c r="A39" t="s">
        <v>771</v>
      </c>
      <c r="C39" s="381">
        <f>'wholesale services'!D116</f>
        <v>695640</v>
      </c>
      <c r="D39" s="381">
        <f>'wholesale services'!E116</f>
        <v>716509.20000000007</v>
      </c>
      <c r="E39" s="381">
        <f>'wholesale services'!F116</f>
        <v>738004.47600000002</v>
      </c>
      <c r="F39" s="381">
        <f>'wholesale services'!G116</f>
        <v>760144.61028000014</v>
      </c>
      <c r="G39" s="381">
        <f>'wholesale services'!H116</f>
        <v>782948.94858840003</v>
      </c>
      <c r="H39" s="381">
        <f>'wholesale services'!I116</f>
        <v>806437.41704605205</v>
      </c>
      <c r="I39" s="381">
        <f>'wholesale services'!J116</f>
        <v>830630.53955743369</v>
      </c>
      <c r="J39" s="381">
        <f>'wholesale services'!K116</f>
        <v>855549.45574415673</v>
      </c>
      <c r="K39" s="381">
        <f>'wholesale services'!L116</f>
        <v>881215.93941648153</v>
      </c>
      <c r="L39" s="381">
        <f>'wholesale services'!M116</f>
        <v>907652.41759897594</v>
      </c>
    </row>
    <row r="40" spans="1:12" s="458" customFormat="1" ht="13.5" thickTop="1" x14ac:dyDescent="0.2">
      <c r="A40" s="458" t="s">
        <v>354</v>
      </c>
      <c r="C40" s="459">
        <f>C37-C39</f>
        <v>56848</v>
      </c>
      <c r="D40" s="459">
        <f t="shared" ref="D40:L40" si="10">D37-D39</f>
        <v>43911.79220539832</v>
      </c>
      <c r="E40" s="459">
        <f t="shared" si="10"/>
        <v>30296.613862238475</v>
      </c>
      <c r="F40" s="459">
        <f t="shared" si="10"/>
        <v>16127.198362132069</v>
      </c>
      <c r="G40" s="459">
        <f t="shared" si="10"/>
        <v>1385.2420995946741</v>
      </c>
      <c r="H40" s="459">
        <f t="shared" si="10"/>
        <v>-13948.126918667462</v>
      </c>
      <c r="I40" s="459">
        <f t="shared" si="10"/>
        <v>-29892.366347106174</v>
      </c>
      <c r="J40" s="459">
        <f t="shared" si="10"/>
        <v>-46467.537295432412</v>
      </c>
      <c r="K40" s="459">
        <f t="shared" si="10"/>
        <v>-63694.322659118916</v>
      </c>
      <c r="L40" s="459">
        <f t="shared" si="10"/>
        <v>-81594.046002425603</v>
      </c>
    </row>
    <row r="41" spans="1:12" s="387" customFormat="1" x14ac:dyDescent="0.2">
      <c r="A41" s="387" t="s">
        <v>355</v>
      </c>
      <c r="C41" s="388">
        <f>C38-C39</f>
        <v>26748.479999999981</v>
      </c>
      <c r="D41" s="388">
        <f t="shared" ref="D41:L41" si="11">D38-D39</f>
        <v>13466.127725398284</v>
      </c>
      <c r="E41" s="388">
        <f t="shared" si="11"/>
        <v>-499.17575928161386</v>
      </c>
      <c r="F41" s="388">
        <f t="shared" si="11"/>
        <v>-15022.742840035469</v>
      </c>
      <c r="G41" s="388">
        <f t="shared" si="11"/>
        <v>-30122.923426397727</v>
      </c>
      <c r="H41" s="388">
        <f t="shared" si="11"/>
        <v>-45818.636348208762</v>
      </c>
      <c r="I41" s="388">
        <f t="shared" si="11"/>
        <v>-62129.386635087198</v>
      </c>
      <c r="J41" s="388">
        <f t="shared" si="11"/>
        <v>-79075.283316725283</v>
      </c>
      <c r="K41" s="388">
        <f t="shared" si="11"/>
        <v>-96677.057759656571</v>
      </c>
      <c r="L41" s="388">
        <f t="shared" si="11"/>
        <v>-114956.08255661954</v>
      </c>
    </row>
    <row r="42" spans="1:12" s="460" customFormat="1" x14ac:dyDescent="0.2">
      <c r="A42" s="389" t="s">
        <v>356</v>
      </c>
      <c r="B42" s="390">
        <f>NPV($C$5,C40:L40)</f>
        <v>36255.767191137049</v>
      </c>
      <c r="C42" s="391">
        <f>B42/$B$120</f>
        <v>1.1598690598845429E-4</v>
      </c>
      <c r="D42" s="461"/>
      <c r="E42" s="461"/>
      <c r="F42" s="461"/>
      <c r="G42" s="461"/>
      <c r="H42" s="461"/>
      <c r="I42" s="461"/>
      <c r="J42" s="461"/>
      <c r="K42" s="461"/>
      <c r="L42" s="461"/>
    </row>
    <row r="43" spans="1:12" s="379" customFormat="1" x14ac:dyDescent="0.2">
      <c r="A43" s="389" t="s">
        <v>357</v>
      </c>
      <c r="B43" s="390">
        <f>NPV($C$5,C41:L41)</f>
        <v>-130446.93055256756</v>
      </c>
      <c r="C43" s="391">
        <f>B43/$B$120</f>
        <v>-4.1731666553126301E-4</v>
      </c>
      <c r="D43" s="378"/>
      <c r="E43" s="378"/>
      <c r="F43" s="378"/>
      <c r="G43" s="378"/>
      <c r="H43" s="378"/>
      <c r="I43" s="378"/>
      <c r="J43" s="378"/>
      <c r="K43" s="378"/>
      <c r="L43" s="378"/>
    </row>
    <row r="44" spans="1:12" s="379" customFormat="1" x14ac:dyDescent="0.2">
      <c r="A44" s="389" t="s">
        <v>351</v>
      </c>
      <c r="B44" s="390">
        <f>B42-B43</f>
        <v>166702.6977437046</v>
      </c>
      <c r="C44" s="391"/>
      <c r="D44" s="378"/>
      <c r="E44" s="378"/>
      <c r="F44" s="378"/>
      <c r="G44" s="378"/>
      <c r="H44" s="378"/>
      <c r="I44" s="378"/>
      <c r="J44" s="378"/>
      <c r="K44" s="378"/>
      <c r="L44" s="378"/>
    </row>
    <row r="46" spans="1:12" x14ac:dyDescent="0.2">
      <c r="A46" s="369" t="s">
        <v>1062</v>
      </c>
    </row>
    <row r="47" spans="1:12" x14ac:dyDescent="0.2">
      <c r="A47" t="s">
        <v>742</v>
      </c>
      <c r="C47" s="381">
        <f>'wholesale services'!F57*(1+$C$6)</f>
        <v>5473646</v>
      </c>
    </row>
    <row r="48" spans="1:12" x14ac:dyDescent="0.2">
      <c r="A48" t="s">
        <v>352</v>
      </c>
      <c r="C48" s="381">
        <f>C47</f>
        <v>5473646</v>
      </c>
      <c r="D48" s="381">
        <f t="shared" ref="D48:L48" si="12">C48*(1+$B$49)+$B$49*$G$5*D97</f>
        <v>5531351.094371086</v>
      </c>
      <c r="E48" s="381">
        <f t="shared" si="12"/>
        <v>5588671.4304016568</v>
      </c>
      <c r="F48" s="381">
        <f t="shared" si="12"/>
        <v>5646650.9502965789</v>
      </c>
      <c r="G48" s="381">
        <f t="shared" si="12"/>
        <v>5705297.2346702926</v>
      </c>
      <c r="H48" s="381">
        <f t="shared" si="12"/>
        <v>5764617.951314304</v>
      </c>
      <c r="I48" s="381">
        <f t="shared" si="12"/>
        <v>5824620.8561997218</v>
      </c>
      <c r="J48" s="381">
        <f t="shared" si="12"/>
        <v>5885313.7944913218</v>
      </c>
      <c r="K48" s="381">
        <f t="shared" si="12"/>
        <v>5946704.701573275</v>
      </c>
      <c r="L48" s="381">
        <f t="shared" si="12"/>
        <v>6008801.604086671</v>
      </c>
    </row>
    <row r="49" spans="1:12" x14ac:dyDescent="0.2">
      <c r="A49" t="s">
        <v>353</v>
      </c>
      <c r="B49">
        <f>B38</f>
        <v>1.15E-2</v>
      </c>
      <c r="C49" s="381">
        <f>C47*(1-$C$3)</f>
        <v>5254700.16</v>
      </c>
      <c r="D49" s="381">
        <f t="shared" ref="D49:L49" si="13">C49*(1+$B$49)+$B$49*$G$5*D97</f>
        <v>5309887.3772110865</v>
      </c>
      <c r="E49" s="381">
        <f t="shared" si="13"/>
        <v>5364660.880494317</v>
      </c>
      <c r="F49" s="381">
        <f t="shared" si="13"/>
        <v>5420064.2790653054</v>
      </c>
      <c r="G49" s="381">
        <f t="shared" si="13"/>
        <v>5476104.8167198598</v>
      </c>
      <c r="H49" s="381">
        <f t="shared" si="13"/>
        <v>5532789.8205574416</v>
      </c>
      <c r="I49" s="381">
        <f t="shared" si="13"/>
        <v>5590126.7019391553</v>
      </c>
      <c r="J49" s="381">
        <f t="shared" si="13"/>
        <v>5648122.9574567592</v>
      </c>
      <c r="K49" s="381">
        <f t="shared" si="13"/>
        <v>5706786.1699128151</v>
      </c>
      <c r="L49" s="381">
        <f t="shared" si="13"/>
        <v>5766124.0093121156</v>
      </c>
    </row>
    <row r="50" spans="1:12" ht="13.5" thickBot="1" x14ac:dyDescent="0.25">
      <c r="A50" t="s">
        <v>771</v>
      </c>
      <c r="C50" s="381">
        <f>'wholesale services'!D117</f>
        <v>4654731.78330612</v>
      </c>
      <c r="D50" s="381">
        <f>'wholesale services'!E117</f>
        <v>4756204.9361821944</v>
      </c>
      <c r="E50" s="381">
        <f>'wholesale services'!F117</f>
        <v>4855609.6193484012</v>
      </c>
      <c r="F50" s="381">
        <f>'wholesale services'!G117</f>
        <v>4953207.372697304</v>
      </c>
      <c r="G50" s="381">
        <f>'wholesale services'!H117</f>
        <v>5049299.5957276318</v>
      </c>
      <c r="H50" s="381">
        <f>'wholesale services'!I117</f>
        <v>5143721.4981677383</v>
      </c>
      <c r="I50" s="381">
        <f>'wholesale services'!J117</f>
        <v>5236308.4851347581</v>
      </c>
      <c r="J50" s="381">
        <f>'wholesale services'!K117</f>
        <v>5327943.883624617</v>
      </c>
      <c r="K50" s="381">
        <f>'wholesale services'!L117</f>
        <v>5417453.3408695105</v>
      </c>
      <c r="L50" s="381">
        <f>'wholesale services'!M117</f>
        <v>5506299.5756597696</v>
      </c>
    </row>
    <row r="51" spans="1:12" s="458" customFormat="1" ht="13.5" thickTop="1" x14ac:dyDescent="0.2">
      <c r="A51" s="458" t="s">
        <v>354</v>
      </c>
      <c r="C51" s="459">
        <f>C48-C50</f>
        <v>818914.21669388004</v>
      </c>
      <c r="D51" s="459">
        <f t="shared" ref="D51:L51" si="14">D48-D50</f>
        <v>775146.1581888916</v>
      </c>
      <c r="E51" s="459">
        <f t="shared" si="14"/>
        <v>733061.81105325557</v>
      </c>
      <c r="F51" s="459">
        <f t="shared" si="14"/>
        <v>693443.57759927493</v>
      </c>
      <c r="G51" s="459">
        <f t="shared" si="14"/>
        <v>655997.63894266076</v>
      </c>
      <c r="H51" s="459">
        <f t="shared" si="14"/>
        <v>620896.45314656571</v>
      </c>
      <c r="I51" s="459">
        <f t="shared" si="14"/>
        <v>588312.37106496375</v>
      </c>
      <c r="J51" s="459">
        <f t="shared" si="14"/>
        <v>557369.91086670477</v>
      </c>
      <c r="K51" s="459">
        <f t="shared" si="14"/>
        <v>529251.36070376448</v>
      </c>
      <c r="L51" s="459">
        <f t="shared" si="14"/>
        <v>502502.02842690144</v>
      </c>
    </row>
    <row r="52" spans="1:12" s="387" customFormat="1" x14ac:dyDescent="0.2">
      <c r="A52" s="387" t="s">
        <v>355</v>
      </c>
      <c r="B52" s="387">
        <f>NPV($C$5,C51:L51)</f>
        <v>3636951.5786267663</v>
      </c>
      <c r="C52" s="388">
        <f>C49-C50</f>
        <v>599968.37669388019</v>
      </c>
      <c r="D52" s="388">
        <f t="shared" ref="D52:L52" si="15">D49-D50</f>
        <v>553682.44102889206</v>
      </c>
      <c r="E52" s="388">
        <f t="shared" si="15"/>
        <v>509051.26114591584</v>
      </c>
      <c r="F52" s="388">
        <f t="shared" si="15"/>
        <v>466856.90636800136</v>
      </c>
      <c r="G52" s="388">
        <f t="shared" si="15"/>
        <v>426805.22099222802</v>
      </c>
      <c r="H52" s="388">
        <f t="shared" si="15"/>
        <v>389068.32238970324</v>
      </c>
      <c r="I52" s="388">
        <f t="shared" si="15"/>
        <v>353818.21680439729</v>
      </c>
      <c r="J52" s="388">
        <f t="shared" si="15"/>
        <v>320179.07383214217</v>
      </c>
      <c r="K52" s="388">
        <f t="shared" si="15"/>
        <v>289332.82904330455</v>
      </c>
      <c r="L52" s="388">
        <f t="shared" si="15"/>
        <v>259824.43365234602</v>
      </c>
    </row>
    <row r="53" spans="1:12" s="460" customFormat="1" x14ac:dyDescent="0.2">
      <c r="A53" s="389" t="s">
        <v>356</v>
      </c>
      <c r="B53" s="390">
        <f>NPV($C$5,C51:L51)</f>
        <v>3636951.5786267663</v>
      </c>
      <c r="C53" s="391">
        <f>B53/$B$120</f>
        <v>1.1635080251118346E-2</v>
      </c>
      <c r="D53" s="461"/>
      <c r="E53" s="461"/>
      <c r="F53" s="461"/>
      <c r="G53" s="461"/>
      <c r="H53" s="461"/>
      <c r="I53" s="461"/>
      <c r="J53" s="461"/>
      <c r="K53" s="461"/>
      <c r="L53" s="461"/>
    </row>
    <row r="54" spans="1:12" s="379" customFormat="1" x14ac:dyDescent="0.2">
      <c r="A54" s="389" t="s">
        <v>357</v>
      </c>
      <c r="B54" s="390">
        <f>NPV($C$5,C52:L52)</f>
        <v>2424345.4577397439</v>
      </c>
      <c r="C54" s="391">
        <f>B54/$B$120</f>
        <v>7.7557958491948588E-3</v>
      </c>
      <c r="D54" s="378"/>
      <c r="E54" s="378"/>
      <c r="F54" s="378"/>
      <c r="G54" s="378"/>
      <c r="H54" s="378"/>
      <c r="I54" s="378"/>
      <c r="J54" s="378"/>
      <c r="K54" s="378"/>
      <c r="L54" s="378"/>
    </row>
    <row r="55" spans="1:12" s="379" customFormat="1" x14ac:dyDescent="0.2">
      <c r="A55" s="389" t="s">
        <v>351</v>
      </c>
      <c r="B55" s="390">
        <f>B53-B54</f>
        <v>1212606.1208870225</v>
      </c>
      <c r="C55" s="391"/>
      <c r="D55" s="378"/>
      <c r="E55" s="378"/>
      <c r="F55" s="378"/>
      <c r="G55" s="378"/>
      <c r="H55" s="378"/>
      <c r="I55" s="378"/>
      <c r="J55" s="378"/>
      <c r="K55" s="378"/>
      <c r="L55" s="378"/>
    </row>
    <row r="57" spans="1:12" x14ac:dyDescent="0.2">
      <c r="A57" s="369" t="s">
        <v>775</v>
      </c>
    </row>
    <row r="58" spans="1:12" x14ac:dyDescent="0.2">
      <c r="A58" t="s">
        <v>742</v>
      </c>
      <c r="C58" s="381">
        <f>'wholesale services'!F58*(1+$C$6)</f>
        <v>5036169.1501360014</v>
      </c>
    </row>
    <row r="59" spans="1:12" x14ac:dyDescent="0.2">
      <c r="A59" t="s">
        <v>352</v>
      </c>
      <c r="C59" s="381">
        <f>C58</f>
        <v>5036169.1501360014</v>
      </c>
      <c r="D59" s="381">
        <f t="shared" ref="D59:L59" si="16">C59*(1+$B$60)+$B$60*$G$6*D97</f>
        <v>5089262.2102420712</v>
      </c>
      <c r="E59" s="381">
        <f t="shared" si="16"/>
        <v>5142001.2635152619</v>
      </c>
      <c r="F59" s="381">
        <f t="shared" si="16"/>
        <v>5195346.8159010941</v>
      </c>
      <c r="G59" s="381">
        <f t="shared" si="16"/>
        <v>5249305.8421393633</v>
      </c>
      <c r="H59" s="381">
        <f t="shared" si="16"/>
        <v>5303885.3971793726</v>
      </c>
      <c r="I59" s="381">
        <f t="shared" si="16"/>
        <v>5359092.6171023417</v>
      </c>
      <c r="J59" s="381">
        <f t="shared" si="16"/>
        <v>5414934.7200544253</v>
      </c>
      <c r="K59" s="381">
        <f t="shared" si="16"/>
        <v>5471419.0071904575</v>
      </c>
      <c r="L59" s="381">
        <f t="shared" si="16"/>
        <v>5528552.8636285542</v>
      </c>
    </row>
    <row r="60" spans="1:12" x14ac:dyDescent="0.2">
      <c r="A60" t="s">
        <v>353</v>
      </c>
      <c r="B60" s="386">
        <f>B49</f>
        <v>1.15E-2</v>
      </c>
      <c r="C60" s="381">
        <f>C58*(1-$C$3)</f>
        <v>4834722.3841305608</v>
      </c>
      <c r="D60" s="381">
        <f t="shared" ref="D60:L60" si="17">C60*(1+$B$60)+$B$60*$G$6*D97</f>
        <v>4885498.8064275682</v>
      </c>
      <c r="E60" s="381">
        <f t="shared" si="17"/>
        <v>4935894.5805568919</v>
      </c>
      <c r="F60" s="381">
        <f t="shared" si="17"/>
        <v>4986869.9060887024</v>
      </c>
      <c r="G60" s="381">
        <f t="shared" si="17"/>
        <v>5038431.4478641292</v>
      </c>
      <c r="H60" s="381">
        <f t="shared" si="17"/>
        <v>5090585.9473699732</v>
      </c>
      <c r="I60" s="381">
        <f t="shared" si="17"/>
        <v>5143340.2236201344</v>
      </c>
      <c r="J60" s="381">
        <f t="shared" si="17"/>
        <v>5196701.174047173</v>
      </c>
      <c r="K60" s="381">
        <f t="shared" si="17"/>
        <v>5250675.7754041217</v>
      </c>
      <c r="L60" s="381">
        <f t="shared" si="17"/>
        <v>5305271.0846766755</v>
      </c>
    </row>
    <row r="61" spans="1:12" ht="13.5" thickBot="1" x14ac:dyDescent="0.25">
      <c r="A61" t="s">
        <v>771</v>
      </c>
      <c r="C61" s="381">
        <f>'wholesale services'!D118</f>
        <v>4611490.9325647522</v>
      </c>
      <c r="D61" s="381">
        <f>'wholesale services'!E118</f>
        <v>4712021.4348946642</v>
      </c>
      <c r="E61" s="381">
        <f>'wholesale services'!F118</f>
        <v>4810502.6828839621</v>
      </c>
      <c r="F61" s="381">
        <f>'wholesale services'!G118</f>
        <v>4907193.7868099296</v>
      </c>
      <c r="G61" s="381">
        <f>'wholesale services'!H118</f>
        <v>5002393.3462740425</v>
      </c>
      <c r="H61" s="381">
        <f>'wholesale services'!I118</f>
        <v>5095938.1018493678</v>
      </c>
      <c r="I61" s="381">
        <f>'wholesale services'!J118</f>
        <v>5187664.9876826555</v>
      </c>
      <c r="J61" s="381">
        <f>'wholesale services'!K118</f>
        <v>5278449.1249671029</v>
      </c>
      <c r="K61" s="381">
        <f>'wholesale services'!L118</f>
        <v>5367127.0702665504</v>
      </c>
      <c r="L61" s="381">
        <f>'wholesale services'!M118</f>
        <v>5455147.9542189213</v>
      </c>
    </row>
    <row r="62" spans="1:12" s="458" customFormat="1" ht="13.5" thickTop="1" x14ac:dyDescent="0.2">
      <c r="A62" s="458" t="s">
        <v>354</v>
      </c>
      <c r="C62" s="459">
        <f>C59-C61</f>
        <v>424678.21757124923</v>
      </c>
      <c r="D62" s="459">
        <f t="shared" ref="D62:L62" si="18">D59-D61</f>
        <v>377240.77534740698</v>
      </c>
      <c r="E62" s="459">
        <f t="shared" si="18"/>
        <v>331498.58063129988</v>
      </c>
      <c r="F62" s="459">
        <f t="shared" si="18"/>
        <v>288153.02909116447</v>
      </c>
      <c r="G62" s="459">
        <f t="shared" si="18"/>
        <v>246912.49586532079</v>
      </c>
      <c r="H62" s="459">
        <f t="shared" si="18"/>
        <v>207947.29533000477</v>
      </c>
      <c r="I62" s="459">
        <f t="shared" si="18"/>
        <v>171427.62941968627</v>
      </c>
      <c r="J62" s="459">
        <f t="shared" si="18"/>
        <v>136485.59508732241</v>
      </c>
      <c r="K62" s="459">
        <f t="shared" si="18"/>
        <v>104291.93692390714</v>
      </c>
      <c r="L62" s="459">
        <f t="shared" si="18"/>
        <v>73404.909409632906</v>
      </c>
    </row>
    <row r="63" spans="1:12" s="387" customFormat="1" x14ac:dyDescent="0.2">
      <c r="A63" s="387" t="s">
        <v>355</v>
      </c>
      <c r="C63" s="388">
        <f>C60-C61</f>
        <v>223231.45156580862</v>
      </c>
      <c r="D63" s="388">
        <f t="shared" ref="D63:L63" si="19">D60-D61</f>
        <v>173477.37153290398</v>
      </c>
      <c r="E63" s="388">
        <f t="shared" si="19"/>
        <v>125391.8976729298</v>
      </c>
      <c r="F63" s="388">
        <f t="shared" si="19"/>
        <v>79676.119278772734</v>
      </c>
      <c r="G63" s="388">
        <f t="shared" si="19"/>
        <v>36038.101590086706</v>
      </c>
      <c r="H63" s="388">
        <f t="shared" si="19"/>
        <v>-5352.1544793946669</v>
      </c>
      <c r="I63" s="388">
        <f t="shared" si="19"/>
        <v>-44324.764062521048</v>
      </c>
      <c r="J63" s="388">
        <f t="shared" si="19"/>
        <v>-81747.950919929892</v>
      </c>
      <c r="K63" s="388">
        <f t="shared" si="19"/>
        <v>-116451.29486242868</v>
      </c>
      <c r="L63" s="388">
        <f t="shared" si="19"/>
        <v>-149876.86954224575</v>
      </c>
    </row>
    <row r="64" spans="1:12" s="460" customFormat="1" x14ac:dyDescent="0.2">
      <c r="A64" s="389" t="s">
        <v>356</v>
      </c>
      <c r="B64" s="390">
        <f>NPV($C$5,C62:L62)</f>
        <v>1469983.1125491683</v>
      </c>
      <c r="C64" s="391">
        <f>B64/$B$120</f>
        <v>4.7026668110759298E-3</v>
      </c>
      <c r="D64" s="461"/>
      <c r="E64" s="461"/>
      <c r="F64" s="461"/>
      <c r="G64" s="461"/>
      <c r="H64" s="461"/>
      <c r="I64" s="461"/>
      <c r="J64" s="461"/>
      <c r="K64" s="461"/>
      <c r="L64" s="461"/>
    </row>
    <row r="65" spans="1:12" s="379" customFormat="1" x14ac:dyDescent="0.2">
      <c r="A65" s="389" t="s">
        <v>357</v>
      </c>
      <c r="B65" s="390">
        <f>NPV($C$5,C63:L63)</f>
        <v>354293.58179081191</v>
      </c>
      <c r="C65" s="391">
        <f>B65/$B$120</f>
        <v>1.1334311627400671E-3</v>
      </c>
      <c r="D65" s="378"/>
      <c r="E65" s="378"/>
      <c r="F65" s="378"/>
      <c r="G65" s="378"/>
      <c r="H65" s="378"/>
      <c r="I65" s="378"/>
      <c r="J65" s="378"/>
      <c r="K65" s="378"/>
      <c r="L65" s="378"/>
    </row>
    <row r="66" spans="1:12" s="379" customFormat="1" x14ac:dyDescent="0.2">
      <c r="A66" s="389" t="s">
        <v>351</v>
      </c>
      <c r="B66" s="390">
        <f>B64-B65</f>
        <v>1115689.5307583564</v>
      </c>
      <c r="C66" s="391"/>
      <c r="D66" s="378"/>
      <c r="E66" s="378"/>
      <c r="F66" s="378"/>
      <c r="G66" s="378"/>
      <c r="H66" s="378"/>
      <c r="I66" s="378"/>
      <c r="J66" s="378"/>
      <c r="K66" s="378"/>
      <c r="L66" s="378"/>
    </row>
    <row r="68" spans="1:12" x14ac:dyDescent="0.2">
      <c r="A68" s="369" t="s">
        <v>349</v>
      </c>
    </row>
    <row r="69" spans="1:12" x14ac:dyDescent="0.2">
      <c r="A69" t="s">
        <v>742</v>
      </c>
      <c r="C69" s="381">
        <f>'wholesale services'!F59*(1+$C$6)</f>
        <v>3821037.4879999999</v>
      </c>
    </row>
    <row r="70" spans="1:12" x14ac:dyDescent="0.2">
      <c r="A70" t="s">
        <v>352</v>
      </c>
      <c r="C70" s="381">
        <f>C69</f>
        <v>3821037.4879999999</v>
      </c>
      <c r="D70" s="381">
        <f t="shared" ref="D70:L70" si="20">C70*(1+$B$71)+$B$71*$G$7*D97</f>
        <v>3861320.2042809753</v>
      </c>
      <c r="E70" s="381">
        <f t="shared" si="20"/>
        <v>3901334.3288329775</v>
      </c>
      <c r="F70" s="381">
        <f t="shared" si="20"/>
        <v>3941808.6158173275</v>
      </c>
      <c r="G70" s="381">
        <f t="shared" si="20"/>
        <v>3982748.3571019978</v>
      </c>
      <c r="H70" s="381">
        <f t="shared" si="20"/>
        <v>4024158.9054114418</v>
      </c>
      <c r="I70" s="381">
        <f t="shared" si="20"/>
        <v>4066045.6750264443</v>
      </c>
      <c r="J70" s="381">
        <f t="shared" si="20"/>
        <v>4108414.1424920191</v>
      </c>
      <c r="K70" s="381">
        <f t="shared" si="20"/>
        <v>4151269.847333448</v>
      </c>
      <c r="L70" s="381">
        <f t="shared" si="20"/>
        <v>4194618.3927805526</v>
      </c>
    </row>
    <row r="71" spans="1:12" x14ac:dyDescent="0.2">
      <c r="A71" t="s">
        <v>353</v>
      </c>
      <c r="B71">
        <f>B60</f>
        <v>1.15E-2</v>
      </c>
      <c r="C71" s="381">
        <f>C69*(1-$C$3)</f>
        <v>3668195.9884799998</v>
      </c>
      <c r="D71" s="381">
        <f t="shared" ref="D71:L71" si="21">C71*(1+$B$71)+$B$71*$G$7*D97</f>
        <v>3706721.027516495</v>
      </c>
      <c r="E71" s="381">
        <f t="shared" si="21"/>
        <v>3744957.2615357055</v>
      </c>
      <c r="F71" s="381">
        <f t="shared" si="21"/>
        <v>3783633.2122461372</v>
      </c>
      <c r="G71" s="381">
        <f t="shared" si="21"/>
        <v>3822753.9363897387</v>
      </c>
      <c r="H71" s="381">
        <f t="shared" si="21"/>
        <v>3862324.5488609914</v>
      </c>
      <c r="I71" s="381">
        <f t="shared" si="21"/>
        <v>3902350.2233756636</v>
      </c>
      <c r="J71" s="381">
        <f t="shared" si="21"/>
        <v>3942836.1931472546</v>
      </c>
      <c r="K71" s="381">
        <f t="shared" si="21"/>
        <v>3983787.7515712189</v>
      </c>
      <c r="L71" s="381">
        <f t="shared" si="21"/>
        <v>4025210.2529170588</v>
      </c>
    </row>
    <row r="72" spans="1:12" ht="13.5" thickBot="1" x14ac:dyDescent="0.25">
      <c r="A72" t="s">
        <v>771</v>
      </c>
      <c r="C72" s="381">
        <f>'wholesale services'!D120</f>
        <v>3798248</v>
      </c>
      <c r="D72" s="381">
        <f>'wholesale services'!E120</f>
        <v>3798248</v>
      </c>
      <c r="E72" s="381">
        <f>'wholesale services'!F120</f>
        <v>3798248</v>
      </c>
      <c r="F72" s="381">
        <f>'wholesale services'!G120</f>
        <v>3798248</v>
      </c>
      <c r="G72" s="381">
        <f>'wholesale services'!H120</f>
        <v>3798248</v>
      </c>
      <c r="H72" s="381">
        <f>'wholesale services'!I120</f>
        <v>3798248</v>
      </c>
      <c r="I72" s="381">
        <f>'wholesale services'!J120</f>
        <v>3798248</v>
      </c>
      <c r="J72" s="381">
        <f>'wholesale services'!K120</f>
        <v>3798248</v>
      </c>
      <c r="K72" s="381">
        <f>'wholesale services'!L120</f>
        <v>3798248</v>
      </c>
      <c r="L72" s="381">
        <f>'wholesale services'!M120</f>
        <v>3798248</v>
      </c>
    </row>
    <row r="73" spans="1:12" s="458" customFormat="1" ht="13.5" thickTop="1" x14ac:dyDescent="0.2">
      <c r="A73" s="458" t="s">
        <v>354</v>
      </c>
      <c r="B73" s="615"/>
      <c r="C73" s="459">
        <f>C70-C72</f>
        <v>22789.487999999896</v>
      </c>
      <c r="D73" s="459">
        <f t="shared" ref="D73:L73" si="22">D70-D72</f>
        <v>63072.204280975275</v>
      </c>
      <c r="E73" s="459">
        <f t="shared" si="22"/>
        <v>103086.32883297745</v>
      </c>
      <c r="F73" s="459">
        <f t="shared" si="22"/>
        <v>143560.61581732752</v>
      </c>
      <c r="G73" s="459">
        <f t="shared" si="22"/>
        <v>184500.35710199783</v>
      </c>
      <c r="H73" s="459">
        <f t="shared" si="22"/>
        <v>225910.90541144181</v>
      </c>
      <c r="I73" s="459">
        <f t="shared" si="22"/>
        <v>267797.67502644425</v>
      </c>
      <c r="J73" s="459">
        <f t="shared" si="22"/>
        <v>310166.14249201911</v>
      </c>
      <c r="K73" s="459">
        <f t="shared" si="22"/>
        <v>353021.84733344801</v>
      </c>
      <c r="L73" s="459">
        <f t="shared" si="22"/>
        <v>396370.39278055262</v>
      </c>
    </row>
    <row r="74" spans="1:12" s="387" customFormat="1" x14ac:dyDescent="0.2">
      <c r="A74" s="387" t="s">
        <v>355</v>
      </c>
      <c r="C74" s="388">
        <f>C71-C72</f>
        <v>-130052.01152000017</v>
      </c>
      <c r="D74" s="388">
        <f t="shared" ref="D74:L74" si="23">D71-D72</f>
        <v>-91526.972483505029</v>
      </c>
      <c r="E74" s="388">
        <f t="shared" si="23"/>
        <v>-53290.738464294467</v>
      </c>
      <c r="F74" s="388">
        <f t="shared" si="23"/>
        <v>-14614.787753862794</v>
      </c>
      <c r="G74" s="388">
        <f t="shared" si="23"/>
        <v>24505.936389738694</v>
      </c>
      <c r="H74" s="388">
        <f t="shared" si="23"/>
        <v>64076.548860991374</v>
      </c>
      <c r="I74" s="388">
        <f t="shared" si="23"/>
        <v>104102.22337566363</v>
      </c>
      <c r="J74" s="388">
        <f t="shared" si="23"/>
        <v>144588.19314725464</v>
      </c>
      <c r="K74" s="388">
        <f t="shared" si="23"/>
        <v>185539.75157121895</v>
      </c>
      <c r="L74" s="388">
        <f t="shared" si="23"/>
        <v>226962.25291705877</v>
      </c>
    </row>
    <row r="75" spans="1:12" s="460" customFormat="1" x14ac:dyDescent="0.2">
      <c r="A75" s="389" t="s">
        <v>356</v>
      </c>
      <c r="B75" s="390">
        <f>NPV($C$5,C73:L73)</f>
        <v>877325.91668275185</v>
      </c>
      <c r="C75" s="391">
        <f>B75/$B$120</f>
        <v>2.806679502410096E-3</v>
      </c>
      <c r="D75" s="461"/>
      <c r="E75" s="461"/>
      <c r="F75" s="461"/>
      <c r="G75" s="461"/>
      <c r="H75" s="461"/>
      <c r="I75" s="461"/>
      <c r="J75" s="461"/>
      <c r="K75" s="461"/>
      <c r="L75" s="461"/>
    </row>
    <row r="76" spans="1:12" s="379" customFormat="1" x14ac:dyDescent="0.2">
      <c r="A76" s="389" t="s">
        <v>357</v>
      </c>
      <c r="B76" s="390">
        <f>NPV($C$5,C74:L74)</f>
        <v>30831.012538859635</v>
      </c>
      <c r="C76" s="391">
        <f>B76/$B$120</f>
        <v>9.863241161113099E-5</v>
      </c>
      <c r="D76" s="378"/>
      <c r="E76" s="378"/>
      <c r="F76" s="378"/>
      <c r="G76" s="378"/>
      <c r="H76" s="378"/>
      <c r="I76" s="378"/>
      <c r="J76" s="378"/>
      <c r="K76" s="378"/>
      <c r="L76" s="378"/>
    </row>
    <row r="77" spans="1:12" s="379" customFormat="1" x14ac:dyDescent="0.2">
      <c r="A77" s="389" t="s">
        <v>351</v>
      </c>
      <c r="B77" s="390">
        <f>B75-B76</f>
        <v>846494.90414389223</v>
      </c>
      <c r="C77" s="391"/>
      <c r="D77" s="378"/>
      <c r="E77" s="378"/>
      <c r="F77" s="378"/>
      <c r="G77" s="378"/>
      <c r="H77" s="378"/>
      <c r="I77" s="378"/>
      <c r="J77" s="378"/>
      <c r="K77" s="378"/>
      <c r="L77" s="378"/>
    </row>
    <row r="79" spans="1:12" x14ac:dyDescent="0.2">
      <c r="A79" s="369" t="s">
        <v>777</v>
      </c>
    </row>
    <row r="80" spans="1:12" x14ac:dyDescent="0.2">
      <c r="A80" t="s">
        <v>742</v>
      </c>
      <c r="C80" s="381">
        <f>'wholesale services'!F61*(1+$C$6)</f>
        <v>251500</v>
      </c>
    </row>
    <row r="81" spans="1:12" x14ac:dyDescent="0.2">
      <c r="A81" t="s">
        <v>352</v>
      </c>
      <c r="C81" s="381">
        <f>C80</f>
        <v>251500</v>
      </c>
      <c r="D81" s="381">
        <f t="shared" ref="D81:L81" si="24">C81*(1+$B$82)+$B$82*$G$8*D97</f>
        <v>254151.40113816789</v>
      </c>
      <c r="E81" s="381">
        <f t="shared" si="24"/>
        <v>256785.12361705827</v>
      </c>
      <c r="F81" s="381">
        <f t="shared" si="24"/>
        <v>259449.1339044559</v>
      </c>
      <c r="G81" s="381">
        <f t="shared" si="24"/>
        <v>262143.78031015859</v>
      </c>
      <c r="H81" s="381">
        <f t="shared" si="24"/>
        <v>264869.41514952685</v>
      </c>
      <c r="I81" s="381">
        <f t="shared" si="24"/>
        <v>267626.39478954783</v>
      </c>
      <c r="J81" s="381">
        <f t="shared" si="24"/>
        <v>270415.07969542907</v>
      </c>
      <c r="K81" s="381">
        <f t="shared" si="24"/>
        <v>273235.83447772794</v>
      </c>
      <c r="L81" s="381">
        <f t="shared" si="24"/>
        <v>276089.02794002322</v>
      </c>
    </row>
    <row r="82" spans="1:12" x14ac:dyDescent="0.2">
      <c r="A82" t="s">
        <v>353</v>
      </c>
      <c r="B82" s="386">
        <f>B71</f>
        <v>1.15E-2</v>
      </c>
      <c r="C82" s="381">
        <f>C80*(1-$C$3)</f>
        <v>241440</v>
      </c>
      <c r="D82" s="381">
        <f t="shared" ref="D82:L82" si="25">C82*(1+$B$82)+$B$82*$G$8*D97</f>
        <v>243975.71113816788</v>
      </c>
      <c r="E82" s="381">
        <f t="shared" si="25"/>
        <v>246492.41318205828</v>
      </c>
      <c r="F82" s="381">
        <f t="shared" si="25"/>
        <v>249038.05729945342</v>
      </c>
      <c r="G82" s="381">
        <f t="shared" si="25"/>
        <v>251612.97632419859</v>
      </c>
      <c r="H82" s="381">
        <f t="shared" si="25"/>
        <v>254217.50691772834</v>
      </c>
      <c r="I82" s="381">
        <f t="shared" si="25"/>
        <v>256851.98961308369</v>
      </c>
      <c r="J82" s="381">
        <f t="shared" si="25"/>
        <v>259516.7688594356</v>
      </c>
      <c r="K82" s="381">
        <f t="shared" si="25"/>
        <v>262212.19306712056</v>
      </c>
      <c r="L82" s="381">
        <f t="shared" si="25"/>
        <v>264938.61465319386</v>
      </c>
    </row>
    <row r="83" spans="1:12" ht="13.5" thickBot="1" x14ac:dyDescent="0.25">
      <c r="A83" t="s">
        <v>771</v>
      </c>
      <c r="C83" s="381">
        <f>IF('wholesale services'!D121="NA",0,'wholesale services'!D121)</f>
        <v>0</v>
      </c>
      <c r="D83" s="381">
        <f>IF('wholesale services'!E121="NA",0,'wholesale services'!E121)</f>
        <v>0</v>
      </c>
      <c r="E83" s="381">
        <f>IF('wholesale services'!F121="NA",0,'wholesale services'!F121)</f>
        <v>0</v>
      </c>
      <c r="F83" s="381">
        <f>IF('wholesale services'!G121="NA",0,'wholesale services'!G121)</f>
        <v>0</v>
      </c>
      <c r="G83" s="381">
        <f>IF('wholesale services'!H121="NA",0,'wholesale services'!H121)</f>
        <v>0</v>
      </c>
      <c r="H83" s="381">
        <f>IF('wholesale services'!I121="NA",0,'wholesale services'!I121)</f>
        <v>0</v>
      </c>
      <c r="I83" s="381">
        <f>IF('wholesale services'!J121="NA",0,'wholesale services'!J121)</f>
        <v>0</v>
      </c>
      <c r="J83" s="381">
        <f>IF('wholesale services'!K121="NA",0,'wholesale services'!K121)</f>
        <v>0</v>
      </c>
      <c r="K83" s="381">
        <f>IF('wholesale services'!L121="NA",0,'wholesale services'!L121)</f>
        <v>0</v>
      </c>
      <c r="L83" s="381">
        <f>IF('wholesale services'!M121="NA",0,'wholesale services'!M121)</f>
        <v>0</v>
      </c>
    </row>
    <row r="84" spans="1:12" s="458" customFormat="1" ht="13.5" thickTop="1" x14ac:dyDescent="0.2">
      <c r="A84" s="458" t="s">
        <v>354</v>
      </c>
      <c r="B84" s="615"/>
      <c r="C84" s="459">
        <f>C81-C83</f>
        <v>251500</v>
      </c>
      <c r="D84" s="459">
        <f t="shared" ref="D84:L84" si="26">D81-D83</f>
        <v>254151.40113816789</v>
      </c>
      <c r="E84" s="459">
        <f t="shared" si="26"/>
        <v>256785.12361705827</v>
      </c>
      <c r="F84" s="459">
        <f t="shared" si="26"/>
        <v>259449.1339044559</v>
      </c>
      <c r="G84" s="459">
        <f t="shared" si="26"/>
        <v>262143.78031015859</v>
      </c>
      <c r="H84" s="459">
        <f t="shared" si="26"/>
        <v>264869.41514952685</v>
      </c>
      <c r="I84" s="459">
        <f t="shared" si="26"/>
        <v>267626.39478954783</v>
      </c>
      <c r="J84" s="459">
        <f t="shared" si="26"/>
        <v>270415.07969542907</v>
      </c>
      <c r="K84" s="459">
        <f t="shared" si="26"/>
        <v>273235.83447772794</v>
      </c>
      <c r="L84" s="459">
        <f t="shared" si="26"/>
        <v>276089.02794002322</v>
      </c>
    </row>
    <row r="85" spans="1:12" s="387" customFormat="1" x14ac:dyDescent="0.2">
      <c r="A85" s="387" t="s">
        <v>355</v>
      </c>
      <c r="C85" s="388">
        <f>C82-C83</f>
        <v>241440</v>
      </c>
      <c r="D85" s="388">
        <f t="shared" ref="D85:L85" si="27">D82-D83</f>
        <v>243975.71113816788</v>
      </c>
      <c r="E85" s="388">
        <f t="shared" si="27"/>
        <v>246492.41318205828</v>
      </c>
      <c r="F85" s="388">
        <f t="shared" si="27"/>
        <v>249038.05729945342</v>
      </c>
      <c r="G85" s="388">
        <f t="shared" si="27"/>
        <v>251612.97632419859</v>
      </c>
      <c r="H85" s="388">
        <f t="shared" si="27"/>
        <v>254217.50691772834</v>
      </c>
      <c r="I85" s="388">
        <f t="shared" si="27"/>
        <v>256851.98961308369</v>
      </c>
      <c r="J85" s="388">
        <f t="shared" si="27"/>
        <v>259516.7688594356</v>
      </c>
      <c r="K85" s="388">
        <f t="shared" si="27"/>
        <v>262212.19306712056</v>
      </c>
      <c r="L85" s="388">
        <f t="shared" si="27"/>
        <v>264938.61465319386</v>
      </c>
    </row>
    <row r="86" spans="1:12" s="460" customFormat="1" x14ac:dyDescent="0.2">
      <c r="A86" s="389" t="s">
        <v>356</v>
      </c>
      <c r="B86" s="390">
        <f>NPV($C$5,C84:L84)</f>
        <v>1387624.783458954</v>
      </c>
      <c r="C86" s="391">
        <f>B86/$B$120</f>
        <v>4.4391918245119157E-3</v>
      </c>
      <c r="D86" s="461"/>
      <c r="E86" s="461"/>
      <c r="F86" s="461"/>
      <c r="G86" s="461"/>
      <c r="H86" s="461"/>
      <c r="I86" s="461"/>
      <c r="J86" s="461"/>
      <c r="K86" s="461"/>
      <c r="L86" s="461"/>
    </row>
    <row r="87" spans="1:12" s="379" customFormat="1" x14ac:dyDescent="0.2">
      <c r="A87" s="389" t="s">
        <v>357</v>
      </c>
      <c r="B87" s="390">
        <f>NPV($C$5,C85:L85)</f>
        <v>1331908.6411649354</v>
      </c>
      <c r="C87" s="391">
        <f>B87/$B$120</f>
        <v>4.2609486522125466E-3</v>
      </c>
      <c r="D87" s="378"/>
      <c r="E87" s="378"/>
      <c r="F87" s="378"/>
      <c r="G87" s="378"/>
      <c r="H87" s="378"/>
      <c r="I87" s="378"/>
      <c r="J87" s="378"/>
      <c r="K87" s="378"/>
      <c r="L87" s="378"/>
    </row>
    <row r="88" spans="1:12" s="379" customFormat="1" x14ac:dyDescent="0.2">
      <c r="A88" s="389" t="s">
        <v>351</v>
      </c>
      <c r="B88" s="390">
        <f>B86-B87</f>
        <v>55716.142294018529</v>
      </c>
      <c r="C88" s="391"/>
      <c r="D88" s="378"/>
      <c r="E88" s="378"/>
      <c r="F88" s="378"/>
      <c r="G88" s="378"/>
      <c r="H88" s="378"/>
      <c r="I88" s="378"/>
      <c r="J88" s="378"/>
      <c r="K88" s="378"/>
      <c r="L88" s="378"/>
    </row>
    <row r="90" spans="1:12" x14ac:dyDescent="0.2">
      <c r="A90" s="369" t="s">
        <v>766</v>
      </c>
    </row>
    <row r="91" spans="1:12" s="392" customFormat="1" x14ac:dyDescent="0.2">
      <c r="A91" s="392" t="s">
        <v>778</v>
      </c>
      <c r="B91" s="393">
        <f>C4</f>
        <v>5.5E-2</v>
      </c>
      <c r="C91" s="70">
        <f>'wholesale services'!D109</f>
        <v>3246342.8050974798</v>
      </c>
      <c r="D91" s="70">
        <f>'wholesale services'!E109</f>
        <v>3280437.3528492888</v>
      </c>
      <c r="E91" s="70">
        <f>'wholesale services'!F109</f>
        <v>3314276.3089988818</v>
      </c>
      <c r="F91" s="70">
        <f>'wholesale services'!G109</f>
        <v>3348504.413144195</v>
      </c>
      <c r="G91" s="70">
        <f>'wholesale services'!H109</f>
        <v>3383126.1404871792</v>
      </c>
      <c r="H91" s="70">
        <f>'wholesale services'!I109</f>
        <v>3418146.0176946083</v>
      </c>
      <c r="I91" s="70">
        <f>'wholesale services'!J109</f>
        <v>3453568.6234899219</v>
      </c>
      <c r="J91" s="70">
        <f>'wholesale services'!K109</f>
        <v>3489398.5892518824</v>
      </c>
      <c r="K91" s="70">
        <f>'wholesale services'!L109</f>
        <v>3525640.5996201048</v>
      </c>
      <c r="L91" s="70">
        <f>'wholesale services'!M109</f>
        <v>3562299.3931075619</v>
      </c>
    </row>
    <row r="92" spans="1:12" s="394" customFormat="1" x14ac:dyDescent="0.2">
      <c r="A92" s="394" t="s">
        <v>773</v>
      </c>
      <c r="B92" s="395"/>
      <c r="C92" s="396">
        <f>-C91</f>
        <v>-3246342.8050974798</v>
      </c>
      <c r="D92" s="396">
        <f t="shared" ref="D92:L92" si="28">-D91</f>
        <v>-3280437.3528492888</v>
      </c>
      <c r="E92" s="396">
        <f t="shared" si="28"/>
        <v>-3314276.3089988818</v>
      </c>
      <c r="F92" s="396">
        <f t="shared" si="28"/>
        <v>-3348504.413144195</v>
      </c>
      <c r="G92" s="396">
        <f t="shared" si="28"/>
        <v>-3383126.1404871792</v>
      </c>
      <c r="H92" s="396">
        <f t="shared" si="28"/>
        <v>-3418146.0176946083</v>
      </c>
      <c r="I92" s="396">
        <f t="shared" si="28"/>
        <v>-3453568.6234899219</v>
      </c>
      <c r="J92" s="396">
        <f t="shared" si="28"/>
        <v>-3489398.5892518824</v>
      </c>
      <c r="K92" s="396">
        <f t="shared" si="28"/>
        <v>-3525640.5996201048</v>
      </c>
      <c r="L92" s="396">
        <f t="shared" si="28"/>
        <v>-3562299.3931075619</v>
      </c>
    </row>
    <row r="93" spans="1:12" s="379" customFormat="1" x14ac:dyDescent="0.2">
      <c r="A93" s="389" t="s">
        <v>1283</v>
      </c>
      <c r="B93" s="390">
        <f>NPV($C$5,C92:L92)</f>
        <v>-17908515.715262372</v>
      </c>
      <c r="C93" s="391">
        <f>B93/$B$120</f>
        <v>-5.729166666666665E-2</v>
      </c>
      <c r="D93" s="378"/>
      <c r="E93" s="378"/>
      <c r="F93" s="378"/>
      <c r="G93" s="378"/>
      <c r="H93" s="378"/>
      <c r="I93" s="378"/>
      <c r="J93" s="378"/>
      <c r="K93" s="378"/>
      <c r="L93" s="378"/>
    </row>
    <row r="94" spans="1:12" s="379" customFormat="1" x14ac:dyDescent="0.2">
      <c r="A94" s="439"/>
      <c r="B94" s="440"/>
      <c r="C94" s="391"/>
      <c r="D94" s="378"/>
      <c r="E94" s="378"/>
      <c r="F94" s="378"/>
      <c r="G94" s="378"/>
      <c r="H94" s="378"/>
      <c r="I94" s="378"/>
      <c r="J94" s="378"/>
      <c r="K94" s="378"/>
      <c r="L94" s="378"/>
    </row>
    <row r="95" spans="1:12" x14ac:dyDescent="0.2">
      <c r="A95" s="369" t="s">
        <v>779</v>
      </c>
      <c r="B95" s="397"/>
    </row>
    <row r="96" spans="1:12" x14ac:dyDescent="0.2">
      <c r="C96" s="70">
        <f>'wholesale services'!D119</f>
        <v>28439040</v>
      </c>
      <c r="D96" s="70">
        <f>'wholesale services'!E119</f>
        <v>4739840</v>
      </c>
    </row>
    <row r="97" spans="1:14" s="392" customFormat="1" x14ac:dyDescent="0.2">
      <c r="A97" s="392" t="s">
        <v>868</v>
      </c>
      <c r="D97" s="70">
        <f>'wholesale services'!E105</f>
        <v>-4915191.6625128323</v>
      </c>
      <c r="E97" s="70">
        <f>'wholesale services'!F105</f>
        <v>-5898229.9950153986</v>
      </c>
      <c r="F97" s="70">
        <f>'wholesale services'!G105</f>
        <v>-5898229.9950153986</v>
      </c>
      <c r="G97" s="70">
        <f>'wholesale services'!H105</f>
        <v>-5898229.9950153986</v>
      </c>
      <c r="H97" s="70">
        <f>'wholesale services'!I105</f>
        <v>-5898229.9950153986</v>
      </c>
      <c r="I97" s="70">
        <f>'wholesale services'!J105</f>
        <v>-5898229.9950153986</v>
      </c>
      <c r="J97" s="70">
        <f>'wholesale services'!K105</f>
        <v>-5898229.9950153986</v>
      </c>
      <c r="K97" s="70">
        <f>'wholesale services'!L105</f>
        <v>-5898229.9950153986</v>
      </c>
      <c r="L97" s="70">
        <f>'wholesale services'!M105</f>
        <v>-5898229.9950153986</v>
      </c>
      <c r="M97" s="70"/>
      <c r="N97" s="70"/>
    </row>
    <row r="98" spans="1:14" s="394" customFormat="1" x14ac:dyDescent="0.2">
      <c r="C98" s="396">
        <f>-C96</f>
        <v>-28439040</v>
      </c>
      <c r="D98" s="396">
        <f t="shared" ref="D98:L98" si="29">-D96</f>
        <v>-4739840</v>
      </c>
      <c r="E98" s="396">
        <f t="shared" si="29"/>
        <v>0</v>
      </c>
      <c r="F98" s="396">
        <f t="shared" si="29"/>
        <v>0</v>
      </c>
      <c r="G98" s="396">
        <f t="shared" si="29"/>
        <v>0</v>
      </c>
      <c r="H98" s="396">
        <f t="shared" si="29"/>
        <v>0</v>
      </c>
      <c r="I98" s="396">
        <f t="shared" si="29"/>
        <v>0</v>
      </c>
      <c r="J98" s="396">
        <f t="shared" si="29"/>
        <v>0</v>
      </c>
      <c r="K98" s="396">
        <f t="shared" si="29"/>
        <v>0</v>
      </c>
      <c r="L98" s="396">
        <f t="shared" si="29"/>
        <v>0</v>
      </c>
    </row>
    <row r="99" spans="1:14" s="379" customFormat="1" x14ac:dyDescent="0.2">
      <c r="A99" s="389" t="s">
        <v>1283</v>
      </c>
      <c r="B99" s="390">
        <f>NPV($C$5,C98:L98)</f>
        <v>-28735780.16262687</v>
      </c>
      <c r="C99" s="391">
        <f>B99/$B$120</f>
        <v>-9.192949123532157E-2</v>
      </c>
      <c r="D99" s="378"/>
      <c r="E99" s="378"/>
      <c r="F99" s="378"/>
      <c r="G99" s="378"/>
      <c r="H99" s="378"/>
      <c r="I99" s="378"/>
      <c r="J99" s="378"/>
      <c r="K99" s="378"/>
      <c r="L99" s="378"/>
    </row>
    <row r="101" spans="1:14" x14ac:dyDescent="0.2">
      <c r="A101" s="369" t="s">
        <v>780</v>
      </c>
    </row>
    <row r="102" spans="1:14" s="392" customFormat="1" x14ac:dyDescent="0.2">
      <c r="A102" s="392" t="s">
        <v>781</v>
      </c>
      <c r="C102" s="70">
        <f>IF('wholesale services'!D122="NA",0,'wholesale services'!D122)</f>
        <v>0</v>
      </c>
      <c r="D102" s="70">
        <f>IF('wholesale services'!E122="NA",0,'wholesale services'!E122)</f>
        <v>0</v>
      </c>
      <c r="E102" s="70">
        <f>IF('wholesale services'!F122="NA",0,'wholesale services'!F122)</f>
        <v>0</v>
      </c>
      <c r="F102" s="70">
        <f>IF('wholesale services'!G122="NA",0,'wholesale services'!G122)</f>
        <v>0</v>
      </c>
      <c r="G102" s="70">
        <f>IF('wholesale services'!H122="NA",0,'wholesale services'!H122)</f>
        <v>0</v>
      </c>
      <c r="H102" s="70">
        <f>IF('wholesale services'!I122="NA",0,'wholesale services'!I122)</f>
        <v>0</v>
      </c>
      <c r="I102" s="70">
        <f>IF('wholesale services'!J122="NA",0,'wholesale services'!J122)</f>
        <v>0</v>
      </c>
      <c r="J102" s="70">
        <f>IF('wholesale services'!K122="NA",0,'wholesale services'!K122)</f>
        <v>0</v>
      </c>
      <c r="K102" s="70">
        <f>IF('wholesale services'!L122="NA",0,'wholesale services'!L122)</f>
        <v>0</v>
      </c>
      <c r="L102" s="70">
        <f>IF('wholesale services'!M122="NA",0,'wholesale services'!M122)</f>
        <v>0</v>
      </c>
    </row>
    <row r="103" spans="1:14" s="394" customFormat="1" x14ac:dyDescent="0.2">
      <c r="C103" s="396">
        <f>-C102</f>
        <v>0</v>
      </c>
      <c r="D103" s="396">
        <f t="shared" ref="D103:L103" si="30">-D102</f>
        <v>0</v>
      </c>
      <c r="E103" s="396">
        <f t="shared" si="30"/>
        <v>0</v>
      </c>
      <c r="F103" s="396">
        <f t="shared" si="30"/>
        <v>0</v>
      </c>
      <c r="G103" s="396">
        <f t="shared" si="30"/>
        <v>0</v>
      </c>
      <c r="H103" s="396">
        <f t="shared" si="30"/>
        <v>0</v>
      </c>
      <c r="I103" s="396">
        <f t="shared" si="30"/>
        <v>0</v>
      </c>
      <c r="J103" s="396">
        <f t="shared" si="30"/>
        <v>0</v>
      </c>
      <c r="K103" s="396">
        <f t="shared" si="30"/>
        <v>0</v>
      </c>
      <c r="L103" s="396">
        <f t="shared" si="30"/>
        <v>0</v>
      </c>
    </row>
    <row r="104" spans="1:14" s="379" customFormat="1" x14ac:dyDescent="0.2">
      <c r="A104" s="389" t="s">
        <v>1283</v>
      </c>
      <c r="B104" s="390">
        <f>NPV($C$5,C103:L103)</f>
        <v>0</v>
      </c>
      <c r="C104" s="391">
        <f>B104/$B$120</f>
        <v>0</v>
      </c>
      <c r="D104" s="378"/>
      <c r="E104" s="378"/>
      <c r="F104" s="378"/>
      <c r="G104" s="378"/>
      <c r="H104" s="378"/>
      <c r="I104" s="378"/>
      <c r="J104" s="378"/>
      <c r="K104" s="378"/>
      <c r="L104" s="378"/>
    </row>
    <row r="106" spans="1:14" x14ac:dyDescent="0.2">
      <c r="A106" s="369" t="s">
        <v>1069</v>
      </c>
    </row>
    <row r="107" spans="1:14" s="392" customFormat="1" x14ac:dyDescent="0.2">
      <c r="A107" s="392" t="s">
        <v>782</v>
      </c>
      <c r="C107" s="70">
        <f>'wholesale services'!D128</f>
        <v>-662655</v>
      </c>
      <c r="D107" s="70">
        <f>'wholesale services'!E128</f>
        <v>-662655</v>
      </c>
      <c r="E107" s="70">
        <f>'wholesale services'!F128</f>
        <v>-662655</v>
      </c>
      <c r="F107" s="70">
        <f>'wholesale services'!G128</f>
        <v>-662655</v>
      </c>
      <c r="G107" s="70">
        <f>'wholesale services'!H128</f>
        <v>-662655</v>
      </c>
      <c r="H107" s="70">
        <f>'wholesale services'!I128</f>
        <v>-662655</v>
      </c>
      <c r="I107" s="70">
        <f>'wholesale services'!J128</f>
        <v>-662655</v>
      </c>
      <c r="J107" s="70">
        <f>'wholesale services'!K128</f>
        <v>-662655</v>
      </c>
      <c r="K107" s="70">
        <f>'wholesale services'!L128</f>
        <v>-662655</v>
      </c>
      <c r="L107" s="70">
        <f>'wholesale services'!M128</f>
        <v>-662655</v>
      </c>
    </row>
    <row r="108" spans="1:14" s="394" customFormat="1" x14ac:dyDescent="0.2">
      <c r="C108" s="396">
        <f>C107</f>
        <v>-662655</v>
      </c>
      <c r="D108" s="396">
        <f t="shared" ref="D108:L108" si="31">D107</f>
        <v>-662655</v>
      </c>
      <c r="E108" s="396">
        <f t="shared" si="31"/>
        <v>-662655</v>
      </c>
      <c r="F108" s="396">
        <f t="shared" si="31"/>
        <v>-662655</v>
      </c>
      <c r="G108" s="396">
        <f t="shared" si="31"/>
        <v>-662655</v>
      </c>
      <c r="H108" s="396">
        <f t="shared" si="31"/>
        <v>-662655</v>
      </c>
      <c r="I108" s="396">
        <f t="shared" si="31"/>
        <v>-662655</v>
      </c>
      <c r="J108" s="396">
        <f t="shared" si="31"/>
        <v>-662655</v>
      </c>
      <c r="K108" s="396">
        <f t="shared" si="31"/>
        <v>-662655</v>
      </c>
      <c r="L108" s="396">
        <f t="shared" si="31"/>
        <v>-662655</v>
      </c>
    </row>
    <row r="109" spans="1:14" s="379" customFormat="1" x14ac:dyDescent="0.2">
      <c r="A109" s="389" t="s">
        <v>1283</v>
      </c>
      <c r="B109" s="390">
        <f>NPV($C$5,C108:L108)</f>
        <v>-3525004.8012830918</v>
      </c>
      <c r="C109" s="391">
        <f>B109/$B$120</f>
        <v>-1.1276947977402585E-2</v>
      </c>
      <c r="D109" s="378"/>
      <c r="E109" s="378"/>
      <c r="F109" s="378"/>
      <c r="G109" s="378"/>
      <c r="H109" s="378"/>
      <c r="I109" s="378"/>
      <c r="J109" s="378"/>
      <c r="K109" s="378"/>
      <c r="L109" s="378"/>
    </row>
    <row r="110" spans="1:14" s="379" customFormat="1" x14ac:dyDescent="0.2">
      <c r="A110" s="439"/>
      <c r="B110" s="440"/>
      <c r="C110" s="391"/>
      <c r="D110" s="378"/>
      <c r="E110" s="378"/>
      <c r="F110" s="378"/>
      <c r="G110" s="378"/>
      <c r="H110" s="378"/>
      <c r="I110" s="378"/>
      <c r="J110" s="378"/>
      <c r="K110" s="378"/>
      <c r="L110" s="378"/>
    </row>
    <row r="111" spans="1:14" s="379" customFormat="1" x14ac:dyDescent="0.2">
      <c r="A111" s="369" t="s">
        <v>1132</v>
      </c>
      <c r="B111"/>
      <c r="C111" s="381"/>
      <c r="D111" s="378"/>
      <c r="E111" s="378"/>
      <c r="F111" s="378"/>
      <c r="G111" s="378"/>
      <c r="H111" s="378"/>
      <c r="I111" s="378"/>
      <c r="J111" s="378"/>
      <c r="K111" s="378"/>
      <c r="L111" s="378"/>
    </row>
    <row r="112" spans="1:14" s="379" customFormat="1" x14ac:dyDescent="0.2">
      <c r="A112" s="392" t="s">
        <v>1132</v>
      </c>
      <c r="B112" s="392"/>
      <c r="C112" s="70">
        <f>'wholesale services'!D127</f>
        <v>0</v>
      </c>
      <c r="D112" s="70">
        <f>'wholesale services'!E127</f>
        <v>0</v>
      </c>
      <c r="E112" s="70">
        <f>'wholesale services'!F127</f>
        <v>0</v>
      </c>
      <c r="F112" s="70">
        <f>'wholesale services'!G127</f>
        <v>0</v>
      </c>
      <c r="G112" s="70">
        <f>'wholesale services'!H127</f>
        <v>0</v>
      </c>
      <c r="H112" s="70">
        <f>'wholesale services'!I127</f>
        <v>0</v>
      </c>
      <c r="I112" s="70">
        <f>'wholesale services'!J127</f>
        <v>0</v>
      </c>
      <c r="J112" s="70">
        <f>'wholesale services'!K127</f>
        <v>0</v>
      </c>
      <c r="K112" s="70">
        <f>'wholesale services'!L127</f>
        <v>0</v>
      </c>
      <c r="L112" s="70">
        <f>'wholesale services'!M127</f>
        <v>0</v>
      </c>
    </row>
    <row r="113" spans="1:12" s="379" customFormat="1" x14ac:dyDescent="0.2">
      <c r="A113" s="394"/>
      <c r="B113" s="394"/>
      <c r="C113" s="396">
        <f>C112</f>
        <v>0</v>
      </c>
      <c r="D113" s="396">
        <f t="shared" ref="D113:L113" si="32">D112</f>
        <v>0</v>
      </c>
      <c r="E113" s="396">
        <f t="shared" si="32"/>
        <v>0</v>
      </c>
      <c r="F113" s="396">
        <f t="shared" si="32"/>
        <v>0</v>
      </c>
      <c r="G113" s="396">
        <f t="shared" si="32"/>
        <v>0</v>
      </c>
      <c r="H113" s="396">
        <f t="shared" si="32"/>
        <v>0</v>
      </c>
      <c r="I113" s="396">
        <f t="shared" si="32"/>
        <v>0</v>
      </c>
      <c r="J113" s="396">
        <f t="shared" si="32"/>
        <v>0</v>
      </c>
      <c r="K113" s="396">
        <f t="shared" si="32"/>
        <v>0</v>
      </c>
      <c r="L113" s="396">
        <f t="shared" si="32"/>
        <v>0</v>
      </c>
    </row>
    <row r="114" spans="1:12" x14ac:dyDescent="0.2">
      <c r="A114" s="389" t="s">
        <v>1283</v>
      </c>
      <c r="B114" s="390">
        <f>NPV($C$5,C113:L113)</f>
        <v>0</v>
      </c>
      <c r="C114" s="391">
        <f>B114/$B$120</f>
        <v>0</v>
      </c>
    </row>
    <row r="115" spans="1:12" x14ac:dyDescent="0.2">
      <c r="A115" s="439"/>
      <c r="B115" s="440"/>
      <c r="C115" s="391"/>
    </row>
    <row r="116" spans="1:12" s="682" customFormat="1" x14ac:dyDescent="0.2">
      <c r="A116" s="682" t="s">
        <v>986</v>
      </c>
      <c r="B116" s="683">
        <f>NPV($C$5,C116:L116)</f>
        <v>3319816.7115781195</v>
      </c>
      <c r="C116" s="679">
        <f>C96+C97</f>
        <v>28439040</v>
      </c>
      <c r="D116" s="679">
        <f t="shared" ref="D116:L116" si="33">D96+D97</f>
        <v>-175351.66251283232</v>
      </c>
      <c r="E116" s="679">
        <f t="shared" si="33"/>
        <v>-5898229.9950153986</v>
      </c>
      <c r="F116" s="679">
        <f t="shared" si="33"/>
        <v>-5898229.9950153986</v>
      </c>
      <c r="G116" s="679">
        <f t="shared" si="33"/>
        <v>-5898229.9950153986</v>
      </c>
      <c r="H116" s="679">
        <f t="shared" si="33"/>
        <v>-5898229.9950153986</v>
      </c>
      <c r="I116" s="679">
        <f t="shared" si="33"/>
        <v>-5898229.9950153986</v>
      </c>
      <c r="J116" s="679">
        <f t="shared" si="33"/>
        <v>-5898229.9950153986</v>
      </c>
      <c r="K116" s="679">
        <f t="shared" si="33"/>
        <v>-5898229.9950153986</v>
      </c>
      <c r="L116" s="679">
        <f t="shared" si="33"/>
        <v>-5898229.9950153986</v>
      </c>
    </row>
    <row r="118" spans="1:12" x14ac:dyDescent="0.2">
      <c r="B118" s="446">
        <f>SUM(C120:L120)</f>
        <v>593834011.52711761</v>
      </c>
    </row>
    <row r="119" spans="1:12" x14ac:dyDescent="0.2">
      <c r="A119" t="s">
        <v>360</v>
      </c>
      <c r="B119" s="446"/>
      <c r="C119" s="400">
        <f t="shared" ref="C119:L119" si="34">C15+C26+C37+C48+C59+C70+C81</f>
        <v>59024414.638135999</v>
      </c>
      <c r="D119" s="400">
        <f t="shared" si="34"/>
        <v>59646670.702355668</v>
      </c>
      <c r="E119" s="400">
        <f t="shared" si="34"/>
        <v>60264777.770490095</v>
      </c>
      <c r="F119" s="400">
        <f t="shared" si="34"/>
        <v>60889993.069908053</v>
      </c>
      <c r="G119" s="400">
        <f t="shared" si="34"/>
        <v>61522398.345269322</v>
      </c>
      <c r="H119" s="400">
        <f t="shared" si="34"/>
        <v>62162076.281297237</v>
      </c>
      <c r="I119" s="400">
        <f t="shared" si="34"/>
        <v>62809110.513589486</v>
      </c>
      <c r="J119" s="400">
        <f t="shared" si="34"/>
        <v>63463585.639553085</v>
      </c>
      <c r="K119" s="400">
        <f t="shared" si="34"/>
        <v>64125587.229465269</v>
      </c>
      <c r="L119" s="400">
        <f t="shared" si="34"/>
        <v>64795201.837661438</v>
      </c>
    </row>
    <row r="120" spans="1:12" s="398" customFormat="1" x14ac:dyDescent="0.2">
      <c r="A120" s="398" t="s">
        <v>783</v>
      </c>
      <c r="B120" s="399">
        <f>NPV($C$5,C120:L120)</f>
        <v>312585001.57548875</v>
      </c>
      <c r="C120" s="400">
        <f t="shared" ref="C120:L120" si="35">C16+C27+C38+C49+C60+C71+C82</f>
        <v>56663438.052610554</v>
      </c>
      <c r="D120" s="400">
        <f t="shared" si="35"/>
        <v>57258542.886096686</v>
      </c>
      <c r="E120" s="400">
        <f t="shared" si="35"/>
        <v>57849186.484344132</v>
      </c>
      <c r="F120" s="400">
        <f t="shared" si="35"/>
        <v>58446622.483971409</v>
      </c>
      <c r="G120" s="400">
        <f t="shared" si="35"/>
        <v>59050928.997594416</v>
      </c>
      <c r="H120" s="400">
        <f t="shared" si="35"/>
        <v>59662185.03612408</v>
      </c>
      <c r="I120" s="400">
        <f t="shared" si="35"/>
        <v>60280470.519096829</v>
      </c>
      <c r="J120" s="400">
        <f t="shared" si="35"/>
        <v>60905866.285123765</v>
      </c>
      <c r="K120" s="400">
        <f t="shared" si="35"/>
        <v>61538454.102460004</v>
      </c>
      <c r="L120" s="400">
        <f t="shared" si="35"/>
        <v>62178316.679695629</v>
      </c>
    </row>
    <row r="121" spans="1:12" s="398" customFormat="1" x14ac:dyDescent="0.2">
      <c r="A121" s="398" t="s">
        <v>864</v>
      </c>
      <c r="B121" s="399"/>
      <c r="C121" s="400">
        <f>C17+C28+C39+C50+C61+C72+C83+C91+C96+C102</f>
        <v>86160695.031676799</v>
      </c>
      <c r="D121" s="400">
        <f>D17+D28+D39+D50+D61+D72+D83+D91+D96+D102</f>
        <v>55991462.578766875</v>
      </c>
      <c r="E121" s="400">
        <f t="shared" ref="E121:L121" si="36">E17+E28+E39+E50+E61+E72+E83+E91+E96+E102</f>
        <v>50171879.096791029</v>
      </c>
      <c r="F121" s="400">
        <f t="shared" si="36"/>
        <v>50443654.855623543</v>
      </c>
      <c r="G121" s="400">
        <f t="shared" si="36"/>
        <v>50718088.119332254</v>
      </c>
      <c r="H121" s="400">
        <f t="shared" si="36"/>
        <v>50994843.386825301</v>
      </c>
      <c r="I121" s="400">
        <f t="shared" si="36"/>
        <v>51273587.892367393</v>
      </c>
      <c r="J121" s="400">
        <f t="shared" si="36"/>
        <v>51556077.414782628</v>
      </c>
      <c r="K121" s="400">
        <f t="shared" si="36"/>
        <v>51839973.976698659</v>
      </c>
      <c r="L121" s="400">
        <f t="shared" si="36"/>
        <v>52128191.754716299</v>
      </c>
    </row>
    <row r="122" spans="1:12" s="398" customFormat="1" x14ac:dyDescent="0.2">
      <c r="A122" s="398" t="s">
        <v>1069</v>
      </c>
      <c r="B122" s="399"/>
      <c r="C122" s="400">
        <f>C107</f>
        <v>-662655</v>
      </c>
      <c r="D122" s="400">
        <f t="shared" ref="D122:L122" si="37">D107</f>
        <v>-662655</v>
      </c>
      <c r="E122" s="400">
        <f t="shared" si="37"/>
        <v>-662655</v>
      </c>
      <c r="F122" s="400">
        <f t="shared" si="37"/>
        <v>-662655</v>
      </c>
      <c r="G122" s="400">
        <f t="shared" si="37"/>
        <v>-662655</v>
      </c>
      <c r="H122" s="400">
        <f t="shared" si="37"/>
        <v>-662655</v>
      </c>
      <c r="I122" s="400">
        <f t="shared" si="37"/>
        <v>-662655</v>
      </c>
      <c r="J122" s="400">
        <f t="shared" si="37"/>
        <v>-662655</v>
      </c>
      <c r="K122" s="400">
        <f t="shared" si="37"/>
        <v>-662655</v>
      </c>
      <c r="L122" s="400">
        <f t="shared" si="37"/>
        <v>-662655</v>
      </c>
    </row>
    <row r="123" spans="1:12" s="398" customFormat="1" x14ac:dyDescent="0.2">
      <c r="A123" s="398" t="s">
        <v>1132</v>
      </c>
      <c r="B123" s="399"/>
      <c r="C123" s="400">
        <f>C113</f>
        <v>0</v>
      </c>
      <c r="D123" s="400">
        <f t="shared" ref="D123:L123" si="38">D113</f>
        <v>0</v>
      </c>
      <c r="E123" s="400">
        <f t="shared" si="38"/>
        <v>0</v>
      </c>
      <c r="F123" s="400">
        <f t="shared" si="38"/>
        <v>0</v>
      </c>
      <c r="G123" s="400">
        <f t="shared" si="38"/>
        <v>0</v>
      </c>
      <c r="H123" s="400">
        <f t="shared" si="38"/>
        <v>0</v>
      </c>
      <c r="I123" s="400">
        <f t="shared" si="38"/>
        <v>0</v>
      </c>
      <c r="J123" s="400">
        <f t="shared" si="38"/>
        <v>0</v>
      </c>
      <c r="K123" s="400">
        <f t="shared" si="38"/>
        <v>0</v>
      </c>
      <c r="L123" s="400">
        <f t="shared" si="38"/>
        <v>0</v>
      </c>
    </row>
    <row r="124" spans="1:12" s="398" customFormat="1" x14ac:dyDescent="0.2">
      <c r="A124" s="398" t="s">
        <v>362</v>
      </c>
      <c r="B124" s="399"/>
      <c r="C124" s="400">
        <f>C119-C121+C122+C123</f>
        <v>-27798935.3935408</v>
      </c>
      <c r="D124" s="400">
        <f t="shared" ref="D124:L124" si="39">D119-D121+D122+D123</f>
        <v>2992553.123588793</v>
      </c>
      <c r="E124" s="400">
        <f t="shared" si="39"/>
        <v>9430243.673699066</v>
      </c>
      <c r="F124" s="400">
        <f t="shared" si="39"/>
        <v>9783683.2142845094</v>
      </c>
      <c r="G124" s="400">
        <f t="shared" si="39"/>
        <v>10141655.225937068</v>
      </c>
      <c r="H124" s="400">
        <f t="shared" si="39"/>
        <v>10504577.894471936</v>
      </c>
      <c r="I124" s="400">
        <f t="shared" si="39"/>
        <v>10872867.621222094</v>
      </c>
      <c r="J124" s="400">
        <f t="shared" si="39"/>
        <v>11244853.224770457</v>
      </c>
      <c r="K124" s="400">
        <f t="shared" si="39"/>
        <v>11622958.252766609</v>
      </c>
      <c r="L124" s="400">
        <f t="shared" si="39"/>
        <v>12004355.082945138</v>
      </c>
    </row>
    <row r="125" spans="1:12" s="398" customFormat="1" x14ac:dyDescent="0.2">
      <c r="A125" s="398" t="s">
        <v>361</v>
      </c>
      <c r="C125" s="400">
        <f>C120-C121+C122+C123</f>
        <v>-30159911.979066245</v>
      </c>
      <c r="D125" s="400">
        <f t="shared" ref="D125:L125" si="40">D120-D121+D122+D123</f>
        <v>604425.30732981116</v>
      </c>
      <c r="E125" s="400">
        <f t="shared" si="40"/>
        <v>7014652.3875531033</v>
      </c>
      <c r="F125" s="400">
        <f t="shared" si="40"/>
        <v>7340312.6283478662</v>
      </c>
      <c r="G125" s="400">
        <f t="shared" si="40"/>
        <v>7670185.8782621622</v>
      </c>
      <c r="H125" s="400">
        <f t="shared" si="40"/>
        <v>8004686.6492987797</v>
      </c>
      <c r="I125" s="400">
        <f t="shared" si="40"/>
        <v>8344227.6267294362</v>
      </c>
      <c r="J125" s="400">
        <f t="shared" si="40"/>
        <v>8687133.8703411371</v>
      </c>
      <c r="K125" s="400">
        <f t="shared" si="40"/>
        <v>9035825.125761345</v>
      </c>
      <c r="L125" s="400">
        <f t="shared" si="40"/>
        <v>9387469.9249793291</v>
      </c>
    </row>
    <row r="126" spans="1:12" s="398" customFormat="1" x14ac:dyDescent="0.2">
      <c r="A126" s="398" t="s">
        <v>356</v>
      </c>
      <c r="B126" s="401">
        <f>NPV(C5,C124:L124)</f>
        <v>16139652.31386859</v>
      </c>
      <c r="C126" s="400"/>
      <c r="D126" s="400"/>
      <c r="E126" s="400"/>
      <c r="F126" s="400"/>
      <c r="G126" s="400"/>
      <c r="H126" s="400"/>
      <c r="I126" s="400"/>
      <c r="J126" s="400"/>
      <c r="K126" s="400"/>
      <c r="L126" s="400"/>
    </row>
    <row r="127" spans="1:12" s="398" customFormat="1" x14ac:dyDescent="0.2">
      <c r="A127" s="398" t="s">
        <v>357</v>
      </c>
      <c r="B127" s="401">
        <f>NPV(C5,C125:L125)</f>
        <v>3063657.5432938263</v>
      </c>
      <c r="C127" s="400"/>
      <c r="D127" s="400"/>
      <c r="E127" s="400"/>
      <c r="F127" s="400"/>
      <c r="G127" s="400"/>
      <c r="H127" s="400"/>
      <c r="I127" s="400"/>
      <c r="J127" s="400"/>
      <c r="K127" s="400"/>
      <c r="L127" s="400"/>
    </row>
    <row r="128" spans="1:12" ht="13.5" thickBot="1" x14ac:dyDescent="0.25"/>
    <row r="129" spans="1:12" ht="13.5" thickTop="1" x14ac:dyDescent="0.2">
      <c r="A129" s="462" t="s">
        <v>358</v>
      </c>
      <c r="B129" s="463">
        <f>B104+B99+B93+B86+B75+B64+B53+B42+B31+B20+B109+B114</f>
        <v>16139652.313868612</v>
      </c>
    </row>
    <row r="130" spans="1:12" x14ac:dyDescent="0.2">
      <c r="A130" s="466" t="s">
        <v>359</v>
      </c>
      <c r="B130" s="467">
        <f>B104+B99+B93+B87+B76+B65+B54+B43+B32+B21+B109+B114</f>
        <v>3063657.5432938482</v>
      </c>
    </row>
    <row r="131" spans="1:12" ht="13.5" thickBot="1" x14ac:dyDescent="0.25">
      <c r="A131" s="464" t="s">
        <v>351</v>
      </c>
      <c r="B131" s="465">
        <f>B130-B129</f>
        <v>-13075994.770574763</v>
      </c>
    </row>
    <row r="132" spans="1:12" ht="13.5" thickTop="1" x14ac:dyDescent="0.2"/>
    <row r="133" spans="1:12" ht="15.75" x14ac:dyDescent="0.25">
      <c r="A133" s="385" t="s">
        <v>785</v>
      </c>
    </row>
    <row r="134" spans="1:12" x14ac:dyDescent="0.2">
      <c r="A134" s="369" t="s">
        <v>769</v>
      </c>
    </row>
    <row r="135" spans="1:12" x14ac:dyDescent="0.2">
      <c r="A135" t="s">
        <v>742</v>
      </c>
      <c r="C135" s="381">
        <f>'power redistribution'!C22</f>
        <v>61345132.1638868</v>
      </c>
    </row>
    <row r="136" spans="1:12" x14ac:dyDescent="0.2">
      <c r="A136" t="s">
        <v>770</v>
      </c>
      <c r="B136" s="386">
        <f>B108</f>
        <v>0</v>
      </c>
      <c r="C136" s="381">
        <f>'power redistribution'!D22</f>
        <v>62828320.723235622</v>
      </c>
      <c r="D136" s="381">
        <f>'power redistribution'!E22</f>
        <v>69832266.697938353</v>
      </c>
      <c r="E136" s="381">
        <f>'power redistribution'!F22</f>
        <v>78154602.503173366</v>
      </c>
      <c r="F136" s="381">
        <f>'power redistribution'!G22</f>
        <v>81120979.621870995</v>
      </c>
      <c r="G136" s="381">
        <f>'power redistribution'!H22</f>
        <v>81120979.621870995</v>
      </c>
      <c r="H136" s="381">
        <f>'power redistribution'!I22</f>
        <v>81120979.621870995</v>
      </c>
      <c r="I136" s="381">
        <f>'power redistribution'!J22</f>
        <v>81120979.621870995</v>
      </c>
      <c r="J136" s="381">
        <f>'power redistribution'!K22</f>
        <v>81120979.621870995</v>
      </c>
      <c r="K136" s="381">
        <f>'power redistribution'!L22</f>
        <v>81120979.621870995</v>
      </c>
      <c r="L136" s="381">
        <f>'power redistribution'!M22</f>
        <v>81120979.621870995</v>
      </c>
    </row>
    <row r="137" spans="1:12" x14ac:dyDescent="0.2">
      <c r="A137" t="s">
        <v>771</v>
      </c>
      <c r="C137" s="381">
        <f>'power redistribution'!D67</f>
        <v>50509297.999999993</v>
      </c>
      <c r="D137" s="381">
        <f>'power redistribution'!E67</f>
        <v>56300149.666666664</v>
      </c>
      <c r="E137" s="381">
        <f>'power redistribution'!F67</f>
        <v>60021991.799999997</v>
      </c>
      <c r="F137" s="381">
        <f>'power redistribution'!G67</f>
        <v>62351958</v>
      </c>
      <c r="G137" s="381">
        <f>'power redistribution'!H67</f>
        <v>61039285.20000001</v>
      </c>
      <c r="H137" s="381">
        <f>'power redistribution'!I67</f>
        <v>61039285.20000001</v>
      </c>
      <c r="I137" s="381">
        <f>'power redistribution'!J67</f>
        <v>61039285.20000001</v>
      </c>
      <c r="J137" s="381">
        <f>'power redistribution'!K67</f>
        <v>61039285.20000001</v>
      </c>
      <c r="K137" s="381">
        <f>'power redistribution'!L67</f>
        <v>59070276</v>
      </c>
      <c r="L137" s="381">
        <f>'power redistribution'!M67</f>
        <v>59070276</v>
      </c>
    </row>
    <row r="138" spans="1:12" s="387" customFormat="1" x14ac:dyDescent="0.2">
      <c r="A138" s="387" t="s">
        <v>773</v>
      </c>
      <c r="C138" s="388">
        <f t="shared" ref="C138:L138" si="41">C136-C137</f>
        <v>12319022.723235629</v>
      </c>
      <c r="D138" s="388">
        <f t="shared" si="41"/>
        <v>13532117.031271689</v>
      </c>
      <c r="E138" s="388">
        <f t="shared" si="41"/>
        <v>18132610.703173369</v>
      </c>
      <c r="F138" s="388">
        <f t="shared" si="41"/>
        <v>18769021.621870995</v>
      </c>
      <c r="G138" s="388">
        <f t="shared" si="41"/>
        <v>20081694.421870984</v>
      </c>
      <c r="H138" s="388">
        <f t="shared" si="41"/>
        <v>20081694.421870984</v>
      </c>
      <c r="I138" s="388">
        <f t="shared" si="41"/>
        <v>20081694.421870984</v>
      </c>
      <c r="J138" s="388">
        <f t="shared" si="41"/>
        <v>20081694.421870984</v>
      </c>
      <c r="K138" s="388">
        <f t="shared" si="41"/>
        <v>22050703.621870995</v>
      </c>
      <c r="L138" s="388">
        <f t="shared" si="41"/>
        <v>22050703.621870995</v>
      </c>
    </row>
    <row r="139" spans="1:12" s="379" customFormat="1" x14ac:dyDescent="0.2">
      <c r="A139" s="389" t="s">
        <v>1283</v>
      </c>
      <c r="B139" s="390">
        <f>NPV($C$5,C138:L138)</f>
        <v>93962258.665341735</v>
      </c>
      <c r="C139" s="378"/>
      <c r="D139" s="378"/>
      <c r="E139" s="378"/>
      <c r="F139" s="378"/>
      <c r="G139" s="378"/>
      <c r="H139" s="378"/>
      <c r="I139" s="378"/>
      <c r="J139" s="378"/>
      <c r="K139" s="378"/>
      <c r="L139" s="378"/>
    </row>
    <row r="141" spans="1:12" x14ac:dyDescent="0.2">
      <c r="A141" s="369" t="s">
        <v>786</v>
      </c>
    </row>
    <row r="142" spans="1:12" x14ac:dyDescent="0.2">
      <c r="A142" t="s">
        <v>742</v>
      </c>
      <c r="C142" s="381">
        <f>'power redistribution'!C23</f>
        <v>1113600</v>
      </c>
    </row>
    <row r="143" spans="1:12" x14ac:dyDescent="0.2">
      <c r="A143" t="s">
        <v>770</v>
      </c>
      <c r="B143" s="386">
        <f>B135</f>
        <v>0</v>
      </c>
      <c r="C143" s="381">
        <f>'power redistribution'!D23</f>
        <v>1306249.0306293613</v>
      </c>
      <c r="D143" s="381">
        <f>'power redistribution'!E23</f>
        <v>1310472.7793099973</v>
      </c>
      <c r="E143" s="381">
        <f>'power redistribution'!F23</f>
        <v>1325032.8596159723</v>
      </c>
      <c r="F143" s="381">
        <f>'power redistribution'!G23</f>
        <v>1347740.848639902</v>
      </c>
      <c r="G143" s="381">
        <f>'power redistribution'!H23</f>
        <v>1375391.527600423</v>
      </c>
      <c r="H143" s="381">
        <f>'power redistribution'!I23</f>
        <v>1407950.5913057209</v>
      </c>
      <c r="I143" s="381">
        <f>'power redistribution'!J23</f>
        <v>1445385.55879524</v>
      </c>
      <c r="J143" s="381">
        <f>'power redistribution'!K23</f>
        <v>1487665.8493687983</v>
      </c>
      <c r="K143" s="381">
        <f>'power redistribution'!L23</f>
        <v>1534762.8185920694</v>
      </c>
      <c r="L143" s="381">
        <f>'power redistribution'!M23</f>
        <v>1586649.7588408131</v>
      </c>
    </row>
    <row r="144" spans="1:12" x14ac:dyDescent="0.2">
      <c r="A144" t="s">
        <v>771</v>
      </c>
      <c r="C144" s="381">
        <f>'power redistribution'!D68</f>
        <v>1066770.041680645</v>
      </c>
      <c r="D144" s="381">
        <f>'power redistribution'!E68</f>
        <v>1070219.4364364978</v>
      </c>
      <c r="E144" s="381">
        <f>'power redistribution'!F68</f>
        <v>1082110.1686863771</v>
      </c>
      <c r="F144" s="381">
        <f>'power redistribution'!G68</f>
        <v>1100655.0263892533</v>
      </c>
      <c r="G144" s="381">
        <f>'power redistribution'!H68</f>
        <v>1123236.4142070122</v>
      </c>
      <c r="H144" s="381">
        <f>'power redistribution'!I68</f>
        <v>1149826.3162330054</v>
      </c>
      <c r="I144" s="381">
        <f>'power redistribution'!J68</f>
        <v>1180398.206349446</v>
      </c>
      <c r="J144" s="381">
        <f>'power redistribution'!K68</f>
        <v>1214927.1103178519</v>
      </c>
      <c r="K144" s="381">
        <f>'power redistribution'!L68</f>
        <v>1253389.6351835232</v>
      </c>
      <c r="L144" s="381">
        <f>'power redistribution'!M68</f>
        <v>1295763.9697199974</v>
      </c>
    </row>
    <row r="145" spans="1:12" s="387" customFormat="1" x14ac:dyDescent="0.2">
      <c r="A145" s="387" t="s">
        <v>773</v>
      </c>
      <c r="C145" s="388">
        <f t="shared" ref="C145:L145" si="42">C143-C144</f>
        <v>239478.98894871632</v>
      </c>
      <c r="D145" s="388">
        <f t="shared" si="42"/>
        <v>240253.3428734995</v>
      </c>
      <c r="E145" s="388">
        <f t="shared" si="42"/>
        <v>242922.69092959515</v>
      </c>
      <c r="F145" s="388">
        <f t="shared" si="42"/>
        <v>247085.82225064863</v>
      </c>
      <c r="G145" s="388">
        <f t="shared" si="42"/>
        <v>252155.11339341081</v>
      </c>
      <c r="H145" s="388">
        <f t="shared" si="42"/>
        <v>258124.27507271548</v>
      </c>
      <c r="I145" s="388">
        <f t="shared" si="42"/>
        <v>264987.35244579404</v>
      </c>
      <c r="J145" s="388">
        <f t="shared" si="42"/>
        <v>272738.73905094643</v>
      </c>
      <c r="K145" s="388">
        <f t="shared" si="42"/>
        <v>281373.18340854626</v>
      </c>
      <c r="L145" s="388">
        <f t="shared" si="42"/>
        <v>290885.78912081569</v>
      </c>
    </row>
    <row r="146" spans="1:12" s="379" customFormat="1" x14ac:dyDescent="0.2">
      <c r="A146" s="389" t="s">
        <v>1283</v>
      </c>
      <c r="B146" s="390">
        <f>NPV($C$5,C145:L145)</f>
        <v>1347386.0707655295</v>
      </c>
      <c r="C146" s="378"/>
      <c r="D146" s="378"/>
      <c r="E146" s="378"/>
      <c r="F146" s="378"/>
      <c r="G146" s="378"/>
      <c r="H146" s="378"/>
      <c r="I146" s="378"/>
      <c r="J146" s="378"/>
      <c r="K146" s="378"/>
      <c r="L146" s="378"/>
    </row>
    <row r="148" spans="1:12" x14ac:dyDescent="0.2">
      <c r="A148" s="369" t="s">
        <v>1264</v>
      </c>
    </row>
    <row r="149" spans="1:12" x14ac:dyDescent="0.2">
      <c r="A149" t="s">
        <v>742</v>
      </c>
      <c r="C149" s="381">
        <f>'power redistribution'!C69</f>
        <v>650000</v>
      </c>
    </row>
    <row r="150" spans="1:12" x14ac:dyDescent="0.2">
      <c r="A150" t="s">
        <v>770</v>
      </c>
      <c r="B150" s="386">
        <f>B142</f>
        <v>0</v>
      </c>
      <c r="C150" s="381">
        <v>0</v>
      </c>
      <c r="D150" s="381">
        <v>0</v>
      </c>
      <c r="E150" s="381">
        <v>0</v>
      </c>
      <c r="F150" s="381">
        <v>0</v>
      </c>
      <c r="G150" s="381">
        <v>0</v>
      </c>
      <c r="H150" s="381">
        <v>0</v>
      </c>
      <c r="I150" s="381">
        <v>0</v>
      </c>
      <c r="J150" s="381">
        <v>0</v>
      </c>
      <c r="K150" s="381">
        <v>0</v>
      </c>
      <c r="L150" s="381">
        <v>0</v>
      </c>
    </row>
    <row r="151" spans="1:12" x14ac:dyDescent="0.2">
      <c r="A151" t="s">
        <v>771</v>
      </c>
      <c r="C151" s="381">
        <f>'power redistribution'!D69</f>
        <v>559201.06298313907</v>
      </c>
      <c r="D151" s="381">
        <f>'power redistribution'!E69</f>
        <v>621539.41595907288</v>
      </c>
      <c r="E151" s="381">
        <f>'power redistribution'!F69</f>
        <v>695612.0471422415</v>
      </c>
      <c r="F151" s="381">
        <f>'power redistribution'!G69</f>
        <v>722014.17310851952</v>
      </c>
      <c r="G151" s="381">
        <f>'power redistribution'!H69</f>
        <v>722014.17310851952</v>
      </c>
      <c r="H151" s="381">
        <f>'power redistribution'!I69</f>
        <v>722014.17310851952</v>
      </c>
      <c r="I151" s="381">
        <f>'power redistribution'!J69</f>
        <v>722014.17310851952</v>
      </c>
      <c r="J151" s="381">
        <f>'power redistribution'!K69</f>
        <v>722014.17310851952</v>
      </c>
      <c r="K151" s="381">
        <f>'power redistribution'!L69</f>
        <v>722014.17310851952</v>
      </c>
      <c r="L151" s="381">
        <f>'power redistribution'!M69</f>
        <v>722014.17310851952</v>
      </c>
    </row>
    <row r="152" spans="1:12" s="387" customFormat="1" x14ac:dyDescent="0.2">
      <c r="A152" s="387" t="s">
        <v>773</v>
      </c>
      <c r="C152" s="388">
        <f t="shared" ref="C152:L152" si="43">C150-C151</f>
        <v>-559201.06298313907</v>
      </c>
      <c r="D152" s="388">
        <f t="shared" si="43"/>
        <v>-621539.41595907288</v>
      </c>
      <c r="E152" s="388">
        <f t="shared" si="43"/>
        <v>-695612.0471422415</v>
      </c>
      <c r="F152" s="388">
        <f t="shared" si="43"/>
        <v>-722014.17310851952</v>
      </c>
      <c r="G152" s="388">
        <f t="shared" si="43"/>
        <v>-722014.17310851952</v>
      </c>
      <c r="H152" s="388">
        <f t="shared" si="43"/>
        <v>-722014.17310851952</v>
      </c>
      <c r="I152" s="388">
        <f t="shared" si="43"/>
        <v>-722014.17310851952</v>
      </c>
      <c r="J152" s="388">
        <f t="shared" si="43"/>
        <v>-722014.17310851952</v>
      </c>
      <c r="K152" s="388">
        <f t="shared" si="43"/>
        <v>-722014.17310851952</v>
      </c>
      <c r="L152" s="388">
        <f t="shared" si="43"/>
        <v>-722014.17310851952</v>
      </c>
    </row>
    <row r="153" spans="1:12" s="379" customFormat="1" x14ac:dyDescent="0.2">
      <c r="A153" s="389" t="s">
        <v>1283</v>
      </c>
      <c r="B153" s="390">
        <f>NPV($C$5,C152:L152)</f>
        <v>-3601267.3166026655</v>
      </c>
      <c r="C153" s="378"/>
      <c r="D153" s="378"/>
      <c r="E153" s="378"/>
      <c r="F153" s="378"/>
      <c r="G153" s="378"/>
      <c r="H153" s="378"/>
      <c r="I153" s="378"/>
      <c r="J153" s="378"/>
      <c r="K153" s="378"/>
      <c r="L153" s="378"/>
    </row>
    <row r="155" spans="1:12" x14ac:dyDescent="0.2">
      <c r="A155" s="369" t="s">
        <v>1469</v>
      </c>
    </row>
    <row r="156" spans="1:12" x14ac:dyDescent="0.2">
      <c r="A156" t="s">
        <v>742</v>
      </c>
      <c r="C156" s="381">
        <f>'power redistribution'!C70</f>
        <v>500000</v>
      </c>
    </row>
    <row r="157" spans="1:12" x14ac:dyDescent="0.2">
      <c r="A157" t="s">
        <v>770</v>
      </c>
      <c r="B157" s="386">
        <f>B149</f>
        <v>0</v>
      </c>
      <c r="C157" s="381">
        <v>0</v>
      </c>
      <c r="D157" s="381">
        <v>0</v>
      </c>
      <c r="E157" s="381">
        <v>0</v>
      </c>
      <c r="F157" s="381">
        <v>0</v>
      </c>
      <c r="G157" s="381">
        <v>0</v>
      </c>
      <c r="H157" s="381">
        <v>0</v>
      </c>
      <c r="I157" s="381">
        <v>0</v>
      </c>
      <c r="J157" s="381">
        <v>0</v>
      </c>
      <c r="K157" s="381">
        <v>0</v>
      </c>
      <c r="L157" s="381">
        <v>0</v>
      </c>
    </row>
    <row r="158" spans="1:12" x14ac:dyDescent="0.2">
      <c r="A158" t="s">
        <v>771</v>
      </c>
      <c r="C158" s="381">
        <f>'power redistribution'!D70</f>
        <v>512088.88551569509</v>
      </c>
      <c r="D158" s="381">
        <f>'power redistribution'!E70</f>
        <v>322955.0589313294</v>
      </c>
      <c r="E158" s="381">
        <f>'power redistribution'!F70</f>
        <v>338352.16007618757</v>
      </c>
      <c r="F158" s="381">
        <f>'power redistribution'!G70</f>
        <v>175910.49083967082</v>
      </c>
      <c r="G158" s="381">
        <f>'power redistribution'!H70</f>
        <v>100000</v>
      </c>
      <c r="H158" s="381">
        <f>'power redistribution'!I70</f>
        <v>100000</v>
      </c>
      <c r="I158" s="381">
        <f>'power redistribution'!J70</f>
        <v>100000</v>
      </c>
      <c r="J158" s="381">
        <f>'power redistribution'!K70</f>
        <v>100000</v>
      </c>
      <c r="K158" s="381">
        <f>'power redistribution'!L70</f>
        <v>100000</v>
      </c>
      <c r="L158" s="381">
        <f>'power redistribution'!M70</f>
        <v>100000</v>
      </c>
    </row>
    <row r="159" spans="1:12" s="387" customFormat="1" x14ac:dyDescent="0.2">
      <c r="A159" s="387" t="s">
        <v>773</v>
      </c>
      <c r="C159" s="388">
        <f t="shared" ref="C159:L159" si="44">C157-C158</f>
        <v>-512088.88551569509</v>
      </c>
      <c r="D159" s="388">
        <f t="shared" si="44"/>
        <v>-322955.0589313294</v>
      </c>
      <c r="E159" s="388">
        <f t="shared" si="44"/>
        <v>-338352.16007618757</v>
      </c>
      <c r="F159" s="388">
        <f t="shared" si="44"/>
        <v>-175910.49083967082</v>
      </c>
      <c r="G159" s="388">
        <f t="shared" si="44"/>
        <v>-100000</v>
      </c>
      <c r="H159" s="388">
        <f t="shared" si="44"/>
        <v>-100000</v>
      </c>
      <c r="I159" s="388">
        <f t="shared" si="44"/>
        <v>-100000</v>
      </c>
      <c r="J159" s="388">
        <f t="shared" si="44"/>
        <v>-100000</v>
      </c>
      <c r="K159" s="388">
        <f t="shared" si="44"/>
        <v>-100000</v>
      </c>
      <c r="L159" s="388">
        <f t="shared" si="44"/>
        <v>-100000</v>
      </c>
    </row>
    <row r="160" spans="1:12" s="379" customFormat="1" x14ac:dyDescent="0.2">
      <c r="A160" s="389" t="s">
        <v>1283</v>
      </c>
      <c r="B160" s="390">
        <f>NPV($C$5,C159:L159)</f>
        <v>-1276855.9838504086</v>
      </c>
      <c r="C160" s="378"/>
      <c r="D160" s="378"/>
      <c r="E160" s="378"/>
      <c r="F160" s="378"/>
      <c r="G160" s="378"/>
      <c r="H160" s="378"/>
      <c r="I160" s="378"/>
      <c r="J160" s="378"/>
      <c r="K160" s="378"/>
      <c r="L160" s="378"/>
    </row>
    <row r="162" spans="1:12" x14ac:dyDescent="0.2">
      <c r="A162" s="369" t="s">
        <v>1221</v>
      </c>
    </row>
    <row r="163" spans="1:12" x14ac:dyDescent="0.2">
      <c r="A163" t="s">
        <v>742</v>
      </c>
      <c r="C163" s="381">
        <v>0</v>
      </c>
    </row>
    <row r="164" spans="1:12" x14ac:dyDescent="0.2">
      <c r="A164" t="s">
        <v>770</v>
      </c>
      <c r="B164" s="386">
        <f>B156</f>
        <v>0</v>
      </c>
      <c r="C164" s="381">
        <v>0</v>
      </c>
      <c r="D164" s="381">
        <v>0</v>
      </c>
      <c r="E164" s="381">
        <v>0</v>
      </c>
      <c r="F164" s="381">
        <v>0</v>
      </c>
      <c r="G164" s="381">
        <v>0</v>
      </c>
      <c r="H164" s="381">
        <v>0</v>
      </c>
      <c r="I164" s="381">
        <v>0</v>
      </c>
      <c r="J164" s="381">
        <v>0</v>
      </c>
      <c r="K164" s="381">
        <v>0</v>
      </c>
      <c r="L164" s="381">
        <v>0</v>
      </c>
    </row>
    <row r="165" spans="1:12" x14ac:dyDescent="0.2">
      <c r="A165" t="s">
        <v>771</v>
      </c>
      <c r="C165" s="381">
        <f>'power redistribution'!D65</f>
        <v>0</v>
      </c>
      <c r="D165" s="381">
        <f>'power redistribution'!E65</f>
        <v>0</v>
      </c>
      <c r="E165" s="381">
        <f>'power redistribution'!F65</f>
        <v>0</v>
      </c>
      <c r="F165" s="381">
        <f>'power redistribution'!G65</f>
        <v>0</v>
      </c>
      <c r="G165" s="381">
        <f>'power redistribution'!H65</f>
        <v>0</v>
      </c>
      <c r="H165" s="381">
        <f>'power redistribution'!I65</f>
        <v>0</v>
      </c>
      <c r="I165" s="381">
        <f>'power redistribution'!J65</f>
        <v>0</v>
      </c>
      <c r="J165" s="381">
        <f>'power redistribution'!K65</f>
        <v>0</v>
      </c>
      <c r="K165" s="381">
        <f>'power redistribution'!L65</f>
        <v>0</v>
      </c>
      <c r="L165" s="381">
        <f>'power redistribution'!M65</f>
        <v>0</v>
      </c>
    </row>
    <row r="166" spans="1:12" s="387" customFormat="1" x14ac:dyDescent="0.2">
      <c r="A166" s="387" t="s">
        <v>773</v>
      </c>
      <c r="C166" s="388">
        <f t="shared" ref="C166:L166" si="45">C164-C165</f>
        <v>0</v>
      </c>
      <c r="D166" s="388">
        <f t="shared" si="45"/>
        <v>0</v>
      </c>
      <c r="E166" s="388">
        <f t="shared" si="45"/>
        <v>0</v>
      </c>
      <c r="F166" s="388">
        <f t="shared" si="45"/>
        <v>0</v>
      </c>
      <c r="G166" s="388">
        <f t="shared" si="45"/>
        <v>0</v>
      </c>
      <c r="H166" s="388">
        <f t="shared" si="45"/>
        <v>0</v>
      </c>
      <c r="I166" s="388">
        <f t="shared" si="45"/>
        <v>0</v>
      </c>
      <c r="J166" s="388">
        <f t="shared" si="45"/>
        <v>0</v>
      </c>
      <c r="K166" s="388">
        <f t="shared" si="45"/>
        <v>0</v>
      </c>
      <c r="L166" s="388">
        <f t="shared" si="45"/>
        <v>0</v>
      </c>
    </row>
    <row r="167" spans="1:12" s="379" customFormat="1" x14ac:dyDescent="0.2">
      <c r="A167" s="389" t="s">
        <v>1283</v>
      </c>
      <c r="B167" s="390">
        <f>NPV($C$5,C166:L166)</f>
        <v>0</v>
      </c>
      <c r="C167" s="378"/>
      <c r="D167" s="378"/>
      <c r="E167" s="378"/>
      <c r="F167" s="378"/>
      <c r="G167" s="378"/>
      <c r="H167" s="378"/>
      <c r="I167" s="378"/>
      <c r="J167" s="378"/>
      <c r="K167" s="378"/>
      <c r="L167" s="378"/>
    </row>
    <row r="169" spans="1:12" x14ac:dyDescent="0.2">
      <c r="A169" s="369" t="s">
        <v>1222</v>
      </c>
    </row>
    <row r="170" spans="1:12" x14ac:dyDescent="0.2">
      <c r="A170" t="s">
        <v>742</v>
      </c>
      <c r="C170" s="381">
        <v>0</v>
      </c>
    </row>
    <row r="171" spans="1:12" x14ac:dyDescent="0.2">
      <c r="A171" t="s">
        <v>770</v>
      </c>
      <c r="B171" s="386">
        <f>B163</f>
        <v>0</v>
      </c>
      <c r="C171" s="381">
        <v>0</v>
      </c>
      <c r="D171" s="381">
        <v>0</v>
      </c>
      <c r="E171" s="381">
        <v>0</v>
      </c>
      <c r="F171" s="381">
        <v>0</v>
      </c>
      <c r="G171" s="381">
        <v>0</v>
      </c>
      <c r="H171" s="381">
        <v>0</v>
      </c>
      <c r="I171" s="381">
        <v>0</v>
      </c>
      <c r="J171" s="381">
        <v>0</v>
      </c>
      <c r="K171" s="381">
        <v>0</v>
      </c>
      <c r="L171" s="381">
        <v>0</v>
      </c>
    </row>
    <row r="172" spans="1:12" x14ac:dyDescent="0.2">
      <c r="A172" t="s">
        <v>771</v>
      </c>
      <c r="C172" s="381">
        <f>'power redistribution'!D66</f>
        <v>12251522.541030942</v>
      </c>
      <c r="D172" s="381">
        <f>'power redistribution'!E66</f>
        <v>13617292.006097978</v>
      </c>
      <c r="E172" s="381">
        <f>'power redistribution'!F66</f>
        <v>15240147.488118811</v>
      </c>
      <c r="F172" s="381">
        <f>'power redistribution'!G66</f>
        <v>15818591.026264848</v>
      </c>
      <c r="G172" s="381">
        <f>'power redistribution'!H66</f>
        <v>15818591.026264848</v>
      </c>
      <c r="H172" s="381">
        <f>'power redistribution'!I66</f>
        <v>15818591.026264848</v>
      </c>
      <c r="I172" s="381">
        <f>'power redistribution'!J66</f>
        <v>15818591.026264848</v>
      </c>
      <c r="J172" s="381">
        <f>'power redistribution'!K66</f>
        <v>15818591.026264848</v>
      </c>
      <c r="K172" s="381">
        <f>'power redistribution'!L66</f>
        <v>15818591.026264848</v>
      </c>
      <c r="L172" s="381">
        <f>'power redistribution'!M66</f>
        <v>15818591.026264848</v>
      </c>
    </row>
    <row r="173" spans="1:12" s="387" customFormat="1" x14ac:dyDescent="0.2">
      <c r="A173" s="387" t="s">
        <v>773</v>
      </c>
      <c r="C173" s="388">
        <f t="shared" ref="C173:L173" si="46">C171-C172</f>
        <v>-12251522.541030942</v>
      </c>
      <c r="D173" s="388">
        <f t="shared" si="46"/>
        <v>-13617292.006097978</v>
      </c>
      <c r="E173" s="388">
        <f t="shared" si="46"/>
        <v>-15240147.488118811</v>
      </c>
      <c r="F173" s="388">
        <f t="shared" si="46"/>
        <v>-15818591.026264848</v>
      </c>
      <c r="G173" s="388">
        <f t="shared" si="46"/>
        <v>-15818591.026264848</v>
      </c>
      <c r="H173" s="388">
        <f t="shared" si="46"/>
        <v>-15818591.026264848</v>
      </c>
      <c r="I173" s="388">
        <f t="shared" si="46"/>
        <v>-15818591.026264848</v>
      </c>
      <c r="J173" s="388">
        <f t="shared" si="46"/>
        <v>-15818591.026264848</v>
      </c>
      <c r="K173" s="388">
        <f t="shared" si="46"/>
        <v>-15818591.026264848</v>
      </c>
      <c r="L173" s="388">
        <f t="shared" si="46"/>
        <v>-15818591.026264848</v>
      </c>
    </row>
    <row r="174" spans="1:12" s="379" customFormat="1" x14ac:dyDescent="0.2">
      <c r="A174" s="389" t="s">
        <v>1283</v>
      </c>
      <c r="B174" s="390">
        <f>NPV($C$5,C173:L173)</f>
        <v>-78900078.390884474</v>
      </c>
      <c r="C174" s="378"/>
      <c r="D174" s="378"/>
      <c r="E174" s="378"/>
      <c r="F174" s="378"/>
      <c r="G174" s="378"/>
      <c r="H174" s="378"/>
      <c r="I174" s="378"/>
      <c r="J174" s="378"/>
      <c r="K174" s="378"/>
      <c r="L174" s="378"/>
    </row>
    <row r="176" spans="1:12" x14ac:dyDescent="0.2">
      <c r="A176" s="369" t="s">
        <v>787</v>
      </c>
    </row>
    <row r="177" spans="1:12" x14ac:dyDescent="0.2">
      <c r="A177" t="s">
        <v>742</v>
      </c>
      <c r="C177" s="381">
        <v>0</v>
      </c>
    </row>
    <row r="178" spans="1:12" x14ac:dyDescent="0.2">
      <c r="A178" t="s">
        <v>770</v>
      </c>
      <c r="B178" s="386">
        <f>B170</f>
        <v>0</v>
      </c>
      <c r="C178" s="381">
        <v>0</v>
      </c>
      <c r="D178" s="381">
        <v>0</v>
      </c>
      <c r="E178" s="381">
        <v>0</v>
      </c>
      <c r="F178" s="381">
        <v>0</v>
      </c>
      <c r="G178" s="381">
        <v>0</v>
      </c>
      <c r="H178" s="381">
        <v>0</v>
      </c>
      <c r="I178" s="381">
        <v>0</v>
      </c>
      <c r="J178" s="381">
        <v>0</v>
      </c>
      <c r="K178" s="381">
        <v>0</v>
      </c>
      <c r="L178" s="381">
        <v>0</v>
      </c>
    </row>
    <row r="179" spans="1:12" x14ac:dyDescent="0.2">
      <c r="A179" t="s">
        <v>771</v>
      </c>
      <c r="C179" s="381">
        <f>'power redistribution'!D106</f>
        <v>0</v>
      </c>
      <c r="D179" s="381">
        <f>'power redistribution'!E106</f>
        <v>0</v>
      </c>
      <c r="E179" s="381">
        <f>'power redistribution'!F106</f>
        <v>0</v>
      </c>
      <c r="F179" s="381">
        <f>'power redistribution'!G106</f>
        <v>0</v>
      </c>
      <c r="G179" s="381">
        <f>'power redistribution'!H106</f>
        <v>0</v>
      </c>
      <c r="H179" s="381">
        <f>'power redistribution'!I106</f>
        <v>0</v>
      </c>
      <c r="I179" s="381">
        <f>'power redistribution'!J106</f>
        <v>0</v>
      </c>
      <c r="J179" s="381">
        <f>'power redistribution'!K106</f>
        <v>0</v>
      </c>
      <c r="K179" s="381">
        <f>'power redistribution'!L106</f>
        <v>0</v>
      </c>
      <c r="L179" s="381">
        <f>'power redistribution'!M106</f>
        <v>0</v>
      </c>
    </row>
    <row r="180" spans="1:12" s="387" customFormat="1" x14ac:dyDescent="0.2">
      <c r="A180" s="387" t="s">
        <v>773</v>
      </c>
      <c r="C180" s="388">
        <f t="shared" ref="C180:L180" si="47">C178-C179</f>
        <v>0</v>
      </c>
      <c r="D180" s="388">
        <f t="shared" si="47"/>
        <v>0</v>
      </c>
      <c r="E180" s="388">
        <f t="shared" si="47"/>
        <v>0</v>
      </c>
      <c r="F180" s="388">
        <f t="shared" si="47"/>
        <v>0</v>
      </c>
      <c r="G180" s="388">
        <f t="shared" si="47"/>
        <v>0</v>
      </c>
      <c r="H180" s="388">
        <f t="shared" si="47"/>
        <v>0</v>
      </c>
      <c r="I180" s="388">
        <f t="shared" si="47"/>
        <v>0</v>
      </c>
      <c r="J180" s="388">
        <f t="shared" si="47"/>
        <v>0</v>
      </c>
      <c r="K180" s="388">
        <f t="shared" si="47"/>
        <v>0</v>
      </c>
      <c r="L180" s="388">
        <f t="shared" si="47"/>
        <v>0</v>
      </c>
    </row>
    <row r="181" spans="1:12" s="379" customFormat="1" x14ac:dyDescent="0.2">
      <c r="A181" s="389" t="s">
        <v>1283</v>
      </c>
      <c r="B181" s="390">
        <f>NPV($C$5,C180:L180)</f>
        <v>0</v>
      </c>
      <c r="C181" s="378"/>
      <c r="D181" s="378"/>
      <c r="E181" s="378"/>
      <c r="F181" s="378"/>
      <c r="G181" s="378"/>
      <c r="H181" s="378"/>
      <c r="I181" s="378"/>
      <c r="J181" s="378"/>
      <c r="K181" s="378"/>
      <c r="L181" s="378"/>
    </row>
    <row r="183" spans="1:12" x14ac:dyDescent="0.2">
      <c r="A183" t="s">
        <v>783</v>
      </c>
      <c r="C183" s="381">
        <f t="shared" ref="C183:L183" si="48">C136+C143</f>
        <v>64134569.753864981</v>
      </c>
      <c r="D183" s="381">
        <f t="shared" si="48"/>
        <v>71142739.477248356</v>
      </c>
      <c r="E183" s="381">
        <f t="shared" si="48"/>
        <v>79479635.362789333</v>
      </c>
      <c r="F183" s="381">
        <f t="shared" si="48"/>
        <v>82468720.4705109</v>
      </c>
      <c r="G183" s="381">
        <f t="shared" si="48"/>
        <v>82496371.149471417</v>
      </c>
      <c r="H183" s="381">
        <f t="shared" si="48"/>
        <v>82528930.213176712</v>
      </c>
      <c r="I183" s="381">
        <f t="shared" si="48"/>
        <v>82566365.180666238</v>
      </c>
      <c r="J183" s="381">
        <f t="shared" si="48"/>
        <v>82608645.47123979</v>
      </c>
      <c r="K183" s="381">
        <f t="shared" si="48"/>
        <v>82655742.440463066</v>
      </c>
      <c r="L183" s="381">
        <f t="shared" si="48"/>
        <v>82707629.380711809</v>
      </c>
    </row>
    <row r="184" spans="1:12" x14ac:dyDescent="0.2">
      <c r="A184" t="s">
        <v>1217</v>
      </c>
      <c r="B184" s="381">
        <f>NPV(C5,C183:L183)</f>
        <v>411965165.18773228</v>
      </c>
    </row>
    <row r="185" spans="1:12" x14ac:dyDescent="0.2">
      <c r="A185" t="s">
        <v>789</v>
      </c>
      <c r="B185" s="446">
        <f>SUM(C183:L183)</f>
        <v>792789348.90014255</v>
      </c>
    </row>
    <row r="186" spans="1:12" x14ac:dyDescent="0.2">
      <c r="A186" t="s">
        <v>875</v>
      </c>
      <c r="B186" s="446"/>
      <c r="C186" s="381">
        <f t="shared" ref="C186:L186" si="49">C138+C145+C152+C159+C166+C173+C180</f>
        <v>-764310.77734543011</v>
      </c>
      <c r="D186" s="381">
        <f t="shared" si="49"/>
        <v>-789416.10684319399</v>
      </c>
      <c r="E186" s="381">
        <f t="shared" si="49"/>
        <v>2101421.6987657268</v>
      </c>
      <c r="F186" s="381">
        <f t="shared" si="49"/>
        <v>2299591.7539086062</v>
      </c>
      <c r="G186" s="381">
        <f t="shared" si="49"/>
        <v>3693244.3358910289</v>
      </c>
      <c r="H186" s="381">
        <f t="shared" si="49"/>
        <v>3699213.497570334</v>
      </c>
      <c r="I186" s="381">
        <f t="shared" si="49"/>
        <v>3706076.5749434102</v>
      </c>
      <c r="J186" s="381">
        <f t="shared" si="49"/>
        <v>3713827.961548565</v>
      </c>
      <c r="K186" s="381">
        <f t="shared" si="49"/>
        <v>5691471.6059061754</v>
      </c>
      <c r="L186" s="381">
        <f t="shared" si="49"/>
        <v>5700984.211618444</v>
      </c>
    </row>
    <row r="187" spans="1:12" x14ac:dyDescent="0.2">
      <c r="A187" t="s">
        <v>876</v>
      </c>
      <c r="B187" s="446"/>
    </row>
    <row r="188" spans="1:12" ht="13.5" thickBot="1" x14ac:dyDescent="0.25"/>
    <row r="189" spans="1:12" ht="14.25" thickTop="1" thickBot="1" x14ac:dyDescent="0.25">
      <c r="A189" s="402" t="s">
        <v>784</v>
      </c>
      <c r="B189" s="403">
        <f>B181+B174+B167+B160+B153+B146+B139</f>
        <v>11531443.044769719</v>
      </c>
    </row>
    <row r="190" spans="1:12" ht="13.5" thickTop="1" x14ac:dyDescent="0.2"/>
    <row r="191" spans="1:12" ht="15.75" x14ac:dyDescent="0.25">
      <c r="A191" s="385" t="s">
        <v>1094</v>
      </c>
    </row>
    <row r="192" spans="1:12" x14ac:dyDescent="0.2">
      <c r="A192" s="369" t="s">
        <v>769</v>
      </c>
    </row>
    <row r="193" spans="1:12" x14ac:dyDescent="0.2">
      <c r="A193" t="s">
        <v>742</v>
      </c>
      <c r="C193" s="381">
        <f>'power redistribution'!C85</f>
        <v>0</v>
      </c>
    </row>
    <row r="194" spans="1:12" x14ac:dyDescent="0.2">
      <c r="A194" t="s">
        <v>770</v>
      </c>
      <c r="B194" s="386">
        <f>B178</f>
        <v>0</v>
      </c>
    </row>
    <row r="195" spans="1:12" x14ac:dyDescent="0.2">
      <c r="A195" t="s">
        <v>771</v>
      </c>
    </row>
    <row r="196" spans="1:12" s="387" customFormat="1" x14ac:dyDescent="0.2">
      <c r="A196" s="387" t="s">
        <v>773</v>
      </c>
      <c r="C196" s="388">
        <f t="shared" ref="C196:L196" si="50">C194-C195</f>
        <v>0</v>
      </c>
      <c r="D196" s="388">
        <f t="shared" si="50"/>
        <v>0</v>
      </c>
      <c r="E196" s="388">
        <f t="shared" si="50"/>
        <v>0</v>
      </c>
      <c r="F196" s="388">
        <f t="shared" si="50"/>
        <v>0</v>
      </c>
      <c r="G196" s="388">
        <f t="shared" si="50"/>
        <v>0</v>
      </c>
      <c r="H196" s="388">
        <f t="shared" si="50"/>
        <v>0</v>
      </c>
      <c r="I196" s="388">
        <f t="shared" si="50"/>
        <v>0</v>
      </c>
      <c r="J196" s="388">
        <f t="shared" si="50"/>
        <v>0</v>
      </c>
      <c r="K196" s="388">
        <f t="shared" si="50"/>
        <v>0</v>
      </c>
      <c r="L196" s="388">
        <f t="shared" si="50"/>
        <v>0</v>
      </c>
    </row>
    <row r="197" spans="1:12" s="379" customFormat="1" x14ac:dyDescent="0.2">
      <c r="A197" s="389" t="s">
        <v>1283</v>
      </c>
      <c r="B197" s="390">
        <f>NPV($C$5,C196:L196)</f>
        <v>0</v>
      </c>
      <c r="C197" s="378"/>
      <c r="D197" s="378"/>
      <c r="E197" s="378"/>
      <c r="F197" s="378"/>
      <c r="G197" s="378"/>
      <c r="H197" s="378"/>
      <c r="I197" s="378"/>
      <c r="J197" s="378"/>
      <c r="K197" s="378"/>
      <c r="L197" s="378"/>
    </row>
    <row r="199" spans="1:12" x14ac:dyDescent="0.2">
      <c r="A199" s="369" t="s">
        <v>786</v>
      </c>
    </row>
    <row r="200" spans="1:12" x14ac:dyDescent="0.2">
      <c r="A200" t="s">
        <v>742</v>
      </c>
      <c r="C200" s="381">
        <f>'power redistribution'!C86</f>
        <v>0</v>
      </c>
    </row>
    <row r="201" spans="1:12" x14ac:dyDescent="0.2">
      <c r="A201" t="s">
        <v>770</v>
      </c>
      <c r="B201" s="386">
        <f>B193</f>
        <v>0</v>
      </c>
    </row>
    <row r="202" spans="1:12" x14ac:dyDescent="0.2">
      <c r="A202" t="s">
        <v>771</v>
      </c>
    </row>
    <row r="203" spans="1:12" s="387" customFormat="1" x14ac:dyDescent="0.2">
      <c r="A203" s="387" t="s">
        <v>773</v>
      </c>
      <c r="C203" s="388">
        <f t="shared" ref="C203:L203" si="51">C201-C202</f>
        <v>0</v>
      </c>
      <c r="D203" s="388">
        <f t="shared" si="51"/>
        <v>0</v>
      </c>
      <c r="E203" s="388">
        <f t="shared" si="51"/>
        <v>0</v>
      </c>
      <c r="F203" s="388">
        <f t="shared" si="51"/>
        <v>0</v>
      </c>
      <c r="G203" s="388">
        <f t="shared" si="51"/>
        <v>0</v>
      </c>
      <c r="H203" s="388">
        <f t="shared" si="51"/>
        <v>0</v>
      </c>
      <c r="I203" s="388">
        <f t="shared" si="51"/>
        <v>0</v>
      </c>
      <c r="J203" s="388">
        <f t="shared" si="51"/>
        <v>0</v>
      </c>
      <c r="K203" s="388">
        <f t="shared" si="51"/>
        <v>0</v>
      </c>
      <c r="L203" s="388">
        <f t="shared" si="51"/>
        <v>0</v>
      </c>
    </row>
    <row r="204" spans="1:12" s="379" customFormat="1" x14ac:dyDescent="0.2">
      <c r="A204" s="389" t="s">
        <v>1283</v>
      </c>
      <c r="B204" s="390">
        <f>NPV($C$5,C203:L203)</f>
        <v>0</v>
      </c>
      <c r="C204" s="378"/>
      <c r="D204" s="378"/>
      <c r="E204" s="378"/>
      <c r="F204" s="378"/>
      <c r="G204" s="378"/>
      <c r="H204" s="378"/>
      <c r="I204" s="378"/>
      <c r="J204" s="378"/>
      <c r="K204" s="378"/>
      <c r="L204" s="378"/>
    </row>
    <row r="206" spans="1:12" x14ac:dyDescent="0.2">
      <c r="A206" s="369" t="s">
        <v>723</v>
      </c>
    </row>
    <row r="207" spans="1:12" x14ac:dyDescent="0.2">
      <c r="A207" t="s">
        <v>742</v>
      </c>
      <c r="C207" s="381">
        <f>'power redistribution'!C129</f>
        <v>0</v>
      </c>
    </row>
    <row r="208" spans="1:12" x14ac:dyDescent="0.2">
      <c r="A208" t="s">
        <v>770</v>
      </c>
      <c r="B208" s="386">
        <f>B200</f>
        <v>0</v>
      </c>
      <c r="C208" s="381">
        <v>0</v>
      </c>
      <c r="D208" s="381">
        <v>0</v>
      </c>
      <c r="E208" s="381">
        <v>0</v>
      </c>
      <c r="F208" s="381">
        <v>0</v>
      </c>
      <c r="G208" s="381">
        <v>0</v>
      </c>
      <c r="H208" s="381">
        <v>0</v>
      </c>
      <c r="I208" s="381">
        <v>0</v>
      </c>
      <c r="J208" s="381">
        <v>0</v>
      </c>
      <c r="K208" s="381">
        <v>0</v>
      </c>
      <c r="L208" s="381">
        <v>0</v>
      </c>
    </row>
    <row r="209" spans="1:12" x14ac:dyDescent="0.2">
      <c r="A209" t="s">
        <v>771</v>
      </c>
      <c r="C209" s="381">
        <f>'FM Summary'!B97</f>
        <v>-4000000</v>
      </c>
      <c r="D209" s="381">
        <f>'FM Summary'!C97</f>
        <v>0</v>
      </c>
      <c r="E209" s="381">
        <f>'FM Summary'!D97</f>
        <v>0</v>
      </c>
      <c r="F209" s="381">
        <f>'FM Summary'!E97</f>
        <v>0</v>
      </c>
      <c r="G209" s="381">
        <f>'FM Summary'!F97</f>
        <v>0</v>
      </c>
      <c r="H209" s="381">
        <f>'FM Summary'!G97</f>
        <v>0</v>
      </c>
      <c r="I209" s="381">
        <f>'FM Summary'!H97</f>
        <v>0</v>
      </c>
      <c r="J209" s="381">
        <f>'FM Summary'!I97</f>
        <v>0</v>
      </c>
      <c r="K209" s="381">
        <f>'FM Summary'!J97</f>
        <v>0</v>
      </c>
      <c r="L209" s="381">
        <f>'FM Summary'!K97</f>
        <v>0</v>
      </c>
    </row>
    <row r="210" spans="1:12" s="387" customFormat="1" x14ac:dyDescent="0.2">
      <c r="A210" s="387" t="s">
        <v>773</v>
      </c>
      <c r="C210" s="388">
        <f>-C208+C209</f>
        <v>-4000000</v>
      </c>
      <c r="D210" s="388">
        <f t="shared" ref="D210:L210" si="52">D208-D209</f>
        <v>0</v>
      </c>
      <c r="E210" s="388">
        <f t="shared" si="52"/>
        <v>0</v>
      </c>
      <c r="F210" s="388">
        <f t="shared" si="52"/>
        <v>0</v>
      </c>
      <c r="G210" s="388">
        <f t="shared" si="52"/>
        <v>0</v>
      </c>
      <c r="H210" s="388">
        <f t="shared" si="52"/>
        <v>0</v>
      </c>
      <c r="I210" s="388">
        <f t="shared" si="52"/>
        <v>0</v>
      </c>
      <c r="J210" s="388">
        <f t="shared" si="52"/>
        <v>0</v>
      </c>
      <c r="K210" s="388">
        <f t="shared" si="52"/>
        <v>0</v>
      </c>
      <c r="L210" s="388">
        <f t="shared" si="52"/>
        <v>0</v>
      </c>
    </row>
    <row r="211" spans="1:12" s="379" customFormat="1" x14ac:dyDescent="0.2">
      <c r="A211" s="389" t="s">
        <v>1283</v>
      </c>
      <c r="B211" s="390">
        <f>NPV($C$5,C210:L210)</f>
        <v>-3524229.074889868</v>
      </c>
      <c r="C211" s="378"/>
      <c r="D211" s="378"/>
      <c r="E211" s="378"/>
      <c r="F211" s="378"/>
      <c r="G211" s="378"/>
      <c r="H211" s="378"/>
      <c r="I211" s="378"/>
      <c r="J211" s="378"/>
      <c r="K211" s="378"/>
      <c r="L211" s="378"/>
    </row>
    <row r="213" spans="1:12" x14ac:dyDescent="0.2">
      <c r="A213" s="369" t="s">
        <v>724</v>
      </c>
    </row>
    <row r="214" spans="1:12" x14ac:dyDescent="0.2">
      <c r="A214" t="s">
        <v>742</v>
      </c>
      <c r="C214" s="381">
        <f>'power redistribution'!C130</f>
        <v>0</v>
      </c>
    </row>
    <row r="215" spans="1:12" x14ac:dyDescent="0.2">
      <c r="A215" t="s">
        <v>770</v>
      </c>
      <c r="B215" s="386">
        <f>B207</f>
        <v>0</v>
      </c>
    </row>
    <row r="216" spans="1:12" x14ac:dyDescent="0.2">
      <c r="A216" t="s">
        <v>771</v>
      </c>
      <c r="C216" s="381">
        <v>0</v>
      </c>
      <c r="D216" s="381">
        <v>0</v>
      </c>
      <c r="E216" s="381">
        <v>0</v>
      </c>
      <c r="F216" s="381">
        <v>0</v>
      </c>
      <c r="G216" s="381">
        <v>0</v>
      </c>
      <c r="H216" s="381">
        <v>0</v>
      </c>
      <c r="I216" s="381">
        <v>0</v>
      </c>
      <c r="J216" s="381">
        <v>0</v>
      </c>
      <c r="K216" s="381">
        <v>0</v>
      </c>
      <c r="L216" s="381">
        <v>0</v>
      </c>
    </row>
    <row r="217" spans="1:12" s="387" customFormat="1" x14ac:dyDescent="0.2">
      <c r="A217" s="387" t="s">
        <v>773</v>
      </c>
      <c r="C217" s="388">
        <f t="shared" ref="C217:L217" si="53">C215-C216</f>
        <v>0</v>
      </c>
      <c r="D217" s="388">
        <f t="shared" si="53"/>
        <v>0</v>
      </c>
      <c r="E217" s="388">
        <f t="shared" si="53"/>
        <v>0</v>
      </c>
      <c r="F217" s="388">
        <f t="shared" si="53"/>
        <v>0</v>
      </c>
      <c r="G217" s="388">
        <f t="shared" si="53"/>
        <v>0</v>
      </c>
      <c r="H217" s="388">
        <f t="shared" si="53"/>
        <v>0</v>
      </c>
      <c r="I217" s="388">
        <f t="shared" si="53"/>
        <v>0</v>
      </c>
      <c r="J217" s="388">
        <f t="shared" si="53"/>
        <v>0</v>
      </c>
      <c r="K217" s="388">
        <f t="shared" si="53"/>
        <v>0</v>
      </c>
      <c r="L217" s="388">
        <f t="shared" si="53"/>
        <v>0</v>
      </c>
    </row>
    <row r="218" spans="1:12" s="379" customFormat="1" x14ac:dyDescent="0.2">
      <c r="A218" s="389" t="s">
        <v>1283</v>
      </c>
      <c r="B218" s="390">
        <f>NPV($C$5,C217:L217)</f>
        <v>0</v>
      </c>
      <c r="C218" s="378"/>
      <c r="D218" s="378"/>
      <c r="E218" s="378"/>
      <c r="F218" s="378"/>
      <c r="G218" s="378"/>
      <c r="H218" s="378"/>
      <c r="I218" s="378"/>
      <c r="J218" s="378"/>
      <c r="K218" s="378"/>
      <c r="L218" s="378"/>
    </row>
    <row r="220" spans="1:12" x14ac:dyDescent="0.2">
      <c r="A220" s="369" t="s">
        <v>1452</v>
      </c>
    </row>
    <row r="221" spans="1:12" x14ac:dyDescent="0.2">
      <c r="A221" t="s">
        <v>742</v>
      </c>
      <c r="C221" s="381">
        <v>0</v>
      </c>
    </row>
    <row r="222" spans="1:12" x14ac:dyDescent="0.2">
      <c r="A222" t="s">
        <v>770</v>
      </c>
      <c r="B222" s="386">
        <f>B214</f>
        <v>0</v>
      </c>
      <c r="C222" s="381">
        <f>'FM Summary'!B98</f>
        <v>200000</v>
      </c>
      <c r="D222" s="381">
        <f>'FM Summary'!C98</f>
        <v>350000</v>
      </c>
      <c r="E222" s="381">
        <f>'FM Summary'!D98</f>
        <v>500000</v>
      </c>
      <c r="F222" s="381">
        <f>'FM Summary'!E98</f>
        <v>650000</v>
      </c>
      <c r="G222" s="381">
        <f>'FM Summary'!F98</f>
        <v>800000</v>
      </c>
      <c r="H222" s="381">
        <f>'FM Summary'!G98</f>
        <v>950000</v>
      </c>
      <c r="I222" s="381">
        <f>'FM Summary'!H98</f>
        <v>1100000</v>
      </c>
      <c r="J222" s="381">
        <f>'FM Summary'!I98</f>
        <v>1250000</v>
      </c>
      <c r="K222" s="381">
        <f>'FM Summary'!J98</f>
        <v>1400000</v>
      </c>
      <c r="L222" s="381">
        <f>'FM Summary'!K98</f>
        <v>1550000</v>
      </c>
    </row>
    <row r="223" spans="1:12" x14ac:dyDescent="0.2">
      <c r="A223" t="s">
        <v>771</v>
      </c>
      <c r="C223" s="381">
        <f>'power redistribution'!D125</f>
        <v>0</v>
      </c>
      <c r="D223" s="381">
        <f>'power redistribution'!E125</f>
        <v>0</v>
      </c>
      <c r="E223" s="381">
        <f>'power redistribution'!F125</f>
        <v>0</v>
      </c>
      <c r="F223" s="381">
        <f>'power redistribution'!G125</f>
        <v>0</v>
      </c>
      <c r="G223" s="381">
        <f>'power redistribution'!H125</f>
        <v>0</v>
      </c>
      <c r="H223" s="381">
        <f>'power redistribution'!I125</f>
        <v>0</v>
      </c>
      <c r="I223" s="381">
        <f>'power redistribution'!J125</f>
        <v>0</v>
      </c>
      <c r="J223" s="381">
        <f>'power redistribution'!K125</f>
        <v>0</v>
      </c>
      <c r="K223" s="381">
        <f>'power redistribution'!L125</f>
        <v>0</v>
      </c>
      <c r="L223" s="381">
        <f>'power redistribution'!M125</f>
        <v>0</v>
      </c>
    </row>
    <row r="224" spans="1:12" s="387" customFormat="1" x14ac:dyDescent="0.2">
      <c r="A224" s="387" t="s">
        <v>773</v>
      </c>
      <c r="C224" s="388">
        <f t="shared" ref="C224:L224" si="54">C222-C223</f>
        <v>200000</v>
      </c>
      <c r="D224" s="388">
        <f t="shared" si="54"/>
        <v>350000</v>
      </c>
      <c r="E224" s="388">
        <f t="shared" si="54"/>
        <v>500000</v>
      </c>
      <c r="F224" s="388">
        <f t="shared" si="54"/>
        <v>650000</v>
      </c>
      <c r="G224" s="388">
        <f t="shared" si="54"/>
        <v>800000</v>
      </c>
      <c r="H224" s="388">
        <f t="shared" si="54"/>
        <v>950000</v>
      </c>
      <c r="I224" s="388">
        <f t="shared" si="54"/>
        <v>1100000</v>
      </c>
      <c r="J224" s="388">
        <f t="shared" si="54"/>
        <v>1250000</v>
      </c>
      <c r="K224" s="388">
        <f t="shared" si="54"/>
        <v>1400000</v>
      </c>
      <c r="L224" s="388">
        <f t="shared" si="54"/>
        <v>1550000</v>
      </c>
    </row>
    <row r="225" spans="1:12" s="379" customFormat="1" x14ac:dyDescent="0.2">
      <c r="A225" s="389" t="s">
        <v>1283</v>
      </c>
      <c r="B225" s="390">
        <f>NPV($C$5,C224:L224)</f>
        <v>3842643.3517797058</v>
      </c>
      <c r="C225" s="378"/>
      <c r="D225" s="378"/>
      <c r="E225" s="378"/>
      <c r="F225" s="378"/>
      <c r="G225" s="378"/>
      <c r="H225" s="378"/>
      <c r="I225" s="378"/>
      <c r="J225" s="378"/>
      <c r="K225" s="378"/>
      <c r="L225" s="378"/>
    </row>
    <row r="227" spans="1:12" x14ac:dyDescent="0.2">
      <c r="A227" s="369" t="s">
        <v>1359</v>
      </c>
    </row>
    <row r="228" spans="1:12" x14ac:dyDescent="0.2">
      <c r="A228" t="s">
        <v>742</v>
      </c>
      <c r="C228" s="381">
        <v>0</v>
      </c>
    </row>
    <row r="229" spans="1:12" x14ac:dyDescent="0.2">
      <c r="A229" t="s">
        <v>770</v>
      </c>
      <c r="B229" s="386">
        <f>B221</f>
        <v>0</v>
      </c>
      <c r="C229" s="381">
        <v>0</v>
      </c>
      <c r="D229" s="381">
        <v>0</v>
      </c>
      <c r="E229" s="381">
        <v>0</v>
      </c>
      <c r="F229" s="381">
        <v>0</v>
      </c>
      <c r="G229" s="381">
        <v>0</v>
      </c>
      <c r="H229" s="381">
        <v>0</v>
      </c>
      <c r="I229" s="381">
        <v>0</v>
      </c>
      <c r="J229" s="381">
        <v>0</v>
      </c>
      <c r="K229" s="381">
        <v>0</v>
      </c>
      <c r="L229" s="381">
        <v>0</v>
      </c>
    </row>
    <row r="230" spans="1:12" x14ac:dyDescent="0.2">
      <c r="A230" t="s">
        <v>771</v>
      </c>
      <c r="C230" s="381">
        <v>0</v>
      </c>
      <c r="D230" s="381">
        <v>0</v>
      </c>
      <c r="E230" s="381">
        <v>0</v>
      </c>
      <c r="F230" s="381">
        <v>0</v>
      </c>
      <c r="G230" s="381">
        <v>0</v>
      </c>
      <c r="H230" s="381">
        <v>0</v>
      </c>
      <c r="I230" s="381">
        <v>0</v>
      </c>
      <c r="J230" s="381">
        <v>0</v>
      </c>
      <c r="K230" s="381">
        <v>0</v>
      </c>
      <c r="L230" s="381">
        <v>0</v>
      </c>
    </row>
    <row r="231" spans="1:12" s="387" customFormat="1" x14ac:dyDescent="0.2">
      <c r="A231" s="387" t="s">
        <v>773</v>
      </c>
      <c r="C231" s="388">
        <f t="shared" ref="C231:L231" si="55">C229-C230</f>
        <v>0</v>
      </c>
      <c r="D231" s="388">
        <f t="shared" si="55"/>
        <v>0</v>
      </c>
      <c r="E231" s="388">
        <f t="shared" si="55"/>
        <v>0</v>
      </c>
      <c r="F231" s="388">
        <f t="shared" si="55"/>
        <v>0</v>
      </c>
      <c r="G231" s="388">
        <f t="shared" si="55"/>
        <v>0</v>
      </c>
      <c r="H231" s="388">
        <f t="shared" si="55"/>
        <v>0</v>
      </c>
      <c r="I231" s="388">
        <f t="shared" si="55"/>
        <v>0</v>
      </c>
      <c r="J231" s="388">
        <f t="shared" si="55"/>
        <v>0</v>
      </c>
      <c r="K231" s="388">
        <f t="shared" si="55"/>
        <v>0</v>
      </c>
      <c r="L231" s="388">
        <f t="shared" si="55"/>
        <v>0</v>
      </c>
    </row>
    <row r="232" spans="1:12" s="379" customFormat="1" x14ac:dyDescent="0.2">
      <c r="A232" s="389" t="s">
        <v>1283</v>
      </c>
      <c r="B232" s="390">
        <f>NPV($C$5,C231:L231)</f>
        <v>0</v>
      </c>
      <c r="C232" s="378"/>
      <c r="D232" s="378"/>
      <c r="E232" s="378"/>
      <c r="F232" s="378"/>
      <c r="G232" s="378"/>
      <c r="H232" s="378"/>
      <c r="I232" s="378"/>
      <c r="J232" s="378"/>
      <c r="K232" s="378"/>
      <c r="L232" s="378"/>
    </row>
    <row r="234" spans="1:12" x14ac:dyDescent="0.2">
      <c r="A234" s="369" t="s">
        <v>725</v>
      </c>
    </row>
    <row r="235" spans="1:12" x14ac:dyDescent="0.2">
      <c r="A235" t="s">
        <v>742</v>
      </c>
      <c r="C235" s="381">
        <v>0</v>
      </c>
    </row>
    <row r="236" spans="1:12" x14ac:dyDescent="0.2">
      <c r="A236" t="s">
        <v>770</v>
      </c>
      <c r="B236" s="386">
        <f>B228</f>
        <v>0</v>
      </c>
      <c r="C236" s="381">
        <v>0</v>
      </c>
      <c r="D236" s="381">
        <v>0</v>
      </c>
      <c r="E236" s="381">
        <v>0</v>
      </c>
      <c r="F236" s="381">
        <v>0</v>
      </c>
      <c r="G236" s="381">
        <v>0</v>
      </c>
      <c r="H236" s="381">
        <v>0</v>
      </c>
      <c r="I236" s="381">
        <v>0</v>
      </c>
      <c r="J236" s="381">
        <v>0</v>
      </c>
      <c r="K236" s="381">
        <v>0</v>
      </c>
      <c r="L236" s="381">
        <v>0</v>
      </c>
    </row>
    <row r="237" spans="1:12" x14ac:dyDescent="0.2">
      <c r="A237" t="s">
        <v>771</v>
      </c>
      <c r="C237" s="381">
        <f>'power redistribution'!D164</f>
        <v>0</v>
      </c>
      <c r="D237" s="381">
        <f>'power redistribution'!E164</f>
        <v>0</v>
      </c>
      <c r="E237" s="381">
        <f>'power redistribution'!F164</f>
        <v>0</v>
      </c>
      <c r="F237" s="381">
        <f>'power redistribution'!G164</f>
        <v>0</v>
      </c>
      <c r="G237" s="381">
        <f>'power redistribution'!H164</f>
        <v>0</v>
      </c>
      <c r="H237" s="381">
        <f>'power redistribution'!I164</f>
        <v>0</v>
      </c>
      <c r="I237" s="381">
        <f>'power redistribution'!J164</f>
        <v>0</v>
      </c>
      <c r="J237" s="381">
        <f>'power redistribution'!K164</f>
        <v>0</v>
      </c>
      <c r="K237" s="381">
        <f>'power redistribution'!L164</f>
        <v>0</v>
      </c>
      <c r="L237" s="381">
        <f>'power redistribution'!M164</f>
        <v>0</v>
      </c>
    </row>
    <row r="238" spans="1:12" s="387" customFormat="1" x14ac:dyDescent="0.2">
      <c r="A238" s="387" t="s">
        <v>773</v>
      </c>
      <c r="C238" s="388">
        <f t="shared" ref="C238:L238" si="56">C236-C237</f>
        <v>0</v>
      </c>
      <c r="D238" s="388">
        <f t="shared" si="56"/>
        <v>0</v>
      </c>
      <c r="E238" s="388">
        <f t="shared" si="56"/>
        <v>0</v>
      </c>
      <c r="F238" s="388">
        <f t="shared" si="56"/>
        <v>0</v>
      </c>
      <c r="G238" s="388">
        <f t="shared" si="56"/>
        <v>0</v>
      </c>
      <c r="H238" s="388">
        <f t="shared" si="56"/>
        <v>0</v>
      </c>
      <c r="I238" s="388">
        <f t="shared" si="56"/>
        <v>0</v>
      </c>
      <c r="J238" s="388">
        <f t="shared" si="56"/>
        <v>0</v>
      </c>
      <c r="K238" s="388">
        <f t="shared" si="56"/>
        <v>0</v>
      </c>
      <c r="L238" s="388">
        <f t="shared" si="56"/>
        <v>0</v>
      </c>
    </row>
    <row r="239" spans="1:12" s="379" customFormat="1" x14ac:dyDescent="0.2">
      <c r="A239" s="389" t="s">
        <v>1283</v>
      </c>
      <c r="B239" s="390">
        <f>NPV($C$5,C238:L238)</f>
        <v>0</v>
      </c>
      <c r="C239" s="378"/>
      <c r="D239" s="378"/>
      <c r="E239" s="378"/>
      <c r="F239" s="378"/>
      <c r="G239" s="378"/>
      <c r="H239" s="378"/>
      <c r="I239" s="378"/>
      <c r="J239" s="378"/>
      <c r="K239" s="378"/>
      <c r="L239" s="378"/>
    </row>
    <row r="241" spans="1:12" x14ac:dyDescent="0.2">
      <c r="A241" t="s">
        <v>783</v>
      </c>
      <c r="C241" s="381">
        <f>C194+C201+C208+C222+C229+C236</f>
        <v>200000</v>
      </c>
      <c r="D241" s="381">
        <f t="shared" ref="D241:L241" si="57">D194+D201+D208+D222+D229+D236</f>
        <v>350000</v>
      </c>
      <c r="E241" s="381">
        <f t="shared" si="57"/>
        <v>500000</v>
      </c>
      <c r="F241" s="381">
        <f t="shared" si="57"/>
        <v>650000</v>
      </c>
      <c r="G241" s="381">
        <f t="shared" si="57"/>
        <v>800000</v>
      </c>
      <c r="H241" s="381">
        <f t="shared" si="57"/>
        <v>950000</v>
      </c>
      <c r="I241" s="381">
        <f t="shared" si="57"/>
        <v>1100000</v>
      </c>
      <c r="J241" s="381">
        <f t="shared" si="57"/>
        <v>1250000</v>
      </c>
      <c r="K241" s="381">
        <f t="shared" si="57"/>
        <v>1400000</v>
      </c>
      <c r="L241" s="381">
        <f t="shared" si="57"/>
        <v>1550000</v>
      </c>
    </row>
    <row r="242" spans="1:12" x14ac:dyDescent="0.2">
      <c r="A242" t="s">
        <v>1217</v>
      </c>
      <c r="B242" s="381">
        <f>NPV(C5,C241:L241)</f>
        <v>3842643.3517797058</v>
      </c>
    </row>
    <row r="243" spans="1:12" x14ac:dyDescent="0.2">
      <c r="A243" t="s">
        <v>789</v>
      </c>
      <c r="B243" s="446">
        <f>SUM(C241:L241)</f>
        <v>8750000</v>
      </c>
    </row>
    <row r="244" spans="1:12" x14ac:dyDescent="0.2">
      <c r="A244" t="s">
        <v>875</v>
      </c>
      <c r="B244" s="446"/>
      <c r="C244" s="381">
        <f>C196+C203+C210+C217+C224+C231+C238</f>
        <v>-3800000</v>
      </c>
      <c r="D244" s="381">
        <f t="shared" ref="D244:K244" si="58">D196+D203+D210+D217+D224+D231+D238</f>
        <v>350000</v>
      </c>
      <c r="E244" s="381">
        <f t="shared" si="58"/>
        <v>500000</v>
      </c>
      <c r="F244" s="381">
        <f t="shared" si="58"/>
        <v>650000</v>
      </c>
      <c r="G244" s="381">
        <f t="shared" si="58"/>
        <v>800000</v>
      </c>
      <c r="H244" s="381">
        <f t="shared" si="58"/>
        <v>950000</v>
      </c>
      <c r="I244" s="381">
        <f t="shared" si="58"/>
        <v>1100000</v>
      </c>
      <c r="J244" s="381">
        <f t="shared" si="58"/>
        <v>1250000</v>
      </c>
      <c r="K244" s="381">
        <f t="shared" si="58"/>
        <v>1400000</v>
      </c>
      <c r="L244" s="381">
        <f>L196+L203+L210+L217+L224+L231+L238</f>
        <v>1550000</v>
      </c>
    </row>
    <row r="245" spans="1:12" x14ac:dyDescent="0.2">
      <c r="A245" t="s">
        <v>876</v>
      </c>
      <c r="B245" s="446"/>
    </row>
    <row r="246" spans="1:12" ht="13.5" thickBot="1" x14ac:dyDescent="0.25"/>
    <row r="247" spans="1:12" ht="14.25" thickTop="1" thickBot="1" x14ac:dyDescent="0.25">
      <c r="A247" s="402" t="s">
        <v>784</v>
      </c>
      <c r="B247" s="403">
        <f>B239+B232+B225+B218+B211+B204+B197</f>
        <v>318414.27688983781</v>
      </c>
    </row>
    <row r="248" spans="1:12" ht="13.5" thickTop="1" x14ac:dyDescent="0.2"/>
  </sheetData>
  <pageMargins left="0.75" right="0.75" top="1" bottom="1" header="0.5" footer="0.5"/>
  <pageSetup orientation="portrait" r:id="rId1"/>
  <headerFooter alignWithMargins="0"/>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2">
    <pageSetUpPr fitToPage="1"/>
  </sheetPr>
  <dimension ref="A1:K97"/>
  <sheetViews>
    <sheetView workbookViewId="0">
      <selection activeCell="E21" sqref="E21"/>
    </sheetView>
  </sheetViews>
  <sheetFormatPr defaultRowHeight="12.75" x14ac:dyDescent="0.2"/>
  <cols>
    <col min="1" max="1" width="3.5703125" customWidth="1"/>
    <col min="2" max="2" width="23.28515625" customWidth="1"/>
    <col min="3" max="3" width="14.85546875" customWidth="1"/>
    <col min="4" max="4" width="14.7109375" customWidth="1"/>
    <col min="5" max="7" width="16.28515625" customWidth="1"/>
    <col min="8" max="8" width="23.7109375" customWidth="1"/>
    <col min="9" max="9" width="2.5703125" customWidth="1"/>
    <col min="10" max="10" width="21.28515625" customWidth="1"/>
    <col min="11" max="11" width="16.5703125" customWidth="1"/>
  </cols>
  <sheetData>
    <row r="1" spans="1:10" ht="18" x14ac:dyDescent="0.25">
      <c r="A1" s="404"/>
      <c r="B1" s="405" t="s">
        <v>796</v>
      </c>
      <c r="C1" s="404"/>
      <c r="D1" s="404"/>
      <c r="E1" s="404"/>
      <c r="F1" s="404"/>
      <c r="H1" s="450" t="s">
        <v>877</v>
      </c>
      <c r="I1" s="404"/>
      <c r="J1" s="404"/>
    </row>
    <row r="2" spans="1:10" ht="7.5" customHeight="1" x14ac:dyDescent="0.2">
      <c r="A2" s="404"/>
      <c r="B2" s="404"/>
      <c r="C2" s="404"/>
      <c r="D2" s="404"/>
      <c r="E2" s="404"/>
      <c r="F2" s="404"/>
      <c r="G2" s="404"/>
      <c r="H2" s="404"/>
      <c r="I2" s="404"/>
      <c r="J2" s="404"/>
    </row>
    <row r="3" spans="1:10" ht="15.75" x14ac:dyDescent="0.25">
      <c r="A3" s="404"/>
      <c r="B3" s="1163" t="s">
        <v>798</v>
      </c>
      <c r="C3" s="1163"/>
      <c r="D3" s="1163"/>
      <c r="E3" s="1163"/>
      <c r="F3" s="1163"/>
      <c r="G3" s="1163"/>
      <c r="H3" s="1163"/>
      <c r="I3" s="404"/>
      <c r="J3" s="404"/>
    </row>
    <row r="4" spans="1:10" ht="9.75" customHeight="1" x14ac:dyDescent="0.2">
      <c r="A4" s="404"/>
      <c r="B4" s="404"/>
      <c r="C4" s="404"/>
      <c r="D4" s="404"/>
      <c r="E4" s="404"/>
      <c r="F4" s="404"/>
      <c r="G4" s="404"/>
      <c r="H4" s="404"/>
      <c r="I4" s="404"/>
      <c r="J4" s="404"/>
    </row>
    <row r="5" spans="1:10" ht="15.75" x14ac:dyDescent="0.25">
      <c r="A5" s="404"/>
      <c r="D5" s="407" t="s">
        <v>799</v>
      </c>
      <c r="E5" s="1169" t="s">
        <v>851</v>
      </c>
      <c r="F5" s="1169"/>
      <c r="G5" s="404"/>
      <c r="H5" s="404"/>
      <c r="I5" s="404"/>
      <c r="J5" s="404"/>
    </row>
    <row r="6" spans="1:10" x14ac:dyDescent="0.2">
      <c r="A6" s="404"/>
      <c r="D6" s="408" t="s">
        <v>800</v>
      </c>
      <c r="E6" s="1170">
        <f ca="1">TODAY()</f>
        <v>36746</v>
      </c>
      <c r="F6" s="1164"/>
      <c r="G6" s="404"/>
      <c r="H6" s="404"/>
      <c r="I6" s="404"/>
      <c r="J6" s="404"/>
    </row>
    <row r="7" spans="1:10" x14ac:dyDescent="0.2">
      <c r="A7" s="404"/>
      <c r="D7" s="408" t="s">
        <v>801</v>
      </c>
      <c r="E7" s="1164" t="s">
        <v>869</v>
      </c>
      <c r="F7" s="1164"/>
      <c r="G7" s="404"/>
      <c r="H7" s="404"/>
      <c r="I7" s="404"/>
      <c r="J7" s="404"/>
    </row>
    <row r="8" spans="1:10" x14ac:dyDescent="0.2">
      <c r="A8" s="404"/>
      <c r="D8" s="408" t="s">
        <v>802</v>
      </c>
      <c r="E8" s="1164" t="s">
        <v>852</v>
      </c>
      <c r="F8" s="1164"/>
      <c r="G8" s="404"/>
      <c r="H8" s="404"/>
      <c r="I8" s="404"/>
      <c r="J8" s="404"/>
    </row>
    <row r="9" spans="1:10" x14ac:dyDescent="0.2">
      <c r="A9" s="404"/>
      <c r="D9" s="408" t="s">
        <v>854</v>
      </c>
      <c r="E9" s="1165" t="s">
        <v>870</v>
      </c>
      <c r="F9" s="1166"/>
      <c r="G9" s="404"/>
      <c r="H9" s="404"/>
      <c r="I9" s="404"/>
      <c r="J9" s="404"/>
    </row>
    <row r="10" spans="1:10" ht="25.5" x14ac:dyDescent="0.2">
      <c r="A10" s="404"/>
      <c r="D10" s="410" t="s">
        <v>803</v>
      </c>
      <c r="E10" s="1164" t="s">
        <v>406</v>
      </c>
      <c r="F10" s="1164"/>
      <c r="G10" s="404"/>
      <c r="H10" s="404"/>
      <c r="I10" s="404"/>
      <c r="J10" s="404"/>
    </row>
    <row r="11" spans="1:10" ht="9" customHeight="1" x14ac:dyDescent="0.2">
      <c r="A11" s="404"/>
      <c r="B11" s="404"/>
      <c r="C11" s="404"/>
      <c r="D11" s="404"/>
      <c r="E11" s="404"/>
      <c r="F11" s="404"/>
      <c r="G11" s="404"/>
      <c r="H11" s="404"/>
      <c r="I11" s="404"/>
      <c r="J11" s="404"/>
    </row>
    <row r="12" spans="1:10" ht="7.5" customHeight="1" x14ac:dyDescent="0.2">
      <c r="A12" s="404"/>
      <c r="B12" s="404"/>
      <c r="C12" s="404"/>
      <c r="D12" s="404"/>
      <c r="E12" s="404"/>
      <c r="F12" s="404"/>
      <c r="G12" s="404"/>
      <c r="H12" s="404"/>
      <c r="I12" s="404"/>
      <c r="J12" s="404"/>
    </row>
    <row r="13" spans="1:10" ht="15.75" x14ac:dyDescent="0.25">
      <c r="A13" s="404"/>
      <c r="B13" s="1163" t="s">
        <v>804</v>
      </c>
      <c r="C13" s="1163"/>
      <c r="D13" s="1163"/>
      <c r="E13" s="1163"/>
      <c r="F13" s="1163"/>
      <c r="G13" s="1163"/>
      <c r="H13" s="1163"/>
      <c r="I13" s="404"/>
      <c r="J13" s="404"/>
    </row>
    <row r="14" spans="1:10" ht="8.25" customHeight="1" x14ac:dyDescent="0.2">
      <c r="A14" s="404"/>
      <c r="B14" s="404"/>
      <c r="C14" s="404"/>
      <c r="D14" s="404"/>
      <c r="E14" s="404"/>
      <c r="F14" s="404"/>
      <c r="G14" s="404"/>
      <c r="H14" s="404"/>
      <c r="I14" s="404"/>
      <c r="J14" s="404"/>
    </row>
    <row r="15" spans="1:10" ht="15.75" x14ac:dyDescent="0.25">
      <c r="A15" s="404"/>
      <c r="B15" s="1162" t="s">
        <v>742</v>
      </c>
      <c r="C15" s="1162"/>
      <c r="D15" s="1162"/>
      <c r="E15" s="404"/>
      <c r="F15" s="1162" t="s">
        <v>844</v>
      </c>
      <c r="G15" s="1162"/>
      <c r="H15" s="1162"/>
      <c r="I15" s="404"/>
      <c r="J15" s="404"/>
    </row>
    <row r="16" spans="1:10" x14ac:dyDescent="0.2">
      <c r="A16" s="404"/>
      <c r="B16" s="411" t="s">
        <v>812</v>
      </c>
      <c r="C16" s="411" t="s">
        <v>813</v>
      </c>
      <c r="D16" s="412" t="s">
        <v>814</v>
      </c>
      <c r="E16" s="404"/>
      <c r="G16" s="408" t="s">
        <v>223</v>
      </c>
      <c r="H16" s="409" t="s">
        <v>1466</v>
      </c>
      <c r="I16" s="404"/>
      <c r="J16" s="404"/>
    </row>
    <row r="17" spans="1:10" x14ac:dyDescent="0.2">
      <c r="A17" s="404"/>
      <c r="B17" s="408" t="s">
        <v>805</v>
      </c>
      <c r="C17" s="413"/>
      <c r="D17" s="414"/>
      <c r="E17" s="404"/>
      <c r="G17" s="408" t="s">
        <v>808</v>
      </c>
      <c r="H17" s="409" t="s">
        <v>853</v>
      </c>
      <c r="I17" s="404"/>
      <c r="J17" s="404"/>
    </row>
    <row r="18" spans="1:10" x14ac:dyDescent="0.2">
      <c r="A18" s="404"/>
      <c r="B18" s="415" t="s">
        <v>791</v>
      </c>
      <c r="C18" s="416">
        <f>'wholesale services'!F54</f>
        <v>41943000</v>
      </c>
      <c r="D18" s="417">
        <f>Breakout!$B$16</f>
        <v>1.15E-2</v>
      </c>
      <c r="E18" s="404"/>
      <c r="G18" s="408" t="s">
        <v>807</v>
      </c>
      <c r="H18" s="418">
        <v>9.5000000000000001E-2</v>
      </c>
      <c r="I18" s="404"/>
      <c r="J18" s="404"/>
    </row>
    <row r="19" spans="1:10" x14ac:dyDescent="0.2">
      <c r="A19" s="404"/>
      <c r="B19" s="415" t="s">
        <v>792</v>
      </c>
      <c r="C19" s="416">
        <f>'wholesale services'!F55</f>
        <v>1486000</v>
      </c>
      <c r="D19" s="417">
        <f>Breakout!$B$16</f>
        <v>1.15E-2</v>
      </c>
      <c r="E19" s="404"/>
      <c r="G19" s="1167" t="s">
        <v>224</v>
      </c>
      <c r="H19" s="1168"/>
      <c r="I19" s="404"/>
      <c r="J19" s="404"/>
    </row>
    <row r="20" spans="1:10" x14ac:dyDescent="0.2">
      <c r="A20" s="404"/>
      <c r="B20" s="415" t="s">
        <v>806</v>
      </c>
      <c r="C20" s="416">
        <f>'wholesale services'!F56</f>
        <v>748000</v>
      </c>
      <c r="D20" s="417">
        <f>Breakout!$B$16</f>
        <v>1.15E-2</v>
      </c>
      <c r="E20" s="404"/>
      <c r="G20" s="408" t="s">
        <v>225</v>
      </c>
      <c r="H20" s="409" t="s">
        <v>1167</v>
      </c>
      <c r="I20" s="404"/>
      <c r="J20" s="404"/>
    </row>
    <row r="21" spans="1:10" x14ac:dyDescent="0.2">
      <c r="A21" s="404"/>
      <c r="B21" s="408" t="s">
        <v>846</v>
      </c>
      <c r="C21" s="416">
        <f>'wholesale services'!F57</f>
        <v>5441000</v>
      </c>
      <c r="D21" s="417">
        <f>Breakout!$B$16</f>
        <v>1.15E-2</v>
      </c>
      <c r="E21" s="404"/>
      <c r="G21" s="408" t="s">
        <v>226</v>
      </c>
      <c r="H21" s="409" t="s">
        <v>1167</v>
      </c>
      <c r="I21" s="404"/>
      <c r="J21" s="404"/>
    </row>
    <row r="22" spans="1:10" x14ac:dyDescent="0.2">
      <c r="A22" s="404"/>
      <c r="B22" s="408" t="s">
        <v>855</v>
      </c>
      <c r="C22" s="416">
        <f>'wholesale services'!F58</f>
        <v>5006132.3560000015</v>
      </c>
      <c r="D22" s="417">
        <f>Breakout!$B$16</f>
        <v>1.15E-2</v>
      </c>
      <c r="E22" s="404"/>
      <c r="G22" s="408" t="s">
        <v>227</v>
      </c>
      <c r="H22" s="418">
        <v>6.4000000000000001E-2</v>
      </c>
      <c r="I22" s="404"/>
      <c r="J22" s="404"/>
    </row>
    <row r="23" spans="1:10" x14ac:dyDescent="0.2">
      <c r="A23" s="404"/>
      <c r="B23" s="419" t="s">
        <v>856</v>
      </c>
      <c r="C23" s="416">
        <f>'wholesale services'!F59</f>
        <v>3798248</v>
      </c>
      <c r="D23" s="417">
        <f>Breakout!$B$16</f>
        <v>1.15E-2</v>
      </c>
      <c r="E23" s="404"/>
      <c r="G23" s="408" t="s">
        <v>228</v>
      </c>
      <c r="H23" s="409" t="s">
        <v>1167</v>
      </c>
      <c r="I23" s="404"/>
      <c r="J23" s="404"/>
    </row>
    <row r="24" spans="1:10" x14ac:dyDescent="0.2">
      <c r="A24" s="404"/>
      <c r="B24" s="419" t="s">
        <v>857</v>
      </c>
      <c r="C24" s="416">
        <f>'wholesale services'!F61</f>
        <v>250000</v>
      </c>
      <c r="D24" s="417">
        <f>Breakout!$B$16</f>
        <v>1.15E-2</v>
      </c>
      <c r="E24" s="404"/>
      <c r="G24" s="420"/>
      <c r="H24" s="421"/>
      <c r="I24" s="404"/>
      <c r="J24" s="404"/>
    </row>
    <row r="25" spans="1:10" x14ac:dyDescent="0.2">
      <c r="A25" s="404"/>
      <c r="B25" s="419" t="s">
        <v>871</v>
      </c>
      <c r="C25" s="441">
        <f>SUM(C18:C24)</f>
        <v>58672380.355999999</v>
      </c>
      <c r="D25" s="442"/>
      <c r="E25" s="404"/>
      <c r="G25" s="420"/>
      <c r="H25" s="421"/>
      <c r="I25" s="404"/>
      <c r="J25" s="404"/>
    </row>
    <row r="26" spans="1:10" ht="13.5" thickBot="1" x14ac:dyDescent="0.25">
      <c r="A26" s="404"/>
      <c r="B26" s="422" t="s">
        <v>678</v>
      </c>
      <c r="C26" s="423">
        <f>C25*1.006</f>
        <v>59024414.638135999</v>
      </c>
      <c r="D26" s="443" t="s">
        <v>232</v>
      </c>
      <c r="E26" s="404"/>
      <c r="F26" s="404"/>
      <c r="G26" s="404"/>
      <c r="H26" s="404"/>
      <c r="I26" s="404"/>
      <c r="J26" s="404"/>
    </row>
    <row r="27" spans="1:10" ht="9" customHeight="1" thickTop="1" x14ac:dyDescent="0.2">
      <c r="A27" s="404"/>
      <c r="B27" s="404"/>
      <c r="C27" s="404"/>
      <c r="D27" s="404"/>
      <c r="E27" s="404"/>
      <c r="F27" s="404"/>
      <c r="G27" s="404"/>
      <c r="H27" s="404"/>
      <c r="I27" s="404"/>
      <c r="J27" s="404"/>
    </row>
    <row r="28" spans="1:10" ht="15.75" x14ac:dyDescent="0.25">
      <c r="A28" s="404"/>
      <c r="B28" s="1163" t="s">
        <v>809</v>
      </c>
      <c r="C28" s="1163"/>
      <c r="D28" s="1163"/>
      <c r="E28" s="1163"/>
      <c r="F28" s="1163"/>
      <c r="G28" s="1163"/>
      <c r="H28" s="1163"/>
      <c r="I28" s="404"/>
      <c r="J28" s="404"/>
    </row>
    <row r="29" spans="1:10" x14ac:dyDescent="0.2">
      <c r="A29" s="404"/>
      <c r="B29" s="404"/>
      <c r="C29" s="404"/>
      <c r="D29" s="404"/>
      <c r="E29" s="404"/>
      <c r="F29" s="404"/>
      <c r="G29" s="404"/>
      <c r="H29" s="404"/>
      <c r="I29" s="404"/>
      <c r="J29" s="404"/>
    </row>
    <row r="30" spans="1:10" x14ac:dyDescent="0.2">
      <c r="A30" s="404"/>
      <c r="B30" s="425" t="s">
        <v>810</v>
      </c>
      <c r="C30" s="426"/>
      <c r="D30" s="426"/>
      <c r="E30" s="404"/>
      <c r="G30" s="425" t="s">
        <v>816</v>
      </c>
      <c r="H30" s="426"/>
      <c r="I30" s="404"/>
      <c r="J30" s="404"/>
    </row>
    <row r="31" spans="1:10" x14ac:dyDescent="0.2">
      <c r="A31" s="404"/>
      <c r="B31" s="404"/>
      <c r="C31" s="427" t="s">
        <v>815</v>
      </c>
      <c r="D31" s="427" t="s">
        <v>843</v>
      </c>
      <c r="E31" s="404"/>
      <c r="F31" s="404"/>
      <c r="G31" s="404"/>
      <c r="H31" s="404"/>
      <c r="I31" s="404"/>
      <c r="J31" s="404"/>
    </row>
    <row r="32" spans="1:10" x14ac:dyDescent="0.2">
      <c r="A32" s="404"/>
      <c r="B32" s="408" t="s">
        <v>848</v>
      </c>
      <c r="C32" s="416">
        <f>C66-D66</f>
        <v>6090436.6158502772</v>
      </c>
      <c r="D32" s="428">
        <f>E66</f>
        <v>1.9484097397998307E-2</v>
      </c>
      <c r="E32" s="404"/>
      <c r="F32" s="404"/>
      <c r="G32" s="404"/>
      <c r="H32" s="404"/>
      <c r="I32" s="404"/>
      <c r="J32" s="404"/>
    </row>
    <row r="33" spans="1:10" x14ac:dyDescent="0.2">
      <c r="A33" s="404"/>
      <c r="B33" s="408" t="s">
        <v>849</v>
      </c>
      <c r="C33" s="416">
        <f>D66</f>
        <v>1366169.8650097698</v>
      </c>
      <c r="D33" s="429">
        <f>D66/Breakout!B120</f>
        <v>4.3705547551034438E-3</v>
      </c>
      <c r="E33" s="404"/>
      <c r="G33" s="408" t="s">
        <v>817</v>
      </c>
      <c r="H33" s="416">
        <f ca="1">C37</f>
        <v>33178880</v>
      </c>
      <c r="I33" s="404"/>
      <c r="J33" s="404"/>
    </row>
    <row r="34" spans="1:10" x14ac:dyDescent="0.2">
      <c r="A34" s="404"/>
      <c r="B34" s="408" t="s">
        <v>850</v>
      </c>
      <c r="C34" s="416">
        <f>C66</f>
        <v>7456606.480860047</v>
      </c>
      <c r="D34" s="429">
        <f>C66/Breakout!B120</f>
        <v>2.3854652153101751E-2</v>
      </c>
      <c r="E34" s="404"/>
      <c r="G34" s="408" t="s">
        <v>788</v>
      </c>
      <c r="H34" s="416">
        <f>C55+C59</f>
        <v>32155125.331710551</v>
      </c>
      <c r="I34" s="404"/>
      <c r="J34" s="404"/>
    </row>
    <row r="35" spans="1:10" x14ac:dyDescent="0.2">
      <c r="A35" s="404"/>
      <c r="B35" s="408" t="s">
        <v>789</v>
      </c>
      <c r="C35" s="416">
        <f>Breakout!B118</f>
        <v>593834011.52711761</v>
      </c>
      <c r="D35" s="404"/>
      <c r="E35" s="404"/>
      <c r="G35" s="408" t="s">
        <v>831</v>
      </c>
      <c r="H35" s="416">
        <v>0</v>
      </c>
      <c r="I35" s="404"/>
      <c r="J35" s="404"/>
    </row>
    <row r="36" spans="1:10" x14ac:dyDescent="0.2">
      <c r="A36" s="404"/>
      <c r="B36" s="408" t="s">
        <v>788</v>
      </c>
      <c r="C36" s="430">
        <f>Breakout!C3+Breakout!C4</f>
        <v>9.5000000000000001E-2</v>
      </c>
      <c r="D36" s="404"/>
      <c r="E36" s="404"/>
      <c r="G36" s="408" t="s">
        <v>678</v>
      </c>
      <c r="H36" s="416">
        <f ca="1">SUM(H33:H35)</f>
        <v>65334005.331710547</v>
      </c>
      <c r="I36" s="404"/>
      <c r="J36" s="404"/>
    </row>
    <row r="37" spans="1:10" x14ac:dyDescent="0.2">
      <c r="A37" s="404"/>
      <c r="B37" s="408" t="s">
        <v>811</v>
      </c>
      <c r="C37" s="416">
        <f ca="1">SUM(Breakout!C96:'Breakout'!L96)</f>
        <v>33178880</v>
      </c>
      <c r="D37" s="404"/>
      <c r="E37" s="404"/>
      <c r="F37" s="404"/>
      <c r="G37" s="404"/>
      <c r="H37" s="404"/>
      <c r="I37" s="404"/>
      <c r="J37" s="404"/>
    </row>
    <row r="38" spans="1:10" x14ac:dyDescent="0.2">
      <c r="A38" s="404"/>
      <c r="B38" s="408" t="s">
        <v>988</v>
      </c>
      <c r="C38" s="688">
        <f>'RMPM-Whole'!K4</f>
        <v>9.4700000000000006E-2</v>
      </c>
      <c r="D38" s="404"/>
      <c r="E38" s="404"/>
      <c r="F38" s="404"/>
      <c r="G38" s="404"/>
      <c r="H38" s="404"/>
      <c r="I38" s="404"/>
      <c r="J38" s="404"/>
    </row>
    <row r="39" spans="1:10" x14ac:dyDescent="0.2">
      <c r="A39" s="404"/>
      <c r="B39" s="404"/>
      <c r="C39" s="404"/>
      <c r="D39" s="404"/>
      <c r="E39" s="404"/>
      <c r="G39" s="404"/>
      <c r="H39" s="404"/>
      <c r="I39" s="404"/>
      <c r="J39" s="404"/>
    </row>
    <row r="40" spans="1:10" x14ac:dyDescent="0.2">
      <c r="A40" s="404"/>
      <c r="B40" s="425" t="s">
        <v>832</v>
      </c>
      <c r="C40" s="426"/>
      <c r="D40" s="426"/>
      <c r="E40" s="404"/>
      <c r="G40" s="404"/>
      <c r="H40" s="404"/>
      <c r="I40" s="404"/>
      <c r="J40" s="404"/>
    </row>
    <row r="41" spans="1:10" x14ac:dyDescent="0.2">
      <c r="A41" s="404"/>
      <c r="B41" s="404"/>
      <c r="C41" s="404"/>
      <c r="D41" s="404"/>
      <c r="E41" s="404"/>
      <c r="F41" s="404"/>
      <c r="G41" s="404"/>
      <c r="H41" s="404"/>
      <c r="I41" s="404"/>
      <c r="J41" s="404"/>
    </row>
    <row r="42" spans="1:10" ht="26.25" thickBot="1" x14ac:dyDescent="0.25">
      <c r="A42" s="404"/>
      <c r="B42" s="431" t="s">
        <v>790</v>
      </c>
      <c r="C42" s="431" t="s">
        <v>838</v>
      </c>
      <c r="D42" s="431" t="s">
        <v>797</v>
      </c>
      <c r="E42" s="432" t="s">
        <v>841</v>
      </c>
      <c r="F42" s="427"/>
      <c r="G42" s="404"/>
      <c r="H42" s="404"/>
      <c r="I42" s="404"/>
      <c r="J42" s="404"/>
    </row>
    <row r="43" spans="1:10" ht="13.5" thickTop="1" x14ac:dyDescent="0.2">
      <c r="A43" s="404"/>
      <c r="B43" s="408" t="s">
        <v>833</v>
      </c>
      <c r="C43" s="416">
        <f>-'RMPM-Whole'!$DN$10</f>
        <v>38324060.732164353</v>
      </c>
      <c r="D43" s="416">
        <v>53926500.274630465</v>
      </c>
      <c r="E43" s="430">
        <f>(C43-D43)/Breakout!$B$120</f>
        <v>-4.9914229613790821E-2</v>
      </c>
      <c r="F43" s="404"/>
      <c r="G43" s="404"/>
      <c r="H43" s="404"/>
      <c r="I43" s="404"/>
      <c r="J43" s="404"/>
    </row>
    <row r="44" spans="1:10" x14ac:dyDescent="0.2">
      <c r="A44" s="404"/>
      <c r="B44" s="408" t="s">
        <v>835</v>
      </c>
      <c r="C44" s="416">
        <f>'RMPM-Whole'!$DQ$10</f>
        <v>26260918.074409399</v>
      </c>
      <c r="D44" s="416">
        <v>31173028.966306012</v>
      </c>
      <c r="E44" s="430">
        <f>(C44-D44)/Breakout!$B$120</f>
        <v>-1.5714480436164965E-2</v>
      </c>
      <c r="F44" s="404"/>
      <c r="G44" s="404"/>
      <c r="H44" s="404"/>
      <c r="I44" s="404"/>
      <c r="J44" s="404"/>
    </row>
    <row r="45" spans="1:10" x14ac:dyDescent="0.2">
      <c r="A45" s="404"/>
      <c r="B45" s="408" t="s">
        <v>836</v>
      </c>
      <c r="C45" s="416">
        <f>'RMPM-Whole'!$DR$10</f>
        <v>-1414327.0910330736</v>
      </c>
      <c r="D45" s="416">
        <v>-2290560.6014521597</v>
      </c>
      <c r="E45" s="430">
        <f>(C45-D45)/Breakout!$B$120</f>
        <v>2.8031847529558364E-3</v>
      </c>
      <c r="F45" s="404"/>
      <c r="G45" s="404"/>
      <c r="H45" s="404"/>
      <c r="I45" s="404"/>
      <c r="J45" s="404"/>
    </row>
    <row r="46" spans="1:10" x14ac:dyDescent="0.2">
      <c r="A46" s="404"/>
      <c r="B46" s="408" t="s">
        <v>837</v>
      </c>
      <c r="C46" s="416">
        <f>'RMPM-Whole'!$BN$10</f>
        <v>37678.097534312365</v>
      </c>
      <c r="D46" s="416">
        <v>-73591.788367906323</v>
      </c>
      <c r="E46" s="430">
        <f>(C46-D46)/Breakout!$B$120</f>
        <v>3.5596681012011768E-4</v>
      </c>
      <c r="F46" s="404"/>
      <c r="G46" s="404"/>
      <c r="H46" s="404"/>
      <c r="I46" s="404"/>
      <c r="J46" s="404"/>
    </row>
    <row r="47" spans="1:10" x14ac:dyDescent="0.2">
      <c r="A47" s="404"/>
      <c r="B47" s="408" t="s">
        <v>858</v>
      </c>
      <c r="C47" s="416">
        <f>'RMPM-Whole'!$BO$10</f>
        <v>3774505.8565513403</v>
      </c>
      <c r="D47" s="416">
        <v>3068894.0934005487</v>
      </c>
      <c r="E47" s="430">
        <f>(C47-D47)/Breakout!$B$120</f>
        <v>2.2573436332337512E-3</v>
      </c>
      <c r="F47" s="404"/>
      <c r="G47" s="404"/>
      <c r="H47" s="404"/>
      <c r="I47" s="404"/>
      <c r="J47" s="404"/>
    </row>
    <row r="48" spans="1:10" x14ac:dyDescent="0.2">
      <c r="A48" s="404"/>
      <c r="B48" s="408" t="s">
        <v>859</v>
      </c>
      <c r="C48" s="416">
        <f>'RMPM-Whole'!$BP$10</f>
        <v>1525665.9440398223</v>
      </c>
      <c r="D48" s="416">
        <v>741956.15976994776</v>
      </c>
      <c r="E48" s="430">
        <f>(C48-D48)/Breakout!$B$120</f>
        <v>2.5071893415225489E-3</v>
      </c>
      <c r="F48" s="404"/>
      <c r="G48" s="404"/>
      <c r="H48" s="404"/>
      <c r="I48" s="404"/>
      <c r="J48" s="404"/>
    </row>
    <row r="49" spans="1:10" x14ac:dyDescent="0.2">
      <c r="A49" s="404"/>
      <c r="B49" s="408" t="s">
        <v>860</v>
      </c>
      <c r="C49" s="416">
        <f>'RMPM-Whole'!$BQ$10</f>
        <v>910335.99827750376</v>
      </c>
      <c r="D49" s="416">
        <v>1401378.9078858397</v>
      </c>
      <c r="E49" s="430">
        <f>(C49-D49)/Breakout!$B$120</f>
        <v>-1.5709100153026693E-3</v>
      </c>
      <c r="F49" s="404"/>
      <c r="G49" s="404"/>
      <c r="H49" s="404"/>
      <c r="I49" s="404"/>
      <c r="J49" s="404"/>
    </row>
    <row r="50" spans="1:10" ht="13.5" thickBot="1" x14ac:dyDescent="0.25">
      <c r="A50" s="404"/>
      <c r="B50" s="422" t="s">
        <v>861</v>
      </c>
      <c r="C50" s="540">
        <f>'RMPM-Whole'!$BR$10</f>
        <v>1440050.5370854766</v>
      </c>
      <c r="D50" s="540">
        <v>1963586.5360019605</v>
      </c>
      <c r="E50" s="430">
        <f>(C50-D50)/Breakout!$B$120</f>
        <v>-1.6748596262704911E-3</v>
      </c>
      <c r="F50" s="404"/>
      <c r="G50" s="404"/>
      <c r="H50" s="404"/>
      <c r="I50" s="404"/>
      <c r="J50" s="404"/>
    </row>
    <row r="51" spans="1:10" ht="13.5" thickTop="1" x14ac:dyDescent="0.2">
      <c r="A51" s="404"/>
      <c r="B51" s="534" t="s">
        <v>402</v>
      </c>
      <c r="C51" s="535">
        <f>SUM(C43:C50)</f>
        <v>70858888.149029136</v>
      </c>
      <c r="D51" s="535">
        <v>89911192.548174709</v>
      </c>
      <c r="E51" s="536">
        <f>SUM(E43:E50)</f>
        <v>-6.0950795153696696E-2</v>
      </c>
      <c r="F51" s="404"/>
      <c r="G51" s="404"/>
      <c r="H51" s="404"/>
      <c r="I51" s="404"/>
      <c r="J51" s="404"/>
    </row>
    <row r="52" spans="1:10" x14ac:dyDescent="0.2">
      <c r="A52" s="404"/>
      <c r="B52" s="404"/>
      <c r="C52" s="452"/>
      <c r="D52" s="452"/>
      <c r="E52" s="444"/>
      <c r="F52" s="404"/>
      <c r="G52" s="404"/>
      <c r="H52" s="404"/>
      <c r="I52" s="404"/>
      <c r="J52" s="404"/>
    </row>
    <row r="53" spans="1:10" ht="13.5" thickBot="1" x14ac:dyDescent="0.25">
      <c r="A53" s="404"/>
      <c r="B53" s="431" t="s">
        <v>839</v>
      </c>
      <c r="C53" s="453"/>
      <c r="D53" s="453"/>
      <c r="E53" s="445"/>
      <c r="F53" s="404"/>
      <c r="G53" s="404"/>
      <c r="H53" s="404"/>
      <c r="I53" s="404"/>
      <c r="J53" s="404"/>
    </row>
    <row r="54" spans="1:10" ht="13.5" thickTop="1" x14ac:dyDescent="0.2">
      <c r="A54" s="404"/>
      <c r="B54" s="436" t="s">
        <v>1132</v>
      </c>
      <c r="C54" s="454">
        <f>'RMPM-Whole'!CN11</f>
        <v>2150000</v>
      </c>
      <c r="D54" s="454">
        <v>2150000</v>
      </c>
      <c r="E54" s="437">
        <f>(D54-C54)/Breakout!$B$120</f>
        <v>0</v>
      </c>
      <c r="F54" s="404"/>
      <c r="G54" s="404"/>
      <c r="H54" s="404"/>
      <c r="I54" s="404"/>
      <c r="J54" s="404"/>
    </row>
    <row r="55" spans="1:10" x14ac:dyDescent="0.2">
      <c r="A55" s="404"/>
      <c r="B55" s="546" t="s">
        <v>351</v>
      </c>
      <c r="C55" s="547">
        <f>'RMPM-Whole'!$BQ$5</f>
        <v>13570008.721347023</v>
      </c>
      <c r="D55" s="547">
        <v>18514341.149998568</v>
      </c>
      <c r="E55" s="434">
        <f>(D55-C55)/Breakout!$B$120</f>
        <v>1.5817561315261946E-2</v>
      </c>
      <c r="F55" s="404"/>
      <c r="G55" s="404"/>
      <c r="H55" s="404"/>
      <c r="I55" s="404"/>
      <c r="J55" s="404"/>
    </row>
    <row r="56" spans="1:10" x14ac:dyDescent="0.2">
      <c r="A56" s="404"/>
      <c r="B56" s="408" t="s">
        <v>872</v>
      </c>
      <c r="C56" s="451">
        <f>'RMPM-Whole'!$DO$10</f>
        <v>25438949.832906514</v>
      </c>
      <c r="D56" s="451">
        <v>37579265.293718286</v>
      </c>
      <c r="E56" s="434">
        <f>(D56-C56)/Breakout!$B$120</f>
        <v>3.8838445221690859E-2</v>
      </c>
      <c r="F56" s="404"/>
      <c r="G56" s="404"/>
      <c r="H56" s="404"/>
      <c r="I56" s="404"/>
      <c r="J56" s="404"/>
    </row>
    <row r="57" spans="1:10" x14ac:dyDescent="0.2">
      <c r="A57" s="404"/>
      <c r="B57" s="433" t="s">
        <v>1066</v>
      </c>
      <c r="C57" s="451">
        <v>0</v>
      </c>
      <c r="D57" s="451">
        <v>0</v>
      </c>
      <c r="E57" s="434">
        <f>(D57-C57)/Breakout!$B$120</f>
        <v>0</v>
      </c>
      <c r="F57" s="404"/>
      <c r="G57" s="404"/>
      <c r="H57" s="404"/>
      <c r="I57" s="404"/>
      <c r="J57" s="404"/>
    </row>
    <row r="58" spans="1:10" x14ac:dyDescent="0.2">
      <c r="A58" s="404"/>
      <c r="B58" s="433" t="s">
        <v>1069</v>
      </c>
      <c r="C58" s="451">
        <f>-'RMPM-Whole'!BT10</f>
        <v>3658206.5035520266</v>
      </c>
      <c r="D58" s="451">
        <v>4960232.5110729672</v>
      </c>
      <c r="E58" s="434">
        <f>(D58-C58)/Breakout!$B$120</f>
        <v>4.165350227805167E-3</v>
      </c>
      <c r="F58" s="404"/>
      <c r="G58" s="404"/>
      <c r="H58" s="404"/>
      <c r="I58" s="404"/>
      <c r="J58" s="404"/>
    </row>
    <row r="59" spans="1:10" x14ac:dyDescent="0.2">
      <c r="A59" s="404"/>
      <c r="B59" s="408" t="s">
        <v>766</v>
      </c>
      <c r="C59" s="451">
        <f>-'RMPM-Whole'!BS10</f>
        <v>18585116.610363528</v>
      </c>
      <c r="D59" s="451">
        <v>25341183.728375122</v>
      </c>
      <c r="E59" s="434">
        <f>(D59-C59)/Breakout!$B$120</f>
        <v>2.1613535786937029E-2</v>
      </c>
      <c r="F59" s="404"/>
      <c r="G59" s="404"/>
      <c r="H59" s="404"/>
      <c r="I59" s="404"/>
      <c r="J59" s="404"/>
    </row>
    <row r="60" spans="1:10" ht="13.5" thickBot="1" x14ac:dyDescent="0.25">
      <c r="A60" s="404"/>
      <c r="B60" s="422" t="s">
        <v>793</v>
      </c>
      <c r="C60" s="540">
        <f>SUM(C54:C59)</f>
        <v>63402281.668169089</v>
      </c>
      <c r="D60" s="540">
        <v>88545022.683164939</v>
      </c>
      <c r="E60" s="434">
        <f>(D60-C60)/Breakout!$B$120</f>
        <v>8.0434892551695003E-2</v>
      </c>
      <c r="F60" s="404"/>
      <c r="G60" s="404"/>
      <c r="H60" s="404"/>
      <c r="I60" s="404"/>
      <c r="J60" s="404"/>
    </row>
    <row r="61" spans="1:10" ht="13.5" thickTop="1" x14ac:dyDescent="0.2">
      <c r="A61" s="404"/>
      <c r="B61" s="537" t="s">
        <v>403</v>
      </c>
      <c r="C61" s="538">
        <f>C51-C60</f>
        <v>7456606.480860047</v>
      </c>
      <c r="D61" s="538">
        <v>1366169.8650097698</v>
      </c>
      <c r="E61" s="539">
        <f>E54+E60</f>
        <v>8.0434892551695003E-2</v>
      </c>
      <c r="F61" s="404"/>
      <c r="G61" s="404"/>
      <c r="H61" s="404"/>
      <c r="I61" s="404"/>
      <c r="J61" s="404"/>
    </row>
    <row r="62" spans="1:10" x14ac:dyDescent="0.2">
      <c r="A62" s="404"/>
      <c r="B62" s="404"/>
      <c r="C62" s="544"/>
      <c r="D62" s="544"/>
      <c r="E62" s="545"/>
      <c r="F62" s="404"/>
      <c r="G62" s="404"/>
      <c r="H62" s="404"/>
      <c r="I62" s="404"/>
      <c r="J62" s="404"/>
    </row>
    <row r="63" spans="1:10" x14ac:dyDescent="0.2">
      <c r="A63" s="404"/>
      <c r="B63" s="408" t="s">
        <v>794</v>
      </c>
      <c r="C63" s="416">
        <v>0</v>
      </c>
      <c r="D63" s="416">
        <v>0</v>
      </c>
      <c r="E63" s="430">
        <f>(C63-D63)/Breakout!$B$120</f>
        <v>0</v>
      </c>
      <c r="F63" s="404"/>
      <c r="G63" s="404"/>
      <c r="H63" s="404"/>
      <c r="I63" s="404"/>
      <c r="J63" s="404"/>
    </row>
    <row r="64" spans="1:10" x14ac:dyDescent="0.2">
      <c r="A64" s="404"/>
      <c r="B64" s="408" t="s">
        <v>795</v>
      </c>
      <c r="C64" s="416">
        <v>0</v>
      </c>
      <c r="D64" s="416">
        <v>0</v>
      </c>
      <c r="E64" s="430">
        <f>(C64-D64)/Breakout!$B$120</f>
        <v>0</v>
      </c>
      <c r="F64" s="404"/>
      <c r="G64" s="404"/>
      <c r="H64" s="404"/>
      <c r="I64" s="404"/>
      <c r="J64" s="404"/>
    </row>
    <row r="65" spans="1:11" ht="13.5" thickBot="1" x14ac:dyDescent="0.25">
      <c r="A65" s="404"/>
      <c r="B65" s="419" t="s">
        <v>840</v>
      </c>
      <c r="C65" s="453">
        <v>0</v>
      </c>
      <c r="D65" s="453">
        <v>0</v>
      </c>
      <c r="E65" s="430">
        <f>(C65-D65)/Breakout!$B$120</f>
        <v>0</v>
      </c>
      <c r="F65" s="404"/>
      <c r="G65" s="404"/>
      <c r="H65" s="404"/>
      <c r="I65" s="404"/>
      <c r="J65" s="404"/>
    </row>
    <row r="66" spans="1:11" ht="13.5" thickTop="1" x14ac:dyDescent="0.2">
      <c r="A66" s="404"/>
      <c r="B66" s="537" t="s">
        <v>404</v>
      </c>
      <c r="C66" s="538">
        <f>C61-SUM(C63:C65)</f>
        <v>7456606.480860047</v>
      </c>
      <c r="D66" s="538">
        <f>D61-SUM(D63:D65)</f>
        <v>1366169.8650097698</v>
      </c>
      <c r="E66" s="539">
        <f>(C66-D66)/Breakout!$B$120</f>
        <v>1.9484097397998307E-2</v>
      </c>
      <c r="F66" s="404"/>
      <c r="G66" s="404"/>
      <c r="H66" s="404"/>
      <c r="I66" s="404"/>
      <c r="J66" s="404"/>
    </row>
    <row r="67" spans="1:11" x14ac:dyDescent="0.2">
      <c r="A67" s="404"/>
      <c r="B67" s="404"/>
      <c r="C67" s="404"/>
      <c r="D67" s="404"/>
      <c r="E67" s="404"/>
      <c r="F67" s="404"/>
      <c r="G67" s="404"/>
      <c r="H67" s="404"/>
      <c r="I67" s="404"/>
      <c r="J67" s="404"/>
    </row>
    <row r="68" spans="1:11" ht="15.75" x14ac:dyDescent="0.25">
      <c r="A68" s="404"/>
      <c r="B68" s="406" t="s">
        <v>842</v>
      </c>
      <c r="C68" s="406"/>
      <c r="D68" s="406"/>
      <c r="E68" s="406"/>
      <c r="F68" s="406"/>
      <c r="G68" s="406"/>
      <c r="H68" s="406"/>
      <c r="I68" s="404"/>
      <c r="J68" s="404"/>
    </row>
    <row r="69" spans="1:11" x14ac:dyDescent="0.2">
      <c r="A69" s="404"/>
      <c r="B69" s="420"/>
      <c r="C69" s="404"/>
      <c r="D69" s="404"/>
      <c r="E69" s="404"/>
      <c r="F69" s="404"/>
      <c r="G69" s="404"/>
      <c r="H69" s="404"/>
      <c r="I69" s="404"/>
      <c r="J69" s="404"/>
    </row>
    <row r="70" spans="1:11" x14ac:dyDescent="0.2">
      <c r="A70" s="404"/>
      <c r="B70" s="404"/>
      <c r="C70" s="404"/>
      <c r="D70" s="404"/>
      <c r="E70" s="404"/>
      <c r="F70" s="404"/>
      <c r="G70" s="404"/>
      <c r="H70" s="404"/>
      <c r="I70" s="404"/>
      <c r="J70" s="404"/>
    </row>
    <row r="71" spans="1:11" x14ac:dyDescent="0.2">
      <c r="A71" s="404"/>
      <c r="B71" s="404"/>
      <c r="C71" s="404"/>
      <c r="D71" s="404"/>
      <c r="E71" s="404"/>
      <c r="F71" s="404"/>
      <c r="G71" s="404"/>
      <c r="H71" s="404"/>
      <c r="I71" s="404"/>
      <c r="J71" s="404"/>
    </row>
    <row r="72" spans="1:11" x14ac:dyDescent="0.2">
      <c r="A72" s="404"/>
      <c r="B72" s="404"/>
      <c r="C72" s="404"/>
      <c r="D72" s="404"/>
      <c r="E72" s="404"/>
      <c r="F72" s="404"/>
      <c r="G72" s="404"/>
      <c r="H72" s="404"/>
      <c r="I72" s="404"/>
      <c r="J72" s="404"/>
    </row>
    <row r="73" spans="1:11" x14ac:dyDescent="0.2">
      <c r="A73" s="404"/>
      <c r="B73" s="404"/>
      <c r="C73" s="404"/>
      <c r="D73" s="404"/>
      <c r="E73" s="404"/>
      <c r="F73" s="404"/>
      <c r="G73" s="404"/>
      <c r="H73" s="404"/>
      <c r="I73" s="404"/>
      <c r="J73" s="404"/>
    </row>
    <row r="74" spans="1:11" x14ac:dyDescent="0.2">
      <c r="A74" s="404"/>
      <c r="B74" s="614"/>
      <c r="C74" s="404"/>
      <c r="D74" s="404"/>
      <c r="E74" s="404"/>
      <c r="F74" s="404"/>
      <c r="G74" s="404"/>
      <c r="H74" s="404"/>
      <c r="I74" s="404"/>
      <c r="J74" s="404"/>
    </row>
    <row r="75" spans="1:11" x14ac:dyDescent="0.2">
      <c r="A75" s="404"/>
      <c r="B75" s="404"/>
      <c r="C75" s="404"/>
      <c r="D75" s="404"/>
      <c r="E75" s="404"/>
      <c r="F75" s="404"/>
      <c r="G75" s="404"/>
      <c r="H75" s="404"/>
      <c r="I75" s="404"/>
      <c r="J75" s="404"/>
    </row>
    <row r="76" spans="1:11" x14ac:dyDescent="0.2">
      <c r="A76" s="404"/>
      <c r="B76" s="404"/>
      <c r="C76" s="404"/>
      <c r="D76" s="404"/>
      <c r="E76" s="404"/>
      <c r="F76" s="404"/>
      <c r="G76" s="404"/>
      <c r="H76" s="404"/>
      <c r="I76" s="404"/>
      <c r="J76" s="404"/>
    </row>
    <row r="77" spans="1:11" x14ac:dyDescent="0.2">
      <c r="A77" s="404"/>
      <c r="B77" s="404"/>
      <c r="C77" s="404"/>
      <c r="D77" s="404"/>
      <c r="E77" s="404"/>
      <c r="F77" s="404"/>
      <c r="G77" s="404"/>
      <c r="H77" s="404"/>
      <c r="I77" s="404"/>
      <c r="J77" s="404"/>
    </row>
    <row r="78" spans="1:11" x14ac:dyDescent="0.2">
      <c r="A78" s="404"/>
      <c r="C78" s="457"/>
      <c r="D78" s="457" t="s">
        <v>847</v>
      </c>
      <c r="F78" s="457"/>
      <c r="G78" s="457"/>
      <c r="H78" s="457"/>
      <c r="I78" s="404"/>
    </row>
    <row r="79" spans="1:11" x14ac:dyDescent="0.2">
      <c r="A79" s="404"/>
      <c r="B79" s="404"/>
      <c r="C79" s="404"/>
      <c r="D79" s="577"/>
      <c r="E79" s="577"/>
      <c r="F79" s="577" t="s">
        <v>1212</v>
      </c>
      <c r="G79" s="577" t="s">
        <v>1212</v>
      </c>
      <c r="H79" s="577" t="s">
        <v>1122</v>
      </c>
      <c r="I79" s="404"/>
      <c r="J79" s="920" t="s">
        <v>1213</v>
      </c>
      <c r="K79" s="921" t="s">
        <v>1213</v>
      </c>
    </row>
    <row r="80" spans="1:11" x14ac:dyDescent="0.2">
      <c r="A80" s="404"/>
      <c r="B80" s="404"/>
      <c r="C80" s="404"/>
      <c r="D80" s="577" t="s">
        <v>862</v>
      </c>
      <c r="E80" s="577" t="s">
        <v>863</v>
      </c>
      <c r="F80" s="577" t="s">
        <v>862</v>
      </c>
      <c r="G80" s="577" t="s">
        <v>863</v>
      </c>
      <c r="H80" s="380" t="s">
        <v>867</v>
      </c>
      <c r="J80" s="921" t="s">
        <v>1158</v>
      </c>
      <c r="K80" s="920" t="s">
        <v>148</v>
      </c>
    </row>
    <row r="81" spans="2:11" x14ac:dyDescent="0.2">
      <c r="C81">
        <v>1</v>
      </c>
      <c r="D81" s="438">
        <v>-19257959.947793297</v>
      </c>
      <c r="E81" s="438">
        <f>'wholesale services'!$D$129</f>
        <v>-30159911.979066245</v>
      </c>
      <c r="F81" s="438">
        <f>'RMPM-Whole'!AT23</f>
        <v>-2980602.0456872638</v>
      </c>
      <c r="G81" s="438">
        <f>'RMPM-Whole'!AR23</f>
        <v>-1720871.9790662334</v>
      </c>
      <c r="H81" s="438">
        <f>G81-'RMPM-Whole'!W5</f>
        <v>-1720871.9790662334</v>
      </c>
      <c r="J81" s="919">
        <v>-2980602.0456872806</v>
      </c>
      <c r="K81" s="919">
        <f>'wholesale services'!$D$140</f>
        <v>-1720871.9790662453</v>
      </c>
    </row>
    <row r="82" spans="2:11" x14ac:dyDescent="0.2">
      <c r="C82">
        <v>2</v>
      </c>
      <c r="D82" s="438">
        <v>-14852888.475923928</v>
      </c>
      <c r="E82" s="438">
        <f>'wholesale services'!$E$129</f>
        <v>604425.30732981116</v>
      </c>
      <c r="F82" s="438">
        <f>'RMPM-Whole'!AT35</f>
        <v>-518435.48433662648</v>
      </c>
      <c r="G82" s="438">
        <f>'RMPM-Whole'!AR35</f>
        <v>1016823.5226693724</v>
      </c>
      <c r="H82" s="438">
        <f>G82-'RMPM-Whole'!X5</f>
        <v>595936.03723737341</v>
      </c>
      <c r="J82" s="919">
        <v>-791121.05650198553</v>
      </c>
      <c r="K82" s="919">
        <f>'wholesale services'!$E$140</f>
        <v>595936.03723735828</v>
      </c>
    </row>
    <row r="83" spans="2:11" x14ac:dyDescent="0.2">
      <c r="C83">
        <v>3</v>
      </c>
      <c r="D83" s="438">
        <v>6141448.5191457067</v>
      </c>
      <c r="E83" s="438">
        <f>'wholesale services'!$F$129</f>
        <v>7014652.3875531033</v>
      </c>
      <c r="F83" s="438">
        <f>'RMPM-Whole'!AT47</f>
        <v>218872.30952524929</v>
      </c>
      <c r="G83" s="438">
        <f>'RMPM-Whole'!AR47</f>
        <v>1816222.7227132109</v>
      </c>
      <c r="H83" s="438">
        <f>G83-'RMPM-Whole'!Y5</f>
        <v>1316657.2634421673</v>
      </c>
      <c r="J83" s="919">
        <v>-102817.12816380803</v>
      </c>
      <c r="K83" s="919">
        <f>'wholesale services'!$F$140</f>
        <v>1316657.2634421596</v>
      </c>
    </row>
    <row r="84" spans="2:11" x14ac:dyDescent="0.2">
      <c r="B84" s="616"/>
      <c r="C84">
        <v>4</v>
      </c>
      <c r="D84" s="438">
        <v>6416929.7318054372</v>
      </c>
      <c r="E84" s="438">
        <f>'wholesale services'!$G$129</f>
        <v>7340312.6283478588</v>
      </c>
      <c r="F84" s="438">
        <f>'RMPM-Whole'!AT59</f>
        <v>527174.58767459448</v>
      </c>
      <c r="G84" s="438">
        <f>'RMPM-Whole'!AR59</f>
        <v>2133305.8738962621</v>
      </c>
      <c r="H84" s="438">
        <f>G84-'RMPM-Whole'!Z5</f>
        <v>1642317.5042369277</v>
      </c>
      <c r="J84" s="919">
        <v>214114.83834304567</v>
      </c>
      <c r="K84" s="919">
        <f>'wholesale services'!$G$140</f>
        <v>1642317.5042369151</v>
      </c>
    </row>
    <row r="85" spans="2:11" x14ac:dyDescent="0.2">
      <c r="C85">
        <v>5</v>
      </c>
      <c r="D85" s="438">
        <v>6695175.3695907071</v>
      </c>
      <c r="E85" s="438">
        <f>'wholesale services'!$H$129</f>
        <v>7670185.8782621473</v>
      </c>
      <c r="F85" s="438">
        <f>'RMPM-Whole'!AT71</f>
        <v>837806.33757939795</v>
      </c>
      <c r="G85" s="438">
        <f>'RMPM-Whole'!AR71</f>
        <v>2452735.1187945553</v>
      </c>
      <c r="H85" s="438">
        <f>G85-'RMPM-Whole'!AA5</f>
        <v>1972190.7541512088</v>
      </c>
      <c r="J85" s="919">
        <v>535254.64081259724</v>
      </c>
      <c r="K85" s="919">
        <f>'wholesale services'!$H$140</f>
        <v>1972190.7541512037</v>
      </c>
    </row>
    <row r="86" spans="2:11" x14ac:dyDescent="0.2">
      <c r="C86">
        <v>6</v>
      </c>
      <c r="D86" s="438">
        <v>6976564.689957317</v>
      </c>
      <c r="E86" s="438">
        <f>'wholesale services'!$I$129</f>
        <v>8004686.6492987722</v>
      </c>
      <c r="F86" s="438">
        <f>'RMPM-Whole'!AT83</f>
        <v>1151209.1309756585</v>
      </c>
      <c r="G86" s="438">
        <f>'RMPM-Whole'!AR83</f>
        <v>2774937.9269081182</v>
      </c>
      <c r="H86" s="438">
        <f>G86-'RMPM-Whole'!AB5</f>
        <v>2306691.5251878253</v>
      </c>
      <c r="J86" s="919">
        <v>861030.81402215268</v>
      </c>
      <c r="K86" s="919">
        <f>'wholesale services'!$I$140</f>
        <v>2306691.5251878286</v>
      </c>
    </row>
    <row r="87" spans="2:11" x14ac:dyDescent="0.2">
      <c r="C87">
        <v>7</v>
      </c>
      <c r="D87" s="438">
        <v>7261474.9406122463</v>
      </c>
      <c r="E87" s="438">
        <f>'wholesale services'!$J$129</f>
        <v>8344227.6267294362</v>
      </c>
      <c r="F87" s="438">
        <f>'RMPM-Whole'!AT95</f>
        <v>1467821.9528309079</v>
      </c>
      <c r="G87" s="438">
        <f>'RMPM-Whole'!AR95</f>
        <v>3100339.2519710436</v>
      </c>
      <c r="H87" s="438">
        <f>G87-'RMPM-Whole'!AC5</f>
        <v>2646232.5026184991</v>
      </c>
      <c r="J87" s="919">
        <v>1191869.9992408743</v>
      </c>
      <c r="K87" s="919">
        <f>'wholesale services'!$J$140</f>
        <v>2646232.5026184926</v>
      </c>
    </row>
    <row r="88" spans="2:11" x14ac:dyDescent="0.2">
      <c r="C88">
        <v>8</v>
      </c>
      <c r="D88" s="438">
        <v>7548391.0661609909</v>
      </c>
      <c r="E88" s="438">
        <f>'wholesale services'!$K$129</f>
        <v>8687133.8703411296</v>
      </c>
      <c r="F88" s="438">
        <f>'RMPM-Whole'!AT107</f>
        <v>1785910.1692237174</v>
      </c>
      <c r="G88" s="438">
        <f>'RMPM-Whole'!AR107</f>
        <v>3427275.7044807435</v>
      </c>
      <c r="H88" s="438">
        <f>G88-'RMPM-Whole'!AD5</f>
        <v>2989138.7462301836</v>
      </c>
      <c r="J88" s="919">
        <v>1526025.9410025394</v>
      </c>
      <c r="K88" s="919">
        <f>'wholesale services'!$K$140</f>
        <v>2989138.746230186</v>
      </c>
    </row>
    <row r="89" spans="2:11" x14ac:dyDescent="0.2">
      <c r="C89">
        <v>9</v>
      </c>
      <c r="D89" s="438">
        <v>7839508.4928484075</v>
      </c>
      <c r="E89" s="438">
        <f>'wholesale services'!$L$129</f>
        <v>9035825.1257613376</v>
      </c>
      <c r="F89" s="438">
        <f>'RMPM-Whole'!AT119</f>
        <v>2108000.3753173482</v>
      </c>
      <c r="G89" s="438">
        <f>'RMPM-Whole'!AR119</f>
        <v>3758177.8494234947</v>
      </c>
      <c r="H89" s="438">
        <f>G89-'RMPM-Whole'!AE5</f>
        <v>3337830.0016504047</v>
      </c>
      <c r="J89" s="919">
        <v>1866014.3487621835</v>
      </c>
      <c r="K89" s="919">
        <f>'wholesale services'!$L$140</f>
        <v>3337830.0016503939</v>
      </c>
    </row>
    <row r="90" spans="2:11" x14ac:dyDescent="0.2">
      <c r="C90">
        <v>10</v>
      </c>
      <c r="D90" s="438">
        <v>8132263.2975172177</v>
      </c>
      <c r="E90" s="438">
        <f>'wholesale services'!$M$129</f>
        <v>9387469.9249793291</v>
      </c>
      <c r="F90" s="438">
        <f>'RMPM-Whole'!AT131</f>
        <v>2431152.7124101827</v>
      </c>
      <c r="G90" s="438">
        <f>'RMPM-Whole'!AR131</f>
        <v>4090224.3065900649</v>
      </c>
      <c r="H90" s="438">
        <f>G90-'RMPM-Whole'!AF5</f>
        <v>3689474.8008683841</v>
      </c>
      <c r="J90" s="919">
        <v>2208885.214153572</v>
      </c>
      <c r="K90" s="919">
        <f>'wholesale services'!$M$140</f>
        <v>3689474.8008683855</v>
      </c>
    </row>
    <row r="91" spans="2:11" x14ac:dyDescent="0.2">
      <c r="J91" s="734"/>
      <c r="K91" s="734"/>
    </row>
    <row r="92" spans="2:11" x14ac:dyDescent="0.2">
      <c r="H92" s="380"/>
      <c r="J92" s="734"/>
      <c r="K92" s="734"/>
    </row>
    <row r="93" spans="2:11" x14ac:dyDescent="0.2">
      <c r="C93" t="s">
        <v>1283</v>
      </c>
      <c r="F93" s="438">
        <f>NPV(Breakout!$C$5,F81:F90)</f>
        <v>1035170.92024987</v>
      </c>
      <c r="G93" s="438">
        <f>NPV(Breakout!$C$5,G81:G90)</f>
        <v>9278377.3278518468</v>
      </c>
      <c r="H93" s="438">
        <f>NPV(Breakout!$C$5,H81:H90)</f>
        <v>7246302.9619305125</v>
      </c>
      <c r="I93" s="438"/>
      <c r="J93" s="919">
        <f>NPV([4]Breakout!$C$5,J81:J90)</f>
        <v>626556.97873267322</v>
      </c>
      <c r="K93" s="919">
        <f>NPV(Breakout!$C$5,K81:K90)</f>
        <v>7246302.9619304715</v>
      </c>
    </row>
    <row r="97" spans="10:10" x14ac:dyDescent="0.2">
      <c r="J97" s="482" t="s">
        <v>1159</v>
      </c>
    </row>
  </sheetData>
  <mergeCells count="12">
    <mergeCell ref="B3:H3"/>
    <mergeCell ref="E5:F5"/>
    <mergeCell ref="E6:F6"/>
    <mergeCell ref="E7:F7"/>
    <mergeCell ref="B15:D15"/>
    <mergeCell ref="F15:H15"/>
    <mergeCell ref="B28:H28"/>
    <mergeCell ref="E8:F8"/>
    <mergeCell ref="E9:F9"/>
    <mergeCell ref="E10:F10"/>
    <mergeCell ref="B13:H13"/>
    <mergeCell ref="G19:H19"/>
  </mergeCells>
  <pageMargins left="0.39" right="0.18" top="0.39" bottom="0.24" header="0.31" footer="0.19"/>
  <pageSetup scale="74" orientation="portrait" r:id="rId1"/>
  <headerFooter alignWithMargins="0"/>
  <drawing r:id="rId2"/>
  <legacyDrawing r:id="rId3"/>
  <oleObjects>
    <mc:AlternateContent xmlns:mc="http://schemas.openxmlformats.org/markup-compatibility/2006">
      <mc:Choice Requires="x14">
        <oleObject progId="MSPhotoEd.3" shapeId="9224" r:id="rId4">
          <objectPr defaultSize="0" autoPict="0" r:id="rId5">
            <anchor moveWithCells="1">
              <from>
                <xdr:col>6</xdr:col>
                <xdr:colOff>533400</xdr:colOff>
                <xdr:row>5</xdr:row>
                <xdr:rowOff>123825</xdr:rowOff>
              </from>
              <to>
                <xdr:col>7</xdr:col>
                <xdr:colOff>1000125</xdr:colOff>
                <xdr:row>9</xdr:row>
                <xdr:rowOff>0</xdr:rowOff>
              </to>
            </anchor>
          </objectPr>
        </oleObject>
      </mc:Choice>
      <mc:Fallback>
        <oleObject progId="MSPhotoEd.3" shapeId="9224" r:id="rId4"/>
      </mc:Fallback>
    </mc:AlternateContent>
  </oleObjects>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3">
    <pageSetUpPr fitToPage="1"/>
  </sheetPr>
  <dimension ref="A1:J90"/>
  <sheetViews>
    <sheetView topLeftCell="A10" workbookViewId="0">
      <selection activeCell="D41" sqref="D41:D64"/>
    </sheetView>
  </sheetViews>
  <sheetFormatPr defaultRowHeight="12.75" x14ac:dyDescent="0.2"/>
  <cols>
    <col min="1" max="1" width="3.5703125" customWidth="1"/>
    <col min="2" max="2" width="23.140625" customWidth="1"/>
    <col min="3" max="3" width="14.85546875" customWidth="1"/>
    <col min="4" max="5" width="14.7109375" customWidth="1"/>
    <col min="6" max="7" width="16.28515625" customWidth="1"/>
    <col min="8" max="8" width="23.7109375" customWidth="1"/>
    <col min="9" max="9" width="2.5703125" customWidth="1"/>
  </cols>
  <sheetData>
    <row r="1" spans="1:10" ht="18" x14ac:dyDescent="0.25">
      <c r="A1" s="404"/>
      <c r="B1" s="405" t="s">
        <v>796</v>
      </c>
      <c r="C1" s="404"/>
      <c r="D1" s="404"/>
      <c r="E1" s="404"/>
      <c r="F1" s="404"/>
      <c r="H1" s="450" t="s">
        <v>1370</v>
      </c>
      <c r="I1" s="404"/>
      <c r="J1" s="404"/>
    </row>
    <row r="2" spans="1:10" ht="7.5" customHeight="1" x14ac:dyDescent="0.2">
      <c r="A2" s="404"/>
      <c r="B2" s="404"/>
      <c r="C2" s="404"/>
      <c r="D2" s="404"/>
      <c r="E2" s="404"/>
      <c r="F2" s="404"/>
      <c r="G2" s="404"/>
      <c r="H2" s="404"/>
      <c r="I2" s="404"/>
      <c r="J2" s="404"/>
    </row>
    <row r="3" spans="1:10" ht="15.75" x14ac:dyDescent="0.25">
      <c r="A3" s="404"/>
      <c r="B3" s="1163" t="s">
        <v>798</v>
      </c>
      <c r="C3" s="1163"/>
      <c r="D3" s="1163"/>
      <c r="E3" s="1163"/>
      <c r="F3" s="1163"/>
      <c r="G3" s="1163"/>
      <c r="H3" s="1163"/>
      <c r="I3" s="404"/>
      <c r="J3" s="404"/>
    </row>
    <row r="4" spans="1:10" ht="9.75" customHeight="1" x14ac:dyDescent="0.2">
      <c r="A4" s="404"/>
      <c r="B4" s="404"/>
      <c r="C4" s="404"/>
      <c r="D4" s="404"/>
      <c r="E4" s="404"/>
      <c r="F4" s="404"/>
      <c r="G4" s="404"/>
      <c r="H4" s="404"/>
      <c r="I4" s="404"/>
      <c r="J4" s="404"/>
    </row>
    <row r="5" spans="1:10" ht="15.75" x14ac:dyDescent="0.25">
      <c r="A5" s="404"/>
      <c r="D5" s="407" t="s">
        <v>799</v>
      </c>
      <c r="E5" s="1169" t="s">
        <v>851</v>
      </c>
      <c r="F5" s="1169"/>
      <c r="G5" s="404"/>
      <c r="H5" s="404"/>
      <c r="I5" s="404"/>
      <c r="J5" s="404"/>
    </row>
    <row r="6" spans="1:10" x14ac:dyDescent="0.2">
      <c r="A6" s="404"/>
      <c r="D6" s="408" t="s">
        <v>800</v>
      </c>
      <c r="E6" s="1170">
        <f ca="1">'Re-Whole'!E6:F6</f>
        <v>36746</v>
      </c>
      <c r="F6" s="1164"/>
      <c r="G6" s="404"/>
      <c r="H6" s="404"/>
      <c r="I6" s="404"/>
      <c r="J6" s="404"/>
    </row>
    <row r="7" spans="1:10" x14ac:dyDescent="0.2">
      <c r="A7" s="404"/>
      <c r="D7" s="408" t="s">
        <v>801</v>
      </c>
      <c r="E7" s="1164" t="str">
        <f>'Re-Whole'!E7:F7</f>
        <v>Angela Schwarz</v>
      </c>
      <c r="F7" s="1164"/>
      <c r="G7" s="404"/>
      <c r="H7" s="404"/>
      <c r="I7" s="404"/>
      <c r="J7" s="404"/>
    </row>
    <row r="8" spans="1:10" x14ac:dyDescent="0.2">
      <c r="A8" s="404"/>
      <c r="D8" s="408" t="s">
        <v>802</v>
      </c>
      <c r="E8" s="1164" t="str">
        <f>'Re-Whole'!E8:F8</f>
        <v>Stuart Rexrode</v>
      </c>
      <c r="F8" s="1164"/>
      <c r="G8" s="404"/>
      <c r="H8" s="404"/>
      <c r="I8" s="404"/>
      <c r="J8" s="404"/>
    </row>
    <row r="9" spans="1:10" x14ac:dyDescent="0.2">
      <c r="A9" s="404"/>
      <c r="D9" s="408" t="s">
        <v>854</v>
      </c>
      <c r="E9" s="1165" t="str">
        <f>'Re-Whole'!E9:F9</f>
        <v>10 years</v>
      </c>
      <c r="F9" s="1166"/>
      <c r="G9" s="404"/>
      <c r="H9" s="404"/>
      <c r="I9" s="404"/>
      <c r="J9" s="404"/>
    </row>
    <row r="10" spans="1:10" ht="25.5" x14ac:dyDescent="0.2">
      <c r="A10" s="404"/>
      <c r="D10" s="410" t="s">
        <v>803</v>
      </c>
      <c r="E10" s="1164" t="str">
        <f>'Re-Whole'!E10:F10</f>
        <v>Kevin Greiner / Jun Wang</v>
      </c>
      <c r="F10" s="1164"/>
      <c r="G10" s="404"/>
      <c r="H10" s="404"/>
      <c r="I10" s="404"/>
      <c r="J10" s="404"/>
    </row>
    <row r="11" spans="1:10" ht="9" customHeight="1" x14ac:dyDescent="0.2">
      <c r="A11" s="404"/>
      <c r="B11" s="404"/>
      <c r="C11" s="404"/>
      <c r="D11" s="404"/>
      <c r="E11" s="404"/>
      <c r="F11" s="404"/>
      <c r="G11" s="404"/>
      <c r="H11" s="404"/>
      <c r="I11" s="404"/>
      <c r="J11" s="404"/>
    </row>
    <row r="12" spans="1:10" ht="7.5" customHeight="1" x14ac:dyDescent="0.2">
      <c r="A12" s="404"/>
      <c r="B12" s="404"/>
      <c r="C12" s="404"/>
      <c r="D12" s="404"/>
      <c r="E12" s="404"/>
      <c r="F12" s="404"/>
      <c r="G12" s="404"/>
      <c r="H12" s="404"/>
      <c r="I12" s="404"/>
      <c r="J12" s="404"/>
    </row>
    <row r="13" spans="1:10" ht="15.75" x14ac:dyDescent="0.25">
      <c r="A13" s="404"/>
      <c r="B13" s="1163" t="s">
        <v>804</v>
      </c>
      <c r="C13" s="1163"/>
      <c r="D13" s="1163"/>
      <c r="E13" s="1163"/>
      <c r="F13" s="1163"/>
      <c r="G13" s="1163"/>
      <c r="H13" s="1163"/>
      <c r="I13" s="404"/>
      <c r="J13" s="404"/>
    </row>
    <row r="14" spans="1:10" ht="8.25" customHeight="1" x14ac:dyDescent="0.2">
      <c r="A14" s="404"/>
      <c r="B14" s="404"/>
      <c r="C14" s="404"/>
      <c r="D14" s="404"/>
      <c r="E14" s="404"/>
      <c r="F14" s="404"/>
      <c r="G14" s="404"/>
      <c r="H14" s="404"/>
      <c r="I14" s="404"/>
      <c r="J14" s="404"/>
    </row>
    <row r="15" spans="1:10" ht="15.75" x14ac:dyDescent="0.25">
      <c r="A15" s="404"/>
      <c r="B15" s="1162" t="s">
        <v>742</v>
      </c>
      <c r="C15" s="1162"/>
      <c r="D15" s="1162"/>
      <c r="E15" s="404"/>
      <c r="F15" s="1162" t="s">
        <v>844</v>
      </c>
      <c r="G15" s="1162"/>
      <c r="H15" s="1162"/>
      <c r="I15" s="404"/>
      <c r="J15" s="404"/>
    </row>
    <row r="16" spans="1:10" x14ac:dyDescent="0.2">
      <c r="A16" s="404"/>
      <c r="B16" s="411" t="s">
        <v>812</v>
      </c>
      <c r="C16" s="411" t="s">
        <v>813</v>
      </c>
      <c r="D16" s="412" t="s">
        <v>814</v>
      </c>
      <c r="E16" s="404"/>
      <c r="G16" s="408" t="s">
        <v>223</v>
      </c>
      <c r="H16" s="409" t="s">
        <v>1466</v>
      </c>
      <c r="I16" s="404"/>
      <c r="J16" s="404"/>
    </row>
    <row r="17" spans="1:10" x14ac:dyDescent="0.2">
      <c r="A17" s="404"/>
      <c r="B17" s="408" t="s">
        <v>805</v>
      </c>
      <c r="C17" s="413"/>
      <c r="D17" s="414"/>
      <c r="E17" s="404"/>
      <c r="G17" s="408" t="s">
        <v>808</v>
      </c>
      <c r="H17" s="409" t="s">
        <v>853</v>
      </c>
      <c r="I17" s="404"/>
      <c r="J17" s="404"/>
    </row>
    <row r="18" spans="1:10" x14ac:dyDescent="0.2">
      <c r="A18" s="404"/>
      <c r="B18" s="415" t="s">
        <v>791</v>
      </c>
      <c r="C18" s="416">
        <f>Breakout!C135</f>
        <v>61345132.1638868</v>
      </c>
      <c r="D18" s="417">
        <v>0</v>
      </c>
      <c r="E18" s="404"/>
      <c r="G18" s="408" t="s">
        <v>807</v>
      </c>
      <c r="H18" s="418" t="s">
        <v>229</v>
      </c>
      <c r="I18" s="404"/>
      <c r="J18" s="404"/>
    </row>
    <row r="19" spans="1:10" x14ac:dyDescent="0.2">
      <c r="A19" s="404"/>
      <c r="B19" s="415" t="s">
        <v>792</v>
      </c>
      <c r="C19" s="416">
        <f>Breakout!C142</f>
        <v>1113600</v>
      </c>
      <c r="D19" s="417">
        <v>0</v>
      </c>
      <c r="E19" s="404"/>
      <c r="G19" s="1167" t="s">
        <v>224</v>
      </c>
      <c r="H19" s="1168"/>
      <c r="I19" s="404"/>
      <c r="J19" s="404"/>
    </row>
    <row r="20" spans="1:10" x14ac:dyDescent="0.2">
      <c r="A20" s="404"/>
      <c r="B20" s="415" t="s">
        <v>806</v>
      </c>
      <c r="C20" s="416">
        <v>0</v>
      </c>
      <c r="D20" s="417">
        <v>0</v>
      </c>
      <c r="E20" s="404"/>
      <c r="G20" s="408" t="s">
        <v>225</v>
      </c>
      <c r="H20" s="409" t="s">
        <v>1167</v>
      </c>
      <c r="I20" s="404"/>
      <c r="J20" s="404"/>
    </row>
    <row r="21" spans="1:10" x14ac:dyDescent="0.2">
      <c r="A21" s="404"/>
      <c r="B21" s="408" t="s">
        <v>846</v>
      </c>
      <c r="C21" s="416">
        <v>0</v>
      </c>
      <c r="D21" s="417">
        <v>0</v>
      </c>
      <c r="E21" s="404"/>
      <c r="G21" s="408" t="s">
        <v>226</v>
      </c>
      <c r="H21" s="409" t="s">
        <v>1167</v>
      </c>
      <c r="I21" s="404"/>
      <c r="J21" s="404"/>
    </row>
    <row r="22" spans="1:10" x14ac:dyDescent="0.2">
      <c r="A22" s="404"/>
      <c r="B22" s="408" t="s">
        <v>855</v>
      </c>
      <c r="C22" s="416">
        <v>0</v>
      </c>
      <c r="D22" s="417">
        <v>0</v>
      </c>
      <c r="E22" s="404"/>
      <c r="G22" s="408" t="s">
        <v>227</v>
      </c>
      <c r="H22" s="418" t="s">
        <v>230</v>
      </c>
      <c r="I22" s="404"/>
      <c r="J22" s="404"/>
    </row>
    <row r="23" spans="1:10" x14ac:dyDescent="0.2">
      <c r="A23" s="404"/>
      <c r="B23" s="419" t="s">
        <v>874</v>
      </c>
      <c r="C23" s="416">
        <f>Breakout!C158</f>
        <v>512088.88551569509</v>
      </c>
      <c r="D23" s="417">
        <v>0</v>
      </c>
      <c r="E23" s="404"/>
      <c r="G23" s="408" t="s">
        <v>228</v>
      </c>
      <c r="H23" s="409" t="s">
        <v>230</v>
      </c>
      <c r="I23" s="404"/>
      <c r="J23" s="404"/>
    </row>
    <row r="24" spans="1:10" x14ac:dyDescent="0.2">
      <c r="A24" s="404"/>
      <c r="B24" s="419" t="s">
        <v>857</v>
      </c>
      <c r="C24" s="416">
        <f>Breakout!C151</f>
        <v>559201.06298313907</v>
      </c>
      <c r="D24" s="417">
        <v>0</v>
      </c>
      <c r="E24" s="404"/>
      <c r="G24" s="420"/>
      <c r="H24" s="421"/>
      <c r="I24" s="404"/>
      <c r="J24" s="404"/>
    </row>
    <row r="25" spans="1:10" ht="13.5" thickBot="1" x14ac:dyDescent="0.25">
      <c r="A25" s="404"/>
      <c r="B25" s="422" t="s">
        <v>678</v>
      </c>
      <c r="C25" s="423">
        <f>SUM(C18:C24)</f>
        <v>63530022.112385638</v>
      </c>
      <c r="D25" s="424"/>
      <c r="E25" s="404"/>
      <c r="F25" s="404"/>
      <c r="G25" s="404"/>
      <c r="H25" s="404"/>
      <c r="I25" s="404"/>
      <c r="J25" s="404"/>
    </row>
    <row r="26" spans="1:10" ht="9" customHeight="1" thickTop="1" x14ac:dyDescent="0.2">
      <c r="A26" s="404"/>
      <c r="B26" s="404"/>
      <c r="C26" s="404"/>
      <c r="D26" s="404"/>
      <c r="E26" s="404"/>
      <c r="F26" s="404"/>
      <c r="G26" s="404"/>
      <c r="H26" s="404"/>
      <c r="I26" s="404"/>
      <c r="J26" s="404"/>
    </row>
    <row r="27" spans="1:10" ht="15.75" x14ac:dyDescent="0.25">
      <c r="A27" s="404"/>
      <c r="B27" s="1163" t="s">
        <v>809</v>
      </c>
      <c r="C27" s="1163"/>
      <c r="D27" s="1163"/>
      <c r="E27" s="1163"/>
      <c r="F27" s="1163"/>
      <c r="G27" s="1163"/>
      <c r="H27" s="1163"/>
      <c r="I27" s="404"/>
      <c r="J27" s="404"/>
    </row>
    <row r="28" spans="1:10" x14ac:dyDescent="0.2">
      <c r="A28" s="404"/>
      <c r="B28" s="404"/>
      <c r="C28" s="404"/>
      <c r="D28" s="404"/>
      <c r="E28" s="404"/>
      <c r="F28" s="404"/>
      <c r="G28" s="404"/>
      <c r="H28" s="404"/>
      <c r="I28" s="404"/>
      <c r="J28" s="404"/>
    </row>
    <row r="29" spans="1:10" x14ac:dyDescent="0.2">
      <c r="A29" s="404"/>
      <c r="B29" s="425" t="s">
        <v>810</v>
      </c>
      <c r="C29" s="426"/>
      <c r="D29" s="426"/>
      <c r="E29" s="404"/>
      <c r="G29" s="425" t="s">
        <v>816</v>
      </c>
      <c r="H29" s="426"/>
      <c r="I29" s="404"/>
      <c r="J29" s="404"/>
    </row>
    <row r="30" spans="1:10" x14ac:dyDescent="0.2">
      <c r="A30" s="404"/>
      <c r="B30" s="404"/>
      <c r="C30" s="427" t="s">
        <v>815</v>
      </c>
      <c r="D30" s="427" t="s">
        <v>843</v>
      </c>
      <c r="E30" s="404"/>
      <c r="F30" s="404"/>
      <c r="G30" s="404"/>
      <c r="H30" s="404"/>
      <c r="I30" s="404"/>
      <c r="J30" s="404"/>
    </row>
    <row r="31" spans="1:10" x14ac:dyDescent="0.2">
      <c r="A31" s="404"/>
      <c r="B31" s="408" t="s">
        <v>848</v>
      </c>
      <c r="C31" s="416">
        <f>C64-D64</f>
        <v>-7173984.0714074746</v>
      </c>
      <c r="D31" s="428">
        <f>E64</f>
        <v>-1.7414055064918641E-2</v>
      </c>
      <c r="E31" s="404"/>
      <c r="F31" s="404"/>
      <c r="G31" s="404"/>
      <c r="H31" s="404"/>
      <c r="I31" s="404"/>
      <c r="J31" s="404"/>
    </row>
    <row r="32" spans="1:10" x14ac:dyDescent="0.2">
      <c r="A32" s="404"/>
      <c r="B32" s="408" t="s">
        <v>849</v>
      </c>
      <c r="C32" s="416">
        <f>D64</f>
        <v>17430427.116177186</v>
      </c>
      <c r="D32" s="429">
        <f>D64/Breakout!B184</f>
        <v>4.2310439301910759E-2</v>
      </c>
      <c r="E32" s="404"/>
      <c r="G32" s="408" t="s">
        <v>817</v>
      </c>
      <c r="H32" s="416">
        <v>0</v>
      </c>
      <c r="I32" s="404"/>
      <c r="J32" s="404"/>
    </row>
    <row r="33" spans="1:10" x14ac:dyDescent="0.2">
      <c r="A33" s="404"/>
      <c r="B33" s="408" t="s">
        <v>850</v>
      </c>
      <c r="C33" s="416">
        <f>C64</f>
        <v>10256443.044769712</v>
      </c>
      <c r="D33" s="429">
        <f>C64/Breakout!B184</f>
        <v>2.4896384236992117E-2</v>
      </c>
      <c r="E33" s="404"/>
      <c r="G33" s="408" t="s">
        <v>788</v>
      </c>
      <c r="H33" s="416">
        <f>0</f>
        <v>0</v>
      </c>
      <c r="I33" s="404"/>
      <c r="J33" s="404"/>
    </row>
    <row r="34" spans="1:10" x14ac:dyDescent="0.2">
      <c r="A34" s="404"/>
      <c r="B34" s="408" t="s">
        <v>789</v>
      </c>
      <c r="C34" s="416">
        <f>Breakout!B185</f>
        <v>792789348.90014255</v>
      </c>
      <c r="D34" s="404"/>
      <c r="E34" s="404"/>
      <c r="G34" s="408" t="s">
        <v>831</v>
      </c>
      <c r="H34" s="416">
        <v>0</v>
      </c>
      <c r="I34" s="404"/>
      <c r="J34" s="404"/>
    </row>
    <row r="35" spans="1:10" x14ac:dyDescent="0.2">
      <c r="A35" s="404"/>
      <c r="B35" s="408" t="s">
        <v>788</v>
      </c>
      <c r="C35" s="430">
        <v>0</v>
      </c>
      <c r="D35" s="404"/>
      <c r="E35" s="404"/>
      <c r="G35" s="408" t="s">
        <v>678</v>
      </c>
      <c r="H35" s="416">
        <f>SUM(H32:H34)</f>
        <v>0</v>
      </c>
      <c r="I35" s="404"/>
      <c r="J35" s="404"/>
    </row>
    <row r="36" spans="1:10" x14ac:dyDescent="0.2">
      <c r="A36" s="404"/>
      <c r="B36" s="408" t="s">
        <v>811</v>
      </c>
      <c r="C36" s="416">
        <v>0</v>
      </c>
      <c r="D36" s="404"/>
      <c r="E36" s="404"/>
      <c r="F36" s="404"/>
      <c r="G36" s="404"/>
      <c r="H36" s="404"/>
      <c r="I36" s="404"/>
      <c r="J36" s="404"/>
    </row>
    <row r="37" spans="1:10" x14ac:dyDescent="0.2">
      <c r="A37" s="404"/>
      <c r="B37" s="404"/>
      <c r="C37" s="404"/>
      <c r="D37" s="404"/>
      <c r="E37" s="404"/>
      <c r="G37" s="404"/>
      <c r="H37" s="404"/>
      <c r="I37" s="404"/>
      <c r="J37" s="404"/>
    </row>
    <row r="38" spans="1:10" x14ac:dyDescent="0.2">
      <c r="A38" s="404"/>
      <c r="B38" s="425" t="s">
        <v>832</v>
      </c>
      <c r="C38" s="426"/>
      <c r="D38" s="426"/>
      <c r="E38" s="404"/>
      <c r="G38" s="404"/>
      <c r="H38" s="404"/>
      <c r="I38" s="404"/>
      <c r="J38" s="404"/>
    </row>
    <row r="39" spans="1:10" x14ac:dyDescent="0.2">
      <c r="A39" s="404"/>
      <c r="B39" s="404"/>
      <c r="C39" s="404"/>
      <c r="D39" s="404"/>
      <c r="E39" s="404"/>
      <c r="F39" s="404"/>
      <c r="G39" s="404"/>
      <c r="H39" s="404"/>
      <c r="I39" s="404"/>
      <c r="J39" s="404"/>
    </row>
    <row r="40" spans="1:10" ht="26.25" thickBot="1" x14ac:dyDescent="0.25">
      <c r="A40" s="404"/>
      <c r="B40" s="431" t="s">
        <v>790</v>
      </c>
      <c r="C40" s="431" t="s">
        <v>838</v>
      </c>
      <c r="D40" s="431" t="s">
        <v>797</v>
      </c>
      <c r="E40" s="432" t="s">
        <v>841</v>
      </c>
      <c r="F40" s="427"/>
      <c r="G40" s="404"/>
      <c r="H40" s="404"/>
      <c r="I40" s="404"/>
      <c r="J40" s="404"/>
    </row>
    <row r="41" spans="1:10" ht="13.5" thickTop="1" x14ac:dyDescent="0.2">
      <c r="A41" s="404"/>
      <c r="B41" s="433" t="s">
        <v>833</v>
      </c>
      <c r="C41" s="451">
        <v>0</v>
      </c>
      <c r="D41" s="451">
        <v>0</v>
      </c>
      <c r="E41" s="434">
        <f>(C41-D41)/Breakout!$B$184</f>
        <v>0</v>
      </c>
      <c r="F41" s="404"/>
      <c r="G41" s="404"/>
      <c r="H41" s="404"/>
      <c r="I41" s="404"/>
      <c r="J41" s="404"/>
    </row>
    <row r="42" spans="1:10" x14ac:dyDescent="0.2">
      <c r="A42" s="404"/>
      <c r="B42" s="408" t="s">
        <v>845</v>
      </c>
      <c r="C42" s="416">
        <v>0</v>
      </c>
      <c r="D42" s="416">
        <v>0</v>
      </c>
      <c r="E42" s="434">
        <f>(C42-D42)/Breakout!$B$184</f>
        <v>0</v>
      </c>
      <c r="F42" s="404"/>
      <c r="G42" s="404"/>
      <c r="H42" s="404"/>
      <c r="I42" s="404"/>
      <c r="J42" s="404"/>
    </row>
    <row r="43" spans="1:10" x14ac:dyDescent="0.2">
      <c r="A43" s="404"/>
      <c r="B43" s="408" t="s">
        <v>834</v>
      </c>
      <c r="C43" s="416"/>
      <c r="D43" s="416"/>
      <c r="E43" s="434"/>
      <c r="F43" s="404"/>
      <c r="G43" s="404"/>
      <c r="H43" s="404"/>
      <c r="I43" s="404"/>
      <c r="J43" s="404"/>
    </row>
    <row r="44" spans="1:10" x14ac:dyDescent="0.2">
      <c r="A44" s="404"/>
      <c r="B44" s="408" t="s">
        <v>835</v>
      </c>
      <c r="C44" s="416">
        <f>Breakout!$B$139</f>
        <v>93962258.665341735</v>
      </c>
      <c r="D44" s="416">
        <v>134239333.22814298</v>
      </c>
      <c r="E44" s="434">
        <f>(C44-D44)/Breakout!$B$184</f>
        <v>-9.7768156063503586E-2</v>
      </c>
      <c r="F44" s="404"/>
      <c r="G44" s="404"/>
      <c r="H44" s="404"/>
      <c r="I44" s="404"/>
      <c r="J44" s="404"/>
    </row>
    <row r="45" spans="1:10" x14ac:dyDescent="0.2">
      <c r="A45" s="404"/>
      <c r="B45" s="408" t="s">
        <v>836</v>
      </c>
      <c r="C45" s="416">
        <f>Breakout!$B$146</f>
        <v>1347386.0707655295</v>
      </c>
      <c r="D45" s="416">
        <v>1714675.5680271944</v>
      </c>
      <c r="E45" s="434">
        <f>(C45-D45)/Breakout!$B$184</f>
        <v>-8.9155474369851447E-4</v>
      </c>
      <c r="F45" s="404"/>
      <c r="G45" s="404"/>
      <c r="H45" s="404"/>
      <c r="I45" s="404"/>
      <c r="J45" s="404"/>
    </row>
    <row r="46" spans="1:10" x14ac:dyDescent="0.2">
      <c r="A46" s="404"/>
      <c r="B46" s="408" t="s">
        <v>837</v>
      </c>
      <c r="C46" s="416">
        <v>0</v>
      </c>
      <c r="D46" s="416">
        <v>0</v>
      </c>
      <c r="E46" s="434">
        <f>(C46-D46)/Breakout!$B$184</f>
        <v>0</v>
      </c>
      <c r="F46" s="404"/>
      <c r="G46" s="404"/>
      <c r="H46" s="404"/>
      <c r="I46" s="404"/>
      <c r="J46" s="404"/>
    </row>
    <row r="47" spans="1:10" x14ac:dyDescent="0.2">
      <c r="A47" s="404"/>
      <c r="B47" s="408" t="s">
        <v>858</v>
      </c>
      <c r="C47" s="416">
        <v>0</v>
      </c>
      <c r="D47" s="416">
        <v>0</v>
      </c>
      <c r="E47" s="434">
        <f>(C47-D47)/Breakout!$B$184</f>
        <v>0</v>
      </c>
      <c r="F47" s="404"/>
      <c r="G47" s="404"/>
      <c r="H47" s="404"/>
      <c r="I47" s="404"/>
      <c r="J47" s="404"/>
    </row>
    <row r="48" spans="1:10" x14ac:dyDescent="0.2">
      <c r="A48" s="404"/>
      <c r="B48" s="408" t="s">
        <v>859</v>
      </c>
      <c r="C48" s="416">
        <v>0</v>
      </c>
      <c r="D48" s="416">
        <v>0</v>
      </c>
      <c r="E48" s="434">
        <f>(C48-D48)/Breakout!$B$184</f>
        <v>0</v>
      </c>
      <c r="F48" s="404"/>
      <c r="G48" s="404"/>
      <c r="H48" s="404"/>
      <c r="I48" s="404"/>
      <c r="J48" s="404"/>
    </row>
    <row r="49" spans="1:10" x14ac:dyDescent="0.2">
      <c r="A49" s="404"/>
      <c r="B49" s="408" t="s">
        <v>860</v>
      </c>
      <c r="C49" s="416">
        <v>0</v>
      </c>
      <c r="D49" s="416">
        <v>0</v>
      </c>
      <c r="E49" s="434">
        <f>(C49-D49)/Breakout!$B$184</f>
        <v>0</v>
      </c>
      <c r="F49" s="404"/>
      <c r="G49" s="404"/>
      <c r="H49" s="404"/>
      <c r="I49" s="404"/>
      <c r="J49" s="404"/>
    </row>
    <row r="50" spans="1:10" ht="13.5" thickBot="1" x14ac:dyDescent="0.25">
      <c r="A50" s="404"/>
      <c r="B50" s="422" t="s">
        <v>405</v>
      </c>
      <c r="C50" s="542">
        <v>0</v>
      </c>
      <c r="D50" s="542">
        <v>0</v>
      </c>
      <c r="E50" s="541">
        <f>(C50-D50)/Breakout!$B$184</f>
        <v>0</v>
      </c>
      <c r="F50" s="404"/>
      <c r="G50" s="404"/>
      <c r="H50" s="404"/>
      <c r="I50" s="404"/>
      <c r="J50" s="404"/>
    </row>
    <row r="51" spans="1:10" ht="13.5" thickTop="1" x14ac:dyDescent="0.2">
      <c r="A51" s="404"/>
      <c r="B51" s="534" t="s">
        <v>402</v>
      </c>
      <c r="C51" s="535">
        <f>SUM(C41:C50)</f>
        <v>95309644.73610726</v>
      </c>
      <c r="D51" s="535">
        <v>135954008.79617018</v>
      </c>
      <c r="E51" s="536">
        <f>SUM(E42:E50)</f>
        <v>-9.8659710807202095E-2</v>
      </c>
      <c r="F51" s="404"/>
      <c r="G51" s="404"/>
      <c r="H51" s="404"/>
      <c r="I51" s="404"/>
      <c r="J51" s="404"/>
    </row>
    <row r="52" spans="1:10" x14ac:dyDescent="0.2">
      <c r="A52" s="404"/>
      <c r="B52" s="404"/>
      <c r="C52" s="452"/>
      <c r="D52" s="452"/>
      <c r="E52" s="543"/>
      <c r="F52" s="404"/>
      <c r="G52" s="404"/>
      <c r="H52" s="404"/>
      <c r="I52" s="404"/>
      <c r="J52" s="404"/>
    </row>
    <row r="53" spans="1:10" ht="13.5" thickBot="1" x14ac:dyDescent="0.25">
      <c r="A53" s="404"/>
      <c r="B53" s="431" t="s">
        <v>839</v>
      </c>
      <c r="C53" s="453"/>
      <c r="D53" s="453"/>
      <c r="E53" s="435"/>
      <c r="F53" s="404"/>
      <c r="G53" s="404"/>
      <c r="H53" s="404"/>
      <c r="I53" s="404"/>
      <c r="J53" s="404"/>
    </row>
    <row r="54" spans="1:10" ht="13.5" thickTop="1" x14ac:dyDescent="0.2">
      <c r="A54" s="404"/>
      <c r="B54" s="436" t="s">
        <v>1132</v>
      </c>
      <c r="C54" s="454">
        <f>'RMPM-Redis'!AD10</f>
        <v>1275000</v>
      </c>
      <c r="D54" s="454">
        <v>1275000</v>
      </c>
      <c r="E54" s="437">
        <f>(C54-D54)/Breakout!$B$184</f>
        <v>0</v>
      </c>
      <c r="F54" s="404"/>
      <c r="G54" s="404"/>
      <c r="H54" s="404"/>
      <c r="I54" s="404"/>
      <c r="J54" s="404"/>
    </row>
    <row r="55" spans="1:10" x14ac:dyDescent="0.2">
      <c r="A55" s="404"/>
      <c r="B55" s="433" t="s">
        <v>346</v>
      </c>
      <c r="C55" s="451">
        <f>Breakout!$B$167</f>
        <v>0</v>
      </c>
      <c r="D55" s="451">
        <v>0</v>
      </c>
      <c r="E55" s="434">
        <f>(C55-D55)/Breakout!$B$184</f>
        <v>0</v>
      </c>
      <c r="F55" s="404"/>
      <c r="G55" s="404"/>
      <c r="H55" s="404"/>
      <c r="I55" s="404"/>
      <c r="J55" s="404"/>
    </row>
    <row r="56" spans="1:10" x14ac:dyDescent="0.2">
      <c r="A56" s="404"/>
      <c r="B56" s="408" t="s">
        <v>347</v>
      </c>
      <c r="C56" s="451">
        <f>-Breakout!$B$174</f>
        <v>78900078.390884474</v>
      </c>
      <c r="D56" s="451">
        <v>110616227.39557452</v>
      </c>
      <c r="E56" s="434">
        <f>(C56-D56)/Breakout!$B$184</f>
        <v>-7.6987453515000526E-2</v>
      </c>
      <c r="F56" s="404"/>
      <c r="G56" s="404"/>
      <c r="H56" s="404"/>
      <c r="I56" s="404"/>
      <c r="J56" s="404"/>
    </row>
    <row r="57" spans="1:10" x14ac:dyDescent="0.2">
      <c r="A57" s="404"/>
      <c r="B57" s="408" t="s">
        <v>766</v>
      </c>
      <c r="C57" s="451">
        <v>0</v>
      </c>
      <c r="D57" s="451">
        <v>0</v>
      </c>
      <c r="E57" s="434">
        <f>(C57-D57)/Breakout!$B$184</f>
        <v>0</v>
      </c>
      <c r="F57" s="404"/>
      <c r="G57" s="404"/>
      <c r="H57" s="404"/>
      <c r="I57" s="404"/>
      <c r="J57" s="404"/>
    </row>
    <row r="58" spans="1:10" ht="13.5" thickBot="1" x14ac:dyDescent="0.25">
      <c r="A58" s="404"/>
      <c r="B58" s="422" t="s">
        <v>793</v>
      </c>
      <c r="C58" s="540">
        <f>SUM(C54:C57)</f>
        <v>80175078.390884474</v>
      </c>
      <c r="D58" s="540">
        <v>111891227.39557452</v>
      </c>
      <c r="E58" s="541">
        <f>(C58-D58)/Breakout!$B$184</f>
        <v>-7.6987453515000526E-2</v>
      </c>
      <c r="F58" s="404"/>
      <c r="G58" s="404"/>
      <c r="H58" s="404"/>
      <c r="I58" s="404"/>
      <c r="J58" s="404"/>
    </row>
    <row r="59" spans="1:10" ht="13.5" thickTop="1" x14ac:dyDescent="0.2">
      <c r="A59" s="404"/>
      <c r="B59" s="537" t="s">
        <v>403</v>
      </c>
      <c r="C59" s="538">
        <f>C51-C58</f>
        <v>15134566.345222786</v>
      </c>
      <c r="D59" s="538">
        <v>24062781.40059565</v>
      </c>
      <c r="E59" s="539">
        <f>E51+E58</f>
        <v>-0.17564716432220262</v>
      </c>
      <c r="F59" s="404"/>
      <c r="G59" s="404"/>
      <c r="H59" s="404"/>
      <c r="I59" s="404"/>
      <c r="J59" s="404"/>
    </row>
    <row r="60" spans="1:10" x14ac:dyDescent="0.2">
      <c r="A60" s="404"/>
      <c r="B60" s="404"/>
      <c r="C60" s="544"/>
      <c r="D60" s="544"/>
      <c r="E60" s="434"/>
      <c r="F60" s="404"/>
      <c r="G60" s="404"/>
      <c r="H60" s="404"/>
      <c r="I60" s="404"/>
      <c r="J60" s="404"/>
    </row>
    <row r="61" spans="1:10" x14ac:dyDescent="0.2">
      <c r="A61" s="404"/>
      <c r="B61" s="408" t="s">
        <v>794</v>
      </c>
      <c r="C61" s="416">
        <f>-Breakout!$B$153</f>
        <v>3601267.3166026655</v>
      </c>
      <c r="D61" s="416">
        <v>5048899.9824820757</v>
      </c>
      <c r="E61" s="434">
        <f>(C61-D61)/Breakout!$B$184</f>
        <v>-3.5139686269826356E-3</v>
      </c>
      <c r="F61" s="404"/>
      <c r="G61" s="404"/>
      <c r="H61" s="404"/>
      <c r="I61" s="404"/>
      <c r="J61" s="404"/>
    </row>
    <row r="62" spans="1:10" x14ac:dyDescent="0.2">
      <c r="A62" s="404"/>
      <c r="B62" s="408" t="s">
        <v>795</v>
      </c>
      <c r="C62" s="416">
        <v>0</v>
      </c>
      <c r="D62" s="416">
        <v>0</v>
      </c>
      <c r="E62" s="434">
        <f>(C62-D62)/Breakout!$B$184</f>
        <v>0</v>
      </c>
      <c r="F62" s="404"/>
      <c r="G62" s="404"/>
      <c r="H62" s="404"/>
      <c r="I62" s="404"/>
      <c r="J62" s="404"/>
    </row>
    <row r="63" spans="1:10" ht="13.5" thickBot="1" x14ac:dyDescent="0.25">
      <c r="A63" s="404"/>
      <c r="B63" s="419" t="s">
        <v>873</v>
      </c>
      <c r="C63" s="453">
        <f>-Breakout!$B$160</f>
        <v>1276855.9838504086</v>
      </c>
      <c r="D63" s="453">
        <v>1583454.3019363864</v>
      </c>
      <c r="E63" s="434">
        <f>(C63-D63)/Breakout!$B$184</f>
        <v>-7.4423360030030975E-4</v>
      </c>
      <c r="F63" s="404"/>
      <c r="G63" s="404"/>
      <c r="H63" s="404"/>
      <c r="I63" s="404"/>
      <c r="J63" s="404"/>
    </row>
    <row r="64" spans="1:10" ht="13.5" thickTop="1" x14ac:dyDescent="0.2">
      <c r="A64" s="404"/>
      <c r="B64" s="537" t="s">
        <v>404</v>
      </c>
      <c r="C64" s="538">
        <f>C59-SUM(C61:C63)</f>
        <v>10256443.044769712</v>
      </c>
      <c r="D64" s="538">
        <v>17430427.116177186</v>
      </c>
      <c r="E64" s="539">
        <f>(C64-D64)/Breakout!B184</f>
        <v>-1.7414055064918641E-2</v>
      </c>
      <c r="F64" s="404"/>
      <c r="G64" s="404"/>
      <c r="H64" s="404"/>
      <c r="I64" s="404"/>
      <c r="J64" s="404"/>
    </row>
    <row r="65" spans="1:10" x14ac:dyDescent="0.2">
      <c r="A65" s="404"/>
      <c r="B65" s="404"/>
      <c r="C65" s="404"/>
      <c r="D65" s="404"/>
      <c r="E65" s="404"/>
      <c r="F65" s="404"/>
      <c r="G65" s="404"/>
      <c r="H65" s="404"/>
      <c r="I65" s="404"/>
      <c r="J65" s="404"/>
    </row>
    <row r="66" spans="1:10" ht="15.75" x14ac:dyDescent="0.25">
      <c r="A66" s="404"/>
      <c r="B66" s="1163" t="s">
        <v>842</v>
      </c>
      <c r="C66" s="1163"/>
      <c r="D66" s="1163"/>
      <c r="E66" s="1163"/>
      <c r="F66" s="1163"/>
      <c r="G66" s="1163"/>
      <c r="H66" s="1163"/>
      <c r="I66" s="404"/>
      <c r="J66" s="404"/>
    </row>
    <row r="67" spans="1:10" x14ac:dyDescent="0.2">
      <c r="A67" s="404"/>
      <c r="B67" s="420"/>
      <c r="C67" s="404"/>
      <c r="D67" s="404"/>
      <c r="E67" s="404"/>
      <c r="F67" s="404"/>
      <c r="G67" s="404"/>
      <c r="H67" s="404"/>
      <c r="I67" s="404"/>
      <c r="J67" s="404"/>
    </row>
    <row r="68" spans="1:10" x14ac:dyDescent="0.2">
      <c r="A68" s="404"/>
      <c r="B68" s="404"/>
      <c r="C68" s="404"/>
      <c r="D68" s="404"/>
      <c r="E68" s="404"/>
      <c r="F68" s="404"/>
      <c r="G68" s="404"/>
      <c r="H68" s="404"/>
      <c r="I68" s="404"/>
      <c r="J68" s="404"/>
    </row>
    <row r="69" spans="1:10" x14ac:dyDescent="0.2">
      <c r="A69" s="404"/>
      <c r="B69" s="404"/>
      <c r="C69" s="404"/>
      <c r="D69" s="404"/>
      <c r="E69" s="404"/>
      <c r="F69" s="404"/>
      <c r="G69" s="404"/>
      <c r="H69" s="404"/>
      <c r="I69" s="404"/>
      <c r="J69" s="404"/>
    </row>
    <row r="70" spans="1:10" x14ac:dyDescent="0.2">
      <c r="A70" s="404"/>
      <c r="B70" s="404"/>
      <c r="C70" s="404"/>
      <c r="D70" s="404"/>
      <c r="E70" s="404"/>
      <c r="F70" s="404"/>
      <c r="G70" s="404"/>
      <c r="H70" s="404"/>
      <c r="I70" s="404"/>
      <c r="J70" s="404"/>
    </row>
    <row r="71" spans="1:10" x14ac:dyDescent="0.2">
      <c r="A71" s="404"/>
      <c r="B71" s="404"/>
      <c r="C71" s="404"/>
      <c r="D71" s="404"/>
      <c r="E71" s="404"/>
      <c r="F71" s="404"/>
      <c r="G71" s="404"/>
      <c r="H71" s="404"/>
      <c r="I71" s="404"/>
      <c r="J71" s="404"/>
    </row>
    <row r="72" spans="1:10" x14ac:dyDescent="0.2">
      <c r="A72" s="404"/>
      <c r="B72" s="404"/>
      <c r="C72" s="404"/>
      <c r="D72" s="404"/>
      <c r="E72" s="404"/>
      <c r="F72" s="404"/>
      <c r="G72" s="404"/>
      <c r="H72" s="404"/>
      <c r="I72" s="404"/>
      <c r="J72" s="404"/>
    </row>
    <row r="73" spans="1:10" x14ac:dyDescent="0.2">
      <c r="A73" s="404"/>
      <c r="B73" s="614"/>
      <c r="C73" s="404"/>
      <c r="D73" s="404"/>
      <c r="E73" s="404"/>
      <c r="F73" s="404"/>
      <c r="G73" s="404"/>
      <c r="H73" s="404"/>
      <c r="I73" s="404"/>
      <c r="J73" s="404"/>
    </row>
    <row r="74" spans="1:10" x14ac:dyDescent="0.2">
      <c r="A74" s="404"/>
      <c r="B74" s="404"/>
      <c r="C74" s="404"/>
      <c r="D74" s="404"/>
      <c r="E74" s="404"/>
      <c r="F74" s="404"/>
      <c r="G74" s="404"/>
      <c r="H74" s="404"/>
      <c r="I74" s="404"/>
      <c r="J74" s="404"/>
    </row>
    <row r="75" spans="1:10" x14ac:dyDescent="0.2">
      <c r="A75" s="404"/>
      <c r="B75" s="404"/>
      <c r="C75" s="404"/>
      <c r="D75" s="404"/>
      <c r="E75" s="404"/>
      <c r="F75" s="404"/>
      <c r="G75" s="404"/>
      <c r="H75" s="404"/>
      <c r="I75" s="404"/>
      <c r="J75" s="404"/>
    </row>
    <row r="76" spans="1:10" x14ac:dyDescent="0.2">
      <c r="A76" s="404"/>
      <c r="B76" s="404"/>
      <c r="C76" s="404"/>
      <c r="D76" s="404"/>
      <c r="E76" s="404"/>
      <c r="F76" s="404"/>
      <c r="G76" s="404"/>
      <c r="H76" s="404"/>
      <c r="I76" s="404"/>
      <c r="J76" s="404"/>
    </row>
    <row r="77" spans="1:10" x14ac:dyDescent="0.2">
      <c r="A77" s="404"/>
      <c r="B77" s="404"/>
      <c r="C77" s="404"/>
      <c r="D77" s="404"/>
      <c r="E77" s="404"/>
      <c r="F77" s="404"/>
      <c r="G77" s="404"/>
      <c r="H77" s="404"/>
      <c r="I77" s="404"/>
      <c r="J77" s="404"/>
    </row>
    <row r="78" spans="1:10" x14ac:dyDescent="0.2">
      <c r="A78" s="404"/>
      <c r="B78" s="1171" t="s">
        <v>847</v>
      </c>
      <c r="C78" s="1171"/>
      <c r="D78" s="1171"/>
      <c r="E78" s="1171"/>
      <c r="F78" s="1171"/>
      <c r="G78" s="1171"/>
      <c r="H78" s="1171"/>
      <c r="I78" s="404"/>
      <c r="J78" s="404"/>
    </row>
    <row r="79" spans="1:10" x14ac:dyDescent="0.2">
      <c r="A79" s="404"/>
      <c r="B79" s="404"/>
      <c r="C79" s="404"/>
      <c r="D79" s="404"/>
      <c r="E79" s="404"/>
      <c r="F79" s="404"/>
      <c r="G79" s="404"/>
      <c r="H79" s="404"/>
      <c r="I79" s="404"/>
      <c r="J79" s="404"/>
    </row>
    <row r="80" spans="1:10" x14ac:dyDescent="0.2">
      <c r="A80" s="404"/>
      <c r="B80" s="404"/>
      <c r="C80" s="404"/>
      <c r="D80" s="404" t="s">
        <v>862</v>
      </c>
      <c r="E80" s="404" t="s">
        <v>863</v>
      </c>
      <c r="F80" s="404"/>
      <c r="G80" s="404"/>
      <c r="H80" s="404"/>
    </row>
    <row r="81" spans="2:5" x14ac:dyDescent="0.2">
      <c r="C81">
        <v>1</v>
      </c>
      <c r="D81" s="438">
        <v>-886077.20997076482</v>
      </c>
      <c r="E81" s="438">
        <f>Breakout!$C$186</f>
        <v>-764310.77734543011</v>
      </c>
    </row>
    <row r="82" spans="2:5" x14ac:dyDescent="0.2">
      <c r="C82">
        <v>2</v>
      </c>
      <c r="D82" s="438">
        <v>-911576.270523699</v>
      </c>
      <c r="E82" s="438">
        <f>Breakout!$D$186</f>
        <v>-789416.10684319399</v>
      </c>
    </row>
    <row r="83" spans="2:5" x14ac:dyDescent="0.2">
      <c r="C83">
        <v>3</v>
      </c>
      <c r="D83" s="438">
        <v>1977904.2678291108</v>
      </c>
      <c r="E83" s="438">
        <f>Breakout!$E$186</f>
        <v>2101421.6987657268</v>
      </c>
    </row>
    <row r="84" spans="2:5" x14ac:dyDescent="0.2">
      <c r="B84" s="616"/>
      <c r="C84">
        <v>4</v>
      </c>
      <c r="D84" s="438">
        <v>2173957.5207767729</v>
      </c>
      <c r="E84" s="438">
        <f>Breakout!$F$186</f>
        <v>2299591.7539086062</v>
      </c>
    </row>
    <row r="85" spans="2:5" x14ac:dyDescent="0.2">
      <c r="C85">
        <v>5</v>
      </c>
      <c r="D85" s="438">
        <v>3565032.550961839</v>
      </c>
      <c r="E85" s="438">
        <f>Breakout!$G$186</f>
        <v>3693244.3358910289</v>
      </c>
    </row>
    <row r="86" spans="2:5" x14ac:dyDescent="0.2">
      <c r="C86">
        <v>6</v>
      </c>
      <c r="D86" s="438">
        <v>3567966.6091164332</v>
      </c>
      <c r="E86" s="438">
        <f>Breakout!$H$186</f>
        <v>3699213.497570334</v>
      </c>
    </row>
    <row r="87" spans="2:5" x14ac:dyDescent="0.2">
      <c r="C87">
        <v>7</v>
      </c>
      <c r="D87" s="438">
        <v>3571340.0590603147</v>
      </c>
      <c r="E87" s="438">
        <f>Breakout!$I$186</f>
        <v>3706076.5749434102</v>
      </c>
    </row>
    <row r="88" spans="2:5" x14ac:dyDescent="0.2">
      <c r="C88">
        <v>8</v>
      </c>
      <c r="D88" s="438">
        <v>3575150.1450154502</v>
      </c>
      <c r="E88" s="438">
        <f>Breakout!$J$186</f>
        <v>3713827.961548565</v>
      </c>
    </row>
    <row r="89" spans="2:5" x14ac:dyDescent="0.2">
      <c r="C89">
        <v>9</v>
      </c>
      <c r="D89" s="438">
        <v>5548403.4856902938</v>
      </c>
      <c r="E89" s="438">
        <f>Breakout!$K$186</f>
        <v>5691471.6059061754</v>
      </c>
    </row>
    <row r="90" spans="2:5" x14ac:dyDescent="0.2">
      <c r="C90">
        <v>10</v>
      </c>
      <c r="D90" s="438">
        <v>5553079.2743287999</v>
      </c>
      <c r="E90" s="438">
        <f>Breakout!$L$186</f>
        <v>5700984.211618444</v>
      </c>
    </row>
  </sheetData>
  <mergeCells count="14">
    <mergeCell ref="E8:F8"/>
    <mergeCell ref="E9:F9"/>
    <mergeCell ref="E10:F10"/>
    <mergeCell ref="B13:H13"/>
    <mergeCell ref="B3:H3"/>
    <mergeCell ref="E5:F5"/>
    <mergeCell ref="E6:F6"/>
    <mergeCell ref="E7:F7"/>
    <mergeCell ref="B78:H78"/>
    <mergeCell ref="B15:D15"/>
    <mergeCell ref="F15:H15"/>
    <mergeCell ref="B27:H27"/>
    <mergeCell ref="B66:H66"/>
    <mergeCell ref="G19:H19"/>
  </mergeCells>
  <pageMargins left="0.56999999999999995" right="0.28999999999999998" top="0.44" bottom="0.27" header="0.36" footer="0.19"/>
  <pageSetup scale="73" orientation="portrait" r:id="rId1"/>
  <headerFooter alignWithMargins="0"/>
  <drawing r:id="rId2"/>
  <legacyDrawing r:id="rId3"/>
  <oleObjects>
    <mc:AlternateContent xmlns:mc="http://schemas.openxmlformats.org/markup-compatibility/2006">
      <mc:Choice Requires="x14">
        <oleObject progId="MSPhotoEd.3" shapeId="10248" r:id="rId4">
          <objectPr defaultSize="0" autoPict="0" r:id="rId5">
            <anchor moveWithCells="1">
              <from>
                <xdr:col>6</xdr:col>
                <xdr:colOff>533400</xdr:colOff>
                <xdr:row>5</xdr:row>
                <xdr:rowOff>123825</xdr:rowOff>
              </from>
              <to>
                <xdr:col>7</xdr:col>
                <xdr:colOff>1000125</xdr:colOff>
                <xdr:row>9</xdr:row>
                <xdr:rowOff>0</xdr:rowOff>
              </to>
            </anchor>
          </objectPr>
        </oleObject>
      </mc:Choice>
      <mc:Fallback>
        <oleObject progId="MSPhotoEd.3" shapeId="10248" r:id="rId4"/>
      </mc:Fallback>
    </mc:AlternateContent>
  </oleObjects>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4">
    <pageSetUpPr fitToPage="1"/>
  </sheetPr>
  <dimension ref="A1:J90"/>
  <sheetViews>
    <sheetView topLeftCell="A41" workbookViewId="0">
      <selection activeCell="D41" sqref="D41:D64"/>
    </sheetView>
  </sheetViews>
  <sheetFormatPr defaultRowHeight="12.75" x14ac:dyDescent="0.2"/>
  <cols>
    <col min="1" max="1" width="3.5703125" customWidth="1"/>
    <col min="2" max="2" width="23" customWidth="1"/>
    <col min="3" max="3" width="14.85546875" customWidth="1"/>
    <col min="4" max="5" width="14.7109375" customWidth="1"/>
    <col min="6" max="7" width="16.28515625" customWidth="1"/>
    <col min="8" max="8" width="23.7109375" customWidth="1"/>
    <col min="9" max="9" width="2.5703125" customWidth="1"/>
  </cols>
  <sheetData>
    <row r="1" spans="1:10" ht="18" x14ac:dyDescent="0.25">
      <c r="A1" s="404"/>
      <c r="B1" s="405" t="s">
        <v>796</v>
      </c>
      <c r="C1" s="404"/>
      <c r="D1" s="404"/>
      <c r="E1" s="404"/>
      <c r="F1" s="404"/>
      <c r="H1" s="450" t="s">
        <v>1094</v>
      </c>
      <c r="I1" s="404"/>
      <c r="J1" s="404"/>
    </row>
    <row r="2" spans="1:10" ht="7.5" customHeight="1" x14ac:dyDescent="0.2">
      <c r="A2" s="404"/>
      <c r="B2" s="404"/>
      <c r="C2" s="404"/>
      <c r="D2" s="404"/>
      <c r="E2" s="404"/>
      <c r="F2" s="404"/>
      <c r="G2" s="404"/>
      <c r="H2" s="404"/>
      <c r="I2" s="404"/>
      <c r="J2" s="404"/>
    </row>
    <row r="3" spans="1:10" ht="15.75" x14ac:dyDescent="0.25">
      <c r="A3" s="404"/>
      <c r="B3" s="1163" t="s">
        <v>798</v>
      </c>
      <c r="C3" s="1163"/>
      <c r="D3" s="1163"/>
      <c r="E3" s="1163"/>
      <c r="F3" s="1163"/>
      <c r="G3" s="1163"/>
      <c r="H3" s="1163"/>
      <c r="I3" s="404"/>
      <c r="J3" s="404"/>
    </row>
    <row r="4" spans="1:10" ht="9.75" customHeight="1" x14ac:dyDescent="0.2">
      <c r="A4" s="404"/>
      <c r="B4" s="404"/>
      <c r="C4" s="404"/>
      <c r="D4" s="404"/>
      <c r="E4" s="404"/>
      <c r="F4" s="404"/>
      <c r="G4" s="404"/>
      <c r="H4" s="404"/>
      <c r="I4" s="404"/>
      <c r="J4" s="404"/>
    </row>
    <row r="5" spans="1:10" ht="15.75" x14ac:dyDescent="0.25">
      <c r="A5" s="404"/>
      <c r="D5" s="407" t="s">
        <v>799</v>
      </c>
      <c r="E5" s="1169" t="s">
        <v>851</v>
      </c>
      <c r="F5" s="1169"/>
      <c r="G5" s="404"/>
      <c r="H5" s="404"/>
      <c r="I5" s="404"/>
      <c r="J5" s="404"/>
    </row>
    <row r="6" spans="1:10" x14ac:dyDescent="0.2">
      <c r="A6" s="404"/>
      <c r="D6" s="408" t="s">
        <v>800</v>
      </c>
      <c r="E6" s="1170">
        <f ca="1">'Re-Whole'!E6:F6</f>
        <v>36746</v>
      </c>
      <c r="F6" s="1164"/>
      <c r="G6" s="404"/>
      <c r="H6" s="404"/>
      <c r="I6" s="404"/>
      <c r="J6" s="404"/>
    </row>
    <row r="7" spans="1:10" x14ac:dyDescent="0.2">
      <c r="A7" s="404"/>
      <c r="D7" s="408" t="s">
        <v>801</v>
      </c>
      <c r="E7" s="1164" t="str">
        <f>'Re-Whole'!E7:F7</f>
        <v>Angela Schwarz</v>
      </c>
      <c r="F7" s="1164"/>
      <c r="G7" s="404"/>
      <c r="H7" s="404"/>
      <c r="I7" s="404"/>
      <c r="J7" s="404"/>
    </row>
    <row r="8" spans="1:10" x14ac:dyDescent="0.2">
      <c r="A8" s="404"/>
      <c r="D8" s="408" t="s">
        <v>802</v>
      </c>
      <c r="E8" s="1164" t="str">
        <f>'Re-Whole'!E8:F8</f>
        <v>Stuart Rexrode</v>
      </c>
      <c r="F8" s="1164"/>
      <c r="G8" s="404"/>
      <c r="H8" s="404"/>
      <c r="I8" s="404"/>
      <c r="J8" s="404"/>
    </row>
    <row r="9" spans="1:10" x14ac:dyDescent="0.2">
      <c r="A9" s="404"/>
      <c r="D9" s="408" t="s">
        <v>854</v>
      </c>
      <c r="E9" s="1165" t="str">
        <f>'Re-Whole'!E9:F9</f>
        <v>10 years</v>
      </c>
      <c r="F9" s="1166"/>
      <c r="G9" s="404"/>
      <c r="H9" s="404"/>
      <c r="I9" s="404"/>
      <c r="J9" s="404"/>
    </row>
    <row r="10" spans="1:10" ht="25.5" x14ac:dyDescent="0.2">
      <c r="A10" s="404"/>
      <c r="D10" s="410" t="s">
        <v>803</v>
      </c>
      <c r="E10" s="1164" t="str">
        <f>'Re-Whole'!E10:F10</f>
        <v>Kevin Greiner / Jun Wang</v>
      </c>
      <c r="F10" s="1164"/>
      <c r="G10" s="404"/>
      <c r="H10" s="404"/>
      <c r="I10" s="404"/>
      <c r="J10" s="404"/>
    </row>
    <row r="11" spans="1:10" ht="9" customHeight="1" x14ac:dyDescent="0.2">
      <c r="A11" s="404"/>
      <c r="B11" s="404"/>
      <c r="C11" s="404"/>
      <c r="D11" s="404"/>
      <c r="E11" s="404"/>
      <c r="F11" s="404"/>
      <c r="G11" s="404"/>
      <c r="H11" s="404"/>
      <c r="I11" s="404"/>
      <c r="J11" s="404"/>
    </row>
    <row r="12" spans="1:10" ht="7.5" customHeight="1" x14ac:dyDescent="0.2">
      <c r="A12" s="404"/>
      <c r="B12" s="404"/>
      <c r="C12" s="404"/>
      <c r="D12" s="404"/>
      <c r="E12" s="404"/>
      <c r="F12" s="404"/>
      <c r="G12" s="404"/>
      <c r="H12" s="404"/>
      <c r="I12" s="404"/>
      <c r="J12" s="404"/>
    </row>
    <row r="13" spans="1:10" ht="15.75" x14ac:dyDescent="0.25">
      <c r="A13" s="404"/>
      <c r="B13" s="1163" t="s">
        <v>804</v>
      </c>
      <c r="C13" s="1163"/>
      <c r="D13" s="1163"/>
      <c r="E13" s="1163"/>
      <c r="F13" s="1163"/>
      <c r="G13" s="1163"/>
      <c r="H13" s="1163"/>
      <c r="I13" s="404"/>
      <c r="J13" s="404"/>
    </row>
    <row r="14" spans="1:10" ht="8.25" customHeight="1" x14ac:dyDescent="0.2">
      <c r="A14" s="404"/>
      <c r="B14" s="404"/>
      <c r="C14" s="404"/>
      <c r="D14" s="404"/>
      <c r="E14" s="404"/>
      <c r="F14" s="404"/>
      <c r="G14" s="404"/>
      <c r="H14" s="404"/>
      <c r="I14" s="404"/>
      <c r="J14" s="404"/>
    </row>
    <row r="15" spans="1:10" ht="15.75" x14ac:dyDescent="0.25">
      <c r="A15" s="404"/>
      <c r="B15" s="1162" t="s">
        <v>742</v>
      </c>
      <c r="C15" s="1162"/>
      <c r="D15" s="1162"/>
      <c r="E15" s="404"/>
      <c r="F15" s="1162" t="s">
        <v>844</v>
      </c>
      <c r="G15" s="1162"/>
      <c r="H15" s="1162"/>
      <c r="I15" s="404"/>
      <c r="J15" s="404"/>
    </row>
    <row r="16" spans="1:10" x14ac:dyDescent="0.2">
      <c r="A16" s="404"/>
      <c r="B16" s="411" t="s">
        <v>812</v>
      </c>
      <c r="C16" s="411" t="s">
        <v>813</v>
      </c>
      <c r="D16" s="412" t="s">
        <v>814</v>
      </c>
      <c r="E16" s="404"/>
      <c r="G16" s="408" t="s">
        <v>223</v>
      </c>
      <c r="H16" s="409" t="s">
        <v>1466</v>
      </c>
      <c r="I16" s="404"/>
      <c r="J16" s="404"/>
    </row>
    <row r="17" spans="1:10" x14ac:dyDescent="0.2">
      <c r="A17" s="404"/>
      <c r="B17" s="408" t="s">
        <v>805</v>
      </c>
      <c r="C17" s="413"/>
      <c r="D17" s="414"/>
      <c r="E17" s="404"/>
      <c r="G17" s="408" t="s">
        <v>808</v>
      </c>
      <c r="H17" s="409" t="s">
        <v>853</v>
      </c>
      <c r="I17" s="404"/>
      <c r="J17" s="404"/>
    </row>
    <row r="18" spans="1:10" x14ac:dyDescent="0.2">
      <c r="A18" s="404"/>
      <c r="B18" s="415" t="s">
        <v>791</v>
      </c>
      <c r="C18" s="416">
        <v>0</v>
      </c>
      <c r="D18" s="417">
        <v>0</v>
      </c>
      <c r="E18" s="404"/>
      <c r="G18" s="408" t="s">
        <v>807</v>
      </c>
      <c r="H18" s="418" t="s">
        <v>231</v>
      </c>
      <c r="I18" s="404"/>
      <c r="J18" s="404"/>
    </row>
    <row r="19" spans="1:10" x14ac:dyDescent="0.2">
      <c r="A19" s="404"/>
      <c r="B19" s="415" t="s">
        <v>792</v>
      </c>
      <c r="C19" s="416">
        <v>0</v>
      </c>
      <c r="D19" s="417">
        <v>0</v>
      </c>
      <c r="E19" s="404"/>
      <c r="G19" s="1167" t="s">
        <v>224</v>
      </c>
      <c r="H19" s="1168"/>
      <c r="I19" s="404"/>
      <c r="J19" s="404"/>
    </row>
    <row r="20" spans="1:10" x14ac:dyDescent="0.2">
      <c r="A20" s="404"/>
      <c r="B20" s="415" t="s">
        <v>806</v>
      </c>
      <c r="C20" s="416">
        <v>0</v>
      </c>
      <c r="D20" s="417">
        <v>0</v>
      </c>
      <c r="E20" s="404"/>
      <c r="G20" s="408" t="s">
        <v>225</v>
      </c>
      <c r="H20" s="409" t="s">
        <v>230</v>
      </c>
      <c r="I20" s="404"/>
      <c r="J20" s="404"/>
    </row>
    <row r="21" spans="1:10" x14ac:dyDescent="0.2">
      <c r="A21" s="404"/>
      <c r="B21" s="408" t="s">
        <v>846</v>
      </c>
      <c r="C21" s="416">
        <v>0</v>
      </c>
      <c r="D21" s="417">
        <v>0</v>
      </c>
      <c r="E21" s="404"/>
      <c r="G21" s="408" t="s">
        <v>226</v>
      </c>
      <c r="H21" s="409" t="s">
        <v>230</v>
      </c>
      <c r="I21" s="404"/>
      <c r="J21" s="404"/>
    </row>
    <row r="22" spans="1:10" x14ac:dyDescent="0.2">
      <c r="A22" s="404"/>
      <c r="B22" s="408" t="s">
        <v>855</v>
      </c>
      <c r="C22" s="416">
        <v>0</v>
      </c>
      <c r="D22" s="417">
        <v>0</v>
      </c>
      <c r="E22" s="404"/>
      <c r="G22" s="408" t="s">
        <v>227</v>
      </c>
      <c r="H22" s="409" t="s">
        <v>230</v>
      </c>
      <c r="I22" s="404"/>
      <c r="J22" s="404"/>
    </row>
    <row r="23" spans="1:10" x14ac:dyDescent="0.2">
      <c r="A23" s="404"/>
      <c r="B23" s="419" t="s">
        <v>874</v>
      </c>
      <c r="C23" s="416">
        <v>0</v>
      </c>
      <c r="D23" s="417">
        <v>0</v>
      </c>
      <c r="E23" s="404"/>
      <c r="G23" s="408" t="s">
        <v>228</v>
      </c>
      <c r="H23" s="418">
        <v>-0.01</v>
      </c>
      <c r="I23" s="404"/>
      <c r="J23" s="404"/>
    </row>
    <row r="24" spans="1:10" x14ac:dyDescent="0.2">
      <c r="A24" s="404"/>
      <c r="B24" s="419" t="s">
        <v>857</v>
      </c>
      <c r="C24" s="416">
        <v>0</v>
      </c>
      <c r="D24" s="417">
        <v>0</v>
      </c>
      <c r="E24" s="404"/>
      <c r="G24" s="420"/>
      <c r="H24" s="421"/>
      <c r="I24" s="404"/>
      <c r="J24" s="404"/>
    </row>
    <row r="25" spans="1:10" ht="13.5" thickBot="1" x14ac:dyDescent="0.25">
      <c r="A25" s="404"/>
      <c r="B25" s="422" t="s">
        <v>678</v>
      </c>
      <c r="C25" s="423">
        <f>SUM(C18:C24)</f>
        <v>0</v>
      </c>
      <c r="D25" s="424"/>
      <c r="E25" s="404"/>
      <c r="F25" s="404"/>
      <c r="G25" s="404"/>
      <c r="H25" s="404"/>
      <c r="I25" s="404"/>
      <c r="J25" s="404"/>
    </row>
    <row r="26" spans="1:10" ht="9" customHeight="1" thickTop="1" x14ac:dyDescent="0.2">
      <c r="A26" s="404"/>
      <c r="B26" s="404"/>
      <c r="C26" s="404"/>
      <c r="D26" s="404"/>
      <c r="E26" s="404"/>
      <c r="F26" s="404"/>
      <c r="G26" s="404"/>
      <c r="H26" s="404"/>
      <c r="I26" s="404"/>
      <c r="J26" s="404"/>
    </row>
    <row r="27" spans="1:10" ht="15.75" x14ac:dyDescent="0.25">
      <c r="A27" s="404"/>
      <c r="B27" s="1163" t="s">
        <v>809</v>
      </c>
      <c r="C27" s="1163"/>
      <c r="D27" s="1163"/>
      <c r="E27" s="1163"/>
      <c r="F27" s="1163"/>
      <c r="G27" s="1163"/>
      <c r="H27" s="1163"/>
      <c r="I27" s="404"/>
      <c r="J27" s="404"/>
    </row>
    <row r="28" spans="1:10" x14ac:dyDescent="0.2">
      <c r="A28" s="404"/>
      <c r="B28" s="404"/>
      <c r="C28" s="404"/>
      <c r="D28" s="404"/>
      <c r="E28" s="404"/>
      <c r="F28" s="404"/>
      <c r="G28" s="404"/>
      <c r="H28" s="404"/>
      <c r="I28" s="404"/>
      <c r="J28" s="404"/>
    </row>
    <row r="29" spans="1:10" x14ac:dyDescent="0.2">
      <c r="A29" s="404"/>
      <c r="B29" s="425" t="s">
        <v>810</v>
      </c>
      <c r="C29" s="426"/>
      <c r="D29" s="426"/>
      <c r="E29" s="404"/>
      <c r="G29" s="425" t="s">
        <v>816</v>
      </c>
      <c r="H29" s="426"/>
      <c r="I29" s="404"/>
      <c r="J29" s="404"/>
    </row>
    <row r="30" spans="1:10" x14ac:dyDescent="0.2">
      <c r="A30" s="404"/>
      <c r="B30" s="404"/>
      <c r="C30" s="427" t="s">
        <v>815</v>
      </c>
      <c r="D30" s="427" t="s">
        <v>843</v>
      </c>
      <c r="E30" s="404"/>
      <c r="F30" s="404"/>
      <c r="G30" s="404"/>
      <c r="H30" s="404"/>
      <c r="I30" s="404"/>
      <c r="J30" s="404"/>
    </row>
    <row r="31" spans="1:10" x14ac:dyDescent="0.2">
      <c r="A31" s="404"/>
      <c r="B31" s="408" t="s">
        <v>848</v>
      </c>
      <c r="C31" s="416">
        <f>C64-D64</f>
        <v>-1820366.4333915105</v>
      </c>
      <c r="D31" s="428">
        <f>E64</f>
        <v>-0.47372765743362955</v>
      </c>
      <c r="E31" s="404"/>
      <c r="F31" s="404"/>
      <c r="G31" s="404"/>
      <c r="H31" s="404"/>
      <c r="I31" s="404"/>
      <c r="J31" s="404"/>
    </row>
    <row r="32" spans="1:10" x14ac:dyDescent="0.2">
      <c r="A32" s="404"/>
      <c r="B32" s="408" t="s">
        <v>849</v>
      </c>
      <c r="C32" s="416">
        <f>D64</f>
        <v>1758780.7102813483</v>
      </c>
      <c r="D32" s="429">
        <f>D64/Breakout!B242</f>
        <v>0.45770074120117749</v>
      </c>
      <c r="E32" s="404"/>
      <c r="G32" s="408" t="s">
        <v>817</v>
      </c>
      <c r="H32" s="416">
        <v>0</v>
      </c>
      <c r="I32" s="404"/>
      <c r="J32" s="404"/>
    </row>
    <row r="33" spans="1:10" x14ac:dyDescent="0.2">
      <c r="A33" s="404"/>
      <c r="B33" s="408" t="s">
        <v>850</v>
      </c>
      <c r="C33" s="416">
        <f>C64</f>
        <v>-61585.723110162187</v>
      </c>
      <c r="D33" s="429">
        <f>C64/Breakout!B242</f>
        <v>-1.6026916232452067E-2</v>
      </c>
      <c r="E33" s="404"/>
      <c r="G33" s="408" t="s">
        <v>788</v>
      </c>
      <c r="H33" s="416">
        <v>0</v>
      </c>
      <c r="I33" s="404"/>
      <c r="J33" s="404"/>
    </row>
    <row r="34" spans="1:10" x14ac:dyDescent="0.2">
      <c r="A34" s="404"/>
      <c r="B34" s="408" t="s">
        <v>789</v>
      </c>
      <c r="C34" s="416">
        <f>Breakout!B243</f>
        <v>8750000</v>
      </c>
      <c r="D34" s="404"/>
      <c r="E34" s="404"/>
      <c r="G34" s="408" t="s">
        <v>831</v>
      </c>
      <c r="H34" s="416">
        <f>C55</f>
        <v>3524229.074889868</v>
      </c>
      <c r="I34" s="404"/>
      <c r="J34" s="404"/>
    </row>
    <row r="35" spans="1:10" x14ac:dyDescent="0.2">
      <c r="A35" s="404"/>
      <c r="B35" s="408" t="s">
        <v>788</v>
      </c>
      <c r="C35" s="430">
        <v>0</v>
      </c>
      <c r="D35" s="404"/>
      <c r="E35" s="404"/>
      <c r="G35" s="408" t="s">
        <v>678</v>
      </c>
      <c r="H35" s="416">
        <f>SUM(H32:H34)</f>
        <v>3524229.074889868</v>
      </c>
      <c r="I35" s="404"/>
      <c r="J35" s="404"/>
    </row>
    <row r="36" spans="1:10" x14ac:dyDescent="0.2">
      <c r="A36" s="404"/>
      <c r="B36" s="408" t="s">
        <v>811</v>
      </c>
      <c r="C36" s="416">
        <v>0</v>
      </c>
      <c r="D36" s="404"/>
      <c r="E36" s="404"/>
      <c r="F36" s="404"/>
      <c r="G36" s="404"/>
      <c r="H36" s="404"/>
      <c r="I36" s="404"/>
      <c r="J36" s="404"/>
    </row>
    <row r="37" spans="1:10" x14ac:dyDescent="0.2">
      <c r="A37" s="404"/>
      <c r="B37" s="404"/>
      <c r="C37" s="404"/>
      <c r="D37" s="404"/>
      <c r="E37" s="404"/>
      <c r="G37" s="404"/>
      <c r="H37" s="404"/>
      <c r="I37" s="404"/>
      <c r="J37" s="404"/>
    </row>
    <row r="38" spans="1:10" x14ac:dyDescent="0.2">
      <c r="A38" s="404"/>
      <c r="B38" s="425" t="s">
        <v>832</v>
      </c>
      <c r="C38" s="426"/>
      <c r="D38" s="426"/>
      <c r="E38" s="404"/>
      <c r="G38" s="404"/>
      <c r="H38" s="404"/>
      <c r="I38" s="404"/>
      <c r="J38" s="404"/>
    </row>
    <row r="39" spans="1:10" x14ac:dyDescent="0.2">
      <c r="A39" s="404"/>
      <c r="B39" s="404"/>
      <c r="C39" s="404"/>
      <c r="D39" s="404"/>
      <c r="E39" s="404"/>
      <c r="F39" s="404"/>
      <c r="G39" s="404"/>
      <c r="H39" s="404"/>
      <c r="I39" s="404"/>
      <c r="J39" s="404"/>
    </row>
    <row r="40" spans="1:10" ht="26.25" thickBot="1" x14ac:dyDescent="0.25">
      <c r="A40" s="404"/>
      <c r="B40" s="431" t="s">
        <v>790</v>
      </c>
      <c r="C40" s="431" t="s">
        <v>838</v>
      </c>
      <c r="D40" s="431" t="s">
        <v>797</v>
      </c>
      <c r="E40" s="432" t="s">
        <v>841</v>
      </c>
      <c r="F40" s="427"/>
      <c r="G40" s="404"/>
      <c r="H40" s="404"/>
      <c r="I40" s="404"/>
      <c r="J40" s="404"/>
    </row>
    <row r="41" spans="1:10" ht="13.5" thickTop="1" x14ac:dyDescent="0.2">
      <c r="A41" s="404"/>
      <c r="B41" s="433" t="s">
        <v>833</v>
      </c>
      <c r="C41" s="451">
        <v>0</v>
      </c>
      <c r="D41" s="451">
        <v>0</v>
      </c>
      <c r="E41" s="434">
        <f>(C41-D41)/Breakout!$B$242</f>
        <v>0</v>
      </c>
      <c r="F41" s="404"/>
      <c r="G41" s="404"/>
      <c r="H41" s="404"/>
      <c r="I41" s="404"/>
      <c r="J41" s="404"/>
    </row>
    <row r="42" spans="1:10" x14ac:dyDescent="0.2">
      <c r="A42" s="404"/>
      <c r="B42" s="408" t="s">
        <v>845</v>
      </c>
      <c r="C42" s="416">
        <v>0</v>
      </c>
      <c r="D42" s="416">
        <v>0</v>
      </c>
      <c r="E42" s="434">
        <f>(C42-D42)/Breakout!$B$242</f>
        <v>0</v>
      </c>
      <c r="F42" s="404"/>
      <c r="G42" s="404"/>
      <c r="H42" s="404"/>
      <c r="I42" s="404"/>
      <c r="J42" s="404"/>
    </row>
    <row r="43" spans="1:10" x14ac:dyDescent="0.2">
      <c r="A43" s="404"/>
      <c r="B43" s="408" t="s">
        <v>834</v>
      </c>
      <c r="C43" s="416"/>
      <c r="D43" s="416"/>
      <c r="E43" s="434">
        <f>(C43-D43)/Breakout!$B$242</f>
        <v>0</v>
      </c>
      <c r="F43" s="404"/>
      <c r="G43" s="404"/>
      <c r="H43" s="404"/>
      <c r="I43" s="404"/>
      <c r="J43" s="404"/>
    </row>
    <row r="44" spans="1:10" x14ac:dyDescent="0.2">
      <c r="A44" s="404"/>
      <c r="B44" s="408" t="s">
        <v>835</v>
      </c>
      <c r="C44" s="416">
        <v>0</v>
      </c>
      <c r="D44" s="416">
        <v>0</v>
      </c>
      <c r="E44" s="434">
        <f>(C44-D44)/Breakout!$B$242</f>
        <v>0</v>
      </c>
      <c r="F44" s="404"/>
      <c r="G44" s="404"/>
      <c r="H44" s="404"/>
      <c r="I44" s="404"/>
      <c r="J44" s="404"/>
    </row>
    <row r="45" spans="1:10" x14ac:dyDescent="0.2">
      <c r="A45" s="404"/>
      <c r="B45" s="408" t="s">
        <v>836</v>
      </c>
      <c r="C45" s="416">
        <v>0</v>
      </c>
      <c r="D45" s="416">
        <v>0</v>
      </c>
      <c r="E45" s="434">
        <f>(C45-D45)/Breakout!$B$242</f>
        <v>0</v>
      </c>
      <c r="F45" s="404"/>
      <c r="G45" s="404"/>
      <c r="H45" s="404"/>
      <c r="I45" s="404"/>
      <c r="J45" s="404"/>
    </row>
    <row r="46" spans="1:10" x14ac:dyDescent="0.2">
      <c r="A46" s="404"/>
      <c r="B46" s="408" t="s">
        <v>837</v>
      </c>
      <c r="C46" s="416">
        <v>0</v>
      </c>
      <c r="D46" s="416">
        <v>0</v>
      </c>
      <c r="E46" s="434">
        <f>(C46-D46)/Breakout!$B$242</f>
        <v>0</v>
      </c>
      <c r="F46" s="404"/>
      <c r="G46" s="404"/>
      <c r="H46" s="404"/>
      <c r="I46" s="404"/>
      <c r="J46" s="404"/>
    </row>
    <row r="47" spans="1:10" x14ac:dyDescent="0.2">
      <c r="A47" s="404"/>
      <c r="B47" s="408" t="s">
        <v>726</v>
      </c>
      <c r="C47" s="416">
        <f>Breakout!$B$225</f>
        <v>3842643.3517797058</v>
      </c>
      <c r="D47" s="416">
        <v>5912365.6159417257</v>
      </c>
      <c r="E47" s="434">
        <f>(C47-D47)/Breakout!$B$242</f>
        <v>-0.53861940198104408</v>
      </c>
      <c r="F47" s="404"/>
      <c r="G47" s="404"/>
      <c r="H47" s="404"/>
      <c r="I47" s="404"/>
      <c r="J47" s="404"/>
    </row>
    <row r="48" spans="1:10" x14ac:dyDescent="0.2">
      <c r="A48" s="404"/>
      <c r="B48" s="408" t="s">
        <v>859</v>
      </c>
      <c r="C48" s="416">
        <v>0</v>
      </c>
      <c r="D48" s="416">
        <v>0</v>
      </c>
      <c r="E48" s="434">
        <f>(C48-D48)/Breakout!$B$242</f>
        <v>0</v>
      </c>
      <c r="F48" s="404"/>
      <c r="G48" s="404"/>
      <c r="H48" s="404"/>
      <c r="I48" s="404"/>
      <c r="J48" s="404"/>
    </row>
    <row r="49" spans="1:10" x14ac:dyDescent="0.2">
      <c r="A49" s="404"/>
      <c r="B49" s="408" t="s">
        <v>860</v>
      </c>
      <c r="C49" s="416">
        <v>0</v>
      </c>
      <c r="D49" s="416">
        <v>0</v>
      </c>
      <c r="E49" s="434">
        <f>(C49-D49)/Breakout!$B$242</f>
        <v>0</v>
      </c>
      <c r="F49" s="404"/>
      <c r="G49" s="404"/>
      <c r="H49" s="404"/>
      <c r="I49" s="404"/>
      <c r="J49" s="404"/>
    </row>
    <row r="50" spans="1:10" ht="13.5" thickBot="1" x14ac:dyDescent="0.25">
      <c r="A50" s="404"/>
      <c r="B50" s="422" t="s">
        <v>405</v>
      </c>
      <c r="C50" s="542">
        <v>0</v>
      </c>
      <c r="D50" s="542">
        <v>0</v>
      </c>
      <c r="E50" s="434">
        <f>(C50-D50)/Breakout!$B$242</f>
        <v>0</v>
      </c>
      <c r="F50" s="404"/>
      <c r="G50" s="404"/>
      <c r="H50" s="404"/>
      <c r="I50" s="404"/>
      <c r="J50" s="404"/>
    </row>
    <row r="51" spans="1:10" ht="13.5" thickTop="1" x14ac:dyDescent="0.2">
      <c r="A51" s="404"/>
      <c r="B51" s="534" t="s">
        <v>402</v>
      </c>
      <c r="C51" s="535">
        <f>SUM(C41:C50)</f>
        <v>3842643.3517797058</v>
      </c>
      <c r="D51" s="535">
        <v>5912365.6159417257</v>
      </c>
      <c r="E51" s="536">
        <f>SUM(E42:E50)</f>
        <v>-0.53861940198104408</v>
      </c>
      <c r="F51" s="404"/>
      <c r="G51" s="404"/>
      <c r="H51" s="404"/>
      <c r="I51" s="404"/>
      <c r="J51" s="404"/>
    </row>
    <row r="52" spans="1:10" x14ac:dyDescent="0.2">
      <c r="A52" s="404"/>
      <c r="B52" s="404"/>
      <c r="C52" s="452"/>
      <c r="D52" s="452"/>
      <c r="E52" s="543"/>
      <c r="F52" s="404"/>
      <c r="G52" s="404"/>
      <c r="H52" s="404"/>
      <c r="I52" s="404"/>
      <c r="J52" s="404"/>
    </row>
    <row r="53" spans="1:10" ht="13.5" thickBot="1" x14ac:dyDescent="0.25">
      <c r="A53" s="404"/>
      <c r="B53" s="431" t="s">
        <v>839</v>
      </c>
      <c r="C53" s="453"/>
      <c r="D53" s="453"/>
      <c r="E53" s="435"/>
      <c r="F53" s="404"/>
      <c r="G53" s="404"/>
      <c r="H53" s="404"/>
      <c r="I53" s="404"/>
      <c r="J53" s="404"/>
    </row>
    <row r="54" spans="1:10" ht="13.5" thickTop="1" x14ac:dyDescent="0.2">
      <c r="A54" s="404"/>
      <c r="B54" s="436" t="s">
        <v>1132</v>
      </c>
      <c r="C54" s="454">
        <f>'RMPM-FM'!S10</f>
        <v>380000</v>
      </c>
      <c r="D54" s="454">
        <v>380000</v>
      </c>
      <c r="E54" s="437">
        <f>(C54-D54)/Breakout!$B$242</f>
        <v>0</v>
      </c>
      <c r="F54" s="404"/>
      <c r="G54" s="404"/>
      <c r="H54" s="404"/>
      <c r="I54" s="404"/>
      <c r="J54" s="404"/>
    </row>
    <row r="55" spans="1:10" x14ac:dyDescent="0.2">
      <c r="A55" s="404"/>
      <c r="B55" s="433" t="s">
        <v>348</v>
      </c>
      <c r="C55" s="451">
        <f>-Breakout!$B$211</f>
        <v>3524229.074889868</v>
      </c>
      <c r="D55" s="451">
        <v>3773584.9056603773</v>
      </c>
      <c r="E55" s="430">
        <f>(C55-D55)/Breakout!$B$242</f>
        <v>-6.4891744547414504E-2</v>
      </c>
      <c r="F55" s="404"/>
      <c r="G55" s="404"/>
      <c r="H55" s="404"/>
      <c r="I55" s="404"/>
      <c r="J55" s="404"/>
    </row>
    <row r="56" spans="1:10" x14ac:dyDescent="0.2">
      <c r="A56" s="404"/>
      <c r="B56" s="408" t="s">
        <v>727</v>
      </c>
      <c r="C56" s="451">
        <f>-Breakout!$B$218</f>
        <v>0</v>
      </c>
      <c r="D56" s="451">
        <v>0</v>
      </c>
      <c r="E56" s="430">
        <f>(C56-D56)/Breakout!$B$242</f>
        <v>0</v>
      </c>
      <c r="F56" s="404"/>
      <c r="G56" s="404"/>
      <c r="H56" s="404"/>
      <c r="I56" s="404"/>
      <c r="J56" s="404"/>
    </row>
    <row r="57" spans="1:10" x14ac:dyDescent="0.2">
      <c r="A57" s="404"/>
      <c r="B57" s="408" t="s">
        <v>728</v>
      </c>
      <c r="C57" s="451">
        <f>-Breakout!$B$232</f>
        <v>0</v>
      </c>
      <c r="D57" s="451">
        <v>0</v>
      </c>
      <c r="E57" s="430">
        <f>(C57-D57)/Breakout!$B$242</f>
        <v>0</v>
      </c>
      <c r="F57" s="404"/>
      <c r="G57" s="404"/>
      <c r="H57" s="404"/>
      <c r="I57" s="404"/>
      <c r="J57" s="404"/>
    </row>
    <row r="58" spans="1:10" ht="13.5" thickBot="1" x14ac:dyDescent="0.25">
      <c r="A58" s="404"/>
      <c r="B58" s="422" t="s">
        <v>793</v>
      </c>
      <c r="C58" s="540">
        <f>SUM(C54:C57)</f>
        <v>3904229.074889868</v>
      </c>
      <c r="D58" s="540">
        <v>4153584.9056603773</v>
      </c>
      <c r="E58" s="430">
        <f>(C58-D58)/Breakout!$B$242</f>
        <v>-6.4891744547414504E-2</v>
      </c>
      <c r="F58" s="404"/>
      <c r="G58" s="404"/>
      <c r="H58" s="404"/>
      <c r="I58" s="404"/>
      <c r="J58" s="404"/>
    </row>
    <row r="59" spans="1:10" ht="13.5" thickTop="1" x14ac:dyDescent="0.2">
      <c r="A59" s="404"/>
      <c r="B59" s="534" t="s">
        <v>403</v>
      </c>
      <c r="C59" s="535">
        <f>C51-C58</f>
        <v>-61585.723110162187</v>
      </c>
      <c r="D59" s="535">
        <v>1758780.7102813483</v>
      </c>
      <c r="E59" s="536">
        <f>E52+E58</f>
        <v>-6.4891744547414504E-2</v>
      </c>
      <c r="F59" s="404"/>
      <c r="G59" s="404"/>
      <c r="H59" s="404"/>
      <c r="I59" s="404"/>
      <c r="J59" s="404"/>
    </row>
    <row r="60" spans="1:10" x14ac:dyDescent="0.2">
      <c r="A60" s="404"/>
      <c r="B60" s="404"/>
      <c r="C60" s="544"/>
      <c r="D60" s="544"/>
      <c r="E60" s="434"/>
      <c r="F60" s="404"/>
      <c r="G60" s="404"/>
      <c r="H60" s="404"/>
      <c r="I60" s="404"/>
      <c r="J60" s="404"/>
    </row>
    <row r="61" spans="1:10" x14ac:dyDescent="0.2">
      <c r="A61" s="404"/>
      <c r="B61" s="408" t="s">
        <v>794</v>
      </c>
      <c r="C61" s="416">
        <v>0</v>
      </c>
      <c r="D61" s="416">
        <v>0</v>
      </c>
      <c r="E61" s="434">
        <f>(C61-D61)/Breakout!$B$242</f>
        <v>0</v>
      </c>
      <c r="F61" s="404"/>
      <c r="G61" s="404"/>
      <c r="H61" s="404"/>
      <c r="I61" s="404"/>
      <c r="J61" s="404"/>
    </row>
    <row r="62" spans="1:10" x14ac:dyDescent="0.2">
      <c r="A62" s="404"/>
      <c r="B62" s="408" t="s">
        <v>795</v>
      </c>
      <c r="C62" s="416">
        <v>0</v>
      </c>
      <c r="D62" s="416">
        <v>0</v>
      </c>
      <c r="E62" s="434">
        <f>(C62-D62)/Breakout!$B$242</f>
        <v>0</v>
      </c>
      <c r="F62" s="404"/>
      <c r="G62" s="404"/>
      <c r="H62" s="404"/>
      <c r="I62" s="404"/>
      <c r="J62" s="404"/>
    </row>
    <row r="63" spans="1:10" ht="13.5" thickBot="1" x14ac:dyDescent="0.25">
      <c r="A63" s="404"/>
      <c r="B63" s="419" t="s">
        <v>873</v>
      </c>
      <c r="C63" s="453">
        <v>0</v>
      </c>
      <c r="D63" s="453">
        <v>0</v>
      </c>
      <c r="E63" s="434">
        <f>(C63-D63)/Breakout!$B$242</f>
        <v>0</v>
      </c>
      <c r="F63" s="404"/>
      <c r="G63" s="404"/>
      <c r="H63" s="404"/>
      <c r="I63" s="404"/>
      <c r="J63" s="404"/>
    </row>
    <row r="64" spans="1:10" ht="13.5" thickTop="1" x14ac:dyDescent="0.2">
      <c r="A64" s="404"/>
      <c r="B64" s="537" t="s">
        <v>404</v>
      </c>
      <c r="C64" s="538">
        <f>C59-SUM(C61:C63)</f>
        <v>-61585.723110162187</v>
      </c>
      <c r="D64" s="538">
        <v>1758780.7102813483</v>
      </c>
      <c r="E64" s="539">
        <f>(C64-D64)/Breakout!$B$242</f>
        <v>-0.47372765743362955</v>
      </c>
      <c r="F64" s="404"/>
      <c r="G64" s="404"/>
      <c r="H64" s="404"/>
      <c r="I64" s="404"/>
      <c r="J64" s="404"/>
    </row>
    <row r="65" spans="1:10" x14ac:dyDescent="0.2">
      <c r="A65" s="404"/>
      <c r="B65" s="404"/>
      <c r="C65" s="404"/>
      <c r="D65" s="404"/>
      <c r="E65" s="404"/>
      <c r="F65" s="404"/>
      <c r="G65" s="404"/>
      <c r="H65" s="404"/>
      <c r="I65" s="404"/>
      <c r="J65" s="404"/>
    </row>
    <row r="66" spans="1:10" ht="15.75" x14ac:dyDescent="0.25">
      <c r="A66" s="404"/>
      <c r="B66" s="1163" t="s">
        <v>842</v>
      </c>
      <c r="C66" s="1163"/>
      <c r="D66" s="1163"/>
      <c r="E66" s="1163"/>
      <c r="F66" s="1163"/>
      <c r="G66" s="1163"/>
      <c r="H66" s="1163"/>
      <c r="I66" s="404"/>
      <c r="J66" s="404"/>
    </row>
    <row r="67" spans="1:10" x14ac:dyDescent="0.2">
      <c r="A67" s="404"/>
      <c r="B67" s="420"/>
      <c r="C67" s="404"/>
      <c r="D67" s="404"/>
      <c r="E67" s="404"/>
      <c r="F67" s="404"/>
      <c r="G67" s="404"/>
      <c r="H67" s="404"/>
      <c r="I67" s="404"/>
      <c r="J67" s="404"/>
    </row>
    <row r="68" spans="1:10" x14ac:dyDescent="0.2">
      <c r="A68" s="404"/>
      <c r="B68" s="404"/>
      <c r="C68" s="404"/>
      <c r="D68" s="404"/>
      <c r="E68" s="404"/>
      <c r="F68" s="404"/>
      <c r="G68" s="404"/>
      <c r="H68" s="404"/>
      <c r="I68" s="404"/>
      <c r="J68" s="404"/>
    </row>
    <row r="69" spans="1:10" x14ac:dyDescent="0.2">
      <c r="A69" s="404"/>
      <c r="B69" s="404"/>
      <c r="C69" s="404"/>
      <c r="D69" s="404"/>
      <c r="E69" s="404"/>
      <c r="F69" s="404"/>
      <c r="G69" s="404"/>
      <c r="H69" s="404"/>
      <c r="I69" s="404"/>
      <c r="J69" s="404"/>
    </row>
    <row r="70" spans="1:10" x14ac:dyDescent="0.2">
      <c r="A70" s="404"/>
      <c r="B70" s="404"/>
      <c r="C70" s="404"/>
      <c r="D70" s="404"/>
      <c r="E70" s="404"/>
      <c r="F70" s="404"/>
      <c r="G70" s="404"/>
      <c r="H70" s="404"/>
      <c r="I70" s="404"/>
      <c r="J70" s="404"/>
    </row>
    <row r="71" spans="1:10" x14ac:dyDescent="0.2">
      <c r="A71" s="404"/>
      <c r="B71" s="404"/>
      <c r="C71" s="404"/>
      <c r="D71" s="404"/>
      <c r="E71" s="404"/>
      <c r="F71" s="404"/>
      <c r="G71" s="404"/>
      <c r="H71" s="404"/>
      <c r="I71" s="404"/>
      <c r="J71" s="404"/>
    </row>
    <row r="72" spans="1:10" x14ac:dyDescent="0.2">
      <c r="A72" s="404"/>
      <c r="B72" s="404"/>
      <c r="C72" s="404"/>
      <c r="D72" s="404"/>
      <c r="E72" s="404"/>
      <c r="F72" s="404"/>
      <c r="G72" s="404"/>
      <c r="H72" s="404"/>
      <c r="I72" s="404"/>
      <c r="J72" s="404"/>
    </row>
    <row r="73" spans="1:10" x14ac:dyDescent="0.2">
      <c r="A73" s="404"/>
      <c r="B73" s="614"/>
      <c r="C73" s="404"/>
      <c r="D73" s="404"/>
      <c r="E73" s="404"/>
      <c r="F73" s="404"/>
      <c r="G73" s="404"/>
      <c r="H73" s="404"/>
      <c r="I73" s="404"/>
      <c r="J73" s="404"/>
    </row>
    <row r="74" spans="1:10" x14ac:dyDescent="0.2">
      <c r="A74" s="404"/>
      <c r="B74" s="404"/>
      <c r="C74" s="404"/>
      <c r="D74" s="404"/>
      <c r="E74" s="404"/>
      <c r="F74" s="404"/>
      <c r="G74" s="404"/>
      <c r="H74" s="404"/>
      <c r="I74" s="404"/>
      <c r="J74" s="404"/>
    </row>
    <row r="75" spans="1:10" x14ac:dyDescent="0.2">
      <c r="A75" s="404"/>
      <c r="B75" s="404"/>
      <c r="C75" s="404"/>
      <c r="D75" s="404"/>
      <c r="E75" s="404"/>
      <c r="F75" s="404"/>
      <c r="G75" s="404"/>
      <c r="H75" s="404"/>
      <c r="I75" s="404"/>
      <c r="J75" s="404"/>
    </row>
    <row r="76" spans="1:10" x14ac:dyDescent="0.2">
      <c r="A76" s="404"/>
      <c r="B76" s="404"/>
      <c r="C76" s="404"/>
      <c r="D76" s="404"/>
      <c r="E76" s="404"/>
      <c r="F76" s="404"/>
      <c r="G76" s="404"/>
      <c r="H76" s="404"/>
      <c r="I76" s="404"/>
      <c r="J76" s="404"/>
    </row>
    <row r="77" spans="1:10" x14ac:dyDescent="0.2">
      <c r="A77" s="404"/>
      <c r="B77" s="404"/>
      <c r="C77" s="404"/>
      <c r="D77" s="404"/>
      <c r="E77" s="404"/>
      <c r="F77" s="404"/>
      <c r="G77" s="404"/>
      <c r="H77" s="404"/>
      <c r="I77" s="404"/>
      <c r="J77" s="404"/>
    </row>
    <row r="78" spans="1:10" x14ac:dyDescent="0.2">
      <c r="A78" s="404"/>
      <c r="B78" s="1171" t="s">
        <v>847</v>
      </c>
      <c r="C78" s="1171"/>
      <c r="D78" s="1171"/>
      <c r="E78" s="1171"/>
      <c r="F78" s="1171"/>
      <c r="G78" s="1171"/>
      <c r="H78" s="1171"/>
      <c r="I78" s="404"/>
      <c r="J78" s="404"/>
    </row>
    <row r="79" spans="1:10" x14ac:dyDescent="0.2">
      <c r="A79" s="404"/>
      <c r="B79" s="404"/>
      <c r="C79" s="404"/>
      <c r="D79" s="404"/>
      <c r="E79" s="404"/>
      <c r="F79" s="404"/>
      <c r="G79" s="404"/>
      <c r="H79" s="404"/>
      <c r="I79" s="404"/>
      <c r="J79" s="404"/>
    </row>
    <row r="80" spans="1:10" x14ac:dyDescent="0.2">
      <c r="A80" s="404"/>
      <c r="B80" s="404"/>
      <c r="C80" s="404"/>
      <c r="D80" s="404" t="s">
        <v>862</v>
      </c>
      <c r="E80" s="404" t="s">
        <v>863</v>
      </c>
      <c r="F80" s="404"/>
      <c r="G80" s="404"/>
      <c r="H80" s="404"/>
    </row>
    <row r="81" spans="2:5" x14ac:dyDescent="0.2">
      <c r="C81">
        <v>1</v>
      </c>
      <c r="D81" s="438">
        <f>Breakout!$C$244</f>
        <v>-3800000</v>
      </c>
      <c r="E81" s="438">
        <f>Breakout!$C$244</f>
        <v>-3800000</v>
      </c>
    </row>
    <row r="82" spans="2:5" x14ac:dyDescent="0.2">
      <c r="C82">
        <v>2</v>
      </c>
      <c r="D82" s="438">
        <f>Breakout!$D$244</f>
        <v>350000</v>
      </c>
      <c r="E82" s="438">
        <f>Breakout!$D$244</f>
        <v>350000</v>
      </c>
    </row>
    <row r="83" spans="2:5" x14ac:dyDescent="0.2">
      <c r="C83">
        <v>3</v>
      </c>
      <c r="D83" s="438">
        <f>Breakout!$E$244</f>
        <v>500000</v>
      </c>
      <c r="E83" s="438">
        <f>Breakout!$E$244</f>
        <v>500000</v>
      </c>
    </row>
    <row r="84" spans="2:5" x14ac:dyDescent="0.2">
      <c r="B84" s="616"/>
      <c r="C84">
        <v>4</v>
      </c>
      <c r="D84" s="438">
        <f>Breakout!$F$244</f>
        <v>650000</v>
      </c>
      <c r="E84" s="438">
        <f>Breakout!$F$244</f>
        <v>650000</v>
      </c>
    </row>
    <row r="85" spans="2:5" x14ac:dyDescent="0.2">
      <c r="C85">
        <v>5</v>
      </c>
      <c r="D85" s="438">
        <f>Breakout!$G$244</f>
        <v>800000</v>
      </c>
      <c r="E85" s="438">
        <f>Breakout!$G$244</f>
        <v>800000</v>
      </c>
    </row>
    <row r="86" spans="2:5" x14ac:dyDescent="0.2">
      <c r="C86">
        <v>6</v>
      </c>
      <c r="D86" s="438">
        <f>Breakout!$H$244</f>
        <v>950000</v>
      </c>
      <c r="E86" s="438">
        <f>Breakout!$H$244</f>
        <v>950000</v>
      </c>
    </row>
    <row r="87" spans="2:5" x14ac:dyDescent="0.2">
      <c r="C87">
        <v>7</v>
      </c>
      <c r="D87" s="438">
        <f>Breakout!$I$244</f>
        <v>1100000</v>
      </c>
      <c r="E87" s="438">
        <f>Breakout!$I$244</f>
        <v>1100000</v>
      </c>
    </row>
    <row r="88" spans="2:5" x14ac:dyDescent="0.2">
      <c r="C88">
        <v>8</v>
      </c>
      <c r="D88" s="438">
        <f>Breakout!$J$244</f>
        <v>1250000</v>
      </c>
      <c r="E88" s="438">
        <f>Breakout!$J$244</f>
        <v>1250000</v>
      </c>
    </row>
    <row r="89" spans="2:5" x14ac:dyDescent="0.2">
      <c r="C89">
        <v>9</v>
      </c>
      <c r="D89" s="438">
        <f>Breakout!$K$244</f>
        <v>1400000</v>
      </c>
      <c r="E89" s="438">
        <f>Breakout!$K$244</f>
        <v>1400000</v>
      </c>
    </row>
    <row r="90" spans="2:5" x14ac:dyDescent="0.2">
      <c r="C90">
        <v>10</v>
      </c>
      <c r="D90" s="438">
        <f>Breakout!$L$244</f>
        <v>1550000</v>
      </c>
      <c r="E90" s="438">
        <f>Breakout!$L$244</f>
        <v>1550000</v>
      </c>
    </row>
  </sheetData>
  <mergeCells count="14">
    <mergeCell ref="E10:F10"/>
    <mergeCell ref="B13:H13"/>
    <mergeCell ref="B78:H78"/>
    <mergeCell ref="B15:D15"/>
    <mergeCell ref="F15:H15"/>
    <mergeCell ref="B27:H27"/>
    <mergeCell ref="B66:H66"/>
    <mergeCell ref="G19:H19"/>
    <mergeCell ref="B3:H3"/>
    <mergeCell ref="E5:F5"/>
    <mergeCell ref="E6:F6"/>
    <mergeCell ref="E7:F7"/>
    <mergeCell ref="E8:F8"/>
    <mergeCell ref="E9:F9"/>
  </mergeCells>
  <pageMargins left="0.44" right="0.32" top="0.36" bottom="0.19" header="0.28000000000000003" footer="0.22"/>
  <pageSetup scale="74" orientation="portrait" r:id="rId1"/>
  <headerFooter alignWithMargins="0"/>
  <drawing r:id="rId2"/>
  <legacyDrawing r:id="rId3"/>
  <oleObjects>
    <mc:AlternateContent xmlns:mc="http://schemas.openxmlformats.org/markup-compatibility/2006">
      <mc:Choice Requires="x14">
        <oleObject progId="MSPhotoEd.3" shapeId="14344" r:id="rId4">
          <objectPr defaultSize="0" autoPict="0" r:id="rId5">
            <anchor moveWithCells="1">
              <from>
                <xdr:col>6</xdr:col>
                <xdr:colOff>533400</xdr:colOff>
                <xdr:row>5</xdr:row>
                <xdr:rowOff>123825</xdr:rowOff>
              </from>
              <to>
                <xdr:col>7</xdr:col>
                <xdr:colOff>1000125</xdr:colOff>
                <xdr:row>9</xdr:row>
                <xdr:rowOff>0</xdr:rowOff>
              </to>
            </anchor>
          </objectPr>
        </oleObject>
      </mc:Choice>
      <mc:Fallback>
        <oleObject progId="MSPhotoEd.3" shapeId="14344" r:id="rId4"/>
      </mc:Fallback>
    </mc:AlternateContent>
  </oleObjects>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7">
    <pageSetUpPr fitToPage="1"/>
  </sheetPr>
  <dimension ref="B2:H32"/>
  <sheetViews>
    <sheetView zoomScale="85" workbookViewId="0">
      <selection activeCell="G26" sqref="G26"/>
    </sheetView>
  </sheetViews>
  <sheetFormatPr defaultRowHeight="15.75" x14ac:dyDescent="0.25"/>
  <cols>
    <col min="1" max="1" width="3.85546875" style="638" customWidth="1"/>
    <col min="2" max="2" width="17.7109375" style="637" customWidth="1"/>
    <col min="3" max="3" width="12.42578125" style="638" customWidth="1"/>
    <col min="4" max="6" width="21.7109375" style="639" bestFit="1" customWidth="1"/>
    <col min="7" max="7" width="9.140625" style="638"/>
    <col min="8" max="8" width="15.5703125" style="638" customWidth="1"/>
    <col min="9" max="16384" width="9.140625" style="638"/>
  </cols>
  <sheetData>
    <row r="2" spans="2:8" x14ac:dyDescent="0.25">
      <c r="C2" s="649" t="s">
        <v>1020</v>
      </c>
      <c r="D2" s="639" t="s">
        <v>1186</v>
      </c>
      <c r="E2" s="653">
        <f>Breakout!$C$5</f>
        <v>0.13500000000000001</v>
      </c>
      <c r="F2" s="653">
        <f>Breakout!$C$5</f>
        <v>0.13500000000000001</v>
      </c>
    </row>
    <row r="3" spans="2:8" s="637" customFormat="1" x14ac:dyDescent="0.25">
      <c r="C3" s="649" t="s">
        <v>1187</v>
      </c>
      <c r="D3" s="640" t="s">
        <v>1211</v>
      </c>
      <c r="E3" s="640" t="s">
        <v>1212</v>
      </c>
      <c r="F3" s="640" t="s">
        <v>1213</v>
      </c>
    </row>
    <row r="4" spans="2:8" ht="15" x14ac:dyDescent="0.2">
      <c r="B4" s="638"/>
      <c r="C4" s="649" t="s">
        <v>1188</v>
      </c>
      <c r="D4" s="639" t="s">
        <v>1215</v>
      </c>
      <c r="E4" s="639" t="s">
        <v>1215</v>
      </c>
      <c r="F4" s="639" t="s">
        <v>1216</v>
      </c>
    </row>
    <row r="5" spans="2:8" ht="15" x14ac:dyDescent="0.2">
      <c r="B5" s="638"/>
      <c r="C5" s="649" t="s">
        <v>1189</v>
      </c>
      <c r="D5" s="639" t="s">
        <v>1247</v>
      </c>
      <c r="E5" s="639" t="s">
        <v>1247</v>
      </c>
      <c r="F5" s="639" t="s">
        <v>1190</v>
      </c>
    </row>
    <row r="6" spans="2:8" x14ac:dyDescent="0.25">
      <c r="B6" s="637" t="s">
        <v>877</v>
      </c>
    </row>
    <row r="7" spans="2:8" x14ac:dyDescent="0.25">
      <c r="C7" s="638" t="s">
        <v>838</v>
      </c>
      <c r="D7" s="650">
        <v>12612174</v>
      </c>
      <c r="E7" s="650">
        <f>'RMPM-Whole'!AQ10</f>
        <v>7456606.48086002</v>
      </c>
      <c r="F7" s="650">
        <f>'Financial summ-EES'!B57</f>
        <v>5096302.9619304715</v>
      </c>
      <c r="H7" s="658"/>
    </row>
    <row r="8" spans="2:8" x14ac:dyDescent="0.25">
      <c r="C8" s="638" t="s">
        <v>797</v>
      </c>
      <c r="D8" s="650">
        <v>1259662</v>
      </c>
      <c r="E8" s="650">
        <f>'RMPM-Whole'!AS10</f>
        <v>-1095700.6879047018</v>
      </c>
      <c r="F8" s="650">
        <v>-487715.56190172979</v>
      </c>
      <c r="H8" s="658"/>
    </row>
    <row r="9" spans="2:8" x14ac:dyDescent="0.25">
      <c r="D9" s="650"/>
      <c r="E9" s="650"/>
      <c r="F9" s="650"/>
      <c r="H9" s="656"/>
    </row>
    <row r="10" spans="2:8" x14ac:dyDescent="0.25">
      <c r="B10" s="637" t="s">
        <v>1370</v>
      </c>
      <c r="D10" s="650"/>
      <c r="E10" s="650"/>
      <c r="F10" s="650"/>
      <c r="H10" s="656"/>
    </row>
    <row r="11" spans="2:8" x14ac:dyDescent="0.25">
      <c r="C11" s="638" t="s">
        <v>838</v>
      </c>
      <c r="D11" s="650">
        <v>13821880</v>
      </c>
      <c r="E11" s="650">
        <f>'RMPM-Redis'!W9</f>
        <v>10689639.891219173</v>
      </c>
      <c r="F11" s="650">
        <f>'Financial summ-EES'!B58</f>
        <v>10256443.044769729</v>
      </c>
      <c r="H11" s="658"/>
    </row>
    <row r="12" spans="2:8" x14ac:dyDescent="0.25">
      <c r="C12" s="638" t="s">
        <v>797</v>
      </c>
      <c r="D12" s="650">
        <v>13727903</v>
      </c>
      <c r="E12" s="650">
        <f>'RMPM-Redis'!Y9</f>
        <v>10562523.397349052</v>
      </c>
      <c r="F12" s="650">
        <v>17430427.116177127</v>
      </c>
      <c r="H12" s="658"/>
    </row>
    <row r="13" spans="2:8" x14ac:dyDescent="0.25">
      <c r="D13" s="650"/>
      <c r="E13" s="650"/>
      <c r="F13" s="650"/>
    </row>
    <row r="14" spans="2:8" x14ac:dyDescent="0.25">
      <c r="B14" s="637" t="s">
        <v>1214</v>
      </c>
      <c r="D14" s="650"/>
      <c r="E14" s="650"/>
      <c r="F14" s="650"/>
    </row>
    <row r="15" spans="2:8" x14ac:dyDescent="0.25">
      <c r="C15" s="638" t="s">
        <v>838</v>
      </c>
      <c r="D15" s="650">
        <v>1263503</v>
      </c>
      <c r="E15" s="650">
        <f>'RMPM-FM'!N9</f>
        <v>-267009.74119724211</v>
      </c>
      <c r="F15" s="650">
        <f>'FM Summary'!B102-'RMPM-FM'!S10</f>
        <v>-61585.723110162187</v>
      </c>
    </row>
    <row r="16" spans="2:8" x14ac:dyDescent="0.25">
      <c r="C16" s="638" t="s">
        <v>797</v>
      </c>
      <c r="D16" s="650">
        <v>1263503</v>
      </c>
      <c r="E16" s="650">
        <f>'RMPM-FM'!P9</f>
        <v>-267009.74119724211</v>
      </c>
      <c r="F16" s="650">
        <v>1758780.7102813479</v>
      </c>
    </row>
    <row r="17" spans="2:6" x14ac:dyDescent="0.25">
      <c r="D17" s="650"/>
      <c r="E17" s="650"/>
      <c r="F17" s="650"/>
    </row>
    <row r="18" spans="2:6" x14ac:dyDescent="0.25">
      <c r="B18" s="637" t="s">
        <v>1208</v>
      </c>
      <c r="D18" s="650"/>
      <c r="E18" s="650"/>
      <c r="F18" s="650"/>
    </row>
    <row r="19" spans="2:6" x14ac:dyDescent="0.25">
      <c r="C19" s="638" t="s">
        <v>838</v>
      </c>
      <c r="D19" s="650">
        <f>'account mgt'!$C$25</f>
        <v>-3390987.2362686545</v>
      </c>
      <c r="E19" s="650">
        <f>'RMPM-Whole'!$CL$10</f>
        <v>-3519085.2556454926</v>
      </c>
      <c r="F19" s="650">
        <f>'account mgt'!$C$25</f>
        <v>-3390987.2362686545</v>
      </c>
    </row>
    <row r="20" spans="2:6" x14ac:dyDescent="0.25">
      <c r="C20" s="638" t="s">
        <v>797</v>
      </c>
      <c r="D20" s="650">
        <f>'account mgt'!$C$25</f>
        <v>-3390987.2362686545</v>
      </c>
      <c r="E20" s="650">
        <f>'RMPM-Whole'!$CL$10</f>
        <v>-3519085.2556454926</v>
      </c>
      <c r="F20" s="650">
        <v>-4736819.1926951995</v>
      </c>
    </row>
    <row r="21" spans="2:6" x14ac:dyDescent="0.25">
      <c r="D21" s="650"/>
      <c r="E21" s="650"/>
      <c r="F21" s="650"/>
    </row>
    <row r="22" spans="2:6" x14ac:dyDescent="0.25">
      <c r="B22" s="637" t="s">
        <v>682</v>
      </c>
      <c r="D22" s="650"/>
      <c r="E22" s="650"/>
      <c r="F22" s="650"/>
    </row>
    <row r="23" spans="2:6" x14ac:dyDescent="0.25">
      <c r="C23" s="638" t="s">
        <v>838</v>
      </c>
      <c r="D23" s="650">
        <f t="shared" ref="D23:F24" si="0">D7+D11+D15+D19</f>
        <v>24306569.763731346</v>
      </c>
      <c r="E23" s="650">
        <f t="shared" si="0"/>
        <v>14360151.375236457</v>
      </c>
      <c r="F23" s="650">
        <f t="shared" si="0"/>
        <v>11900173.047321383</v>
      </c>
    </row>
    <row r="24" spans="2:6" x14ac:dyDescent="0.25">
      <c r="C24" s="638" t="s">
        <v>797</v>
      </c>
      <c r="D24" s="650">
        <f t="shared" si="0"/>
        <v>12860080.763731346</v>
      </c>
      <c r="E24" s="650">
        <f t="shared" si="0"/>
        <v>5680727.7126016151</v>
      </c>
      <c r="F24" s="650">
        <f t="shared" si="0"/>
        <v>13964673.071861543</v>
      </c>
    </row>
    <row r="25" spans="2:6" x14ac:dyDescent="0.25">
      <c r="D25" s="650"/>
      <c r="E25" s="650"/>
      <c r="F25" s="650"/>
    </row>
    <row r="26" spans="2:6" ht="15" x14ac:dyDescent="0.2">
      <c r="B26" s="648" t="s">
        <v>789</v>
      </c>
      <c r="D26" s="650"/>
      <c r="E26" s="650"/>
      <c r="F26" s="650"/>
    </row>
    <row r="27" spans="2:6" x14ac:dyDescent="0.25">
      <c r="B27" s="637" t="s">
        <v>877</v>
      </c>
      <c r="D27" s="650">
        <v>593810019</v>
      </c>
      <c r="E27" s="650">
        <f>'RMPM-Whole'!$AK$4</f>
        <v>593834011.52711654</v>
      </c>
      <c r="F27" s="650">
        <f>'RMPM-Whole'!$AK$4</f>
        <v>593834011.52711654</v>
      </c>
    </row>
    <row r="28" spans="2:6" x14ac:dyDescent="0.25">
      <c r="B28" s="637" t="s">
        <v>1370</v>
      </c>
      <c r="D28" s="650">
        <v>786623916</v>
      </c>
      <c r="E28" s="650">
        <f>'RMPM-Redis'!$T$5</f>
        <v>792789348.90014172</v>
      </c>
      <c r="F28" s="650">
        <f>'RMPM-Redis'!$T$5</f>
        <v>792789348.90014172</v>
      </c>
    </row>
    <row r="29" spans="2:6" x14ac:dyDescent="0.25">
      <c r="B29" s="637" t="s">
        <v>1214</v>
      </c>
      <c r="D29" s="651">
        <v>8750040</v>
      </c>
      <c r="E29" s="651">
        <f>'RMPM-FM'!$K$5</f>
        <v>8750000.0000000075</v>
      </c>
      <c r="F29" s="651">
        <f>'RMPM-FM'!$K$5</f>
        <v>8750000.0000000075</v>
      </c>
    </row>
    <row r="30" spans="2:6" x14ac:dyDescent="0.25">
      <c r="B30" s="637" t="s">
        <v>682</v>
      </c>
      <c r="D30" s="650">
        <f>SUM(D27:D29)</f>
        <v>1389183975</v>
      </c>
      <c r="E30" s="650">
        <f>SUM(E27:E29)</f>
        <v>1395373360.4272583</v>
      </c>
      <c r="F30" s="650">
        <f>SUM(F27:F29)</f>
        <v>1395373360.4272583</v>
      </c>
    </row>
    <row r="31" spans="2:6" x14ac:dyDescent="0.25">
      <c r="D31" s="652"/>
      <c r="E31" s="652"/>
      <c r="F31" s="652"/>
    </row>
    <row r="32" spans="2:6" ht="15" customHeight="1" x14ac:dyDescent="0.25"/>
  </sheetData>
  <pageMargins left="0.75" right="0.75" top="1" bottom="1" header="0.5" footer="0.5"/>
  <pageSetup scale="95"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4596" r:id="rId4" name="Button 20">
              <controlPr defaultSize="0" print="0" autoFill="0" autoPict="0" macro="[0]!Button20_Click">
                <anchor moveWithCells="1">
                  <from>
                    <xdr:col>7</xdr:col>
                    <xdr:colOff>866775</xdr:colOff>
                    <xdr:row>19</xdr:row>
                    <xdr:rowOff>76200</xdr:rowOff>
                  </from>
                  <to>
                    <xdr:col>9</xdr:col>
                    <xdr:colOff>152400</xdr:colOff>
                    <xdr:row>21</xdr:row>
                    <xdr:rowOff>9525</xdr:rowOff>
                  </to>
                </anchor>
              </controlPr>
            </control>
          </mc:Choice>
        </mc:AlternateContent>
      </controls>
    </mc:Choice>
  </mc:AlternateContent>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2:J56"/>
  <sheetViews>
    <sheetView workbookViewId="0">
      <selection activeCell="I17" sqref="I17"/>
    </sheetView>
  </sheetViews>
  <sheetFormatPr defaultRowHeight="12.75" x14ac:dyDescent="0.2"/>
  <cols>
    <col min="1" max="1" width="4.85546875" customWidth="1"/>
    <col min="2" max="2" width="3.42578125" customWidth="1"/>
    <col min="3" max="3" width="19.140625" customWidth="1"/>
    <col min="4" max="4" width="15.7109375" style="847" customWidth="1"/>
    <col min="5" max="5" width="16.140625" customWidth="1"/>
    <col min="6" max="6" width="21.140625" style="850" customWidth="1"/>
    <col min="7" max="7" width="16.42578125" customWidth="1"/>
    <col min="10" max="10" width="13.28515625" customWidth="1"/>
  </cols>
  <sheetData>
    <row r="2" spans="3:10" ht="18" x14ac:dyDescent="0.25">
      <c r="E2" s="848" t="s">
        <v>851</v>
      </c>
    </row>
    <row r="3" spans="3:10" ht="18" x14ac:dyDescent="0.25">
      <c r="E3" s="848" t="s">
        <v>586</v>
      </c>
    </row>
    <row r="4" spans="3:10" ht="13.5" thickBot="1" x14ac:dyDescent="0.25"/>
    <row r="5" spans="3:10" ht="13.5" thickBot="1" x14ac:dyDescent="0.25">
      <c r="E5" s="849"/>
      <c r="G5" s="851"/>
    </row>
    <row r="6" spans="3:10" x14ac:dyDescent="0.2">
      <c r="C6" s="852"/>
      <c r="D6" s="850" t="s">
        <v>587</v>
      </c>
      <c r="E6" s="853"/>
      <c r="G6" s="854"/>
    </row>
    <row r="7" spans="3:10" x14ac:dyDescent="0.2">
      <c r="C7" s="855" t="s">
        <v>588</v>
      </c>
      <c r="E7" s="853"/>
      <c r="G7" s="854"/>
      <c r="I7" s="380"/>
      <c r="J7" s="856"/>
    </row>
    <row r="8" spans="3:10" ht="13.5" thickBot="1" x14ac:dyDescent="0.25">
      <c r="C8" s="857"/>
      <c r="D8" s="850" t="s">
        <v>589</v>
      </c>
      <c r="E8" s="860"/>
      <c r="G8" s="861"/>
      <c r="I8" s="380"/>
      <c r="J8" s="513"/>
    </row>
    <row r="9" spans="3:10" x14ac:dyDescent="0.2">
      <c r="E9" s="853"/>
      <c r="F9" s="850" t="s">
        <v>590</v>
      </c>
      <c r="G9" s="854"/>
      <c r="I9" s="380"/>
      <c r="J9" s="513"/>
    </row>
    <row r="10" spans="3:10" ht="13.5" thickBot="1" x14ac:dyDescent="0.25">
      <c r="E10" s="853"/>
      <c r="G10" s="854"/>
    </row>
    <row r="11" spans="3:10" x14ac:dyDescent="0.2">
      <c r="C11" s="862"/>
      <c r="D11" s="850" t="s">
        <v>1244</v>
      </c>
      <c r="E11" s="860"/>
      <c r="F11" s="850" t="s">
        <v>349</v>
      </c>
      <c r="G11" s="861"/>
    </row>
    <row r="12" spans="3:10" x14ac:dyDescent="0.2">
      <c r="C12" s="863" t="s">
        <v>872</v>
      </c>
      <c r="E12" s="853"/>
      <c r="G12" s="854"/>
    </row>
    <row r="13" spans="3:10" ht="13.5" thickBot="1" x14ac:dyDescent="0.25">
      <c r="C13" s="864"/>
      <c r="D13" s="850" t="s">
        <v>591</v>
      </c>
      <c r="E13" s="853"/>
      <c r="F13" s="850" t="s">
        <v>592</v>
      </c>
      <c r="G13" s="854"/>
    </row>
    <row r="14" spans="3:10" x14ac:dyDescent="0.2">
      <c r="E14" s="860"/>
      <c r="G14" s="861"/>
    </row>
    <row r="15" spans="3:10" ht="13.5" thickBot="1" x14ac:dyDescent="0.25">
      <c r="E15" s="853"/>
      <c r="F15" s="850" t="s">
        <v>593</v>
      </c>
      <c r="G15" s="854"/>
    </row>
    <row r="16" spans="3:10" x14ac:dyDescent="0.2">
      <c r="C16" s="851"/>
      <c r="D16" s="850" t="s">
        <v>593</v>
      </c>
      <c r="E16" s="853"/>
      <c r="G16" s="854"/>
    </row>
    <row r="17" spans="1:7" x14ac:dyDescent="0.2">
      <c r="C17" s="865" t="s">
        <v>594</v>
      </c>
      <c r="E17" s="860"/>
      <c r="F17" s="850" t="s">
        <v>775</v>
      </c>
      <c r="G17" s="861"/>
    </row>
    <row r="18" spans="1:7" ht="13.5" thickBot="1" x14ac:dyDescent="0.25">
      <c r="C18" s="866"/>
      <c r="D18" s="850" t="s">
        <v>1244</v>
      </c>
      <c r="E18" s="853"/>
      <c r="G18" s="874" t="s">
        <v>606</v>
      </c>
    </row>
    <row r="19" spans="1:7" ht="15.75" x14ac:dyDescent="0.25">
      <c r="A19" s="590"/>
      <c r="E19" s="853"/>
      <c r="F19" s="850" t="s">
        <v>769</v>
      </c>
      <c r="G19" s="874" t="s">
        <v>608</v>
      </c>
    </row>
    <row r="20" spans="1:7" ht="13.5" thickBot="1" x14ac:dyDescent="0.25">
      <c r="E20" s="860"/>
      <c r="G20" s="861"/>
    </row>
    <row r="21" spans="1:7" x14ac:dyDescent="0.2">
      <c r="C21" s="867"/>
      <c r="D21" s="850" t="s">
        <v>595</v>
      </c>
      <c r="E21" s="853"/>
      <c r="F21" s="850" t="s">
        <v>772</v>
      </c>
      <c r="G21" s="854"/>
    </row>
    <row r="22" spans="1:7" x14ac:dyDescent="0.2">
      <c r="C22" s="868" t="s">
        <v>584</v>
      </c>
      <c r="E22" s="869"/>
      <c r="G22" s="861"/>
    </row>
    <row r="23" spans="1:7" ht="13.5" thickBot="1" x14ac:dyDescent="0.25">
      <c r="C23" s="870" t="s">
        <v>596</v>
      </c>
      <c r="D23" s="850" t="s">
        <v>597</v>
      </c>
      <c r="E23" s="869"/>
      <c r="F23" s="850" t="s">
        <v>598</v>
      </c>
      <c r="G23" s="861"/>
    </row>
    <row r="24" spans="1:7" x14ac:dyDescent="0.2">
      <c r="E24" s="853"/>
      <c r="G24" s="854"/>
    </row>
    <row r="25" spans="1:7" ht="13.5" thickBot="1" x14ac:dyDescent="0.25">
      <c r="E25" s="860"/>
      <c r="G25" s="854"/>
    </row>
    <row r="26" spans="1:7" x14ac:dyDescent="0.2">
      <c r="C26" s="871" t="s">
        <v>599</v>
      </c>
      <c r="D26" s="850" t="s">
        <v>600</v>
      </c>
      <c r="E26" s="869"/>
      <c r="F26" s="850" t="s">
        <v>601</v>
      </c>
      <c r="G26" s="861"/>
    </row>
    <row r="27" spans="1:7" x14ac:dyDescent="0.2">
      <c r="C27" s="872" t="s">
        <v>602</v>
      </c>
      <c r="E27" s="869"/>
      <c r="G27" s="861"/>
    </row>
    <row r="28" spans="1:7" ht="13.5" thickBot="1" x14ac:dyDescent="0.25">
      <c r="C28" s="873" t="s">
        <v>603</v>
      </c>
      <c r="D28" s="850" t="s">
        <v>597</v>
      </c>
      <c r="E28" s="853"/>
      <c r="F28" s="850" t="s">
        <v>604</v>
      </c>
      <c r="G28" s="854"/>
    </row>
    <row r="29" spans="1:7" x14ac:dyDescent="0.2">
      <c r="E29" s="860"/>
      <c r="G29" s="861"/>
    </row>
    <row r="30" spans="1:7" ht="13.5" thickBot="1" x14ac:dyDescent="0.25">
      <c r="E30" s="853" t="s">
        <v>605</v>
      </c>
      <c r="G30" s="854"/>
    </row>
    <row r="31" spans="1:7" x14ac:dyDescent="0.2">
      <c r="C31" s="875"/>
      <c r="D31" s="850" t="s">
        <v>1098</v>
      </c>
      <c r="E31" s="853" t="s">
        <v>1235</v>
      </c>
      <c r="G31" s="861"/>
    </row>
    <row r="32" spans="1:7" x14ac:dyDescent="0.2">
      <c r="C32" s="876" t="s">
        <v>1098</v>
      </c>
      <c r="E32" s="853" t="s">
        <v>607</v>
      </c>
      <c r="G32" s="861"/>
    </row>
    <row r="33" spans="3:7" ht="13.5" thickBot="1" x14ac:dyDescent="0.25">
      <c r="C33" s="877"/>
      <c r="D33" s="850" t="s">
        <v>597</v>
      </c>
      <c r="E33" s="853"/>
      <c r="G33" s="854"/>
    </row>
    <row r="34" spans="3:7" x14ac:dyDescent="0.2">
      <c r="E34" s="853"/>
      <c r="G34" s="854"/>
    </row>
    <row r="35" spans="3:7" ht="13.5" thickBot="1" x14ac:dyDescent="0.25">
      <c r="C35" s="525"/>
      <c r="D35" s="878"/>
      <c r="E35" s="879"/>
      <c r="F35" s="914"/>
      <c r="G35" s="861"/>
    </row>
    <row r="36" spans="3:7" ht="13.5" thickBot="1" x14ac:dyDescent="0.25">
      <c r="E36" s="853"/>
      <c r="G36" s="915"/>
    </row>
    <row r="37" spans="3:7" x14ac:dyDescent="0.2">
      <c r="C37" s="867"/>
      <c r="D37" s="850" t="s">
        <v>595</v>
      </c>
      <c r="E37" s="853"/>
      <c r="F37" s="850" t="s">
        <v>609</v>
      </c>
      <c r="G37" s="874"/>
    </row>
    <row r="38" spans="3:7" x14ac:dyDescent="0.2">
      <c r="C38" s="868" t="s">
        <v>584</v>
      </c>
      <c r="E38" s="860"/>
      <c r="G38" s="874"/>
    </row>
    <row r="39" spans="3:7" ht="13.5" thickBot="1" x14ac:dyDescent="0.25">
      <c r="C39" s="870" t="s">
        <v>610</v>
      </c>
      <c r="D39" s="850" t="s">
        <v>597</v>
      </c>
      <c r="E39" s="853"/>
      <c r="F39" s="850" t="s">
        <v>1236</v>
      </c>
      <c r="G39" s="854"/>
    </row>
    <row r="40" spans="3:7" x14ac:dyDescent="0.2">
      <c r="E40" s="869"/>
      <c r="G40" s="874" t="s">
        <v>606</v>
      </c>
    </row>
    <row r="41" spans="3:7" ht="13.5" thickBot="1" x14ac:dyDescent="0.25">
      <c r="E41" s="869"/>
      <c r="F41" s="850" t="s">
        <v>595</v>
      </c>
      <c r="G41" s="874" t="s">
        <v>608</v>
      </c>
    </row>
    <row r="42" spans="3:7" x14ac:dyDescent="0.2">
      <c r="C42" s="852"/>
      <c r="D42" s="850" t="s">
        <v>587</v>
      </c>
      <c r="E42" s="869"/>
      <c r="G42" s="861"/>
    </row>
    <row r="43" spans="3:7" x14ac:dyDescent="0.2">
      <c r="C43" s="855" t="s">
        <v>588</v>
      </c>
      <c r="E43" s="869"/>
      <c r="G43" s="874"/>
    </row>
    <row r="44" spans="3:7" ht="13.5" thickBot="1" x14ac:dyDescent="0.25">
      <c r="C44" s="857"/>
      <c r="D44" s="850" t="s">
        <v>589</v>
      </c>
      <c r="E44" s="869"/>
      <c r="G44" s="874"/>
    </row>
    <row r="45" spans="3:7" x14ac:dyDescent="0.2">
      <c r="E45" s="869"/>
      <c r="F45" s="850" t="s">
        <v>611</v>
      </c>
      <c r="G45" s="874"/>
    </row>
    <row r="46" spans="3:7" ht="13.5" thickBot="1" x14ac:dyDescent="0.25">
      <c r="C46" s="525"/>
      <c r="D46" s="878"/>
      <c r="E46" s="880"/>
      <c r="F46" s="914"/>
      <c r="G46" s="885"/>
    </row>
    <row r="47" spans="3:7" ht="13.5" thickBot="1" x14ac:dyDescent="0.25">
      <c r="E47" s="869"/>
      <c r="G47" s="851"/>
    </row>
    <row r="48" spans="3:7" x14ac:dyDescent="0.2">
      <c r="C48" s="916" t="s">
        <v>599</v>
      </c>
      <c r="D48" s="850" t="s">
        <v>1237</v>
      </c>
      <c r="E48" s="869"/>
      <c r="F48" s="850" t="s">
        <v>1237</v>
      </c>
      <c r="G48" s="874"/>
    </row>
    <row r="49" spans="3:7" x14ac:dyDescent="0.2">
      <c r="C49" s="917" t="s">
        <v>602</v>
      </c>
      <c r="E49" s="869"/>
      <c r="G49" s="874"/>
    </row>
    <row r="50" spans="3:7" ht="13.5" thickBot="1" x14ac:dyDescent="0.25">
      <c r="C50" s="918" t="s">
        <v>603</v>
      </c>
      <c r="E50" s="869"/>
      <c r="G50" s="874"/>
    </row>
    <row r="51" spans="3:7" x14ac:dyDescent="0.2">
      <c r="D51" s="850" t="s">
        <v>1238</v>
      </c>
      <c r="E51" s="869"/>
      <c r="F51" s="850" t="s">
        <v>1239</v>
      </c>
      <c r="G51" s="874" t="s">
        <v>606</v>
      </c>
    </row>
    <row r="52" spans="3:7" ht="13.5" thickBot="1" x14ac:dyDescent="0.25">
      <c r="E52" s="869"/>
      <c r="G52" s="874" t="s">
        <v>608</v>
      </c>
    </row>
    <row r="53" spans="3:7" x14ac:dyDescent="0.2">
      <c r="C53" s="881"/>
      <c r="D53" s="850" t="s">
        <v>612</v>
      </c>
      <c r="E53" s="869"/>
      <c r="G53" s="861"/>
    </row>
    <row r="54" spans="3:7" x14ac:dyDescent="0.2">
      <c r="C54" s="882" t="s">
        <v>1470</v>
      </c>
      <c r="E54" s="869"/>
      <c r="F54" s="850" t="s">
        <v>1240</v>
      </c>
      <c r="G54" s="874"/>
    </row>
    <row r="55" spans="3:7" ht="13.5" thickBot="1" x14ac:dyDescent="0.25">
      <c r="C55" s="883"/>
      <c r="D55" s="850" t="s">
        <v>1359</v>
      </c>
      <c r="E55" s="869"/>
      <c r="G55" s="861"/>
    </row>
    <row r="56" spans="3:7" ht="13.5" thickBot="1" x14ac:dyDescent="0.25">
      <c r="E56" s="884"/>
      <c r="G56" s="885"/>
    </row>
  </sheetData>
  <pageMargins left="0.47" right="0.42" top="0.47" bottom="0.31" header="0.31" footer="0.2"/>
  <pageSetup orientation="portrait" r:id="rId1"/>
  <headerFooter alignWithMargins="0">
    <oddFooter>&amp;L&amp;D &amp;T</oddFooter>
  </headerFooter>
  <drawing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2:A3"/>
  <sheetViews>
    <sheetView workbookViewId="0">
      <selection activeCell="K16" sqref="K16"/>
    </sheetView>
  </sheetViews>
  <sheetFormatPr defaultRowHeight="12.75" x14ac:dyDescent="0.2"/>
  <sheetData>
    <row r="2" spans="1:1" x14ac:dyDescent="0.2">
      <c r="A2" t="s">
        <v>502</v>
      </c>
    </row>
    <row r="3" spans="1:1" x14ac:dyDescent="0.2">
      <c r="A3" t="s">
        <v>503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34</vt:i4>
      </vt:variant>
      <vt:variant>
        <vt:lpstr>Named Ranges</vt:lpstr>
      </vt:variant>
      <vt:variant>
        <vt:i4>15</vt:i4>
      </vt:variant>
    </vt:vector>
  </HeadingPairs>
  <TitlesOfParts>
    <vt:vector size="49" baseType="lpstr">
      <vt:lpstr>form A info</vt:lpstr>
      <vt:lpstr>1998 Expense Detail</vt:lpstr>
      <vt:lpstr>Updated Final List</vt:lpstr>
      <vt:lpstr>Total Baseline</vt:lpstr>
      <vt:lpstr>general info</vt:lpstr>
      <vt:lpstr>Electricity Exposure</vt:lpstr>
      <vt:lpstr>Volumetric Exposure</vt:lpstr>
      <vt:lpstr>commodity information</vt:lpstr>
      <vt:lpstr>Wholesale Baseline</vt:lpstr>
      <vt:lpstr>EAM Curves</vt:lpstr>
      <vt:lpstr>wholesale services</vt:lpstr>
      <vt:lpstr>Dereg Option</vt:lpstr>
      <vt:lpstr>Dereg Option 2</vt:lpstr>
      <vt:lpstr>unwinds</vt:lpstr>
      <vt:lpstr>charts</vt:lpstr>
      <vt:lpstr>account mgt</vt:lpstr>
      <vt:lpstr>non-cash charges</vt:lpstr>
      <vt:lpstr>power redistribution</vt:lpstr>
      <vt:lpstr>Redistribution Scenarios</vt:lpstr>
      <vt:lpstr>assumptions</vt:lpstr>
      <vt:lpstr>FM Summary</vt:lpstr>
      <vt:lpstr>Financial summ-EES</vt:lpstr>
      <vt:lpstr>Financial summ-SPG</vt:lpstr>
      <vt:lpstr>Financial summ-TFSPs</vt:lpstr>
      <vt:lpstr>RMPM-Whole</vt:lpstr>
      <vt:lpstr>RMPM-Redis</vt:lpstr>
      <vt:lpstr>RMPM-FM</vt:lpstr>
      <vt:lpstr>Breakout</vt:lpstr>
      <vt:lpstr>Re-Whole</vt:lpstr>
      <vt:lpstr>Re-Redis</vt:lpstr>
      <vt:lpstr>Re-FM</vt:lpstr>
      <vt:lpstr>Compare</vt:lpstr>
      <vt:lpstr>Diagram</vt:lpstr>
      <vt:lpstr>Notes</vt:lpstr>
      <vt:lpstr>Compare!Print_Area</vt:lpstr>
      <vt:lpstr>'Dereg Option'!Print_Area</vt:lpstr>
      <vt:lpstr>'Dereg Option 2'!Print_Area</vt:lpstr>
      <vt:lpstr>'Financial summ-EES'!Print_Area</vt:lpstr>
      <vt:lpstr>'Financial summ-SPG'!Print_Area</vt:lpstr>
      <vt:lpstr>'form A info'!Print_Area</vt:lpstr>
      <vt:lpstr>'Re-FM'!Print_Area</vt:lpstr>
      <vt:lpstr>'Re-Redis'!Print_Area</vt:lpstr>
      <vt:lpstr>'Re-Whole'!Print_Area</vt:lpstr>
      <vt:lpstr>'Total Baseline'!Print_Area</vt:lpstr>
      <vt:lpstr>unwinds!Print_Area</vt:lpstr>
      <vt:lpstr>'wholesale services'!Print_Area</vt:lpstr>
      <vt:lpstr>'1998 Expense Detail'!Print_Titles</vt:lpstr>
      <vt:lpstr>'form A info'!Print_Titles</vt:lpstr>
      <vt:lpstr>'1998 Expense Detail'!The_big_1998_query</vt:lpstr>
    </vt:vector>
  </TitlesOfParts>
  <Company>Enron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mnataraj</dc:creator>
  <cp:lastModifiedBy>Jan Havlíček</cp:lastModifiedBy>
  <cp:lastPrinted>2000-08-08T21:02:08Z</cp:lastPrinted>
  <dcterms:created xsi:type="dcterms:W3CDTF">1999-08-12T21:17:48Z</dcterms:created>
  <dcterms:modified xsi:type="dcterms:W3CDTF">2023-09-13T16:28:52Z</dcterms:modified>
</cp:coreProperties>
</file>