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8C2405-5338-4764-8160-E2A074D84A3A}" xr6:coauthVersionLast="47" xr6:coauthVersionMax="47" xr10:uidLastSave="{00000000-0000-0000-0000-000000000000}"/>
  <bookViews>
    <workbookView xWindow="-120" yWindow="-120" windowWidth="38640" windowHeight="15720" activeTab="6"/>
  </bookViews>
  <sheets>
    <sheet name="Sonat 1-2" sheetId="1" r:id="rId1"/>
    <sheet name="Sonat 1-3" sheetId="3" r:id="rId2"/>
    <sheet name="Mommentum" sheetId="4" r:id="rId3"/>
    <sheet name="Transportation" sheetId="2" r:id="rId4"/>
    <sheet name="Backhaul" sheetId="6" r:id="rId5"/>
    <sheet name="Sheet1" sheetId="7" r:id="rId6"/>
    <sheet name="Sheet 2" sheetId="5" r:id="rId7"/>
  </sheets>
  <externalReferences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E3" i="6"/>
  <c r="E4" i="6"/>
  <c r="F4" i="6"/>
  <c r="G4" i="6"/>
  <c r="E5" i="6"/>
  <c r="F5" i="6"/>
  <c r="G5" i="6"/>
  <c r="E6" i="6"/>
  <c r="F6" i="6"/>
  <c r="G6" i="6"/>
  <c r="D7" i="6"/>
  <c r="E7" i="6"/>
  <c r="F7" i="6"/>
  <c r="G7" i="6"/>
  <c r="D8" i="6"/>
  <c r="E8" i="6"/>
  <c r="F8" i="6"/>
  <c r="G8" i="6"/>
  <c r="J8" i="6"/>
  <c r="K8" i="6"/>
  <c r="E9" i="6"/>
  <c r="F9" i="6"/>
  <c r="G9" i="6"/>
  <c r="J9" i="6"/>
  <c r="K9" i="6"/>
  <c r="E10" i="6"/>
  <c r="F10" i="6"/>
  <c r="G10" i="6"/>
  <c r="E11" i="6"/>
  <c r="F11" i="6"/>
  <c r="G11" i="6"/>
  <c r="J11" i="6"/>
  <c r="K11" i="6"/>
  <c r="D12" i="6"/>
  <c r="E12" i="6"/>
  <c r="F12" i="6"/>
  <c r="G12" i="6"/>
  <c r="D13" i="6"/>
  <c r="E13" i="6"/>
  <c r="F13" i="6"/>
  <c r="G13" i="6"/>
  <c r="E14" i="6"/>
  <c r="F14" i="6"/>
  <c r="G14" i="6"/>
  <c r="E15" i="6"/>
  <c r="F15" i="6"/>
  <c r="G15" i="6"/>
  <c r="E17" i="6"/>
  <c r="F17" i="6"/>
  <c r="G17" i="6"/>
  <c r="F22" i="6"/>
  <c r="G22" i="6"/>
  <c r="E23" i="6"/>
  <c r="E24" i="6"/>
  <c r="F24" i="6"/>
  <c r="G24" i="6"/>
  <c r="E25" i="6"/>
  <c r="F25" i="6"/>
  <c r="G25" i="6"/>
  <c r="E26" i="6"/>
  <c r="F26" i="6"/>
  <c r="G26" i="6"/>
  <c r="D27" i="6"/>
  <c r="E27" i="6"/>
  <c r="F27" i="6"/>
  <c r="G27" i="6"/>
  <c r="D28" i="6"/>
  <c r="E28" i="6"/>
  <c r="F28" i="6"/>
  <c r="G28" i="6"/>
  <c r="J28" i="6"/>
  <c r="K28" i="6"/>
  <c r="E29" i="6"/>
  <c r="F29" i="6"/>
  <c r="G29" i="6"/>
  <c r="J29" i="6"/>
  <c r="K29" i="6"/>
  <c r="E30" i="6"/>
  <c r="F30" i="6"/>
  <c r="G30" i="6"/>
  <c r="E31" i="6"/>
  <c r="F31" i="6"/>
  <c r="G31" i="6"/>
  <c r="J31" i="6"/>
  <c r="K31" i="6"/>
  <c r="D32" i="6"/>
  <c r="E32" i="6"/>
  <c r="F32" i="6"/>
  <c r="G32" i="6"/>
  <c r="D33" i="6"/>
  <c r="E33" i="6"/>
  <c r="F33" i="6"/>
  <c r="G33" i="6"/>
  <c r="E34" i="6"/>
  <c r="F34" i="6"/>
  <c r="G34" i="6"/>
  <c r="E35" i="6"/>
  <c r="F35" i="6"/>
  <c r="G35" i="6"/>
  <c r="E37" i="6"/>
  <c r="F37" i="6"/>
  <c r="G37" i="6"/>
  <c r="H7" i="4"/>
  <c r="K7" i="4"/>
  <c r="H8" i="4"/>
  <c r="K8" i="4"/>
  <c r="C9" i="4"/>
  <c r="G9" i="4"/>
  <c r="H9" i="4"/>
  <c r="K9" i="4"/>
  <c r="C11" i="4"/>
  <c r="C15" i="4"/>
  <c r="C17" i="4"/>
  <c r="C7" i="7"/>
  <c r="F7" i="7"/>
  <c r="C8" i="7"/>
  <c r="F8" i="7"/>
  <c r="C9" i="7"/>
  <c r="F9" i="7"/>
  <c r="C10" i="7"/>
  <c r="F10" i="7"/>
  <c r="C12" i="7"/>
  <c r="F12" i="7"/>
  <c r="C14" i="7"/>
  <c r="F14" i="7"/>
  <c r="C16" i="7"/>
  <c r="F16" i="7"/>
  <c r="H7" i="1"/>
  <c r="K7" i="1"/>
  <c r="C8" i="1"/>
  <c r="H8" i="1"/>
  <c r="K8" i="1"/>
  <c r="C9" i="1"/>
  <c r="G9" i="1"/>
  <c r="H9" i="1"/>
  <c r="K9" i="1"/>
  <c r="C10" i="1"/>
  <c r="C12" i="1"/>
  <c r="C14" i="1"/>
  <c r="C17" i="1"/>
  <c r="C19" i="1"/>
  <c r="C7" i="3"/>
  <c r="H7" i="3"/>
  <c r="K7" i="3"/>
  <c r="C8" i="3"/>
  <c r="H8" i="3"/>
  <c r="K8" i="3"/>
  <c r="C9" i="3"/>
  <c r="G9" i="3"/>
  <c r="H9" i="3"/>
  <c r="K9" i="3"/>
  <c r="C10" i="3"/>
  <c r="C12" i="3"/>
  <c r="C14" i="3"/>
  <c r="C17" i="3"/>
  <c r="C19" i="3"/>
  <c r="I9" i="2"/>
  <c r="J9" i="2"/>
  <c r="K9" i="2"/>
  <c r="I10" i="2"/>
  <c r="J10" i="2"/>
  <c r="I12" i="2"/>
  <c r="J12" i="2"/>
  <c r="K12" i="2"/>
  <c r="L12" i="2"/>
  <c r="I13" i="2"/>
  <c r="J13" i="2"/>
  <c r="I16" i="2"/>
  <c r="J16" i="2"/>
  <c r="K16" i="2"/>
  <c r="L16" i="2"/>
  <c r="I17" i="2"/>
  <c r="J17" i="2"/>
  <c r="I19" i="2"/>
  <c r="J19" i="2"/>
  <c r="K19" i="2"/>
  <c r="I20" i="2"/>
  <c r="J20" i="2"/>
  <c r="I22" i="2"/>
  <c r="J22" i="2"/>
  <c r="K22" i="2"/>
  <c r="L22" i="2"/>
  <c r="I23" i="2"/>
  <c r="J23" i="2"/>
  <c r="I25" i="2"/>
  <c r="J25" i="2"/>
  <c r="K25" i="2"/>
  <c r="I26" i="2"/>
  <c r="J26" i="2"/>
  <c r="I28" i="2"/>
  <c r="J28" i="2"/>
  <c r="K28" i="2"/>
  <c r="L28" i="2"/>
  <c r="I29" i="2"/>
  <c r="J29" i="2"/>
  <c r="I31" i="2"/>
  <c r="J31" i="2"/>
  <c r="K31" i="2"/>
  <c r="L31" i="2"/>
  <c r="I32" i="2"/>
  <c r="J32" i="2"/>
  <c r="I34" i="2"/>
  <c r="J34" i="2"/>
  <c r="K34" i="2"/>
  <c r="L34" i="2"/>
  <c r="I35" i="2"/>
  <c r="J35" i="2"/>
  <c r="G37" i="2"/>
  <c r="I37" i="2"/>
  <c r="J37" i="2"/>
  <c r="K37" i="2"/>
  <c r="L37" i="2"/>
  <c r="I38" i="2"/>
  <c r="J38" i="2"/>
  <c r="G40" i="2"/>
  <c r="I40" i="2"/>
  <c r="J40" i="2"/>
  <c r="K40" i="2"/>
  <c r="L40" i="2"/>
  <c r="I41" i="2"/>
  <c r="J41" i="2"/>
  <c r="G43" i="2"/>
  <c r="I43" i="2"/>
  <c r="J43" i="2"/>
  <c r="K43" i="2"/>
  <c r="L43" i="2"/>
  <c r="J44" i="2"/>
  <c r="E51" i="2"/>
  <c r="I51" i="2"/>
  <c r="J51" i="2"/>
  <c r="K51" i="2"/>
  <c r="E53" i="2"/>
  <c r="I53" i="2"/>
  <c r="J53" i="2"/>
  <c r="K53" i="2"/>
  <c r="E56" i="2"/>
  <c r="I56" i="2"/>
  <c r="J56" i="2"/>
  <c r="I58" i="2"/>
  <c r="J58" i="2"/>
  <c r="J59" i="2"/>
  <c r="K59" i="2"/>
  <c r="E62" i="2"/>
  <c r="I62" i="2"/>
  <c r="J62" i="2"/>
  <c r="I64" i="2"/>
  <c r="J64" i="2"/>
  <c r="J65" i="2"/>
  <c r="K65" i="2"/>
  <c r="E68" i="2"/>
  <c r="I68" i="2"/>
  <c r="J68" i="2"/>
  <c r="I69" i="2"/>
  <c r="J69" i="2"/>
  <c r="J70" i="2"/>
  <c r="E72" i="2"/>
  <c r="I72" i="2"/>
  <c r="J72" i="2"/>
  <c r="I73" i="2"/>
  <c r="J73" i="2"/>
  <c r="J74" i="2"/>
  <c r="E88" i="2"/>
  <c r="E92" i="2"/>
  <c r="I92" i="2"/>
  <c r="J92" i="2"/>
  <c r="K92" i="2"/>
  <c r="E93" i="2"/>
  <c r="I93" i="2"/>
  <c r="J93" i="2"/>
  <c r="K93" i="2"/>
  <c r="I100" i="2"/>
  <c r="I105" i="2"/>
</calcChain>
</file>

<file path=xl/comments1.xml><?xml version="1.0" encoding="utf-8"?>
<comments xmlns="http://schemas.openxmlformats.org/spreadsheetml/2006/main">
  <authors>
    <author>pdemoes</author>
  </authors>
  <commentList>
    <comment ref="C7" authorId="0" shapeId="0">
      <text>
        <r>
          <rPr>
            <sz val="8"/>
            <color indexed="81"/>
            <rFont val="Tahoma"/>
          </rPr>
          <t xml:space="preserve">Proposed Rate of $.27 with 1.9% fuel @ $4.37.
</t>
        </r>
      </text>
    </comment>
  </commentList>
</comments>
</file>

<file path=xl/comments2.xml><?xml version="1.0" encoding="utf-8"?>
<comments xmlns="http://schemas.openxmlformats.org/spreadsheetml/2006/main">
  <authors>
    <author>dlorenz</author>
  </authors>
  <commentList>
    <comment ref="I5" authorId="0" shapeId="0">
      <text>
        <r>
          <rPr>
            <sz val="8"/>
            <color indexed="81"/>
            <rFont val="Tahoma"/>
          </rPr>
          <t>FUEL BASED ON 10 YEAR NYMEX CURVE OUT OF MAY,2004.</t>
        </r>
      </text>
    </comment>
    <comment ref="G6" authorId="0" shapeId="0">
      <text>
        <r>
          <rPr>
            <sz val="8"/>
            <color indexed="81"/>
            <rFont val="Tahoma"/>
          </rPr>
          <t>SONAT TRANSPORT INCLUDES $.0022 ACA, GSR+SCRM,$.0044
 AND NO GRI IS CHARGED AFTER JAN-2004</t>
        </r>
      </text>
    </comment>
    <comment ref="E9" authorId="0" shapeId="0">
      <text>
        <r>
          <rPr>
            <sz val="8"/>
            <color indexed="81"/>
            <rFont val="Tahoma"/>
          </rPr>
          <t xml:space="preserve">DESTIN + $.02 + INDEX PREMIUM $.02 = $.04
</t>
        </r>
      </text>
    </comment>
    <comment ref="G56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57" authorId="0" shapeId="0">
      <text>
        <r>
          <rPr>
            <sz val="8"/>
            <color indexed="81"/>
            <rFont val="Tahoma"/>
          </rPr>
          <t>ESTIMATED TRANSPORT $/DTH</t>
        </r>
      </text>
    </comment>
    <comment ref="G62" authorId="0" shapeId="0">
      <text>
        <r>
          <rPr>
            <sz val="8"/>
            <color indexed="81"/>
            <rFont val="Tahoma"/>
          </rPr>
          <t>INCLUDES RESERVATION  ,ACA,$.0022 AND GREAT PLAINS,$.0097, NO GRI AFTER JAN,2004</t>
        </r>
      </text>
    </comment>
    <comment ref="G68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92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  <comment ref="G93" authorId="0" shapeId="0">
      <text>
        <r>
          <rPr>
            <sz val="8"/>
            <color indexed="81"/>
            <rFont val="Tahoma"/>
          </rPr>
          <t>INCLUDES ACA,$.0022 AND GREAT PLAINS,$.0097, NO GRI AFTER JAN,2004</t>
        </r>
      </text>
    </comment>
  </commentList>
</comments>
</file>

<file path=xl/sharedStrings.xml><?xml version="1.0" encoding="utf-8"?>
<sst xmlns="http://schemas.openxmlformats.org/spreadsheetml/2006/main" count="414" uniqueCount="167">
  <si>
    <t>Elba</t>
  </si>
  <si>
    <t>Load</t>
  </si>
  <si>
    <t>Southern Co.</t>
  </si>
  <si>
    <t>Destin/Transco</t>
  </si>
  <si>
    <t>Comment</t>
  </si>
  <si>
    <t>Backhaul</t>
  </si>
  <si>
    <t>Factor</t>
  </si>
  <si>
    <t>Bid</t>
  </si>
  <si>
    <t>Offer</t>
  </si>
  <si>
    <t>Demand Chg.</t>
  </si>
  <si>
    <t>IT Backhaul (3-3)</t>
  </si>
  <si>
    <t>Commodity</t>
  </si>
  <si>
    <t>Total</t>
  </si>
  <si>
    <t>Load Factor</t>
  </si>
  <si>
    <t>Avg. Rate</t>
  </si>
  <si>
    <t>Basis</t>
  </si>
  <si>
    <t>Avg. Delivered Price</t>
  </si>
  <si>
    <t>Price Difference</t>
  </si>
  <si>
    <t>Southern Co. Bid</t>
  </si>
  <si>
    <t>Potenial New Price</t>
  </si>
  <si>
    <t>Assumptions:</t>
  </si>
  <si>
    <t>Southern Company will run a 80% load factor.</t>
  </si>
  <si>
    <t>Rates stay the same over the term of this deal.</t>
  </si>
  <si>
    <t>Does not assume what Southern Co. can do to mitigate cost by moving gas to a Zone 2 or 3 market or value it can generate on unused Sonat Capacity.</t>
  </si>
  <si>
    <t>IT Backhaul (3-2)</t>
  </si>
  <si>
    <t>80% Load Factor Analysis</t>
  </si>
  <si>
    <t>TRANSPORTATION FROM ELBA ISLAND TO VARIOUS DOWNSTREAM LOCATIONS</t>
  </si>
  <si>
    <t>REF #</t>
  </si>
  <si>
    <t>DELIVERING PIPELINE</t>
  </si>
  <si>
    <t>RECEIPT LOCATION</t>
  </si>
  <si>
    <t>DELIVERY LOCATION</t>
  </si>
  <si>
    <t>DELIVERY LOCATION 10 YR CURVE $/DTH</t>
  </si>
  <si>
    <t>RATE SCHEDULE</t>
  </si>
  <si>
    <t>COMM</t>
  </si>
  <si>
    <t>FUEL %</t>
  </si>
  <si>
    <t>FUEL $/DTH</t>
  </si>
  <si>
    <t>TOTAL TRANSPORT $/DTH</t>
  </si>
  <si>
    <t>NETBACK PRICE  AT ELBA $/DTH</t>
  </si>
  <si>
    <t>TRANSPORTATION COST COMPARISONS</t>
  </si>
  <si>
    <t>1A</t>
  </si>
  <si>
    <t>SONAT</t>
  </si>
  <si>
    <t>ZONE 1</t>
  </si>
  <si>
    <t>AGL/SCPL ZN 3</t>
  </si>
  <si>
    <t>FT</t>
  </si>
  <si>
    <t>ELBA ZN 3</t>
  </si>
  <si>
    <t xml:space="preserve">IT </t>
  </si>
  <si>
    <t>1B</t>
  </si>
  <si>
    <t>2A</t>
  </si>
  <si>
    <t>ZONE 3</t>
  </si>
  <si>
    <t>ZN 3 (BACKHAUL)</t>
  </si>
  <si>
    <t>2B</t>
  </si>
  <si>
    <t>2C</t>
  </si>
  <si>
    <t>ZONE 2</t>
  </si>
  <si>
    <t>2D</t>
  </si>
  <si>
    <t>NETBACK CALCULATIONS</t>
  </si>
  <si>
    <t>3A</t>
  </si>
  <si>
    <t>TRANSCO,ZN 4,JONESBORO</t>
  </si>
  <si>
    <t>3B</t>
  </si>
  <si>
    <t>4A</t>
  </si>
  <si>
    <t>TRANSCO</t>
  </si>
  <si>
    <t>SONAT (ZN 5)</t>
  </si>
  <si>
    <t>TRANSCO ZONE 5</t>
  </si>
  <si>
    <t>IT</t>
  </si>
  <si>
    <t>NEW PIPE</t>
  </si>
  <si>
    <t>SONAT ZN 3</t>
  </si>
  <si>
    <t>WRENS, NEW PIPE, BACKHAUL</t>
  </si>
  <si>
    <t>TOTAL:</t>
  </si>
  <si>
    <t>4B</t>
  </si>
  <si>
    <t>5A</t>
  </si>
  <si>
    <t>ST 65 ZONE 3</t>
  </si>
  <si>
    <t>DIFF:</t>
  </si>
  <si>
    <t>5B</t>
  </si>
  <si>
    <t>TRANSCO ZONE 6</t>
  </si>
  <si>
    <t>MICS CALCULATIONS</t>
  </si>
  <si>
    <t>EFP INTO ZN 4</t>
  </si>
  <si>
    <t>SONAT (ZN 4)</t>
  </si>
  <si>
    <t>TRANSCO ZONE 4</t>
  </si>
  <si>
    <t>DELIVERED EFP</t>
  </si>
  <si>
    <t>EFP LESS TRANSPORT</t>
  </si>
  <si>
    <t>FT (5-5)</t>
  </si>
  <si>
    <t>TRANSCO ZONE 6 NON-NY</t>
  </si>
  <si>
    <t>FT (5-6)</t>
  </si>
  <si>
    <t>EST:</t>
  </si>
  <si>
    <t>CYPRESS</t>
  </si>
  <si>
    <t>ELBA</t>
  </si>
  <si>
    <t>FLORIDA MARKET ZONE</t>
  </si>
  <si>
    <t>PATH</t>
  </si>
  <si>
    <t>FLORIDA</t>
  </si>
  <si>
    <t>FLORIDA MARKETS</t>
  </si>
  <si>
    <t xml:space="preserve">TRANSCO </t>
  </si>
  <si>
    <t>3-6</t>
  </si>
  <si>
    <t>5-6</t>
  </si>
  <si>
    <t>FUEL +</t>
  </si>
  <si>
    <t>VARIABLE</t>
  </si>
  <si>
    <t>SAVINGS</t>
  </si>
  <si>
    <t>3-5</t>
  </si>
  <si>
    <t>5-5</t>
  </si>
  <si>
    <t>Fuel - 2.6% @4.37</t>
  </si>
  <si>
    <t>Southern Company will sell gas not being used at a first of the month index (Back into Transco @ Destin) and no cost for intramonth volatility or storage costs.</t>
  </si>
  <si>
    <t>Sonat Max Rate of $.3573 with 2.6% fuel @$4.37.</t>
  </si>
  <si>
    <t>Sonat 1-2 Disc</t>
  </si>
  <si>
    <t>2E</t>
  </si>
  <si>
    <t>ZONE 2 (MAX RATE 100% LF)</t>
  </si>
  <si>
    <t>2F</t>
  </si>
  <si>
    <t>ZONE 2 (DISC RATE 100% LF@$6)</t>
  </si>
  <si>
    <t>2G</t>
  </si>
  <si>
    <t>ZONE 2 (DISC RATE 100% LF@$7)</t>
  </si>
  <si>
    <t>2H</t>
  </si>
  <si>
    <t>ZONE 3 (MAX RATE 100% LF)</t>
  </si>
  <si>
    <t>2 i</t>
  </si>
  <si>
    <t>NETBACK PRICE  AT ELBA $/DTH (80%  Load Factor</t>
  </si>
  <si>
    <t>FT-Disc</t>
  </si>
  <si>
    <t>2J</t>
  </si>
  <si>
    <t>Bypass</t>
  </si>
  <si>
    <t>McIntosh - By-Pass</t>
  </si>
  <si>
    <t>Sonat Max Rate of $.268 with 2.3% fuel @$4.37.</t>
  </si>
  <si>
    <t>Fuel - 2.3% @4.37</t>
  </si>
  <si>
    <t>Sonat 1-3</t>
  </si>
  <si>
    <t>80% Load Facor Analysis</t>
  </si>
  <si>
    <t>Transco</t>
  </si>
  <si>
    <t>Destin</t>
  </si>
  <si>
    <t>Mommentum</t>
  </si>
  <si>
    <t>All in Rate</t>
  </si>
  <si>
    <t>IT Backhaul (3-1)</t>
  </si>
  <si>
    <t>Potential New Price</t>
  </si>
  <si>
    <t>Southern Company will sell gas not being used at a first of the month index and no cost for intramonth volatility or storage costs.</t>
  </si>
  <si>
    <t>Transco Rate of $.27 with 1.9% fuel @$4.37.</t>
  </si>
  <si>
    <t>Does not assume what Southern Co. can do to mitigate cost by moving gas to a Zone 2 or 3 market or value it can generate on unused Transco Capacity.</t>
  </si>
  <si>
    <t>Swap with Scana/IT Backhaul and compare vs. Mommentum</t>
  </si>
  <si>
    <t>Month</t>
  </si>
  <si>
    <t>Sta. 65</t>
  </si>
  <si>
    <t>Sta. 85</t>
  </si>
  <si>
    <t>January</t>
  </si>
  <si>
    <t>Tier I</t>
  </si>
  <si>
    <t>Tier II</t>
  </si>
  <si>
    <t>February</t>
  </si>
  <si>
    <t>Sta 65</t>
  </si>
  <si>
    <t>Sta 85</t>
  </si>
  <si>
    <t>March</t>
  </si>
  <si>
    <t>Rate</t>
  </si>
  <si>
    <t>April</t>
  </si>
  <si>
    <t>Fuel %</t>
  </si>
  <si>
    <t>May</t>
  </si>
  <si>
    <t xml:space="preserve">Fuel </t>
  </si>
  <si>
    <t>June</t>
  </si>
  <si>
    <t>Sub-total</t>
  </si>
  <si>
    <t>July</t>
  </si>
  <si>
    <t>August</t>
  </si>
  <si>
    <t>September</t>
  </si>
  <si>
    <t>October</t>
  </si>
  <si>
    <t>November</t>
  </si>
  <si>
    <t>December</t>
  </si>
  <si>
    <t>Average:</t>
  </si>
  <si>
    <t>Sonat 3 to 3 variable for shoulder months with $.09 demand charge</t>
  </si>
  <si>
    <t>Swap with Scana/IT Backhaul and compare vs. Currently Effective Rates</t>
  </si>
  <si>
    <t>Current Rates</t>
  </si>
  <si>
    <t>Zone 3-4</t>
  </si>
  <si>
    <t>Zone 4-4</t>
  </si>
  <si>
    <t>Goat Rock/Autaugaville</t>
  </si>
  <si>
    <t>Sonat 1-2 Discounted</t>
  </si>
  <si>
    <t>Less Sonat Back-Haul</t>
  </si>
  <si>
    <t>Sonat 1-3 Max Rate</t>
  </si>
  <si>
    <t>Goat Rock/Autagaville Assumption</t>
  </si>
  <si>
    <t>Sonat Current Max Rate (Zone 1-3)</t>
  </si>
  <si>
    <t>Netback @ Elba</t>
  </si>
  <si>
    <t>Discounted rate of $6.00 demand increases with GDP deflator not to exceed max rate (currently at $8.10).  Assumption is an avg. rate of $7.00 or $.23.</t>
  </si>
  <si>
    <t>Fuel calculated at $4.37 for 15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</si>
</sst>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0.0%"/>
    <numFmt numFmtId="167" formatCode="&quot;$&quot;#,##0.000_);[Red]\(&quot;$&quot;#,##0.000\)"/>
    <numFmt numFmtId="168" formatCode="0.0000"/>
    <numFmt numFmtId="169" formatCode="&quot;$&quot;#,##0.0000_);[Red]\(&quot;$&quot;#,##0.0000\)"/>
    <numFmt numFmtId="175" formatCode="_(* #,##0_);_(* \(#,##0\);_(* &quot;-&quot;??_);_(@_)"/>
    <numFmt numFmtId="176" formatCode="_(&quot;$&quot;* #,##0_);_(&quot;$&quot;* \(#,##0\);_(&quot;$&quot;* &quot;-&quot;??_);_(@_)"/>
    <numFmt numFmtId="177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color indexed="18"/>
      <name val="Arial"/>
      <family val="2"/>
    </font>
    <font>
      <b/>
      <sz val="11"/>
      <color indexed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44" fontId="0" fillId="0" borderId="0" xfId="2" applyFont="1" applyFill="1" applyBorder="1"/>
    <xf numFmtId="0" fontId="0" fillId="0" borderId="1" xfId="0" applyBorder="1"/>
    <xf numFmtId="0" fontId="0" fillId="0" borderId="2" xfId="0" applyBorder="1"/>
    <xf numFmtId="44" fontId="0" fillId="0" borderId="3" xfId="2" applyFont="1" applyBorder="1"/>
    <xf numFmtId="0" fontId="0" fillId="0" borderId="3" xfId="0" applyBorder="1"/>
    <xf numFmtId="0" fontId="0" fillId="0" borderId="4" xfId="0" applyBorder="1"/>
    <xf numFmtId="164" fontId="0" fillId="0" borderId="5" xfId="2" applyNumberFormat="1" applyFont="1" applyBorder="1"/>
    <xf numFmtId="165" fontId="0" fillId="0" borderId="0" xfId="2" applyNumberFormat="1" applyFont="1" applyBorder="1"/>
    <xf numFmtId="9" fontId="0" fillId="0" borderId="0" xfId="3" applyFont="1" applyBorder="1"/>
    <xf numFmtId="165" fontId="0" fillId="0" borderId="5" xfId="0" applyNumberFormat="1" applyBorder="1"/>
    <xf numFmtId="0" fontId="0" fillId="0" borderId="6" xfId="0" applyBorder="1"/>
    <xf numFmtId="9" fontId="0" fillId="0" borderId="7" xfId="3" applyFont="1" applyBorder="1"/>
    <xf numFmtId="165" fontId="0" fillId="0" borderId="7" xfId="2" applyNumberFormat="1" applyFont="1" applyBorder="1"/>
    <xf numFmtId="44" fontId="0" fillId="0" borderId="7" xfId="2" applyFont="1" applyBorder="1"/>
    <xf numFmtId="165" fontId="0" fillId="0" borderId="8" xfId="0" applyNumberFormat="1" applyBorder="1"/>
    <xf numFmtId="165" fontId="0" fillId="0" borderId="8" xfId="2" applyNumberFormat="1" applyFont="1" applyBorder="1"/>
    <xf numFmtId="9" fontId="0" fillId="0" borderId="0" xfId="0" applyNumberFormat="1" applyBorder="1"/>
    <xf numFmtId="165" fontId="0" fillId="0" borderId="5" xfId="2" applyNumberFormat="1" applyFont="1" applyBorder="1"/>
    <xf numFmtId="0" fontId="0" fillId="0" borderId="4" xfId="0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9" fontId="0" fillId="0" borderId="5" xfId="3" applyFont="1" applyBorder="1"/>
    <xf numFmtId="0" fontId="0" fillId="0" borderId="7" xfId="0" applyBorder="1"/>
    <xf numFmtId="0" fontId="0" fillId="0" borderId="8" xfId="0" applyBorder="1"/>
    <xf numFmtId="44" fontId="0" fillId="0" borderId="8" xfId="2" applyFont="1" applyBorder="1"/>
    <xf numFmtId="164" fontId="0" fillId="0" borderId="8" xfId="0" applyNumberFormat="1" applyBorder="1"/>
    <xf numFmtId="165" fontId="0" fillId="0" borderId="0" xfId="2" applyNumberFormat="1" applyFont="1"/>
    <xf numFmtId="0" fontId="3" fillId="0" borderId="0" xfId="0" applyFont="1"/>
    <xf numFmtId="0" fontId="4" fillId="0" borderId="0" xfId="0" applyFont="1"/>
    <xf numFmtId="44" fontId="4" fillId="0" borderId="0" xfId="2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6" fillId="2" borderId="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6" fontId="8" fillId="0" borderId="0" xfId="3" applyNumberFormat="1" applyFont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168" fontId="8" fillId="0" borderId="0" xfId="0" applyNumberFormat="1" applyFont="1" applyBorder="1" applyAlignment="1">
      <alignment horizontal="center"/>
    </xf>
    <xf numFmtId="8" fontId="8" fillId="0" borderId="0" xfId="0" applyNumberFormat="1" applyFont="1" applyBorder="1" applyAlignment="1">
      <alignment horizontal="center"/>
    </xf>
    <xf numFmtId="169" fontId="8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11" fillId="2" borderId="9" xfId="0" applyFont="1" applyFill="1" applyBorder="1" applyAlignment="1">
      <alignment horizontal="center" wrapText="1"/>
    </xf>
    <xf numFmtId="10" fontId="0" fillId="0" borderId="0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2" fillId="3" borderId="10" xfId="0" applyNumberFormat="1" applyFont="1" applyFill="1" applyBorder="1" applyAlignment="1">
      <alignment horizontal="center"/>
    </xf>
    <xf numFmtId="168" fontId="2" fillId="3" borderId="1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0" xfId="0" quotePrefix="1" applyNumberForma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0" xfId="0" applyFont="1" applyAlignment="1">
      <alignment horizontal="center" wrapText="1"/>
    </xf>
    <xf numFmtId="165" fontId="8" fillId="0" borderId="0" xfId="2" applyNumberFormat="1" applyFont="1" applyAlignment="1">
      <alignment horizontal="center" wrapText="1"/>
    </xf>
    <xf numFmtId="44" fontId="0" fillId="0" borderId="5" xfId="2" applyFont="1" applyBorder="1"/>
    <xf numFmtId="0" fontId="0" fillId="0" borderId="0" xfId="0" applyFill="1" applyBorder="1"/>
    <xf numFmtId="165" fontId="0" fillId="4" borderId="9" xfId="2" applyNumberFormat="1" applyFont="1" applyFill="1" applyBorder="1"/>
    <xf numFmtId="165" fontId="0" fillId="5" borderId="12" xfId="2" applyNumberFormat="1" applyFont="1" applyFill="1" applyBorder="1"/>
    <xf numFmtId="9" fontId="2" fillId="0" borderId="0" xfId="3" applyFont="1"/>
    <xf numFmtId="44" fontId="2" fillId="0" borderId="0" xfId="2" applyFont="1"/>
    <xf numFmtId="165" fontId="0" fillId="6" borderId="1" xfId="2" applyNumberFormat="1" applyFont="1" applyFill="1" applyBorder="1"/>
    <xf numFmtId="165" fontId="0" fillId="6" borderId="2" xfId="2" applyNumberFormat="1" applyFont="1" applyFill="1" applyBorder="1"/>
    <xf numFmtId="165" fontId="0" fillId="0" borderId="3" xfId="2" applyNumberFormat="1" applyFont="1" applyBorder="1"/>
    <xf numFmtId="165" fontId="0" fillId="4" borderId="10" xfId="2" applyNumberFormat="1" applyFont="1" applyFill="1" applyBorder="1"/>
    <xf numFmtId="165" fontId="0" fillId="5" borderId="2" xfId="2" applyNumberFormat="1" applyFont="1" applyFill="1" applyBorder="1"/>
    <xf numFmtId="165" fontId="0" fillId="6" borderId="4" xfId="2" applyNumberFormat="1" applyFont="1" applyFill="1" applyBorder="1"/>
    <xf numFmtId="165" fontId="0" fillId="6" borderId="5" xfId="2" applyNumberFormat="1" applyFont="1" applyFill="1" applyBorder="1"/>
    <xf numFmtId="165" fontId="0" fillId="4" borderId="13" xfId="2" applyNumberFormat="1" applyFont="1" applyFill="1" applyBorder="1"/>
    <xf numFmtId="165" fontId="0" fillId="5" borderId="5" xfId="2" applyNumberFormat="1" applyFont="1" applyFill="1" applyBorder="1"/>
    <xf numFmtId="0" fontId="0" fillId="0" borderId="0" xfId="0" applyFill="1"/>
    <xf numFmtId="44" fontId="0" fillId="0" borderId="1" xfId="2" applyNumberFormat="1" applyFont="1" applyBorder="1"/>
    <xf numFmtId="44" fontId="0" fillId="0" borderId="2" xfId="0" applyNumberFormat="1" applyBorder="1"/>
    <xf numFmtId="165" fontId="0" fillId="0" borderId="4" xfId="2" applyNumberFormat="1" applyFont="1" applyFill="1" applyBorder="1"/>
    <xf numFmtId="165" fontId="0" fillId="0" borderId="5" xfId="2" applyNumberFormat="1" applyFont="1" applyFill="1" applyBorder="1"/>
    <xf numFmtId="10" fontId="0" fillId="0" borderId="4" xfId="3" applyNumberFormat="1" applyFont="1" applyBorder="1"/>
    <xf numFmtId="10" fontId="0" fillId="0" borderId="5" xfId="3" applyNumberFormat="1" applyFont="1" applyBorder="1"/>
    <xf numFmtId="165" fontId="0" fillId="0" borderId="4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44" fontId="0" fillId="0" borderId="14" xfId="2" applyFont="1" applyBorder="1"/>
    <xf numFmtId="44" fontId="0" fillId="0" borderId="12" xfId="2" applyFont="1" applyBorder="1"/>
    <xf numFmtId="177" fontId="0" fillId="0" borderId="0" xfId="0" applyNumberFormat="1"/>
    <xf numFmtId="165" fontId="0" fillId="6" borderId="6" xfId="2" applyNumberFormat="1" applyFont="1" applyFill="1" applyBorder="1"/>
    <xf numFmtId="165" fontId="0" fillId="6" borderId="8" xfId="2" applyNumberFormat="1" applyFont="1" applyFill="1" applyBorder="1"/>
    <xf numFmtId="165" fontId="0" fillId="4" borderId="11" xfId="2" applyNumberFormat="1" applyFont="1" applyFill="1" applyBorder="1"/>
    <xf numFmtId="165" fontId="0" fillId="5" borderId="8" xfId="2" applyNumberFormat="1" applyFont="1" applyFill="1" applyBorder="1"/>
    <xf numFmtId="0" fontId="13" fillId="0" borderId="0" xfId="0" applyFont="1" applyFill="1" applyBorder="1"/>
    <xf numFmtId="165" fontId="2" fillId="0" borderId="0" xfId="3" applyNumberFormat="1" applyFont="1" applyFill="1" applyBorder="1"/>
    <xf numFmtId="9" fontId="2" fillId="0" borderId="0" xfId="3" applyFont="1" applyFill="1" applyBorder="1"/>
    <xf numFmtId="44" fontId="2" fillId="0" borderId="0" xfId="2" applyFont="1" applyFill="1" applyBorder="1"/>
    <xf numFmtId="165" fontId="0" fillId="0" borderId="0" xfId="2" applyNumberFormat="1" applyFont="1" applyFill="1" applyBorder="1"/>
    <xf numFmtId="165" fontId="0" fillId="4" borderId="3" xfId="2" applyNumberFormat="1" applyFont="1" applyFill="1" applyBorder="1"/>
    <xf numFmtId="165" fontId="0" fillId="4" borderId="0" xfId="2" applyNumberFormat="1" applyFont="1" applyFill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166" fontId="0" fillId="0" borderId="4" xfId="3" applyNumberFormat="1" applyFont="1" applyBorder="1"/>
    <xf numFmtId="166" fontId="0" fillId="0" borderId="5" xfId="3" applyNumberFormat="1" applyFont="1" applyBorder="1"/>
    <xf numFmtId="165" fontId="0" fillId="4" borderId="7" xfId="2" applyNumberFormat="1" applyFont="1" applyFill="1" applyBorder="1"/>
    <xf numFmtId="44" fontId="0" fillId="0" borderId="5" xfId="2" applyNumberFormat="1" applyFont="1" applyBorder="1"/>
    <xf numFmtId="176" fontId="0" fillId="0" borderId="0" xfId="2" applyNumberFormat="1" applyFont="1" applyFill="1" applyBorder="1"/>
    <xf numFmtId="9" fontId="0" fillId="0" borderId="0" xfId="0" applyNumberFormat="1" applyFill="1" applyBorder="1"/>
    <xf numFmtId="44" fontId="0" fillId="0" borderId="0" xfId="2" applyNumberFormat="1" applyFont="1" applyFill="1" applyBorder="1"/>
    <xf numFmtId="165" fontId="0" fillId="0" borderId="0" xfId="0" applyNumberFormat="1" applyBorder="1"/>
    <xf numFmtId="0" fontId="14" fillId="0" borderId="0" xfId="0" applyFont="1" applyBorder="1"/>
    <xf numFmtId="0" fontId="0" fillId="2" borderId="14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0" fontId="0" fillId="2" borderId="6" xfId="0" applyFill="1" applyBorder="1"/>
    <xf numFmtId="165" fontId="0" fillId="2" borderId="8" xfId="2" applyNumberFormat="1" applyFont="1" applyFill="1" applyBorder="1"/>
    <xf numFmtId="0" fontId="0" fillId="2" borderId="6" xfId="0" applyFill="1" applyBorder="1" applyAlignment="1">
      <alignment horizontal="right"/>
    </xf>
    <xf numFmtId="164" fontId="0" fillId="2" borderId="8" xfId="0" applyNumberFormat="1" applyFill="1" applyBorder="1"/>
    <xf numFmtId="9" fontId="0" fillId="2" borderId="5" xfId="3" applyFont="1" applyFill="1" applyBorder="1"/>
    <xf numFmtId="44" fontId="0" fillId="2" borderId="5" xfId="2" applyFont="1" applyFill="1" applyBorder="1"/>
    <xf numFmtId="164" fontId="0" fillId="2" borderId="5" xfId="0" applyNumberFormat="1" applyFill="1" applyBorder="1"/>
    <xf numFmtId="164" fontId="2" fillId="2" borderId="15" xfId="0" applyNumberFormat="1" applyFont="1" applyFill="1" applyBorder="1"/>
    <xf numFmtId="0" fontId="0" fillId="5" borderId="14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5" xfId="0" applyFill="1" applyBorder="1"/>
    <xf numFmtId="164" fontId="0" fillId="5" borderId="5" xfId="2" applyNumberFormat="1" applyFont="1" applyFill="1" applyBorder="1"/>
    <xf numFmtId="0" fontId="0" fillId="5" borderId="6" xfId="0" applyFill="1" applyBorder="1"/>
    <xf numFmtId="0" fontId="0" fillId="5" borderId="6" xfId="0" applyFill="1" applyBorder="1" applyAlignment="1">
      <alignment horizontal="right"/>
    </xf>
    <xf numFmtId="164" fontId="0" fillId="5" borderId="8" xfId="0" applyNumberFormat="1" applyFill="1" applyBorder="1"/>
    <xf numFmtId="9" fontId="0" fillId="5" borderId="5" xfId="3" applyFont="1" applyFill="1" applyBorder="1"/>
    <xf numFmtId="44" fontId="0" fillId="5" borderId="5" xfId="2" applyFont="1" applyFill="1" applyBorder="1"/>
    <xf numFmtId="164" fontId="0" fillId="5" borderId="5" xfId="0" applyNumberFormat="1" applyFill="1" applyBorder="1"/>
    <xf numFmtId="164" fontId="2" fillId="5" borderId="15" xfId="0" applyNumberFormat="1" applyFont="1" applyFill="1" applyBorder="1"/>
    <xf numFmtId="165" fontId="0" fillId="2" borderId="5" xfId="2" applyNumberFormat="1" applyFont="1" applyFill="1" applyBorder="1"/>
    <xf numFmtId="0" fontId="2" fillId="0" borderId="0" xfId="0" applyFont="1" applyFill="1" applyBorder="1"/>
    <xf numFmtId="175" fontId="0" fillId="0" borderId="0" xfId="1" applyNumberFormat="1" applyFont="1" applyFill="1" applyBorder="1"/>
    <xf numFmtId="0" fontId="0" fillId="0" borderId="0" xfId="0" applyFill="1" applyBorder="1" applyAlignment="1">
      <alignment horizontal="right"/>
    </xf>
    <xf numFmtId="176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demoes/LOCALS~1/Temp/~160218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PORTATION"/>
      <sheetName val="CURVES"/>
      <sheetName val="SONAT FT-IT"/>
      <sheetName val="TRANSCO FT"/>
      <sheetName val="Sheet5"/>
      <sheetName val="Sheet6"/>
    </sheetNames>
    <sheetDataSet>
      <sheetData sheetId="0" refreshError="1"/>
      <sheetData sheetId="1">
        <row r="6">
          <cell r="D6">
            <v>0.71458333333333346</v>
          </cell>
          <cell r="H6">
            <v>4.0808333333333308E-2</v>
          </cell>
          <cell r="L6">
            <v>0.6654166666666671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E19" sqref="E19"/>
    </sheetView>
  </sheetViews>
  <sheetFormatPr defaultRowHeight="12.75" x14ac:dyDescent="0.2"/>
  <cols>
    <col min="1" max="1" width="2" bestFit="1" customWidth="1"/>
    <col min="2" max="2" width="17.7109375" bestFit="1" customWidth="1"/>
    <col min="3" max="3" width="11.85546875" bestFit="1" customWidth="1"/>
    <col min="4" max="4" width="3.28515625" customWidth="1"/>
    <col min="5" max="5" width="15.140625" bestFit="1" customWidth="1"/>
    <col min="6" max="6" width="9" style="2" customWidth="1"/>
    <col min="8" max="8" width="7.7109375" style="2" bestFit="1" customWidth="1"/>
    <col min="9" max="9" width="11.85546875" style="2" bestFit="1" customWidth="1"/>
    <col min="10" max="10" width="14" style="2" customWidth="1"/>
  </cols>
  <sheetData>
    <row r="2" spans="2:11" x14ac:dyDescent="0.2">
      <c r="B2" s="1" t="s">
        <v>25</v>
      </c>
    </row>
    <row r="4" spans="2:11" x14ac:dyDescent="0.2">
      <c r="F4" s="2" t="s">
        <v>0</v>
      </c>
      <c r="G4" t="s">
        <v>1</v>
      </c>
      <c r="I4" s="2" t="s">
        <v>2</v>
      </c>
      <c r="J4" s="2" t="s">
        <v>3</v>
      </c>
    </row>
    <row r="5" spans="2:11" x14ac:dyDescent="0.2">
      <c r="B5" t="s">
        <v>4</v>
      </c>
      <c r="C5" t="s">
        <v>100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">
      <c r="B7" s="10" t="s">
        <v>9</v>
      </c>
      <c r="C7" s="119">
        <v>0.2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">
      <c r="B8" s="10" t="s">
        <v>11</v>
      </c>
      <c r="C8" s="11">
        <f>0.022+0.0004+0.004+0.0022</f>
        <v>2.86E-2</v>
      </c>
      <c r="E8" s="15" t="s">
        <v>24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0.06</v>
      </c>
      <c r="K8" s="19">
        <f>+H8+I8-J8</f>
        <v>0.12440000000000001</v>
      </c>
    </row>
    <row r="9" spans="2:11" x14ac:dyDescent="0.2">
      <c r="B9" s="10" t="s">
        <v>116</v>
      </c>
      <c r="C9" s="20">
        <f>4.37*0.023</f>
        <v>0.10051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0.41199999999999998</v>
      </c>
    </row>
    <row r="10" spans="2:11" x14ac:dyDescent="0.2">
      <c r="B10" s="23" t="s">
        <v>12</v>
      </c>
      <c r="C10" s="24">
        <f>SUM(C7:C9)</f>
        <v>0.32911000000000001</v>
      </c>
      <c r="E10" s="10"/>
      <c r="F10" s="4"/>
      <c r="G10" s="3"/>
      <c r="H10" s="4"/>
      <c r="I10" s="4"/>
      <c r="J10" s="4"/>
      <c r="K10" s="25"/>
    </row>
    <row r="11" spans="2:11" x14ac:dyDescent="0.2">
      <c r="B11" s="10" t="s">
        <v>13</v>
      </c>
      <c r="C11" s="26">
        <v>0.8</v>
      </c>
      <c r="E11" s="15"/>
      <c r="F11" s="18"/>
      <c r="G11" s="27"/>
      <c r="H11" s="18"/>
      <c r="I11" s="18"/>
      <c r="J11" s="18"/>
      <c r="K11" s="28"/>
    </row>
    <row r="12" spans="2:11" x14ac:dyDescent="0.2">
      <c r="B12" s="10" t="s">
        <v>14</v>
      </c>
      <c r="C12" s="11">
        <f>(+C7/C11)+C8+C9</f>
        <v>0.37911</v>
      </c>
    </row>
    <row r="13" spans="2:11" x14ac:dyDescent="0.2">
      <c r="B13" s="10" t="s">
        <v>15</v>
      </c>
      <c r="C13" s="29">
        <v>0.05</v>
      </c>
    </row>
    <row r="14" spans="2:11" x14ac:dyDescent="0.2">
      <c r="B14" s="15" t="s">
        <v>16</v>
      </c>
      <c r="C14" s="30">
        <f>+C12+C13</f>
        <v>0.42910999999999999</v>
      </c>
    </row>
    <row r="16" spans="2:11" x14ac:dyDescent="0.2">
      <c r="E16" s="5"/>
    </row>
    <row r="17" spans="1:12" x14ac:dyDescent="0.2">
      <c r="B17" t="s">
        <v>17</v>
      </c>
      <c r="C17" s="31">
        <f>+C14-K9</f>
        <v>1.7110000000000014E-2</v>
      </c>
    </row>
    <row r="18" spans="1:12" x14ac:dyDescent="0.2">
      <c r="B18" s="2" t="s">
        <v>18</v>
      </c>
      <c r="C18" s="18">
        <v>0.15</v>
      </c>
    </row>
    <row r="19" spans="1:12" x14ac:dyDescent="0.2">
      <c r="B19" t="s">
        <v>19</v>
      </c>
      <c r="C19" s="31">
        <f>+C18+C17</f>
        <v>0.16711000000000001</v>
      </c>
    </row>
    <row r="22" spans="1:12" x14ac:dyDescent="0.2">
      <c r="B22" s="32" t="s">
        <v>20</v>
      </c>
    </row>
    <row r="23" spans="1:12" x14ac:dyDescent="0.2">
      <c r="A23">
        <v>1</v>
      </c>
      <c r="B23" s="33" t="s">
        <v>21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">
      <c r="A24">
        <v>2</v>
      </c>
      <c r="B24" s="33" t="s">
        <v>98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">
      <c r="A25">
        <v>3</v>
      </c>
      <c r="B25" s="33" t="s">
        <v>22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1:12" x14ac:dyDescent="0.2">
      <c r="A26">
        <v>4</v>
      </c>
      <c r="B26" s="33" t="s">
        <v>115</v>
      </c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1:12" x14ac:dyDescent="0.2">
      <c r="A27">
        <v>5</v>
      </c>
      <c r="B27" s="33" t="s">
        <v>23</v>
      </c>
      <c r="C27" s="33"/>
      <c r="D27" s="33"/>
      <c r="E27" s="33"/>
      <c r="F27" s="34"/>
      <c r="G27" s="33"/>
      <c r="H27" s="34"/>
      <c r="I27" s="34"/>
      <c r="J27" s="34"/>
      <c r="K27" s="33"/>
      <c r="L27" s="33"/>
    </row>
  </sheetData>
  <phoneticPr fontId="0" type="noConversion"/>
  <pageMargins left="0.82" right="1.0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B5" sqref="B5:C19"/>
    </sheetView>
  </sheetViews>
  <sheetFormatPr defaultRowHeight="12.75" x14ac:dyDescent="0.2"/>
  <cols>
    <col min="1" max="1" width="5.7109375" customWidth="1"/>
    <col min="2" max="2" width="17.7109375" bestFit="1" customWidth="1"/>
    <col min="3" max="3" width="11.85546875" bestFit="1" customWidth="1"/>
    <col min="5" max="5" width="15.140625" bestFit="1" customWidth="1"/>
    <col min="6" max="6" width="9.140625" style="2"/>
    <col min="8" max="8" width="9.140625" style="2"/>
    <col min="9" max="9" width="11.85546875" style="2" bestFit="1" customWidth="1"/>
    <col min="10" max="10" width="14.7109375" style="2" bestFit="1" customWidth="1"/>
  </cols>
  <sheetData>
    <row r="2" spans="2:11" x14ac:dyDescent="0.2">
      <c r="B2" s="1" t="s">
        <v>25</v>
      </c>
    </row>
    <row r="4" spans="2:11" x14ac:dyDescent="0.2">
      <c r="F4" s="2" t="s">
        <v>0</v>
      </c>
      <c r="G4" t="s">
        <v>1</v>
      </c>
      <c r="I4" s="2" t="s">
        <v>2</v>
      </c>
      <c r="J4" s="2" t="s">
        <v>3</v>
      </c>
    </row>
    <row r="5" spans="2:11" x14ac:dyDescent="0.2">
      <c r="B5" t="s">
        <v>4</v>
      </c>
      <c r="C5" t="s">
        <v>117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">
      <c r="B7" s="10" t="s">
        <v>9</v>
      </c>
      <c r="C7" s="11">
        <f>10.79/30.2</f>
        <v>0.35728476821192051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">
      <c r="B8" s="10" t="s">
        <v>11</v>
      </c>
      <c r="C8" s="11">
        <f>0.022+0.0004+0.004+0.0022</f>
        <v>2.86E-2</v>
      </c>
      <c r="E8" s="15" t="s">
        <v>24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0.06</v>
      </c>
      <c r="K8" s="19">
        <f>+H8+I8-J8</f>
        <v>0.12440000000000001</v>
      </c>
    </row>
    <row r="9" spans="2:11" x14ac:dyDescent="0.2">
      <c r="B9" s="10" t="s">
        <v>97</v>
      </c>
      <c r="C9" s="20">
        <f>4.37*0.026</f>
        <v>0.11362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0.41199999999999998</v>
      </c>
    </row>
    <row r="10" spans="2:11" x14ac:dyDescent="0.2">
      <c r="B10" s="23" t="s">
        <v>12</v>
      </c>
      <c r="C10" s="24">
        <f>SUM(C7:C9)</f>
        <v>0.49950476821192052</v>
      </c>
      <c r="E10" s="10"/>
      <c r="F10" s="4"/>
      <c r="G10" s="3"/>
      <c r="H10" s="4"/>
      <c r="I10" s="4"/>
      <c r="J10" s="4"/>
      <c r="K10" s="25"/>
    </row>
    <row r="11" spans="2:11" x14ac:dyDescent="0.2">
      <c r="B11" s="10" t="s">
        <v>13</v>
      </c>
      <c r="C11" s="26">
        <v>0.8</v>
      </c>
      <c r="E11" s="15"/>
      <c r="F11" s="18"/>
      <c r="G11" s="27"/>
      <c r="H11" s="18"/>
      <c r="I11" s="18"/>
      <c r="J11" s="18"/>
      <c r="K11" s="28"/>
    </row>
    <row r="12" spans="2:11" x14ac:dyDescent="0.2">
      <c r="B12" s="10" t="s">
        <v>14</v>
      </c>
      <c r="C12" s="11">
        <f>(+C7/0.8)+C8+C9</f>
        <v>0.58882596026490064</v>
      </c>
    </row>
    <row r="13" spans="2:11" x14ac:dyDescent="0.2">
      <c r="B13" s="10" t="s">
        <v>15</v>
      </c>
      <c r="C13" s="29">
        <v>0.05</v>
      </c>
    </row>
    <row r="14" spans="2:11" x14ac:dyDescent="0.2">
      <c r="B14" s="15" t="s">
        <v>16</v>
      </c>
      <c r="C14" s="30">
        <f>+C12+C13</f>
        <v>0.63882596026490068</v>
      </c>
    </row>
    <row r="16" spans="2:11" x14ac:dyDescent="0.2">
      <c r="E16" s="5"/>
    </row>
    <row r="17" spans="1:12" x14ac:dyDescent="0.2">
      <c r="B17" t="s">
        <v>17</v>
      </c>
      <c r="C17" s="31">
        <f>+C14-K9</f>
        <v>0.22682596026490071</v>
      </c>
    </row>
    <row r="18" spans="1:12" x14ac:dyDescent="0.2">
      <c r="B18" s="2" t="s">
        <v>18</v>
      </c>
      <c r="C18" s="18">
        <v>0.15</v>
      </c>
    </row>
    <row r="19" spans="1:12" x14ac:dyDescent="0.2">
      <c r="B19" t="s">
        <v>19</v>
      </c>
      <c r="C19" s="31">
        <f>+C18+C17</f>
        <v>0.37682596026490067</v>
      </c>
    </row>
    <row r="22" spans="1:12" x14ac:dyDescent="0.2">
      <c r="B22" s="32" t="s">
        <v>20</v>
      </c>
    </row>
    <row r="23" spans="1:12" x14ac:dyDescent="0.2">
      <c r="A23">
        <v>1</v>
      </c>
      <c r="B23" s="33" t="s">
        <v>21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">
      <c r="A24">
        <v>2</v>
      </c>
      <c r="B24" s="33" t="s">
        <v>98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">
      <c r="A25">
        <v>3</v>
      </c>
      <c r="B25" s="33" t="s">
        <v>22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1:12" x14ac:dyDescent="0.2">
      <c r="A26">
        <v>4</v>
      </c>
      <c r="B26" s="33" t="s">
        <v>99</v>
      </c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1:12" x14ac:dyDescent="0.2">
      <c r="A27">
        <v>5</v>
      </c>
      <c r="B27" s="33" t="s">
        <v>23</v>
      </c>
      <c r="C27" s="33"/>
      <c r="D27" s="33"/>
      <c r="E27" s="33"/>
      <c r="F27" s="34"/>
      <c r="G27" s="33"/>
      <c r="H27" s="34"/>
      <c r="I27" s="34"/>
      <c r="J27" s="34"/>
      <c r="K27" s="33"/>
      <c r="L27" s="3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5"/>
  <sheetViews>
    <sheetView workbookViewId="0">
      <selection activeCell="C9" sqref="C9"/>
    </sheetView>
  </sheetViews>
  <sheetFormatPr defaultRowHeight="12.75" x14ac:dyDescent="0.2"/>
  <cols>
    <col min="2" max="2" width="17.7109375" bestFit="1" customWidth="1"/>
    <col min="3" max="3" width="11.85546875" bestFit="1" customWidth="1"/>
    <col min="5" max="5" width="15.140625" bestFit="1" customWidth="1"/>
    <col min="6" max="6" width="9.140625" style="2"/>
    <col min="8" max="8" width="9.140625" style="2"/>
    <col min="9" max="9" width="11.85546875" style="2" bestFit="1" customWidth="1"/>
    <col min="10" max="10" width="11.85546875" style="2" customWidth="1"/>
  </cols>
  <sheetData>
    <row r="2" spans="2:11" x14ac:dyDescent="0.2">
      <c r="B2" s="1" t="s">
        <v>118</v>
      </c>
    </row>
    <row r="4" spans="2:11" x14ac:dyDescent="0.2">
      <c r="C4" t="s">
        <v>119</v>
      </c>
      <c r="F4" s="2" t="s">
        <v>0</v>
      </c>
      <c r="G4" t="s">
        <v>1</v>
      </c>
      <c r="I4" s="2" t="s">
        <v>2</v>
      </c>
      <c r="J4" s="2" t="s">
        <v>120</v>
      </c>
    </row>
    <row r="5" spans="2:11" x14ac:dyDescent="0.2">
      <c r="B5" t="s">
        <v>4</v>
      </c>
      <c r="C5" s="3" t="s">
        <v>121</v>
      </c>
      <c r="D5" s="3"/>
      <c r="E5" s="3" t="s">
        <v>4</v>
      </c>
      <c r="F5" s="4" t="s">
        <v>5</v>
      </c>
      <c r="G5" s="3" t="s">
        <v>6</v>
      </c>
      <c r="H5" s="4"/>
      <c r="I5" s="5" t="s">
        <v>7</v>
      </c>
      <c r="J5" s="5" t="s">
        <v>8</v>
      </c>
      <c r="K5" s="3"/>
    </row>
    <row r="6" spans="2:11" x14ac:dyDescent="0.2">
      <c r="B6" s="6"/>
      <c r="C6" s="7"/>
      <c r="D6" s="3"/>
      <c r="E6" s="6"/>
      <c r="F6" s="8"/>
      <c r="G6" s="9"/>
      <c r="H6" s="8"/>
      <c r="I6" s="8"/>
      <c r="J6" s="8"/>
      <c r="K6" s="7"/>
    </row>
    <row r="7" spans="2:11" x14ac:dyDescent="0.2">
      <c r="B7" s="10" t="s">
        <v>122</v>
      </c>
      <c r="C7" s="75">
        <v>0.35</v>
      </c>
      <c r="E7" s="10" t="s">
        <v>10</v>
      </c>
      <c r="F7" s="12">
        <v>0.17199999999999999</v>
      </c>
      <c r="G7" s="13">
        <v>0.8</v>
      </c>
      <c r="H7" s="12">
        <f>+G7*F7</f>
        <v>0.1376</v>
      </c>
      <c r="I7" s="4">
        <v>0.15</v>
      </c>
      <c r="J7" s="4"/>
      <c r="K7" s="14">
        <f>+I7+H7</f>
        <v>0.28759999999999997</v>
      </c>
    </row>
    <row r="8" spans="2:11" x14ac:dyDescent="0.2">
      <c r="B8" s="10" t="s">
        <v>13</v>
      </c>
      <c r="C8" s="26">
        <v>0.8</v>
      </c>
      <c r="E8" s="15" t="s">
        <v>123</v>
      </c>
      <c r="F8" s="17">
        <v>0.17199999999999999</v>
      </c>
      <c r="G8" s="16">
        <v>0.2</v>
      </c>
      <c r="H8" s="17">
        <f>+G8*F8</f>
        <v>3.44E-2</v>
      </c>
      <c r="I8" s="18">
        <v>0.15</v>
      </c>
      <c r="J8" s="18">
        <v>0.05</v>
      </c>
      <c r="K8" s="19">
        <f>+H8+I8-J8</f>
        <v>0.13440000000000002</v>
      </c>
    </row>
    <row r="9" spans="2:11" x14ac:dyDescent="0.2">
      <c r="B9" s="10" t="s">
        <v>14</v>
      </c>
      <c r="C9" s="11">
        <f>(0.27/0.8)+(4.37*0.019)</f>
        <v>0.42053000000000001</v>
      </c>
      <c r="E9" s="10"/>
      <c r="F9" s="4"/>
      <c r="G9" s="21">
        <f>SUM(G7:G8)</f>
        <v>1</v>
      </c>
      <c r="H9" s="12">
        <f>SUM(H7:H8)</f>
        <v>0.17199999999999999</v>
      </c>
      <c r="I9" s="4"/>
      <c r="J9" s="4"/>
      <c r="K9" s="22">
        <f>SUM(K7:K8)</f>
        <v>0.42199999999999999</v>
      </c>
    </row>
    <row r="10" spans="2:11" x14ac:dyDescent="0.2">
      <c r="B10" s="10" t="s">
        <v>15</v>
      </c>
      <c r="C10" s="29">
        <v>0.05</v>
      </c>
      <c r="E10" s="10"/>
      <c r="F10" s="4"/>
      <c r="G10" s="3"/>
      <c r="H10" s="4"/>
      <c r="I10" s="4"/>
      <c r="J10" s="4"/>
      <c r="K10" s="25"/>
    </row>
    <row r="11" spans="2:11" x14ac:dyDescent="0.2">
      <c r="B11" s="15" t="s">
        <v>16</v>
      </c>
      <c r="C11" s="30">
        <f>+C9+C10</f>
        <v>0.47053</v>
      </c>
      <c r="E11" s="15"/>
      <c r="F11" s="18"/>
      <c r="G11" s="27"/>
      <c r="H11" s="18"/>
      <c r="I11" s="18"/>
      <c r="J11" s="18"/>
      <c r="K11" s="28"/>
    </row>
    <row r="14" spans="2:11" x14ac:dyDescent="0.2">
      <c r="E14" s="5"/>
    </row>
    <row r="15" spans="2:11" x14ac:dyDescent="0.2">
      <c r="B15" t="s">
        <v>17</v>
      </c>
      <c r="C15" s="31">
        <f>+C11-K9</f>
        <v>4.8530000000000018E-2</v>
      </c>
    </row>
    <row r="16" spans="2:11" x14ac:dyDescent="0.2">
      <c r="B16" s="2" t="s">
        <v>18</v>
      </c>
      <c r="C16" s="18">
        <v>0.15</v>
      </c>
    </row>
    <row r="17" spans="1:12" x14ac:dyDescent="0.2">
      <c r="B17" t="s">
        <v>124</v>
      </c>
      <c r="C17" s="31">
        <f>+C16+C15</f>
        <v>0.19853000000000001</v>
      </c>
    </row>
    <row r="20" spans="1:12" x14ac:dyDescent="0.2">
      <c r="B20" s="32" t="s">
        <v>20</v>
      </c>
    </row>
    <row r="21" spans="1:12" x14ac:dyDescent="0.2">
      <c r="A21">
        <v>1</v>
      </c>
      <c r="B21" s="33" t="s">
        <v>21</v>
      </c>
      <c r="C21" s="33"/>
      <c r="D21" s="33"/>
      <c r="E21" s="33"/>
      <c r="F21" s="34"/>
      <c r="G21" s="33"/>
      <c r="H21" s="34"/>
      <c r="I21" s="34"/>
      <c r="J21" s="34"/>
      <c r="K21" s="33"/>
      <c r="L21" s="33"/>
    </row>
    <row r="22" spans="1:12" x14ac:dyDescent="0.2">
      <c r="A22">
        <v>2</v>
      </c>
      <c r="B22" s="33" t="s">
        <v>125</v>
      </c>
      <c r="C22" s="33"/>
      <c r="D22" s="33"/>
      <c r="E22" s="33"/>
      <c r="F22" s="34"/>
      <c r="G22" s="33"/>
      <c r="H22" s="34"/>
      <c r="I22" s="34"/>
      <c r="J22" s="34"/>
      <c r="K22" s="33"/>
      <c r="L22" s="33"/>
    </row>
    <row r="23" spans="1:12" x14ac:dyDescent="0.2">
      <c r="A23">
        <v>3</v>
      </c>
      <c r="B23" s="33" t="s">
        <v>22</v>
      </c>
      <c r="C23" s="33"/>
      <c r="D23" s="33"/>
      <c r="E23" s="33"/>
      <c r="F23" s="34"/>
      <c r="G23" s="33"/>
      <c r="H23" s="34"/>
      <c r="I23" s="34"/>
      <c r="J23" s="34"/>
      <c r="K23" s="33"/>
      <c r="L23" s="33"/>
    </row>
    <row r="24" spans="1:12" x14ac:dyDescent="0.2">
      <c r="A24">
        <v>4</v>
      </c>
      <c r="B24" s="33" t="s">
        <v>126</v>
      </c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1:12" x14ac:dyDescent="0.2">
      <c r="A25">
        <v>5</v>
      </c>
      <c r="B25" s="33" t="s">
        <v>127</v>
      </c>
      <c r="C25" s="33"/>
      <c r="D25" s="33"/>
      <c r="E25" s="33"/>
      <c r="F25" s="34"/>
      <c r="G25" s="33"/>
      <c r="H25" s="34"/>
      <c r="I25" s="34"/>
      <c r="J25" s="34"/>
      <c r="K25" s="33"/>
      <c r="L25" s="33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105"/>
  <sheetViews>
    <sheetView workbookViewId="0">
      <selection activeCell="G1" sqref="G1"/>
    </sheetView>
  </sheetViews>
  <sheetFormatPr defaultRowHeight="12.75" x14ac:dyDescent="0.2"/>
  <cols>
    <col min="1" max="1" width="3.7109375" style="35" customWidth="1"/>
    <col min="2" max="2" width="10.28515625" style="35" customWidth="1"/>
    <col min="3" max="3" width="11.28515625" style="35" customWidth="1"/>
    <col min="4" max="4" width="26.7109375" style="35" customWidth="1"/>
    <col min="5" max="5" width="10.85546875" style="35" customWidth="1"/>
    <col min="6" max="6" width="7.5703125" style="35" customWidth="1"/>
    <col min="7" max="7" width="9.28515625" style="35" customWidth="1"/>
    <col min="8" max="8" width="7" style="35" bestFit="1" customWidth="1"/>
    <col min="9" max="9" width="7.7109375" style="35" customWidth="1"/>
    <col min="10" max="10" width="9.42578125" style="35" customWidth="1"/>
    <col min="11" max="11" width="8.42578125" style="35" customWidth="1"/>
    <col min="12" max="12" width="9.7109375" style="43" bestFit="1" customWidth="1"/>
    <col min="13" max="16384" width="9.140625" style="35"/>
  </cols>
  <sheetData>
    <row r="3" spans="1:12" ht="18" x14ac:dyDescent="0.25">
      <c r="E3" s="36" t="s">
        <v>26</v>
      </c>
    </row>
    <row r="5" spans="1:12" x14ac:dyDescent="0.2">
      <c r="I5" s="37">
        <v>4.37</v>
      </c>
    </row>
    <row r="6" spans="1:12" s="39" customFormat="1" ht="72" x14ac:dyDescent="0.2">
      <c r="A6" s="38" t="s">
        <v>27</v>
      </c>
      <c r="B6" s="38" t="s">
        <v>28</v>
      </c>
      <c r="C6" s="38" t="s">
        <v>29</v>
      </c>
      <c r="D6" s="38" t="s">
        <v>30</v>
      </c>
      <c r="E6" s="38" t="s">
        <v>31</v>
      </c>
      <c r="F6" s="38" t="s">
        <v>32</v>
      </c>
      <c r="G6" s="38" t="s">
        <v>33</v>
      </c>
      <c r="H6" s="38" t="s">
        <v>34</v>
      </c>
      <c r="I6" s="38" t="s">
        <v>35</v>
      </c>
      <c r="J6" s="38" t="s">
        <v>36</v>
      </c>
      <c r="K6" s="38" t="s">
        <v>37</v>
      </c>
      <c r="L6" s="38" t="s">
        <v>110</v>
      </c>
    </row>
    <row r="7" spans="1:12" ht="15" x14ac:dyDescent="0.25">
      <c r="A7" s="40"/>
      <c r="B7" s="41" t="s">
        <v>38</v>
      </c>
      <c r="C7" s="40"/>
      <c r="D7" s="40"/>
      <c r="E7" s="40"/>
      <c r="F7" s="40"/>
      <c r="G7" s="40"/>
      <c r="H7" s="40"/>
      <c r="I7" s="40"/>
      <c r="J7" s="40"/>
      <c r="K7" s="40"/>
    </row>
    <row r="8" spans="1:12" x14ac:dyDescent="0.2">
      <c r="A8" s="40"/>
      <c r="B8" s="42"/>
      <c r="C8" s="40"/>
      <c r="D8" s="40"/>
      <c r="E8" s="40"/>
      <c r="F8" s="40"/>
      <c r="G8" s="40"/>
      <c r="H8" s="40"/>
      <c r="I8" s="40"/>
      <c r="J8" s="40"/>
      <c r="K8" s="40"/>
    </row>
    <row r="9" spans="1:12" s="39" customFormat="1" x14ac:dyDescent="0.2">
      <c r="A9" s="43" t="s">
        <v>39</v>
      </c>
      <c r="B9" s="44" t="s">
        <v>40</v>
      </c>
      <c r="C9" s="44" t="s">
        <v>41</v>
      </c>
      <c r="D9" s="44" t="s">
        <v>42</v>
      </c>
      <c r="E9" s="44">
        <v>0.05</v>
      </c>
      <c r="F9" s="44" t="s">
        <v>43</v>
      </c>
      <c r="G9" s="44">
        <v>2.86E-2</v>
      </c>
      <c r="H9" s="45">
        <v>2.5999999999999999E-2</v>
      </c>
      <c r="I9" s="46">
        <f>$I$5/(1-0.026)-$I$5</f>
        <v>0.1166529774127314</v>
      </c>
      <c r="J9" s="46">
        <f>SUM(G9,I9)</f>
        <v>0.14525297741273141</v>
      </c>
      <c r="K9" s="46">
        <f>J9+E9-J10</f>
        <v>-6.9895245937522499E-2</v>
      </c>
      <c r="L9" s="73"/>
    </row>
    <row r="10" spans="1:12" s="39" customFormat="1" x14ac:dyDescent="0.2">
      <c r="A10" s="43" t="s">
        <v>39</v>
      </c>
      <c r="B10" s="44" t="s">
        <v>40</v>
      </c>
      <c r="C10" s="44" t="s">
        <v>44</v>
      </c>
      <c r="D10" s="44" t="s">
        <v>42</v>
      </c>
      <c r="E10" s="44"/>
      <c r="F10" s="44" t="s">
        <v>45</v>
      </c>
      <c r="G10" s="44">
        <v>0.1986</v>
      </c>
      <c r="H10" s="45">
        <v>1.4999999999999999E-2</v>
      </c>
      <c r="I10" s="46">
        <f>$I$5/(1-0.015)-$I$5</f>
        <v>6.6548223350253899E-2</v>
      </c>
      <c r="J10" s="46">
        <f>SUM(G10,I10)</f>
        <v>0.2651482233502539</v>
      </c>
      <c r="K10" s="44"/>
      <c r="L10" s="73"/>
    </row>
    <row r="11" spans="1:12" s="39" customFormat="1" x14ac:dyDescent="0.2">
      <c r="A11" s="43"/>
      <c r="B11" s="44"/>
      <c r="C11" s="44"/>
      <c r="D11" s="44"/>
      <c r="E11" s="44"/>
      <c r="F11" s="44"/>
      <c r="G11" s="44"/>
      <c r="H11" s="45"/>
      <c r="I11" s="46"/>
      <c r="J11" s="46"/>
      <c r="K11" s="44"/>
      <c r="L11" s="73"/>
    </row>
    <row r="12" spans="1:12" s="39" customFormat="1" x14ac:dyDescent="0.2">
      <c r="A12" s="43" t="s">
        <v>46</v>
      </c>
      <c r="B12" s="44" t="s">
        <v>40</v>
      </c>
      <c r="C12" s="44" t="s">
        <v>41</v>
      </c>
      <c r="D12" s="44" t="s">
        <v>42</v>
      </c>
      <c r="E12" s="44">
        <v>0.05</v>
      </c>
      <c r="F12" s="44" t="s">
        <v>43</v>
      </c>
      <c r="G12" s="44">
        <v>2.86E-2</v>
      </c>
      <c r="H12" s="45">
        <v>2.5999999999999999E-2</v>
      </c>
      <c r="I12" s="46">
        <f>$I$5/(1-0.026)-$I$5</f>
        <v>0.1166529774127314</v>
      </c>
      <c r="J12" s="46">
        <f>SUM(G12,I12)</f>
        <v>0.14525297741273141</v>
      </c>
      <c r="K12" s="46">
        <f>J12+E12-J13</f>
        <v>0.1111047540624775</v>
      </c>
      <c r="L12" s="74">
        <f>+K12/0.8</f>
        <v>0.13888094257809686</v>
      </c>
    </row>
    <row r="13" spans="1:12" x14ac:dyDescent="0.2">
      <c r="A13" s="43" t="s">
        <v>46</v>
      </c>
      <c r="B13" s="44" t="s">
        <v>40</v>
      </c>
      <c r="C13" s="44" t="s">
        <v>44</v>
      </c>
      <c r="D13" s="44" t="s">
        <v>42</v>
      </c>
      <c r="E13" s="44"/>
      <c r="F13" s="44" t="s">
        <v>43</v>
      </c>
      <c r="G13" s="44">
        <v>1.7600000000000001E-2</v>
      </c>
      <c r="H13" s="45">
        <v>1.4999999999999999E-2</v>
      </c>
      <c r="I13" s="46">
        <f>$I$5/(1-0.015)-$I$5</f>
        <v>6.6548223350253899E-2</v>
      </c>
      <c r="J13" s="46">
        <f>SUM(G13,I13)</f>
        <v>8.4148223350253903E-2</v>
      </c>
      <c r="K13" s="44"/>
      <c r="L13" s="74"/>
    </row>
    <row r="14" spans="1:12" x14ac:dyDescent="0.2">
      <c r="A14" s="43"/>
      <c r="B14" s="44"/>
      <c r="C14" s="44"/>
      <c r="D14" s="44"/>
      <c r="E14" s="44"/>
      <c r="F14" s="44"/>
      <c r="G14" s="44"/>
      <c r="H14" s="45"/>
      <c r="I14" s="46"/>
      <c r="J14" s="46"/>
      <c r="K14" s="44"/>
      <c r="L14" s="74"/>
    </row>
    <row r="15" spans="1:12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74"/>
    </row>
    <row r="16" spans="1:12" x14ac:dyDescent="0.2">
      <c r="A16" s="43" t="s">
        <v>47</v>
      </c>
      <c r="B16" s="44" t="s">
        <v>40</v>
      </c>
      <c r="C16" s="44" t="s">
        <v>41</v>
      </c>
      <c r="D16" s="43" t="s">
        <v>48</v>
      </c>
      <c r="E16" s="43">
        <v>0.05</v>
      </c>
      <c r="F16" s="43" t="s">
        <v>45</v>
      </c>
      <c r="G16" s="43">
        <v>0.30959999999999999</v>
      </c>
      <c r="H16" s="45">
        <v>2.5999999999999999E-2</v>
      </c>
      <c r="I16" s="46">
        <f>$I$5/(1-0.026)-$I$5</f>
        <v>0.1166529774127314</v>
      </c>
      <c r="J16" s="46">
        <f>SUM(G16,I16)</f>
        <v>0.42625297741273138</v>
      </c>
      <c r="K16" s="46">
        <f>J16+E16-J17</f>
        <v>0.2512747077950252</v>
      </c>
      <c r="L16" s="74">
        <f>+K16/0.8</f>
        <v>0.31409338474378146</v>
      </c>
    </row>
    <row r="17" spans="1:12" x14ac:dyDescent="0.2">
      <c r="A17" s="43" t="s">
        <v>47</v>
      </c>
      <c r="B17" s="44" t="s">
        <v>40</v>
      </c>
      <c r="C17" s="44" t="s">
        <v>44</v>
      </c>
      <c r="D17" s="44" t="s">
        <v>49</v>
      </c>
      <c r="E17" s="47"/>
      <c r="F17" s="44" t="s">
        <v>45</v>
      </c>
      <c r="G17" s="44">
        <v>0.1986</v>
      </c>
      <c r="H17" s="45">
        <v>6.0000000000000001E-3</v>
      </c>
      <c r="I17" s="46">
        <f>$I$5/(1-0.006)-$I$5</f>
        <v>2.6378269617706174E-2</v>
      </c>
      <c r="J17" s="46">
        <f>SUM(G17,I17)</f>
        <v>0.22497826961770617</v>
      </c>
      <c r="K17" s="48"/>
      <c r="L17" s="74"/>
    </row>
    <row r="18" spans="1:12" x14ac:dyDescent="0.2">
      <c r="A18" s="43"/>
      <c r="B18" s="44"/>
      <c r="C18" s="44"/>
      <c r="D18" s="44"/>
      <c r="E18" s="47"/>
      <c r="F18" s="44"/>
      <c r="G18" s="44"/>
      <c r="H18" s="45"/>
      <c r="I18" s="46"/>
      <c r="J18" s="46"/>
      <c r="K18" s="48"/>
      <c r="L18" s="74"/>
    </row>
    <row r="19" spans="1:12" s="39" customFormat="1" x14ac:dyDescent="0.2">
      <c r="A19" s="43" t="s">
        <v>50</v>
      </c>
      <c r="B19" s="44" t="s">
        <v>40</v>
      </c>
      <c r="C19" s="44" t="s">
        <v>41</v>
      </c>
      <c r="D19" s="43" t="s">
        <v>48</v>
      </c>
      <c r="E19" s="44">
        <v>0.05</v>
      </c>
      <c r="F19" s="44" t="s">
        <v>43</v>
      </c>
      <c r="G19" s="44">
        <v>2.86E-2</v>
      </c>
      <c r="H19" s="45">
        <v>2.5999999999999999E-2</v>
      </c>
      <c r="I19" s="46">
        <f>$I$5/(1-0.026)-$I$5</f>
        <v>0.1166529774127314</v>
      </c>
      <c r="J19" s="46">
        <f>SUM(G19,I19)</f>
        <v>0.14525297741273141</v>
      </c>
      <c r="K19" s="46">
        <f>J19+E19-J20</f>
        <v>-2.9725292204974774E-2</v>
      </c>
      <c r="L19" s="74"/>
    </row>
    <row r="20" spans="1:12" x14ac:dyDescent="0.2">
      <c r="A20" s="43" t="s">
        <v>50</v>
      </c>
      <c r="B20" s="44" t="s">
        <v>40</v>
      </c>
      <c r="C20" s="44" t="s">
        <v>44</v>
      </c>
      <c r="D20" s="44" t="s">
        <v>49</v>
      </c>
      <c r="E20" s="47"/>
      <c r="F20" s="44" t="s">
        <v>45</v>
      </c>
      <c r="G20" s="44">
        <v>0.1986</v>
      </c>
      <c r="H20" s="45">
        <v>6.0000000000000001E-3</v>
      </c>
      <c r="I20" s="46">
        <f>$I$5/(1-0.006)-$I$5</f>
        <v>2.6378269617706174E-2</v>
      </c>
      <c r="J20" s="46">
        <f>SUM(G20,I20)</f>
        <v>0.22497826961770617</v>
      </c>
      <c r="K20" s="48"/>
      <c r="L20" s="74"/>
    </row>
    <row r="21" spans="1:12" x14ac:dyDescent="0.2">
      <c r="A21" s="43"/>
      <c r="B21" s="44"/>
      <c r="C21" s="44"/>
      <c r="D21" s="44"/>
      <c r="E21" s="47"/>
      <c r="F21" s="44"/>
      <c r="G21" s="44"/>
      <c r="H21" s="45"/>
      <c r="I21" s="46"/>
      <c r="J21" s="46"/>
      <c r="K21" s="48"/>
      <c r="L21" s="74"/>
    </row>
    <row r="22" spans="1:12" s="39" customFormat="1" x14ac:dyDescent="0.2">
      <c r="A22" s="43" t="s">
        <v>51</v>
      </c>
      <c r="B22" s="44" t="s">
        <v>40</v>
      </c>
      <c r="C22" s="44" t="s">
        <v>41</v>
      </c>
      <c r="D22" s="44" t="s">
        <v>52</v>
      </c>
      <c r="E22" s="44">
        <v>0.05</v>
      </c>
      <c r="F22" s="44" t="s">
        <v>45</v>
      </c>
      <c r="G22" s="44">
        <v>0.21060000000000001</v>
      </c>
      <c r="H22" s="45">
        <v>2.3E-2</v>
      </c>
      <c r="I22" s="46">
        <f>$I$5/(1-0.023)-$I$5</f>
        <v>0.10287615148413565</v>
      </c>
      <c r="J22" s="46">
        <f>SUM(G22,I22)</f>
        <v>0.31347615148413566</v>
      </c>
      <c r="K22" s="46">
        <f>J22+E22-J23</f>
        <v>0.13849788186642947</v>
      </c>
      <c r="L22" s="74">
        <f>+K22/0.8</f>
        <v>0.17312235233303683</v>
      </c>
    </row>
    <row r="23" spans="1:12" x14ac:dyDescent="0.2">
      <c r="A23" s="43" t="s">
        <v>51</v>
      </c>
      <c r="B23" s="44" t="s">
        <v>40</v>
      </c>
      <c r="C23" s="44" t="s">
        <v>44</v>
      </c>
      <c r="D23" s="44" t="s">
        <v>49</v>
      </c>
      <c r="E23" s="47"/>
      <c r="F23" s="44" t="s">
        <v>45</v>
      </c>
      <c r="G23" s="44">
        <v>0.1986</v>
      </c>
      <c r="H23" s="45">
        <v>6.0000000000000001E-3</v>
      </c>
      <c r="I23" s="46">
        <f>$I$5/(1-0.006)-$I$5</f>
        <v>2.6378269617706174E-2</v>
      </c>
      <c r="J23" s="46">
        <f>SUM(G23,I23)</f>
        <v>0.22497826961770617</v>
      </c>
      <c r="K23" s="48"/>
      <c r="L23" s="74"/>
    </row>
    <row r="24" spans="1:12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74"/>
    </row>
    <row r="25" spans="1:12" s="39" customFormat="1" x14ac:dyDescent="0.2">
      <c r="A25" s="43" t="s">
        <v>53</v>
      </c>
      <c r="B25" s="44" t="s">
        <v>40</v>
      </c>
      <c r="C25" s="44" t="s">
        <v>41</v>
      </c>
      <c r="D25" s="44" t="s">
        <v>52</v>
      </c>
      <c r="E25" s="44">
        <v>0.05</v>
      </c>
      <c r="F25" s="44" t="s">
        <v>43</v>
      </c>
      <c r="G25" s="44">
        <v>1.7600000000000001E-2</v>
      </c>
      <c r="H25" s="45">
        <v>2.3E-2</v>
      </c>
      <c r="I25" s="46">
        <f>$I$5/(1-0.023)-$I$5</f>
        <v>0.10287615148413565</v>
      </c>
      <c r="J25" s="46">
        <f>SUM(G25,I25)</f>
        <v>0.12047615148413565</v>
      </c>
      <c r="K25" s="46">
        <f>J25+E25-J26</f>
        <v>-5.4502118133570532E-2</v>
      </c>
      <c r="L25" s="74"/>
    </row>
    <row r="26" spans="1:12" x14ac:dyDescent="0.2">
      <c r="A26" s="43" t="s">
        <v>53</v>
      </c>
      <c r="B26" s="44" t="s">
        <v>40</v>
      </c>
      <c r="C26" s="44" t="s">
        <v>44</v>
      </c>
      <c r="D26" s="44" t="s">
        <v>49</v>
      </c>
      <c r="E26" s="47"/>
      <c r="F26" s="44" t="s">
        <v>45</v>
      </c>
      <c r="G26" s="44">
        <v>0.1986</v>
      </c>
      <c r="H26" s="45">
        <v>6.0000000000000001E-3</v>
      </c>
      <c r="I26" s="46">
        <f>$I$5/(1-0.006)-$I$5</f>
        <v>2.6378269617706174E-2</v>
      </c>
      <c r="J26" s="46">
        <f>SUM(G26,I26)</f>
        <v>0.22497826961770617</v>
      </c>
      <c r="K26" s="48"/>
      <c r="L26" s="74"/>
    </row>
    <row r="27" spans="1:12" x14ac:dyDescent="0.2">
      <c r="A27" s="43"/>
      <c r="B27" s="44"/>
      <c r="C27" s="44"/>
      <c r="D27" s="44"/>
      <c r="E27" s="47"/>
      <c r="F27" s="44"/>
      <c r="G27" s="44"/>
      <c r="H27" s="45"/>
      <c r="I27" s="46"/>
      <c r="J27" s="46"/>
      <c r="K27" s="48"/>
      <c r="L27" s="74"/>
    </row>
    <row r="28" spans="1:12" x14ac:dyDescent="0.2">
      <c r="A28" s="43" t="s">
        <v>101</v>
      </c>
      <c r="B28" s="44" t="s">
        <v>40</v>
      </c>
      <c r="C28" s="44" t="s">
        <v>41</v>
      </c>
      <c r="D28" s="44" t="s">
        <v>102</v>
      </c>
      <c r="E28" s="44">
        <v>0.05</v>
      </c>
      <c r="F28" s="44" t="s">
        <v>43</v>
      </c>
      <c r="G28" s="44">
        <v>0.29049999999999998</v>
      </c>
      <c r="H28" s="45">
        <v>2.3E-2</v>
      </c>
      <c r="I28" s="46">
        <f>$I$5/(1-0.023)-$I$5</f>
        <v>0.10287615148413565</v>
      </c>
      <c r="J28" s="46">
        <f>SUM(G28,I28)</f>
        <v>0.39337615148413563</v>
      </c>
      <c r="K28" s="46">
        <f>J28+E28-J29</f>
        <v>0.21839788186642944</v>
      </c>
      <c r="L28" s="74">
        <f>+K28/0.8</f>
        <v>0.27299735233303679</v>
      </c>
    </row>
    <row r="29" spans="1:12" x14ac:dyDescent="0.2">
      <c r="A29" s="43" t="s">
        <v>101</v>
      </c>
      <c r="B29" s="44" t="s">
        <v>40</v>
      </c>
      <c r="C29" s="44" t="s">
        <v>44</v>
      </c>
      <c r="D29" s="44" t="s">
        <v>49</v>
      </c>
      <c r="E29" s="47"/>
      <c r="F29" s="44" t="s">
        <v>45</v>
      </c>
      <c r="G29" s="44">
        <v>0.1986</v>
      </c>
      <c r="H29" s="45">
        <v>6.0000000000000001E-3</v>
      </c>
      <c r="I29" s="46">
        <f>$I$5/(1-0.006)-$I$5</f>
        <v>2.6378269617706174E-2</v>
      </c>
      <c r="J29" s="46">
        <f>SUM(G29,I29)</f>
        <v>0.22497826961770617</v>
      </c>
      <c r="K29" s="48"/>
      <c r="L29" s="74"/>
    </row>
    <row r="30" spans="1:12" x14ac:dyDescent="0.2">
      <c r="A30" s="43"/>
      <c r="B30" s="44"/>
      <c r="C30" s="44"/>
      <c r="D30" s="44"/>
      <c r="E30" s="47"/>
      <c r="F30" s="44"/>
      <c r="G30" s="44"/>
      <c r="H30" s="45"/>
      <c r="I30" s="46"/>
      <c r="J30" s="46"/>
      <c r="K30" s="48"/>
      <c r="L30" s="74"/>
    </row>
    <row r="31" spans="1:12" x14ac:dyDescent="0.2">
      <c r="A31" s="43" t="s">
        <v>103</v>
      </c>
      <c r="B31" s="44" t="s">
        <v>40</v>
      </c>
      <c r="C31" s="44" t="s">
        <v>41</v>
      </c>
      <c r="D31" s="44" t="s">
        <v>104</v>
      </c>
      <c r="E31" s="44">
        <v>0.05</v>
      </c>
      <c r="F31" s="44" t="s">
        <v>43</v>
      </c>
      <c r="G31" s="44">
        <v>0.19725999999999999</v>
      </c>
      <c r="H31" s="45">
        <v>2.3E-2</v>
      </c>
      <c r="I31" s="46">
        <f>$I$5/(1-0.023)-$I$5</f>
        <v>0.10287615148413565</v>
      </c>
      <c r="J31" s="46">
        <f>SUM(G31,I31)</f>
        <v>0.30013615148413564</v>
      </c>
      <c r="K31" s="46">
        <f>J31+E31-J32</f>
        <v>0.12515788186642945</v>
      </c>
      <c r="L31" s="74">
        <f>+K31/0.8</f>
        <v>0.1564473523330368</v>
      </c>
    </row>
    <row r="32" spans="1:12" x14ac:dyDescent="0.2">
      <c r="A32" s="43" t="s">
        <v>103</v>
      </c>
      <c r="B32" s="44" t="s">
        <v>40</v>
      </c>
      <c r="C32" s="44" t="s">
        <v>44</v>
      </c>
      <c r="D32" s="44" t="s">
        <v>49</v>
      </c>
      <c r="E32" s="47"/>
      <c r="F32" s="44" t="s">
        <v>45</v>
      </c>
      <c r="G32" s="44">
        <v>0.1986</v>
      </c>
      <c r="H32" s="45">
        <v>6.0000000000000001E-3</v>
      </c>
      <c r="I32" s="46">
        <f>$I$5/(1-0.006)-$I$5</f>
        <v>2.6378269617706174E-2</v>
      </c>
      <c r="J32" s="46">
        <f>SUM(G32,I32)</f>
        <v>0.22497826961770617</v>
      </c>
      <c r="K32" s="48"/>
      <c r="L32" s="74"/>
    </row>
    <row r="33" spans="1:12" x14ac:dyDescent="0.2">
      <c r="A33" s="43"/>
      <c r="B33" s="44"/>
      <c r="C33" s="44"/>
      <c r="D33" s="44"/>
      <c r="E33" s="47"/>
      <c r="F33" s="44"/>
      <c r="G33" s="44"/>
      <c r="H33" s="45"/>
      <c r="I33" s="46"/>
      <c r="J33" s="46"/>
      <c r="K33" s="48"/>
      <c r="L33" s="74"/>
    </row>
    <row r="34" spans="1:12" x14ac:dyDescent="0.2">
      <c r="A34" s="43" t="s">
        <v>105</v>
      </c>
      <c r="B34" s="44" t="s">
        <v>40</v>
      </c>
      <c r="C34" s="44" t="s">
        <v>41</v>
      </c>
      <c r="D34" s="44" t="s">
        <v>106</v>
      </c>
      <c r="E34" s="44">
        <v>0.05</v>
      </c>
      <c r="F34" s="44" t="s">
        <v>43</v>
      </c>
      <c r="G34" s="44">
        <v>0.23</v>
      </c>
      <c r="H34" s="45">
        <v>2.3E-2</v>
      </c>
      <c r="I34" s="46">
        <f>$I$5/(1-0.023)-$I$5</f>
        <v>0.10287615148413565</v>
      </c>
      <c r="J34" s="46">
        <f>SUM(G34,I34)</f>
        <v>0.33287615148413563</v>
      </c>
      <c r="K34" s="46">
        <f>J34+E34-J35</f>
        <v>0.15789788186642945</v>
      </c>
      <c r="L34" s="74">
        <f>+K34/0.8</f>
        <v>0.19737235233303679</v>
      </c>
    </row>
    <row r="35" spans="1:12" x14ac:dyDescent="0.2">
      <c r="A35" s="43" t="s">
        <v>105</v>
      </c>
      <c r="B35" s="44" t="s">
        <v>40</v>
      </c>
      <c r="C35" s="44" t="s">
        <v>44</v>
      </c>
      <c r="D35" s="44" t="s">
        <v>49</v>
      </c>
      <c r="E35" s="47"/>
      <c r="F35" s="44" t="s">
        <v>45</v>
      </c>
      <c r="G35" s="44">
        <v>0.1986</v>
      </c>
      <c r="H35" s="45">
        <v>6.0000000000000001E-3</v>
      </c>
      <c r="I35" s="46">
        <f>$I$5/(1-0.006)-$I$5</f>
        <v>2.6378269617706174E-2</v>
      </c>
      <c r="J35" s="46">
        <f>SUM(G35,I35)</f>
        <v>0.22497826961770617</v>
      </c>
      <c r="K35" s="48"/>
      <c r="L35" s="74"/>
    </row>
    <row r="36" spans="1:12" x14ac:dyDescent="0.2">
      <c r="A36" s="43"/>
      <c r="B36" s="44"/>
      <c r="C36" s="44"/>
      <c r="D36" s="44"/>
      <c r="E36" s="47"/>
      <c r="F36" s="44"/>
      <c r="G36" s="44"/>
      <c r="H36" s="45"/>
      <c r="I36" s="46"/>
      <c r="J36" s="46"/>
      <c r="K36" s="48"/>
      <c r="L36" s="74"/>
    </row>
    <row r="37" spans="1:12" x14ac:dyDescent="0.2">
      <c r="A37" s="43" t="s">
        <v>107</v>
      </c>
      <c r="B37" s="44" t="s">
        <v>40</v>
      </c>
      <c r="C37" s="44" t="s">
        <v>41</v>
      </c>
      <c r="D37" s="44" t="s">
        <v>108</v>
      </c>
      <c r="E37" s="44">
        <v>0.05</v>
      </c>
      <c r="F37" s="44" t="s">
        <v>43</v>
      </c>
      <c r="G37" s="44">
        <f>0.3573+0.0286</f>
        <v>0.38590000000000002</v>
      </c>
      <c r="H37" s="45">
        <v>2.5999999999999999E-2</v>
      </c>
      <c r="I37" s="46">
        <f>$I$5/(1-0.026)-$I$5</f>
        <v>0.1166529774127314</v>
      </c>
      <c r="J37" s="46">
        <f>SUM(G37,I37)</f>
        <v>0.50255297741273142</v>
      </c>
      <c r="K37" s="46">
        <f>J37+E37-J38</f>
        <v>0.32757470779502529</v>
      </c>
      <c r="L37" s="74">
        <f>+K37/0.8</f>
        <v>0.40946838474378161</v>
      </c>
    </row>
    <row r="38" spans="1:12" x14ac:dyDescent="0.2">
      <c r="A38" s="43" t="s">
        <v>107</v>
      </c>
      <c r="B38" s="44" t="s">
        <v>40</v>
      </c>
      <c r="C38" s="44" t="s">
        <v>44</v>
      </c>
      <c r="D38" s="44" t="s">
        <v>49</v>
      </c>
      <c r="E38" s="47"/>
      <c r="F38" s="44" t="s">
        <v>45</v>
      </c>
      <c r="G38" s="44">
        <v>0.1986</v>
      </c>
      <c r="H38" s="45">
        <v>6.0000000000000001E-3</v>
      </c>
      <c r="I38" s="46">
        <f>$I$5/(1-0.006)-$I$5</f>
        <v>2.6378269617706174E-2</v>
      </c>
      <c r="J38" s="46">
        <f>SUM(G38,I38)</f>
        <v>0.22497826961770617</v>
      </c>
      <c r="K38" s="48"/>
      <c r="L38" s="74"/>
    </row>
    <row r="39" spans="1:12" x14ac:dyDescent="0.2">
      <c r="A39" s="43"/>
      <c r="B39" s="44"/>
      <c r="C39" s="44"/>
      <c r="D39" s="44"/>
      <c r="E39" s="47"/>
      <c r="F39" s="44"/>
      <c r="G39" s="44"/>
      <c r="H39" s="45"/>
      <c r="I39" s="46"/>
      <c r="J39" s="46"/>
      <c r="K39" s="48"/>
      <c r="L39" s="74"/>
    </row>
    <row r="40" spans="1:12" x14ac:dyDescent="0.2">
      <c r="A40" s="43" t="s">
        <v>109</v>
      </c>
      <c r="B40" s="44" t="s">
        <v>40</v>
      </c>
      <c r="C40" s="44" t="s">
        <v>41</v>
      </c>
      <c r="D40" s="44" t="s">
        <v>108</v>
      </c>
      <c r="E40" s="44">
        <v>0.05</v>
      </c>
      <c r="F40" s="44" t="s">
        <v>43</v>
      </c>
      <c r="G40" s="44">
        <f>0.3573+0.0286</f>
        <v>0.38590000000000002</v>
      </c>
      <c r="H40" s="45">
        <v>2.5999999999999999E-2</v>
      </c>
      <c r="I40" s="46">
        <f>$I$5/(1-0.026)-$I$5</f>
        <v>0.1166529774127314</v>
      </c>
      <c r="J40" s="46">
        <f>SUM(G40,I40)</f>
        <v>0.50255297741273142</v>
      </c>
      <c r="K40" s="46">
        <f>J40+E40-J41</f>
        <v>0.3541747077950253</v>
      </c>
      <c r="L40" s="74">
        <f>+K40/0.8</f>
        <v>0.44271838474378161</v>
      </c>
    </row>
    <row r="41" spans="1:12" x14ac:dyDescent="0.2">
      <c r="A41" s="43" t="s">
        <v>109</v>
      </c>
      <c r="B41" s="44" t="s">
        <v>40</v>
      </c>
      <c r="C41" s="44" t="s">
        <v>44</v>
      </c>
      <c r="D41" s="44" t="s">
        <v>49</v>
      </c>
      <c r="E41" s="47"/>
      <c r="F41" s="44" t="s">
        <v>111</v>
      </c>
      <c r="G41" s="44">
        <v>0.17199999999999999</v>
      </c>
      <c r="H41" s="45">
        <v>6.0000000000000001E-3</v>
      </c>
      <c r="I41" s="46">
        <f>$I$5/(1-0.006)-$I$5</f>
        <v>2.6378269617706174E-2</v>
      </c>
      <c r="J41" s="46">
        <f>SUM(G41,I41)</f>
        <v>0.19837826961770616</v>
      </c>
      <c r="K41" s="48"/>
      <c r="L41" s="74"/>
    </row>
    <row r="42" spans="1:12" x14ac:dyDescent="0.2">
      <c r="A42" s="43"/>
      <c r="B42" s="44"/>
      <c r="C42" s="44"/>
      <c r="D42" s="44"/>
      <c r="E42" s="47"/>
      <c r="F42" s="44"/>
      <c r="G42" s="44"/>
      <c r="H42" s="45"/>
      <c r="I42" s="46"/>
      <c r="J42" s="46"/>
      <c r="K42" s="48"/>
    </row>
    <row r="43" spans="1:12" x14ac:dyDescent="0.2">
      <c r="A43" s="43" t="s">
        <v>112</v>
      </c>
      <c r="B43" s="44" t="s">
        <v>40</v>
      </c>
      <c r="C43" s="44" t="s">
        <v>41</v>
      </c>
      <c r="D43" s="44" t="s">
        <v>108</v>
      </c>
      <c r="E43" s="44">
        <v>0.05</v>
      </c>
      <c r="F43" s="44" t="s">
        <v>43</v>
      </c>
      <c r="G43" s="44">
        <f>0.3573+0.0286</f>
        <v>0.38590000000000002</v>
      </c>
      <c r="H43" s="45">
        <v>2.5999999999999999E-2</v>
      </c>
      <c r="I43" s="46">
        <f>$I$5/(1-0.026)-$I$5</f>
        <v>0.1166529774127314</v>
      </c>
      <c r="J43" s="46">
        <f>SUM(G43,I43)</f>
        <v>0.50255297741273142</v>
      </c>
      <c r="K43" s="46">
        <f>J43+E43-J44</f>
        <v>0.42255297741273146</v>
      </c>
      <c r="L43" s="74">
        <f>+K43/0.8</f>
        <v>0.52819122176591426</v>
      </c>
    </row>
    <row r="44" spans="1:12" x14ac:dyDescent="0.2">
      <c r="A44" s="43" t="s">
        <v>112</v>
      </c>
      <c r="B44" s="44" t="s">
        <v>113</v>
      </c>
      <c r="C44" s="44" t="s">
        <v>0</v>
      </c>
      <c r="D44" s="44" t="s">
        <v>114</v>
      </c>
      <c r="E44" s="47"/>
      <c r="F44" s="44" t="s">
        <v>111</v>
      </c>
      <c r="G44" s="44">
        <v>0.13</v>
      </c>
      <c r="H44" s="45"/>
      <c r="I44" s="46"/>
      <c r="J44" s="46">
        <f>SUM(G44,I44)</f>
        <v>0.13</v>
      </c>
      <c r="K44" s="48"/>
      <c r="L44" s="74"/>
    </row>
    <row r="45" spans="1:12" x14ac:dyDescent="0.2">
      <c r="A45" s="43"/>
      <c r="B45" s="44"/>
      <c r="C45" s="44"/>
      <c r="D45" s="44"/>
      <c r="E45" s="47"/>
      <c r="F45" s="44"/>
      <c r="G45" s="44"/>
      <c r="H45" s="45"/>
      <c r="I45" s="46"/>
      <c r="J45" s="46"/>
      <c r="K45" s="48"/>
    </row>
    <row r="46" spans="1:12" x14ac:dyDescent="0.2">
      <c r="A46" s="43"/>
      <c r="B46" s="44"/>
      <c r="C46" s="44"/>
      <c r="D46" s="44"/>
      <c r="E46" s="47"/>
      <c r="F46" s="44"/>
      <c r="G46" s="44"/>
      <c r="H46" s="45"/>
      <c r="I46" s="46"/>
      <c r="J46" s="46"/>
      <c r="K46" s="48"/>
    </row>
    <row r="47" spans="1:12" x14ac:dyDescent="0.2">
      <c r="A47" s="43"/>
      <c r="B47" s="44"/>
      <c r="C47" s="44"/>
      <c r="D47" s="44"/>
      <c r="E47" s="47"/>
      <c r="F47" s="44"/>
      <c r="G47" s="44"/>
      <c r="H47" s="45"/>
      <c r="I47" s="46"/>
      <c r="J47" s="46"/>
      <c r="K47" s="48"/>
    </row>
    <row r="48" spans="1:12" x14ac:dyDescent="0.2">
      <c r="A48" s="43"/>
      <c r="B48" s="44"/>
      <c r="C48" s="44"/>
      <c r="D48" s="44"/>
      <c r="E48" s="44"/>
      <c r="F48" s="44"/>
      <c r="G48" s="44"/>
      <c r="H48" s="45"/>
      <c r="I48" s="46"/>
      <c r="J48" s="46"/>
      <c r="K48" s="44"/>
    </row>
    <row r="49" spans="1:11" ht="15" x14ac:dyDescent="0.25">
      <c r="A49" s="43"/>
      <c r="B49" s="41" t="s">
        <v>54</v>
      </c>
      <c r="C49" s="44"/>
      <c r="D49" s="44"/>
      <c r="E49" s="44"/>
      <c r="F49" s="44"/>
      <c r="G49" s="44"/>
      <c r="H49" s="45"/>
      <c r="I49" s="46"/>
      <c r="J49" s="46"/>
      <c r="K49" s="44"/>
    </row>
    <row r="50" spans="1:11" x14ac:dyDescent="0.2">
      <c r="A50" s="43"/>
      <c r="B50" s="44"/>
      <c r="C50" s="44"/>
      <c r="D50" s="44"/>
      <c r="E50" s="44"/>
      <c r="F50" s="44"/>
      <c r="G50" s="44"/>
      <c r="H50" s="45"/>
      <c r="I50" s="46"/>
      <c r="J50" s="46"/>
      <c r="K50" s="44"/>
    </row>
    <row r="51" spans="1:11" x14ac:dyDescent="0.2">
      <c r="A51" s="43" t="s">
        <v>55</v>
      </c>
      <c r="B51" s="44" t="s">
        <v>40</v>
      </c>
      <c r="C51" s="44" t="s">
        <v>44</v>
      </c>
      <c r="D51" s="44" t="s">
        <v>56</v>
      </c>
      <c r="E51" s="49">
        <f>[1]CURVES!H6</f>
        <v>4.0808333333333308E-2</v>
      </c>
      <c r="F51" s="44" t="s">
        <v>45</v>
      </c>
      <c r="G51" s="44">
        <v>0.1986</v>
      </c>
      <c r="H51" s="45">
        <v>1.4999999999999999E-2</v>
      </c>
      <c r="I51" s="46">
        <f>$I$5/(1-0.015)-$I$5</f>
        <v>6.6548223350253899E-2</v>
      </c>
      <c r="J51" s="46">
        <f>SUM(G51,I51)</f>
        <v>0.2651482233502539</v>
      </c>
      <c r="K51" s="46">
        <f>E51-J51</f>
        <v>-0.22433989001692059</v>
      </c>
    </row>
    <row r="52" spans="1:11" x14ac:dyDescent="0.2">
      <c r="A52" s="43"/>
      <c r="B52" s="44"/>
      <c r="C52" s="44"/>
      <c r="D52" s="44"/>
      <c r="E52" s="48"/>
      <c r="F52" s="44"/>
      <c r="G52" s="44"/>
      <c r="H52" s="45"/>
      <c r="I52" s="46"/>
      <c r="J52" s="46"/>
      <c r="K52" s="46"/>
    </row>
    <row r="53" spans="1:11" x14ac:dyDescent="0.2">
      <c r="A53" s="43" t="s">
        <v>57</v>
      </c>
      <c r="B53" s="44" t="s">
        <v>40</v>
      </c>
      <c r="C53" s="44" t="s">
        <v>44</v>
      </c>
      <c r="D53" s="44" t="s">
        <v>56</v>
      </c>
      <c r="E53" s="49">
        <f>[1]CURVES!H6</f>
        <v>4.0808333333333308E-2</v>
      </c>
      <c r="F53" s="44" t="s">
        <v>43</v>
      </c>
      <c r="G53" s="44">
        <v>1.7600000000000001E-2</v>
      </c>
      <c r="H53" s="45">
        <v>1.4999999999999999E-2</v>
      </c>
      <c r="I53" s="46">
        <f>$I$5/(1-0.015)-$I$5</f>
        <v>6.6548223350253899E-2</v>
      </c>
      <c r="J53" s="46">
        <f>SUM(G53,I53)</f>
        <v>8.4148223350253903E-2</v>
      </c>
      <c r="K53" s="46">
        <f>E53-J53</f>
        <v>-4.3339890016920596E-2</v>
      </c>
    </row>
    <row r="54" spans="1:11" x14ac:dyDescent="0.2">
      <c r="A54" s="43"/>
      <c r="B54" s="44"/>
      <c r="C54" s="44"/>
      <c r="D54" s="44"/>
      <c r="E54" s="48"/>
      <c r="F54" s="44"/>
      <c r="G54" s="44"/>
      <c r="H54" s="45"/>
      <c r="I54" s="50"/>
      <c r="J54" s="50"/>
      <c r="K54" s="46"/>
    </row>
    <row r="55" spans="1:11" x14ac:dyDescent="0.2">
      <c r="A55" s="43"/>
      <c r="B55" s="44"/>
      <c r="C55" s="44"/>
      <c r="D55" s="44"/>
      <c r="E55" s="48"/>
      <c r="F55" s="44"/>
      <c r="G55" s="44"/>
      <c r="H55" s="45"/>
      <c r="I55" s="46"/>
      <c r="J55" s="46"/>
      <c r="K55" s="46"/>
    </row>
    <row r="56" spans="1:11" x14ac:dyDescent="0.2">
      <c r="A56" s="43" t="s">
        <v>58</v>
      </c>
      <c r="B56" s="44" t="s">
        <v>59</v>
      </c>
      <c r="C56" s="44" t="s">
        <v>60</v>
      </c>
      <c r="D56" s="44" t="s">
        <v>61</v>
      </c>
      <c r="E56" s="47">
        <f>[1]CURVES!L6</f>
        <v>0.6654166666666671</v>
      </c>
      <c r="F56" s="44" t="s">
        <v>62</v>
      </c>
      <c r="G56" s="44">
        <v>0.14610000000000001</v>
      </c>
      <c r="H56" s="51">
        <v>1.5299999999999999E-2</v>
      </c>
      <c r="I56" s="46">
        <f>$I$5/(1-0.0153)-$I$5</f>
        <v>6.7899867980095507E-2</v>
      </c>
      <c r="J56" s="46">
        <f>SUM(G56,I56)</f>
        <v>0.21399986798009552</v>
      </c>
      <c r="K56" s="52"/>
    </row>
    <row r="57" spans="1:11" x14ac:dyDescent="0.2">
      <c r="A57" s="43" t="s">
        <v>58</v>
      </c>
      <c r="B57" s="44" t="s">
        <v>63</v>
      </c>
      <c r="C57" s="44" t="s">
        <v>64</v>
      </c>
      <c r="D57" s="44" t="s">
        <v>61</v>
      </c>
      <c r="E57" s="47"/>
      <c r="F57" s="44" t="s">
        <v>62</v>
      </c>
      <c r="G57" s="44">
        <v>0.25</v>
      </c>
      <c r="H57" s="51"/>
      <c r="I57" s="46"/>
      <c r="J57" s="46">
        <v>0.25</v>
      </c>
      <c r="K57" s="52"/>
    </row>
    <row r="58" spans="1:11" x14ac:dyDescent="0.2">
      <c r="A58" s="43" t="s">
        <v>58</v>
      </c>
      <c r="B58" s="44" t="s">
        <v>40</v>
      </c>
      <c r="C58" s="44" t="s">
        <v>44</v>
      </c>
      <c r="D58" s="44" t="s">
        <v>65</v>
      </c>
      <c r="E58" s="47"/>
      <c r="F58" s="44" t="s">
        <v>45</v>
      </c>
      <c r="G58" s="44">
        <v>0.1986</v>
      </c>
      <c r="H58" s="45">
        <v>6.0000000000000001E-3</v>
      </c>
      <c r="I58" s="46">
        <f>$I$5/(1-0.006)-$I$5</f>
        <v>2.6378269617706174E-2</v>
      </c>
      <c r="J58" s="46">
        <f>SUM(G58,I58)</f>
        <v>0.22497826961770617</v>
      </c>
      <c r="K58" s="52"/>
    </row>
    <row r="59" spans="1:11" x14ac:dyDescent="0.2">
      <c r="A59" s="43"/>
      <c r="B59" s="44"/>
      <c r="C59" s="44"/>
      <c r="D59" s="44"/>
      <c r="E59" s="47"/>
      <c r="F59" s="44"/>
      <c r="G59" s="44"/>
      <c r="H59" s="51"/>
      <c r="I59" s="50" t="s">
        <v>66</v>
      </c>
      <c r="J59" s="50">
        <f>SUM(J56:J58)</f>
        <v>0.68897813759780169</v>
      </c>
      <c r="K59" s="46">
        <f>E56-J59</f>
        <v>-2.3561470931134587E-2</v>
      </c>
    </row>
    <row r="60" spans="1:11" x14ac:dyDescent="0.2">
      <c r="A60" s="43"/>
      <c r="B60" s="44"/>
      <c r="C60" s="44"/>
      <c r="D60" s="44"/>
      <c r="E60" s="47"/>
      <c r="F60" s="44"/>
      <c r="G60" s="44"/>
      <c r="H60" s="51"/>
      <c r="I60" s="46"/>
      <c r="J60" s="46"/>
      <c r="K60" s="52"/>
    </row>
    <row r="61" spans="1:11" x14ac:dyDescent="0.2">
      <c r="A61" s="43"/>
      <c r="B61" s="44"/>
      <c r="C61" s="44"/>
      <c r="D61" s="44"/>
      <c r="E61" s="47"/>
      <c r="F61" s="44"/>
      <c r="G61" s="44"/>
      <c r="H61" s="51"/>
      <c r="I61" s="46"/>
      <c r="J61" s="46"/>
      <c r="K61" s="52"/>
    </row>
    <row r="62" spans="1:11" x14ac:dyDescent="0.2">
      <c r="A62" s="43" t="s">
        <v>67</v>
      </c>
      <c r="B62" s="44" t="s">
        <v>59</v>
      </c>
      <c r="C62" s="44" t="s">
        <v>60</v>
      </c>
      <c r="D62" s="44" t="s">
        <v>61</v>
      </c>
      <c r="E62" s="47">
        <f>[1]CURVES!L6</f>
        <v>0.6654166666666671</v>
      </c>
      <c r="F62" s="44" t="s">
        <v>43</v>
      </c>
      <c r="G62" s="44">
        <v>0.16139999999999999</v>
      </c>
      <c r="H62" s="51">
        <v>1.5299999999999999E-2</v>
      </c>
      <c r="I62" s="46">
        <f>$I$5/(1-0.0153)-$I$5</f>
        <v>6.7899867980095507E-2</v>
      </c>
      <c r="J62" s="46">
        <f>SUM(G62,I62)</f>
        <v>0.2292998679800955</v>
      </c>
      <c r="K62" s="52"/>
    </row>
    <row r="63" spans="1:11" x14ac:dyDescent="0.2">
      <c r="A63" s="43" t="s">
        <v>67</v>
      </c>
      <c r="B63" s="44" t="s">
        <v>63</v>
      </c>
      <c r="C63" s="44" t="s">
        <v>64</v>
      </c>
      <c r="D63" s="44" t="s">
        <v>61</v>
      </c>
      <c r="E63" s="44"/>
      <c r="F63" s="44" t="s">
        <v>45</v>
      </c>
      <c r="G63" s="44">
        <v>0.25</v>
      </c>
      <c r="H63" s="45"/>
      <c r="I63" s="46"/>
      <c r="J63" s="46">
        <v>0.25</v>
      </c>
      <c r="K63" s="44"/>
    </row>
    <row r="64" spans="1:11" x14ac:dyDescent="0.2">
      <c r="A64" s="43" t="s">
        <v>67</v>
      </c>
      <c r="B64" s="44" t="s">
        <v>40</v>
      </c>
      <c r="C64" s="44" t="s">
        <v>44</v>
      </c>
      <c r="D64" s="44" t="s">
        <v>65</v>
      </c>
      <c r="E64" s="47"/>
      <c r="F64" s="44" t="s">
        <v>45</v>
      </c>
      <c r="G64" s="44">
        <v>0.1986</v>
      </c>
      <c r="H64" s="45">
        <v>6.0000000000000001E-3</v>
      </c>
      <c r="I64" s="46">
        <f>$I$5/(1-0.006)-$I$5</f>
        <v>2.6378269617706174E-2</v>
      </c>
      <c r="J64" s="46">
        <f>SUM(G64,I64)</f>
        <v>0.22497826961770617</v>
      </c>
      <c r="K64" s="48"/>
    </row>
    <row r="65" spans="1:11" x14ac:dyDescent="0.2">
      <c r="A65" s="43"/>
      <c r="B65" s="44"/>
      <c r="C65" s="44"/>
      <c r="D65" s="44"/>
      <c r="E65" s="44"/>
      <c r="F65" s="44"/>
      <c r="G65" s="44"/>
      <c r="H65" s="44"/>
      <c r="I65" s="50" t="s">
        <v>66</v>
      </c>
      <c r="J65" s="50">
        <f>SUM(J62:J64)</f>
        <v>0.70427813759780167</v>
      </c>
      <c r="K65" s="46">
        <f>E62-J65</f>
        <v>-3.8861470931134567E-2</v>
      </c>
    </row>
    <row r="66" spans="1:11" x14ac:dyDescent="0.2">
      <c r="A66" s="43"/>
      <c r="B66" s="44"/>
      <c r="C66" s="44"/>
      <c r="D66" s="44"/>
      <c r="E66" s="44"/>
      <c r="F66" s="44"/>
      <c r="G66" s="44"/>
      <c r="H66" s="44"/>
      <c r="I66" s="50"/>
      <c r="J66" s="50"/>
      <c r="K66" s="46"/>
    </row>
    <row r="67" spans="1:11" x14ac:dyDescent="0.2"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43" t="s">
        <v>68</v>
      </c>
      <c r="B68" s="44" t="s">
        <v>59</v>
      </c>
      <c r="C68" s="44" t="s">
        <v>60</v>
      </c>
      <c r="D68" s="44" t="s">
        <v>61</v>
      </c>
      <c r="E68" s="47">
        <f>[1]CURVES!L6</f>
        <v>0.6654166666666671</v>
      </c>
      <c r="F68" s="44" t="s">
        <v>43</v>
      </c>
      <c r="G68" s="44">
        <v>2.1100000000000001E-2</v>
      </c>
      <c r="H68" s="51">
        <v>1.5299999999999999E-2</v>
      </c>
      <c r="I68" s="46">
        <f>$I$5/(1-0.0153)-$I$5</f>
        <v>6.7899867980095507E-2</v>
      </c>
      <c r="J68" s="46">
        <f>SUM(G68,I68)</f>
        <v>8.8999867980095515E-2</v>
      </c>
      <c r="K68" s="52"/>
    </row>
    <row r="69" spans="1:11" x14ac:dyDescent="0.2">
      <c r="A69" s="43" t="s">
        <v>68</v>
      </c>
      <c r="B69" s="44" t="s">
        <v>59</v>
      </c>
      <c r="C69" s="44" t="s">
        <v>69</v>
      </c>
      <c r="D69" s="44" t="s">
        <v>61</v>
      </c>
      <c r="E69" s="44"/>
      <c r="F69" s="44" t="s">
        <v>43</v>
      </c>
      <c r="G69" s="44">
        <v>3.4700000000000002E-2</v>
      </c>
      <c r="H69" s="51">
        <v>3.8800000000000001E-2</v>
      </c>
      <c r="I69" s="46">
        <f>$I$5/(1-0.0388)-$I$5</f>
        <v>0.17640033291718638</v>
      </c>
      <c r="J69" s="46">
        <f>SUM(G69,I69)</f>
        <v>0.21110033291718638</v>
      </c>
      <c r="K69" s="44"/>
    </row>
    <row r="70" spans="1:11" x14ac:dyDescent="0.2">
      <c r="A70" s="43"/>
      <c r="B70" s="44"/>
      <c r="C70" s="44"/>
      <c r="D70" s="44"/>
      <c r="E70" s="44"/>
      <c r="F70" s="44"/>
      <c r="G70" s="44"/>
      <c r="H70" s="44"/>
      <c r="I70" s="54" t="s">
        <v>70</v>
      </c>
      <c r="J70" s="50">
        <f>J69-J68</f>
        <v>0.12210046493709087</v>
      </c>
      <c r="K70" s="44"/>
    </row>
    <row r="71" spans="1:11" x14ac:dyDescent="0.2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spans="1:11" x14ac:dyDescent="0.2">
      <c r="A72" s="43" t="s">
        <v>71</v>
      </c>
      <c r="B72" s="44" t="s">
        <v>59</v>
      </c>
      <c r="C72" s="44" t="s">
        <v>60</v>
      </c>
      <c r="D72" s="44" t="s">
        <v>72</v>
      </c>
      <c r="E72" s="47">
        <f>[1]CURVES!D6</f>
        <v>0.71458333333333346</v>
      </c>
      <c r="F72" s="44" t="s">
        <v>43</v>
      </c>
      <c r="G72" s="44">
        <v>2.5700000000000001E-2</v>
      </c>
      <c r="H72" s="51">
        <v>2.3699999999999999E-2</v>
      </c>
      <c r="I72" s="46">
        <f>$I$5/(1-0.0237)-$I$5</f>
        <v>0.1060831711564072</v>
      </c>
      <c r="J72" s="46">
        <f>SUM(G72,I72)</f>
        <v>0.1317831711564072</v>
      </c>
      <c r="K72" s="44"/>
    </row>
    <row r="73" spans="1:11" x14ac:dyDescent="0.2">
      <c r="A73" s="43" t="s">
        <v>71</v>
      </c>
      <c r="B73" s="44" t="s">
        <v>59</v>
      </c>
      <c r="C73" s="44" t="s">
        <v>69</v>
      </c>
      <c r="D73" s="44" t="s">
        <v>72</v>
      </c>
      <c r="E73" s="44"/>
      <c r="F73" s="44" t="s">
        <v>43</v>
      </c>
      <c r="G73" s="44">
        <v>3.9300000000000002E-2</v>
      </c>
      <c r="H73" s="51">
        <v>4.7199999999999999E-2</v>
      </c>
      <c r="I73" s="46">
        <f>$I$5/(1-0.0472)-$I$5</f>
        <v>0.21648194794290543</v>
      </c>
      <c r="J73" s="46">
        <f>SUM(G73,I73)</f>
        <v>0.25578194794290543</v>
      </c>
      <c r="K73" s="44"/>
    </row>
    <row r="74" spans="1:11" x14ac:dyDescent="0.2">
      <c r="A74" s="43"/>
      <c r="B74" s="44"/>
      <c r="C74" s="44"/>
      <c r="D74" s="44"/>
      <c r="E74" s="44"/>
      <c r="F74" s="43"/>
      <c r="G74" s="44"/>
      <c r="H74" s="44"/>
      <c r="I74" s="54" t="s">
        <v>70</v>
      </c>
      <c r="J74" s="50">
        <f>J73-J72</f>
        <v>0.12399877678649823</v>
      </c>
      <c r="K74" s="44"/>
    </row>
    <row r="75" spans="1:11" x14ac:dyDescent="0.2">
      <c r="A75" s="43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spans="1:11" x14ac:dyDescent="0.2">
      <c r="A76" s="43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spans="1:11" x14ac:dyDescent="0.2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spans="1:11" x14ac:dyDescent="0.2">
      <c r="A78" s="43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spans="1:11" x14ac:dyDescent="0.2">
      <c r="A79" s="43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spans="1:11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spans="2:11" s="43" customFormat="1" ht="12" x14ac:dyDescent="0.2"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spans="2:11" s="43" customFormat="1" ht="12" x14ac:dyDescent="0.2"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spans="2:11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2:11" ht="15" x14ac:dyDescent="0.25">
      <c r="B84" s="53"/>
      <c r="C84" s="53"/>
      <c r="D84" s="53"/>
      <c r="E84" s="55" t="s">
        <v>73</v>
      </c>
      <c r="F84" s="53"/>
      <c r="G84" s="53"/>
      <c r="H84" s="53"/>
      <c r="I84" s="53"/>
      <c r="J84" s="53"/>
      <c r="K84" s="53"/>
    </row>
    <row r="85" spans="2:1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2:11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2:11" x14ac:dyDescent="0.2">
      <c r="B87" s="53"/>
      <c r="C87" s="53"/>
      <c r="D87" s="53"/>
      <c r="E87" s="56" t="s">
        <v>74</v>
      </c>
      <c r="F87" s="53"/>
      <c r="G87" s="53"/>
      <c r="H87" s="53"/>
      <c r="I87" s="53"/>
      <c r="J87" s="53"/>
      <c r="K87" s="53"/>
    </row>
    <row r="88" spans="2:11" x14ac:dyDescent="0.2">
      <c r="B88" s="53" t="s">
        <v>59</v>
      </c>
      <c r="C88" s="53" t="s">
        <v>75</v>
      </c>
      <c r="D88" s="53" t="s">
        <v>76</v>
      </c>
      <c r="E88" s="57">
        <f>[1]CURVES!H6</f>
        <v>4.0808333333333308E-2</v>
      </c>
      <c r="F88" s="53"/>
      <c r="G88" s="53"/>
      <c r="H88" s="53"/>
      <c r="I88" s="53"/>
      <c r="J88" s="53"/>
      <c r="K88" s="53"/>
    </row>
    <row r="89" spans="2:11" x14ac:dyDescent="0.2">
      <c r="B89" s="53"/>
      <c r="C89" s="53"/>
      <c r="D89" s="53"/>
      <c r="E89" s="57"/>
      <c r="F89" s="53"/>
      <c r="G89" s="53"/>
      <c r="H89" s="53"/>
      <c r="I89" s="53"/>
      <c r="J89" s="53"/>
      <c r="K89" s="53"/>
    </row>
    <row r="90" spans="2:11" x14ac:dyDescent="0.2">
      <c r="B90" s="53"/>
      <c r="C90" s="53"/>
      <c r="D90" s="53"/>
      <c r="E90" s="57"/>
      <c r="F90" s="53"/>
      <c r="G90" s="53"/>
      <c r="H90" s="53"/>
      <c r="I90" s="53"/>
      <c r="J90" s="53"/>
      <c r="K90" s="53"/>
    </row>
    <row r="91" spans="2:11" ht="51" x14ac:dyDescent="0.2">
      <c r="B91" s="53"/>
      <c r="C91" s="53"/>
      <c r="D91" s="53"/>
      <c r="E91" s="56" t="s">
        <v>77</v>
      </c>
      <c r="F91" s="53"/>
      <c r="G91" s="53"/>
      <c r="H91" s="53"/>
      <c r="I91" s="53"/>
      <c r="J91" s="53"/>
      <c r="K91" s="58" t="s">
        <v>78</v>
      </c>
    </row>
    <row r="92" spans="2:11" x14ac:dyDescent="0.2">
      <c r="B92" s="53" t="s">
        <v>59</v>
      </c>
      <c r="C92" s="53" t="s">
        <v>60</v>
      </c>
      <c r="D92" s="53" t="s">
        <v>61</v>
      </c>
      <c r="E92" s="57">
        <f>[1]CURVES!L6</f>
        <v>0.6654166666666671</v>
      </c>
      <c r="F92" s="53" t="s">
        <v>79</v>
      </c>
      <c r="G92" s="53">
        <v>2.1100000000000001E-2</v>
      </c>
      <c r="H92" s="59">
        <v>1.5299999999999999E-2</v>
      </c>
      <c r="I92" s="60">
        <f>$I$5/(1-0.0153)-$I$5</f>
        <v>6.7899867980095507E-2</v>
      </c>
      <c r="J92" s="60">
        <f>SUM(G92,I92)</f>
        <v>8.8999867980095515E-2</v>
      </c>
      <c r="K92" s="61">
        <f>E92-J92</f>
        <v>0.57641679868657159</v>
      </c>
    </row>
    <row r="93" spans="2:11" x14ac:dyDescent="0.2">
      <c r="B93" s="53" t="s">
        <v>59</v>
      </c>
      <c r="C93" s="53" t="s">
        <v>60</v>
      </c>
      <c r="D93" s="53" t="s">
        <v>80</v>
      </c>
      <c r="E93" s="57">
        <f>[1]CURVES!D6</f>
        <v>0.71458333333333346</v>
      </c>
      <c r="F93" s="53" t="s">
        <v>81</v>
      </c>
      <c r="G93" s="53">
        <v>2.5700000000000001E-2</v>
      </c>
      <c r="H93" s="59">
        <v>2.3699999999999999E-2</v>
      </c>
      <c r="I93" s="60">
        <f>$I$5/(1-0.0237)-$I$5</f>
        <v>0.1060831711564072</v>
      </c>
      <c r="J93" s="60">
        <f>SUM(G93,I93)</f>
        <v>0.1317831711564072</v>
      </c>
      <c r="K93" s="62">
        <f>E93-J93</f>
        <v>0.58280016217692632</v>
      </c>
    </row>
    <row r="94" spans="2:11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2:11" x14ac:dyDescent="0.2">
      <c r="B95" s="53" t="s">
        <v>63</v>
      </c>
      <c r="C95" s="53" t="s">
        <v>64</v>
      </c>
      <c r="D95" s="53" t="s">
        <v>61</v>
      </c>
      <c r="E95" s="53"/>
      <c r="F95" s="53"/>
      <c r="G95" s="53"/>
      <c r="H95" s="53"/>
      <c r="I95" s="53" t="s">
        <v>82</v>
      </c>
      <c r="J95" s="53">
        <v>0.25</v>
      </c>
      <c r="K95" s="53"/>
    </row>
    <row r="96" spans="2:11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2:11" x14ac:dyDescent="0.2">
      <c r="B97" s="53"/>
      <c r="C97" s="53"/>
      <c r="D97" s="53"/>
      <c r="E97" s="53"/>
      <c r="F97" s="63"/>
      <c r="G97" s="64"/>
      <c r="H97" s="64" t="s">
        <v>86</v>
      </c>
      <c r="I97" s="65" t="s">
        <v>86</v>
      </c>
      <c r="J97" s="53"/>
      <c r="K97" s="53"/>
    </row>
    <row r="98" spans="2:11" x14ac:dyDescent="0.2">
      <c r="B98" s="53" t="s">
        <v>83</v>
      </c>
      <c r="C98" s="53" t="s">
        <v>84</v>
      </c>
      <c r="D98" s="53" t="s">
        <v>85</v>
      </c>
      <c r="E98" s="53"/>
      <c r="F98" s="66"/>
      <c r="G98" s="53" t="s">
        <v>89</v>
      </c>
      <c r="H98" s="67" t="s">
        <v>90</v>
      </c>
      <c r="I98" s="68" t="s">
        <v>91</v>
      </c>
      <c r="J98" s="53"/>
      <c r="K98" s="53"/>
    </row>
    <row r="99" spans="2:11" x14ac:dyDescent="0.2">
      <c r="B99" s="53" t="s">
        <v>87</v>
      </c>
      <c r="C99" s="53" t="s">
        <v>83</v>
      </c>
      <c r="D99" s="53" t="s">
        <v>88</v>
      </c>
      <c r="E99" s="53"/>
      <c r="F99" s="66" t="s">
        <v>92</v>
      </c>
      <c r="G99" s="53" t="s">
        <v>93</v>
      </c>
      <c r="H99" s="53">
        <v>0.186</v>
      </c>
      <c r="I99" s="69">
        <v>0.12039999999999999</v>
      </c>
      <c r="J99" s="53"/>
      <c r="K99" s="53"/>
    </row>
    <row r="100" spans="2:11" x14ac:dyDescent="0.2">
      <c r="B100" s="53"/>
      <c r="C100" s="53"/>
      <c r="D100" s="53"/>
      <c r="E100" s="53"/>
      <c r="F100" s="70"/>
      <c r="G100" s="71" t="s">
        <v>94</v>
      </c>
      <c r="H100" s="71"/>
      <c r="I100" s="72">
        <f>H99-I99</f>
        <v>6.5600000000000006E-2</v>
      </c>
      <c r="J100" s="53"/>
    </row>
    <row r="102" spans="2:11" x14ac:dyDescent="0.2">
      <c r="F102" s="63"/>
      <c r="G102" s="64"/>
      <c r="H102" s="64" t="s">
        <v>86</v>
      </c>
      <c r="I102" s="65" t="s">
        <v>86</v>
      </c>
    </row>
    <row r="103" spans="2:11" x14ac:dyDescent="0.2">
      <c r="F103" s="66"/>
      <c r="G103" s="53" t="s">
        <v>89</v>
      </c>
      <c r="H103" s="67" t="s">
        <v>95</v>
      </c>
      <c r="I103" s="68" t="s">
        <v>96</v>
      </c>
    </row>
    <row r="104" spans="2:11" x14ac:dyDescent="0.2">
      <c r="F104" s="66" t="s">
        <v>92</v>
      </c>
      <c r="G104" s="53" t="s">
        <v>93</v>
      </c>
      <c r="H104" s="53">
        <v>0.1502</v>
      </c>
      <c r="I104" s="69">
        <v>8.1699999999999995E-2</v>
      </c>
    </row>
    <row r="105" spans="2:11" x14ac:dyDescent="0.2">
      <c r="F105" s="70"/>
      <c r="G105" s="71" t="s">
        <v>94</v>
      </c>
      <c r="H105" s="71"/>
      <c r="I105" s="72">
        <f>H104-I104</f>
        <v>6.8500000000000005E-2</v>
      </c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topLeftCell="A2" workbookViewId="0">
      <selection activeCell="K11" sqref="K11"/>
    </sheetView>
  </sheetViews>
  <sheetFormatPr defaultRowHeight="12.75" x14ac:dyDescent="0.2"/>
  <cols>
    <col min="1" max="1" width="3.28515625" customWidth="1"/>
    <col min="2" max="2" width="10" bestFit="1" customWidth="1"/>
    <col min="3" max="3" width="9.140625" style="31"/>
    <col min="4" max="7" width="9.140625" style="2"/>
    <col min="8" max="8" width="5.42578125" customWidth="1"/>
    <col min="10" max="10" width="8.42578125" customWidth="1"/>
    <col min="11" max="11" width="8.7109375" customWidth="1"/>
    <col min="12" max="12" width="3.85546875" customWidth="1"/>
  </cols>
  <sheetData>
    <row r="1" spans="2:11" x14ac:dyDescent="0.2">
      <c r="B1" s="1" t="s">
        <v>128</v>
      </c>
    </row>
    <row r="2" spans="2:11" x14ac:dyDescent="0.2">
      <c r="F2" s="77">
        <f>+J11</f>
        <v>0.42269500000000004</v>
      </c>
      <c r="G2" s="78">
        <f>+K11</f>
        <v>0.40303</v>
      </c>
    </row>
    <row r="3" spans="2:11" x14ac:dyDescent="0.2">
      <c r="B3" s="1" t="s">
        <v>129</v>
      </c>
      <c r="C3" s="79">
        <v>0.8</v>
      </c>
      <c r="D3" s="79">
        <v>0.2</v>
      </c>
      <c r="E3" s="79">
        <f>+D3+C3</f>
        <v>1</v>
      </c>
      <c r="F3" s="80" t="s">
        <v>130</v>
      </c>
      <c r="G3" s="80" t="s">
        <v>131</v>
      </c>
    </row>
    <row r="4" spans="2:11" x14ac:dyDescent="0.2">
      <c r="B4" t="s">
        <v>132</v>
      </c>
      <c r="C4" s="81">
        <v>0.22500000000000001</v>
      </c>
      <c r="D4" s="82">
        <v>0.22500000000000001</v>
      </c>
      <c r="E4" s="83">
        <f>+($C$3*C4)+($D$3*D4)</f>
        <v>0.22500000000000003</v>
      </c>
      <c r="F4" s="84">
        <f>+$F$2-E4</f>
        <v>0.19769500000000001</v>
      </c>
      <c r="G4" s="85">
        <f>+$G$2-E4</f>
        <v>0.17802999999999997</v>
      </c>
      <c r="J4" t="s">
        <v>133</v>
      </c>
      <c r="K4" t="s">
        <v>134</v>
      </c>
    </row>
    <row r="5" spans="2:11" x14ac:dyDescent="0.2">
      <c r="B5" t="s">
        <v>135</v>
      </c>
      <c r="C5" s="86">
        <v>0.22500000000000001</v>
      </c>
      <c r="D5" s="87">
        <v>0.22500000000000001</v>
      </c>
      <c r="E5" s="12">
        <f t="shared" ref="E5:E15" si="0">+($C$3*C5)+($D$3*D5)</f>
        <v>0.22500000000000003</v>
      </c>
      <c r="F5" s="88">
        <f t="shared" ref="F5:F15" si="1">+$F$2-E5</f>
        <v>0.19769500000000001</v>
      </c>
      <c r="G5" s="89">
        <f t="shared" ref="G5:G15" si="2">+$G$2-E5</f>
        <v>0.17802999999999997</v>
      </c>
      <c r="J5" s="27" t="s">
        <v>136</v>
      </c>
      <c r="K5" s="27" t="s">
        <v>137</v>
      </c>
    </row>
    <row r="6" spans="2:11" x14ac:dyDescent="0.2">
      <c r="B6" s="90" t="s">
        <v>138</v>
      </c>
      <c r="C6" s="86">
        <v>0.22500000000000001</v>
      </c>
      <c r="D6" s="87">
        <v>0.22500000000000001</v>
      </c>
      <c r="E6" s="12">
        <f t="shared" si="0"/>
        <v>0.22500000000000003</v>
      </c>
      <c r="F6" s="88">
        <f t="shared" si="1"/>
        <v>0.19769500000000001</v>
      </c>
      <c r="G6" s="89">
        <f t="shared" si="2"/>
        <v>0.17802999999999997</v>
      </c>
      <c r="I6" t="s">
        <v>139</v>
      </c>
      <c r="J6" s="91">
        <v>0.32</v>
      </c>
      <c r="K6" s="92">
        <v>0.27</v>
      </c>
    </row>
    <row r="7" spans="2:11" x14ac:dyDescent="0.2">
      <c r="B7" s="90" t="s">
        <v>140</v>
      </c>
      <c r="C7" s="93">
        <v>0.13400000000000001</v>
      </c>
      <c r="D7" s="94">
        <f>0.011+0.0004+0.004+0.0022+(4.37*0.006)+0.09</f>
        <v>0.13381999999999999</v>
      </c>
      <c r="E7" s="12">
        <f t="shared" si="0"/>
        <v>0.13396400000000003</v>
      </c>
      <c r="F7" s="88">
        <f t="shared" si="1"/>
        <v>0.28873100000000002</v>
      </c>
      <c r="G7" s="89">
        <f t="shared" si="2"/>
        <v>0.26906599999999997</v>
      </c>
      <c r="I7" t="s">
        <v>141</v>
      </c>
      <c r="J7" s="95">
        <v>2.35E-2</v>
      </c>
      <c r="K7" s="96">
        <v>1.9E-2</v>
      </c>
    </row>
    <row r="8" spans="2:11" x14ac:dyDescent="0.2">
      <c r="B8" s="90" t="s">
        <v>142</v>
      </c>
      <c r="C8" s="93">
        <v>0.13400000000000001</v>
      </c>
      <c r="D8" s="94">
        <f>0.011+0.0004+0.004+0.0022+(4.37*0.006)+0.09</f>
        <v>0.13381999999999999</v>
      </c>
      <c r="E8" s="12">
        <f t="shared" si="0"/>
        <v>0.13396400000000003</v>
      </c>
      <c r="F8" s="88">
        <f t="shared" si="1"/>
        <v>0.28873100000000002</v>
      </c>
      <c r="G8" s="89">
        <f t="shared" si="2"/>
        <v>0.26906599999999997</v>
      </c>
      <c r="I8" t="s">
        <v>143</v>
      </c>
      <c r="J8" s="97">
        <f>+J7*4.37</f>
        <v>0.10269500000000001</v>
      </c>
      <c r="K8" s="22">
        <f>+K7*4.37</f>
        <v>8.3030000000000007E-2</v>
      </c>
    </row>
    <row r="9" spans="2:11" x14ac:dyDescent="0.2">
      <c r="B9" t="s">
        <v>144</v>
      </c>
      <c r="C9" s="93">
        <v>0.13400000000000001</v>
      </c>
      <c r="D9" s="94">
        <v>0.13400000000000001</v>
      </c>
      <c r="E9" s="12">
        <f t="shared" si="0"/>
        <v>0.13400000000000001</v>
      </c>
      <c r="F9" s="88">
        <f t="shared" si="1"/>
        <v>0.28869500000000003</v>
      </c>
      <c r="G9" s="89">
        <f t="shared" si="2"/>
        <v>0.26902999999999999</v>
      </c>
      <c r="I9" t="s">
        <v>145</v>
      </c>
      <c r="J9" s="98">
        <f>+J6+J8</f>
        <v>0.42269500000000004</v>
      </c>
      <c r="K9" s="99">
        <f>+K6+K8</f>
        <v>0.35303000000000001</v>
      </c>
    </row>
    <row r="10" spans="2:11" x14ac:dyDescent="0.2">
      <c r="B10" t="s">
        <v>146</v>
      </c>
      <c r="C10" s="93">
        <v>0.13400000000000001</v>
      </c>
      <c r="D10" s="94">
        <v>0.13400000000000001</v>
      </c>
      <c r="E10" s="12">
        <f t="shared" si="0"/>
        <v>0.13400000000000001</v>
      </c>
      <c r="F10" s="88">
        <f t="shared" si="1"/>
        <v>0.28869500000000003</v>
      </c>
      <c r="G10" s="89">
        <f t="shared" si="2"/>
        <v>0.26902999999999999</v>
      </c>
      <c r="I10" t="s">
        <v>15</v>
      </c>
      <c r="J10" s="100">
        <v>0</v>
      </c>
      <c r="K10" s="101">
        <v>0.05</v>
      </c>
    </row>
    <row r="11" spans="2:11" x14ac:dyDescent="0.2">
      <c r="B11" t="s">
        <v>147</v>
      </c>
      <c r="C11" s="93">
        <v>0.13400000000000001</v>
      </c>
      <c r="D11" s="94">
        <v>0.13400000000000001</v>
      </c>
      <c r="E11" s="12">
        <f t="shared" si="0"/>
        <v>0.13400000000000001</v>
      </c>
      <c r="F11" s="88">
        <f t="shared" si="1"/>
        <v>0.28869500000000003</v>
      </c>
      <c r="G11" s="89">
        <f t="shared" si="2"/>
        <v>0.26902999999999999</v>
      </c>
      <c r="I11" t="s">
        <v>12</v>
      </c>
      <c r="J11" s="102">
        <f>+J9</f>
        <v>0.42269500000000004</v>
      </c>
      <c r="K11" s="102">
        <f>+K9+K10</f>
        <v>0.40303</v>
      </c>
    </row>
    <row r="12" spans="2:11" x14ac:dyDescent="0.2">
      <c r="B12" s="90" t="s">
        <v>148</v>
      </c>
      <c r="C12" s="93">
        <v>0.13400000000000001</v>
      </c>
      <c r="D12" s="94">
        <f>0.011+0.0004+0.004+0.0022+(4.37*0.006)+0.09</f>
        <v>0.13381999999999999</v>
      </c>
      <c r="E12" s="12">
        <f t="shared" si="0"/>
        <v>0.13396400000000003</v>
      </c>
      <c r="F12" s="88">
        <f t="shared" si="1"/>
        <v>0.28873100000000002</v>
      </c>
      <c r="G12" s="89">
        <f t="shared" si="2"/>
        <v>0.26906599999999997</v>
      </c>
    </row>
    <row r="13" spans="2:11" x14ac:dyDescent="0.2">
      <c r="B13" s="90" t="s">
        <v>149</v>
      </c>
      <c r="C13" s="93">
        <v>0.13400000000000001</v>
      </c>
      <c r="D13" s="94">
        <f>0.011+0.0004+0.004+0.0022+(4.37*0.006)+0.09</f>
        <v>0.13381999999999999</v>
      </c>
      <c r="E13" s="12">
        <f t="shared" si="0"/>
        <v>0.13396400000000003</v>
      </c>
      <c r="F13" s="88">
        <f t="shared" si="1"/>
        <v>0.28873100000000002</v>
      </c>
      <c r="G13" s="89">
        <f t="shared" si="2"/>
        <v>0.26906599999999997</v>
      </c>
    </row>
    <row r="14" spans="2:11" x14ac:dyDescent="0.2">
      <c r="B14" t="s">
        <v>150</v>
      </c>
      <c r="C14" s="86">
        <v>0.22500000000000001</v>
      </c>
      <c r="D14" s="87">
        <v>0.22500000000000001</v>
      </c>
      <c r="E14" s="12">
        <f t="shared" si="0"/>
        <v>0.22500000000000003</v>
      </c>
      <c r="F14" s="88">
        <f t="shared" si="1"/>
        <v>0.19769500000000001</v>
      </c>
      <c r="G14" s="89">
        <f t="shared" si="2"/>
        <v>0.17802999999999997</v>
      </c>
    </row>
    <row r="15" spans="2:11" x14ac:dyDescent="0.2">
      <c r="B15" t="s">
        <v>151</v>
      </c>
      <c r="C15" s="103">
        <v>0.22500000000000001</v>
      </c>
      <c r="D15" s="104">
        <v>0.22500000000000001</v>
      </c>
      <c r="E15" s="17">
        <f t="shared" si="0"/>
        <v>0.22500000000000003</v>
      </c>
      <c r="F15" s="105">
        <f t="shared" si="1"/>
        <v>0.19769500000000001</v>
      </c>
      <c r="G15" s="106">
        <f t="shared" si="2"/>
        <v>0.17802999999999997</v>
      </c>
    </row>
    <row r="16" spans="2:11" x14ac:dyDescent="0.2">
      <c r="C16" s="12"/>
      <c r="D16" s="4"/>
    </row>
    <row r="17" spans="2:13" x14ac:dyDescent="0.2">
      <c r="C17" s="12"/>
      <c r="D17" s="4" t="s">
        <v>152</v>
      </c>
      <c r="E17" s="12">
        <f>SUM(E4:E15)/12</f>
        <v>0.17190466666666668</v>
      </c>
      <c r="F17" s="77">
        <f>SUM(F4:F16)/12</f>
        <v>0.25079033333333334</v>
      </c>
      <c r="G17" s="78">
        <f>SUM(G4:G15)/12</f>
        <v>0.23112533333333332</v>
      </c>
    </row>
    <row r="19" spans="2:13" x14ac:dyDescent="0.2">
      <c r="B19" s="107" t="s">
        <v>153</v>
      </c>
      <c r="C19" s="108"/>
      <c r="D19" s="109"/>
      <c r="E19" s="109"/>
      <c r="F19" s="110"/>
      <c r="G19" s="110"/>
      <c r="H19" s="76"/>
      <c r="I19" s="76"/>
    </row>
    <row r="20" spans="2:13" x14ac:dyDescent="0.2">
      <c r="B20" s="76"/>
      <c r="C20" s="111"/>
      <c r="D20" s="111"/>
      <c r="E20" s="111"/>
      <c r="F20" s="111"/>
      <c r="G20" s="111"/>
      <c r="H20" s="76"/>
      <c r="I20" s="76"/>
    </row>
    <row r="21" spans="2:13" x14ac:dyDescent="0.2">
      <c r="B21" s="1" t="s">
        <v>154</v>
      </c>
      <c r="H21" s="76"/>
      <c r="I21" s="76"/>
      <c r="J21" s="76"/>
      <c r="K21" s="76"/>
      <c r="L21" s="76"/>
      <c r="M21" s="76"/>
    </row>
    <row r="22" spans="2:13" x14ac:dyDescent="0.2">
      <c r="F22" s="77">
        <f>+J31</f>
        <v>0.27503</v>
      </c>
      <c r="G22" s="78">
        <f>+K31</f>
        <v>0.29503000000000001</v>
      </c>
      <c r="H22" s="76"/>
      <c r="I22" s="76"/>
      <c r="J22" s="76"/>
      <c r="K22" s="76"/>
      <c r="L22" s="76"/>
      <c r="M22" s="76"/>
    </row>
    <row r="23" spans="2:13" x14ac:dyDescent="0.2">
      <c r="B23" s="1" t="s">
        <v>129</v>
      </c>
      <c r="C23" s="79">
        <v>0.8</v>
      </c>
      <c r="D23" s="79">
        <v>0.2</v>
      </c>
      <c r="E23" s="79">
        <f>+D23+C23</f>
        <v>1</v>
      </c>
      <c r="F23" s="80" t="s">
        <v>130</v>
      </c>
      <c r="G23" s="80" t="s">
        <v>131</v>
      </c>
      <c r="H23" s="76"/>
      <c r="L23" s="76"/>
      <c r="M23" s="76"/>
    </row>
    <row r="24" spans="2:13" x14ac:dyDescent="0.2">
      <c r="B24" t="s">
        <v>132</v>
      </c>
      <c r="C24" s="81">
        <v>0.22500000000000001</v>
      </c>
      <c r="D24" s="82">
        <v>0.22500000000000001</v>
      </c>
      <c r="E24" s="83">
        <f>+($C$3*C24)+($D$3*D24)</f>
        <v>0.22500000000000003</v>
      </c>
      <c r="F24" s="112">
        <f>+$F$22-E24</f>
        <v>5.0029999999999963E-2</v>
      </c>
      <c r="G24" s="85">
        <f>+$G$22-E24</f>
        <v>7.0029999999999981E-2</v>
      </c>
      <c r="H24" s="76"/>
      <c r="I24" s="76"/>
      <c r="J24" t="s">
        <v>155</v>
      </c>
      <c r="L24" s="76"/>
      <c r="M24" s="76"/>
    </row>
    <row r="25" spans="2:13" x14ac:dyDescent="0.2">
      <c r="B25" t="s">
        <v>135</v>
      </c>
      <c r="C25" s="86">
        <v>0.22500000000000001</v>
      </c>
      <c r="D25" s="87">
        <v>0.22500000000000001</v>
      </c>
      <c r="E25" s="12">
        <f t="shared" ref="E25:E35" si="3">+($C$3*C25)+($D$3*D25)</f>
        <v>0.22500000000000003</v>
      </c>
      <c r="F25" s="113">
        <f t="shared" ref="F25:F35" si="4">+$F$22-E25</f>
        <v>5.0029999999999963E-2</v>
      </c>
      <c r="G25" s="89">
        <f t="shared" ref="G25:G35" si="5">+$G$22-E25</f>
        <v>7.0029999999999981E-2</v>
      </c>
      <c r="H25" s="76"/>
      <c r="I25" s="76"/>
      <c r="J25" t="s">
        <v>156</v>
      </c>
      <c r="K25" t="s">
        <v>157</v>
      </c>
      <c r="L25" s="76"/>
      <c r="M25" s="76"/>
    </row>
    <row r="26" spans="2:13" x14ac:dyDescent="0.2">
      <c r="B26" s="90" t="s">
        <v>138</v>
      </c>
      <c r="C26" s="86">
        <v>0.22500000000000001</v>
      </c>
      <c r="D26" s="87">
        <v>0.22500000000000001</v>
      </c>
      <c r="E26" s="12">
        <f t="shared" si="3"/>
        <v>0.22500000000000003</v>
      </c>
      <c r="F26" s="113">
        <f t="shared" si="4"/>
        <v>5.0029999999999963E-2</v>
      </c>
      <c r="G26" s="89">
        <f t="shared" si="5"/>
        <v>7.0029999999999981E-2</v>
      </c>
      <c r="H26" s="76"/>
      <c r="I26" t="s">
        <v>139</v>
      </c>
      <c r="J26" s="114">
        <v>0.192</v>
      </c>
      <c r="K26" s="115">
        <v>0.16200000000000001</v>
      </c>
      <c r="L26" s="76"/>
      <c r="M26" s="76"/>
    </row>
    <row r="27" spans="2:13" x14ac:dyDescent="0.2">
      <c r="B27" s="90" t="s">
        <v>140</v>
      </c>
      <c r="C27" s="93">
        <v>0.13400000000000001</v>
      </c>
      <c r="D27" s="94">
        <f>0.011+0.0004+0.004+0.0022+(4.37*0.006)+0.09</f>
        <v>0.13381999999999999</v>
      </c>
      <c r="E27" s="12">
        <f t="shared" si="3"/>
        <v>0.13396400000000003</v>
      </c>
      <c r="F27" s="113">
        <f t="shared" si="4"/>
        <v>0.14106599999999997</v>
      </c>
      <c r="G27" s="89">
        <f t="shared" si="5"/>
        <v>0.16106599999999999</v>
      </c>
      <c r="H27" s="76"/>
      <c r="I27" t="s">
        <v>141</v>
      </c>
      <c r="J27" s="116">
        <v>1.9E-2</v>
      </c>
      <c r="K27" s="117">
        <v>1.9E-2</v>
      </c>
      <c r="L27" s="76"/>
      <c r="M27" s="76"/>
    </row>
    <row r="28" spans="2:13" x14ac:dyDescent="0.2">
      <c r="B28" s="90" t="s">
        <v>142</v>
      </c>
      <c r="C28" s="93">
        <v>0.13400000000000001</v>
      </c>
      <c r="D28" s="94">
        <f>0.011+0.0004+0.004+0.0022+(4.37*0.006)+0.09</f>
        <v>0.13381999999999999</v>
      </c>
      <c r="E28" s="12">
        <f t="shared" si="3"/>
        <v>0.13396400000000003</v>
      </c>
      <c r="F28" s="113">
        <f t="shared" si="4"/>
        <v>0.14106599999999997</v>
      </c>
      <c r="G28" s="89">
        <f t="shared" si="5"/>
        <v>0.16106599999999999</v>
      </c>
      <c r="H28" s="76"/>
      <c r="I28" t="s">
        <v>143</v>
      </c>
      <c r="J28" s="97">
        <f>+J27*4.37</f>
        <v>8.3030000000000007E-2</v>
      </c>
      <c r="K28" s="22">
        <f>+K27*4.37</f>
        <v>8.3030000000000007E-2</v>
      </c>
      <c r="L28" s="76"/>
      <c r="M28" s="76"/>
    </row>
    <row r="29" spans="2:13" x14ac:dyDescent="0.2">
      <c r="B29" t="s">
        <v>144</v>
      </c>
      <c r="C29" s="93">
        <v>0.13400000000000001</v>
      </c>
      <c r="D29" s="94">
        <v>0.13400000000000001</v>
      </c>
      <c r="E29" s="12">
        <f t="shared" si="3"/>
        <v>0.13400000000000001</v>
      </c>
      <c r="F29" s="113">
        <f t="shared" si="4"/>
        <v>0.14102999999999999</v>
      </c>
      <c r="G29" s="89">
        <f t="shared" si="5"/>
        <v>0.16103000000000001</v>
      </c>
      <c r="H29" s="76"/>
      <c r="I29" t="s">
        <v>145</v>
      </c>
      <c r="J29" s="98">
        <f>+J26+J28</f>
        <v>0.27503</v>
      </c>
      <c r="K29" s="99">
        <f>+K26+K28</f>
        <v>0.24503000000000003</v>
      </c>
      <c r="L29" s="76"/>
      <c r="M29" s="76"/>
    </row>
    <row r="30" spans="2:13" x14ac:dyDescent="0.2">
      <c r="B30" t="s">
        <v>146</v>
      </c>
      <c r="C30" s="93">
        <v>0.13400000000000001</v>
      </c>
      <c r="D30" s="94">
        <v>0.13400000000000001</v>
      </c>
      <c r="E30" s="12">
        <f t="shared" si="3"/>
        <v>0.13400000000000001</v>
      </c>
      <c r="F30" s="113">
        <f t="shared" si="4"/>
        <v>0.14102999999999999</v>
      </c>
      <c r="G30" s="89">
        <f t="shared" si="5"/>
        <v>0.16103000000000001</v>
      </c>
      <c r="H30" s="76"/>
      <c r="I30" t="s">
        <v>15</v>
      </c>
      <c r="J30" s="100">
        <v>0</v>
      </c>
      <c r="K30" s="101">
        <v>0.05</v>
      </c>
      <c r="L30" s="76"/>
      <c r="M30" s="76"/>
    </row>
    <row r="31" spans="2:13" x14ac:dyDescent="0.2">
      <c r="B31" t="s">
        <v>147</v>
      </c>
      <c r="C31" s="93">
        <v>0.13400000000000001</v>
      </c>
      <c r="D31" s="94">
        <v>0.13400000000000001</v>
      </c>
      <c r="E31" s="12">
        <f t="shared" si="3"/>
        <v>0.13400000000000001</v>
      </c>
      <c r="F31" s="113">
        <f t="shared" si="4"/>
        <v>0.14102999999999999</v>
      </c>
      <c r="G31" s="89">
        <f t="shared" si="5"/>
        <v>0.16103000000000001</v>
      </c>
      <c r="H31" s="76"/>
      <c r="I31" t="s">
        <v>12</v>
      </c>
      <c r="J31" s="102">
        <f>+J29</f>
        <v>0.27503</v>
      </c>
      <c r="K31" s="102">
        <f>+K29+K30</f>
        <v>0.29503000000000001</v>
      </c>
      <c r="L31" s="76"/>
      <c r="M31" s="76"/>
    </row>
    <row r="32" spans="2:13" x14ac:dyDescent="0.2">
      <c r="B32" s="90" t="s">
        <v>148</v>
      </c>
      <c r="C32" s="93">
        <v>0.13400000000000001</v>
      </c>
      <c r="D32" s="94">
        <f>0.011+0.0004+0.004+0.0022+(4.37*0.006)+0.09</f>
        <v>0.13381999999999999</v>
      </c>
      <c r="E32" s="12">
        <f t="shared" si="3"/>
        <v>0.13396400000000003</v>
      </c>
      <c r="F32" s="113">
        <f t="shared" si="4"/>
        <v>0.14106599999999997</v>
      </c>
      <c r="G32" s="89">
        <f t="shared" si="5"/>
        <v>0.16106599999999999</v>
      </c>
      <c r="H32" s="76"/>
      <c r="I32" s="76"/>
      <c r="J32" s="76"/>
      <c r="K32" s="76"/>
      <c r="L32" s="76"/>
      <c r="M32" s="76"/>
    </row>
    <row r="33" spans="2:13" x14ac:dyDescent="0.2">
      <c r="B33" s="90" t="s">
        <v>149</v>
      </c>
      <c r="C33" s="93">
        <v>0.13400000000000001</v>
      </c>
      <c r="D33" s="94">
        <f>0.011+0.0004+0.004+0.0022+(4.37*0.006)+0.09</f>
        <v>0.13381999999999999</v>
      </c>
      <c r="E33" s="12">
        <f t="shared" si="3"/>
        <v>0.13396400000000003</v>
      </c>
      <c r="F33" s="113">
        <f t="shared" si="4"/>
        <v>0.14106599999999997</v>
      </c>
      <c r="G33" s="89">
        <f t="shared" si="5"/>
        <v>0.16106599999999999</v>
      </c>
      <c r="H33" s="76"/>
      <c r="I33" s="76"/>
      <c r="J33" s="76"/>
      <c r="K33" s="76"/>
      <c r="L33" s="76"/>
      <c r="M33" s="76"/>
    </row>
    <row r="34" spans="2:13" x14ac:dyDescent="0.2">
      <c r="B34" t="s">
        <v>150</v>
      </c>
      <c r="C34" s="86">
        <v>0.22500000000000001</v>
      </c>
      <c r="D34" s="87">
        <v>0.22500000000000001</v>
      </c>
      <c r="E34" s="12">
        <f t="shared" si="3"/>
        <v>0.22500000000000003</v>
      </c>
      <c r="F34" s="113">
        <f t="shared" si="4"/>
        <v>5.0029999999999963E-2</v>
      </c>
      <c r="G34" s="89">
        <f t="shared" si="5"/>
        <v>7.0029999999999981E-2</v>
      </c>
      <c r="H34" s="76"/>
      <c r="I34" s="76"/>
      <c r="J34" s="76"/>
      <c r="K34" s="76"/>
      <c r="L34" s="76"/>
      <c r="M34" s="76"/>
    </row>
    <row r="35" spans="2:13" x14ac:dyDescent="0.2">
      <c r="B35" t="s">
        <v>151</v>
      </c>
      <c r="C35" s="103">
        <v>0.22500000000000001</v>
      </c>
      <c r="D35" s="104">
        <v>0.22500000000000001</v>
      </c>
      <c r="E35" s="17">
        <f t="shared" si="3"/>
        <v>0.22500000000000003</v>
      </c>
      <c r="F35" s="118">
        <f t="shared" si="4"/>
        <v>5.0029999999999963E-2</v>
      </c>
      <c r="G35" s="106">
        <f t="shared" si="5"/>
        <v>7.0029999999999981E-2</v>
      </c>
      <c r="H35" s="76"/>
      <c r="I35" s="76"/>
      <c r="J35" s="76"/>
      <c r="K35" s="76"/>
      <c r="L35" s="76"/>
      <c r="M35" s="76"/>
    </row>
    <row r="36" spans="2:13" x14ac:dyDescent="0.2">
      <c r="C36" s="12"/>
      <c r="D36" s="4"/>
      <c r="H36" s="76"/>
      <c r="I36" s="76"/>
      <c r="J36" s="76"/>
      <c r="K36" s="76"/>
      <c r="L36" s="76"/>
      <c r="M36" s="76"/>
    </row>
    <row r="37" spans="2:13" x14ac:dyDescent="0.2">
      <c r="C37" s="12"/>
      <c r="D37" s="4" t="s">
        <v>152</v>
      </c>
      <c r="E37" s="12">
        <f>SUM(E24:E35)/12</f>
        <v>0.17190466666666668</v>
      </c>
      <c r="F37" s="77">
        <f>SUM(F24:F36)/12</f>
        <v>0.1031253333333333</v>
      </c>
      <c r="G37" s="78">
        <f>SUM(G24:G35)/12</f>
        <v>0.12312533333333332</v>
      </c>
      <c r="H37" s="76"/>
      <c r="I37" s="76"/>
      <c r="J37" s="76"/>
      <c r="K37" s="76"/>
      <c r="L37" s="76"/>
      <c r="M37" s="76"/>
    </row>
    <row r="39" spans="2:13" x14ac:dyDescent="0.2">
      <c r="B39" s="107"/>
      <c r="C39" s="108"/>
      <c r="D39" s="109"/>
      <c r="E39" s="109"/>
      <c r="F39" s="110"/>
      <c r="G39" s="110"/>
    </row>
    <row r="40" spans="2:13" x14ac:dyDescent="0.2">
      <c r="G40" s="4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zoomScale="85" workbookViewId="0">
      <selection activeCell="C14" sqref="C14"/>
    </sheetView>
  </sheetViews>
  <sheetFormatPr defaultRowHeight="12.75" x14ac:dyDescent="0.2"/>
  <cols>
    <col min="1" max="1" width="2.140625" bestFit="1" customWidth="1"/>
    <col min="2" max="2" width="20.28515625" customWidth="1"/>
    <col min="3" max="3" width="19.140625" bestFit="1" customWidth="1"/>
    <col min="4" max="4" width="3.28515625" customWidth="1"/>
    <col min="5" max="5" width="24.140625" customWidth="1"/>
    <col min="6" max="6" width="19.7109375" style="2" customWidth="1"/>
    <col min="7" max="7" width="9.28515625" bestFit="1" customWidth="1"/>
    <col min="8" max="8" width="8" style="2" bestFit="1" customWidth="1"/>
    <col min="9" max="9" width="12" style="2" bestFit="1" customWidth="1"/>
    <col min="10" max="10" width="14" style="2" customWidth="1"/>
    <col min="11" max="11" width="9.28515625" bestFit="1" customWidth="1"/>
  </cols>
  <sheetData>
    <row r="2" spans="2:11" x14ac:dyDescent="0.2">
      <c r="B2" s="1"/>
    </row>
    <row r="3" spans="2:11" x14ac:dyDescent="0.2">
      <c r="B3" s="1" t="s">
        <v>158</v>
      </c>
      <c r="E3" s="1" t="s">
        <v>163</v>
      </c>
    </row>
    <row r="4" spans="2:11" x14ac:dyDescent="0.2">
      <c r="G4" s="3"/>
      <c r="H4" s="4"/>
      <c r="I4" s="4"/>
      <c r="J4" s="4"/>
      <c r="K4" s="3"/>
    </row>
    <row r="5" spans="2:11" x14ac:dyDescent="0.2">
      <c r="B5" s="125" t="s">
        <v>4</v>
      </c>
      <c r="C5" s="126" t="s">
        <v>159</v>
      </c>
      <c r="D5" s="3"/>
      <c r="E5" s="138" t="s">
        <v>4</v>
      </c>
      <c r="F5" s="139" t="s">
        <v>161</v>
      </c>
      <c r="G5" s="3"/>
      <c r="H5" s="4"/>
      <c r="I5" s="5"/>
      <c r="J5" s="5"/>
      <c r="K5" s="3"/>
    </row>
    <row r="6" spans="2:11" x14ac:dyDescent="0.2">
      <c r="B6" s="127"/>
      <c r="C6" s="128"/>
      <c r="D6" s="3"/>
      <c r="E6" s="140"/>
      <c r="F6" s="141"/>
      <c r="G6" s="3"/>
      <c r="H6" s="4"/>
      <c r="I6" s="4"/>
      <c r="J6" s="4"/>
      <c r="K6" s="3"/>
    </row>
    <row r="7" spans="2:11" x14ac:dyDescent="0.2">
      <c r="B7" s="127" t="s">
        <v>9</v>
      </c>
      <c r="C7" s="150">
        <f>7/(30.4166666666667)</f>
        <v>0.23013698630136986</v>
      </c>
      <c r="E7" s="140" t="s">
        <v>9</v>
      </c>
      <c r="F7" s="142">
        <f>10.79/30.2</f>
        <v>0.35728476821192051</v>
      </c>
      <c r="G7" s="13"/>
      <c r="H7" s="12"/>
      <c r="I7" s="4"/>
      <c r="J7" s="4"/>
      <c r="K7" s="123"/>
    </row>
    <row r="8" spans="2:11" x14ac:dyDescent="0.2">
      <c r="B8" s="127" t="s">
        <v>11</v>
      </c>
      <c r="C8" s="129">
        <f>0.022+0.0004+0.004+0.0022</f>
        <v>2.86E-2</v>
      </c>
      <c r="E8" s="140" t="s">
        <v>11</v>
      </c>
      <c r="F8" s="142">
        <f>0.022+0.0004+0.004+0.0022</f>
        <v>2.86E-2</v>
      </c>
      <c r="G8" s="13"/>
      <c r="H8" s="12"/>
      <c r="I8" s="4"/>
      <c r="J8" s="4"/>
      <c r="K8" s="123"/>
    </row>
    <row r="9" spans="2:11" x14ac:dyDescent="0.2">
      <c r="B9" s="130" t="s">
        <v>116</v>
      </c>
      <c r="C9" s="131">
        <f>4.37*0.023</f>
        <v>0.10051</v>
      </c>
      <c r="E9" s="143" t="s">
        <v>97</v>
      </c>
      <c r="F9" s="106">
        <f>4.37*0.026</f>
        <v>0.11362</v>
      </c>
      <c r="G9" s="21"/>
      <c r="H9" s="12"/>
      <c r="I9" s="4"/>
      <c r="J9" s="4"/>
      <c r="K9" s="12"/>
    </row>
    <row r="10" spans="2:11" x14ac:dyDescent="0.2">
      <c r="B10" s="132" t="s">
        <v>12</v>
      </c>
      <c r="C10" s="133">
        <f>SUM(C7:C9)</f>
        <v>0.35924698630136986</v>
      </c>
      <c r="E10" s="144" t="s">
        <v>12</v>
      </c>
      <c r="F10" s="145">
        <f>SUM(F7:F9)</f>
        <v>0.49950476821192052</v>
      </c>
      <c r="G10" s="3"/>
      <c r="H10" s="4"/>
      <c r="I10" s="4"/>
      <c r="J10" s="4"/>
      <c r="K10" s="3"/>
    </row>
    <row r="11" spans="2:11" x14ac:dyDescent="0.2">
      <c r="B11" s="127" t="s">
        <v>13</v>
      </c>
      <c r="C11" s="134">
        <v>1</v>
      </c>
      <c r="E11" s="140" t="s">
        <v>13</v>
      </c>
      <c r="F11" s="146">
        <v>0.8</v>
      </c>
      <c r="G11" s="3"/>
      <c r="H11" s="4"/>
      <c r="I11" s="4"/>
      <c r="J11" s="4"/>
      <c r="K11" s="3"/>
    </row>
    <row r="12" spans="2:11" x14ac:dyDescent="0.2">
      <c r="B12" s="127" t="s">
        <v>14</v>
      </c>
      <c r="C12" s="129">
        <f>(+C7/C11)+C8+C9</f>
        <v>0.35924698630136986</v>
      </c>
      <c r="E12" s="140" t="s">
        <v>14</v>
      </c>
      <c r="F12" s="142">
        <f>(+F7/0.8)+F8+F9</f>
        <v>0.58882596026490064</v>
      </c>
    </row>
    <row r="13" spans="2:11" x14ac:dyDescent="0.2">
      <c r="B13" s="127" t="s">
        <v>15</v>
      </c>
      <c r="C13" s="135">
        <v>0.06</v>
      </c>
      <c r="E13" s="140" t="s">
        <v>15</v>
      </c>
      <c r="F13" s="147">
        <v>0.05</v>
      </c>
    </row>
    <row r="14" spans="2:11" x14ac:dyDescent="0.2">
      <c r="B14" s="127" t="s">
        <v>16</v>
      </c>
      <c r="C14" s="136">
        <f>+C12+C13</f>
        <v>0.41924698630136986</v>
      </c>
      <c r="E14" s="140" t="s">
        <v>16</v>
      </c>
      <c r="F14" s="148">
        <f>+F12+F13</f>
        <v>0.63882596026490068</v>
      </c>
    </row>
    <row r="15" spans="2:11" ht="13.5" thickBot="1" x14ac:dyDescent="0.25">
      <c r="B15" s="127" t="s">
        <v>160</v>
      </c>
      <c r="C15" s="135">
        <v>0.14000000000000001</v>
      </c>
      <c r="E15" s="140" t="s">
        <v>160</v>
      </c>
      <c r="F15" s="147">
        <v>0.14000000000000001</v>
      </c>
    </row>
    <row r="16" spans="2:11" ht="13.5" thickBot="1" x14ac:dyDescent="0.25">
      <c r="B16" s="130" t="s">
        <v>164</v>
      </c>
      <c r="C16" s="137">
        <f>+C14-C15</f>
        <v>0.27924698630136985</v>
      </c>
      <c r="E16" s="143" t="s">
        <v>164</v>
      </c>
      <c r="F16" s="149">
        <f>+F14-F15</f>
        <v>0.49882596026490067</v>
      </c>
    </row>
    <row r="17" spans="2:12" x14ac:dyDescent="0.2">
      <c r="B17" s="3"/>
      <c r="C17" s="12"/>
      <c r="D17" s="3"/>
      <c r="E17" s="3"/>
      <c r="F17" s="12"/>
    </row>
    <row r="18" spans="2:12" x14ac:dyDescent="0.2">
      <c r="B18" s="76" t="s">
        <v>166</v>
      </c>
      <c r="C18" s="12"/>
      <c r="D18" s="3"/>
      <c r="E18" s="3"/>
      <c r="F18" s="12"/>
    </row>
    <row r="19" spans="2:12" x14ac:dyDescent="0.2">
      <c r="B19" s="4"/>
      <c r="C19" s="4"/>
      <c r="D19" s="3"/>
      <c r="E19" s="4"/>
      <c r="F19" s="4"/>
    </row>
    <row r="20" spans="2:12" x14ac:dyDescent="0.2">
      <c r="B20" s="124" t="s">
        <v>162</v>
      </c>
      <c r="C20" s="12"/>
      <c r="D20" s="3"/>
      <c r="E20" s="3"/>
      <c r="F20" s="12"/>
    </row>
    <row r="21" spans="2:12" x14ac:dyDescent="0.2">
      <c r="B21" s="76" t="s">
        <v>165</v>
      </c>
      <c r="E21" s="3"/>
      <c r="F21" s="4"/>
    </row>
    <row r="22" spans="2:12" x14ac:dyDescent="0.2">
      <c r="E22" s="3"/>
      <c r="F22" s="4"/>
    </row>
    <row r="23" spans="2:12" x14ac:dyDescent="0.2">
      <c r="B23" s="32"/>
    </row>
    <row r="24" spans="2:12" x14ac:dyDescent="0.2">
      <c r="B24" s="33"/>
      <c r="C24" s="33"/>
      <c r="D24" s="33"/>
      <c r="E24" s="33"/>
      <c r="F24" s="34"/>
      <c r="G24" s="33"/>
      <c r="H24" s="34"/>
      <c r="I24" s="34"/>
      <c r="J24" s="34"/>
      <c r="K24" s="33"/>
      <c r="L24" s="33"/>
    </row>
    <row r="25" spans="2:12" x14ac:dyDescent="0.2">
      <c r="B25" s="33"/>
      <c r="C25" s="33"/>
      <c r="D25" s="33"/>
      <c r="E25" s="33"/>
      <c r="F25" s="34"/>
      <c r="G25" s="33"/>
      <c r="H25" s="34"/>
      <c r="I25" s="34"/>
      <c r="J25" s="34"/>
      <c r="K25" s="33"/>
      <c r="L25" s="33"/>
    </row>
    <row r="26" spans="2:12" x14ac:dyDescent="0.2">
      <c r="B26" s="33"/>
      <c r="C26" s="33"/>
      <c r="D26" s="33"/>
      <c r="E26" s="33"/>
      <c r="F26" s="34"/>
      <c r="G26" s="33"/>
      <c r="H26" s="34"/>
      <c r="I26" s="34"/>
      <c r="J26" s="34"/>
      <c r="K26" s="33"/>
      <c r="L26" s="33"/>
    </row>
    <row r="27" spans="2:12" x14ac:dyDescent="0.2">
      <c r="B27" s="33"/>
      <c r="C27" s="33"/>
      <c r="D27" s="33"/>
      <c r="E27" s="33"/>
      <c r="F27" s="34"/>
      <c r="G27" s="33"/>
      <c r="H27" s="34"/>
      <c r="I27" s="34"/>
      <c r="J27" s="34"/>
      <c r="K27" s="33"/>
      <c r="L27" s="33"/>
    </row>
    <row r="28" spans="2:12" x14ac:dyDescent="0.2">
      <c r="B28" s="33"/>
      <c r="C28" s="33"/>
      <c r="D28" s="33"/>
      <c r="E28" s="33"/>
      <c r="F28" s="34"/>
      <c r="G28" s="33"/>
      <c r="H28" s="34"/>
      <c r="I28" s="34"/>
      <c r="J28" s="34"/>
      <c r="K28" s="33"/>
      <c r="L28" s="3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topLeftCell="A3" zoomScale="85" workbookViewId="0">
      <selection activeCell="I40" sqref="I40"/>
    </sheetView>
  </sheetViews>
  <sheetFormatPr defaultRowHeight="12.75" x14ac:dyDescent="0.2"/>
  <cols>
    <col min="1" max="1" width="16.5703125" style="76" bestFit="1" customWidth="1"/>
    <col min="2" max="2" width="17.7109375" style="76" customWidth="1"/>
    <col min="3" max="3" width="15.28515625" style="76" customWidth="1"/>
    <col min="4" max="4" width="5.140625" style="76" customWidth="1"/>
    <col min="5" max="5" width="13.7109375" style="76" bestFit="1" customWidth="1"/>
    <col min="6" max="7" width="15.28515625" style="76" customWidth="1"/>
    <col min="8" max="9" width="13.7109375" style="76" bestFit="1" customWidth="1"/>
    <col min="10" max="11" width="12.5703125" style="76" bestFit="1" customWidth="1"/>
    <col min="12" max="16384" width="9.140625" style="76"/>
  </cols>
  <sheetData>
    <row r="2" spans="1:11" x14ac:dyDescent="0.2">
      <c r="B2" s="151"/>
    </row>
    <row r="4" spans="1:11" x14ac:dyDescent="0.2">
      <c r="B4" s="152"/>
      <c r="C4" s="152"/>
      <c r="D4" s="152"/>
      <c r="E4" s="152"/>
      <c r="F4" s="152"/>
      <c r="G4" s="152"/>
      <c r="H4" s="152"/>
      <c r="I4" s="152"/>
      <c r="J4" s="120"/>
      <c r="K4" s="120"/>
    </row>
    <row r="5" spans="1:11" x14ac:dyDescent="0.2">
      <c r="J5" s="121"/>
      <c r="K5" s="121"/>
    </row>
    <row r="6" spans="1:11" x14ac:dyDescent="0.2">
      <c r="B6" s="152"/>
      <c r="C6" s="152"/>
      <c r="D6" s="152"/>
      <c r="E6" s="152"/>
      <c r="F6" s="152"/>
      <c r="G6" s="152"/>
      <c r="H6" s="152"/>
      <c r="I6" s="152"/>
      <c r="J6" s="120"/>
      <c r="K6" s="120"/>
    </row>
    <row r="8" spans="1:11" x14ac:dyDescent="0.2">
      <c r="B8" s="152"/>
      <c r="C8" s="152"/>
      <c r="D8" s="152"/>
      <c r="E8" s="152"/>
      <c r="F8" s="152"/>
      <c r="G8" s="152"/>
      <c r="H8" s="152"/>
      <c r="I8" s="152"/>
    </row>
    <row r="10" spans="1:11" x14ac:dyDescent="0.2">
      <c r="B10" s="120"/>
      <c r="C10" s="120"/>
      <c r="D10" s="120"/>
      <c r="E10" s="120"/>
      <c r="F10" s="120"/>
      <c r="G10" s="120"/>
      <c r="H10" s="120"/>
      <c r="I10" s="120"/>
    </row>
    <row r="11" spans="1:11" x14ac:dyDescent="0.2">
      <c r="A11" s="153"/>
    </row>
    <row r="12" spans="1:11" x14ac:dyDescent="0.2">
      <c r="B12" s="120"/>
      <c r="C12" s="120"/>
      <c r="D12" s="120"/>
      <c r="E12" s="120"/>
      <c r="F12" s="120"/>
      <c r="G12" s="120"/>
      <c r="H12" s="120"/>
      <c r="I12" s="120"/>
    </row>
    <row r="13" spans="1:11" x14ac:dyDescent="0.2">
      <c r="B13" s="120"/>
      <c r="C13" s="120"/>
      <c r="D13" s="120"/>
      <c r="E13" s="120"/>
      <c r="F13" s="120"/>
      <c r="G13" s="120"/>
      <c r="H13" s="120"/>
      <c r="I13" s="120"/>
    </row>
    <row r="14" spans="1:11" x14ac:dyDescent="0.2">
      <c r="B14" s="120"/>
      <c r="C14" s="120"/>
      <c r="D14" s="120"/>
      <c r="E14" s="120"/>
      <c r="F14" s="120"/>
      <c r="G14" s="120"/>
      <c r="H14" s="120"/>
      <c r="I14" s="120"/>
    </row>
    <row r="15" spans="1:11" x14ac:dyDescent="0.2">
      <c r="B15" s="120"/>
      <c r="C15" s="120"/>
      <c r="D15" s="120"/>
      <c r="E15" s="120"/>
      <c r="F15" s="120"/>
      <c r="G15" s="120"/>
      <c r="H15" s="120"/>
      <c r="I15" s="120"/>
      <c r="K15" s="154"/>
    </row>
    <row r="16" spans="1:11" x14ac:dyDescent="0.2">
      <c r="B16" s="120"/>
      <c r="C16" s="120"/>
      <c r="D16" s="120"/>
      <c r="E16" s="120"/>
      <c r="F16" s="120"/>
      <c r="G16" s="120"/>
      <c r="H16" s="120"/>
      <c r="I16" s="120"/>
      <c r="K16" s="154"/>
    </row>
    <row r="17" spans="2:9" x14ac:dyDescent="0.2">
      <c r="B17" s="120"/>
      <c r="C17" s="120"/>
      <c r="D17" s="120"/>
      <c r="E17" s="120"/>
      <c r="F17" s="120"/>
      <c r="G17" s="120"/>
      <c r="H17" s="120"/>
      <c r="I17" s="120"/>
    </row>
    <row r="18" spans="2:9" x14ac:dyDescent="0.2">
      <c r="B18" s="120"/>
      <c r="C18" s="120"/>
      <c r="D18" s="120"/>
      <c r="E18" s="120"/>
      <c r="F18" s="120"/>
      <c r="G18" s="120"/>
      <c r="H18" s="120"/>
      <c r="I18" s="120"/>
    </row>
    <row r="19" spans="2:9" x14ac:dyDescent="0.2">
      <c r="B19" s="120"/>
      <c r="C19" s="120"/>
      <c r="D19" s="120"/>
      <c r="E19" s="120"/>
      <c r="F19" s="120"/>
      <c r="G19" s="120"/>
      <c r="H19" s="120"/>
      <c r="I19" s="120"/>
    </row>
    <row r="20" spans="2:9" x14ac:dyDescent="0.2">
      <c r="B20" s="120"/>
      <c r="C20" s="120"/>
      <c r="D20" s="120"/>
      <c r="E20" s="120"/>
      <c r="F20" s="120"/>
      <c r="G20" s="120"/>
      <c r="H20" s="120"/>
      <c r="I20" s="120"/>
    </row>
    <row r="21" spans="2:9" x14ac:dyDescent="0.2">
      <c r="B21" s="120"/>
      <c r="C21" s="120"/>
      <c r="D21" s="120"/>
      <c r="E21" s="120"/>
      <c r="F21" s="120"/>
      <c r="G21" s="120"/>
      <c r="H21" s="120"/>
      <c r="I21" s="120"/>
    </row>
    <row r="22" spans="2:9" x14ac:dyDescent="0.2">
      <c r="B22" s="120"/>
      <c r="C22" s="120"/>
      <c r="D22" s="120"/>
      <c r="E22" s="120"/>
      <c r="F22" s="120"/>
      <c r="G22" s="120"/>
      <c r="H22" s="120"/>
      <c r="I22" s="120"/>
    </row>
    <row r="23" spans="2:9" x14ac:dyDescent="0.2">
      <c r="B23" s="120"/>
      <c r="C23" s="120"/>
      <c r="D23" s="120"/>
      <c r="E23" s="120"/>
      <c r="F23" s="120"/>
      <c r="G23" s="120"/>
      <c r="H23" s="120"/>
      <c r="I23" s="120"/>
    </row>
    <row r="24" spans="2:9" x14ac:dyDescent="0.2">
      <c r="B24" s="120"/>
      <c r="C24" s="120"/>
      <c r="D24" s="120"/>
      <c r="E24" s="120"/>
      <c r="F24" s="120"/>
      <c r="G24" s="120"/>
      <c r="H24" s="120"/>
      <c r="I24" s="120"/>
    </row>
    <row r="25" spans="2:9" x14ac:dyDescent="0.2">
      <c r="B25" s="120"/>
      <c r="C25" s="120"/>
      <c r="D25" s="120"/>
      <c r="E25" s="120"/>
      <c r="F25" s="120"/>
      <c r="G25" s="120"/>
      <c r="H25" s="120"/>
      <c r="I25" s="120"/>
    </row>
    <row r="26" spans="2:9" x14ac:dyDescent="0.2">
      <c r="B26" s="120"/>
      <c r="C26" s="120"/>
      <c r="D26" s="120"/>
      <c r="E26" s="120"/>
      <c r="F26" s="120"/>
      <c r="G26" s="120"/>
      <c r="H26" s="120"/>
      <c r="I26" s="120"/>
    </row>
    <row r="27" spans="2:9" x14ac:dyDescent="0.2">
      <c r="B27" s="120"/>
      <c r="C27" s="120"/>
      <c r="D27" s="120"/>
      <c r="E27" s="120"/>
      <c r="F27" s="120"/>
      <c r="G27" s="120"/>
      <c r="H27" s="120"/>
      <c r="I27" s="120"/>
    </row>
    <row r="28" spans="2:9" x14ac:dyDescent="0.2">
      <c r="B28" s="120"/>
      <c r="C28" s="120"/>
      <c r="D28" s="120"/>
      <c r="E28" s="120"/>
      <c r="F28" s="120"/>
      <c r="G28" s="120"/>
      <c r="H28" s="120"/>
      <c r="I28" s="120"/>
    </row>
    <row r="29" spans="2:9" x14ac:dyDescent="0.2">
      <c r="B29" s="120"/>
      <c r="C29" s="120"/>
      <c r="D29" s="120"/>
      <c r="E29" s="120"/>
      <c r="F29" s="120"/>
      <c r="G29" s="120"/>
      <c r="H29" s="120"/>
      <c r="I29" s="120"/>
    </row>
    <row r="30" spans="2:9" x14ac:dyDescent="0.2">
      <c r="B30" s="120"/>
      <c r="C30" s="120"/>
      <c r="D30" s="120"/>
      <c r="E30" s="120"/>
      <c r="F30" s="120"/>
      <c r="G30" s="120"/>
      <c r="H30" s="120"/>
      <c r="I30" s="120"/>
    </row>
    <row r="31" spans="2:9" x14ac:dyDescent="0.2">
      <c r="B31" s="120"/>
      <c r="C31" s="120"/>
      <c r="D31" s="120"/>
      <c r="E31" s="120"/>
      <c r="F31" s="120"/>
      <c r="G31" s="120"/>
      <c r="H31" s="120"/>
      <c r="I31" s="120"/>
    </row>
    <row r="32" spans="2:9" x14ac:dyDescent="0.2">
      <c r="B32" s="120"/>
      <c r="C32" s="120"/>
      <c r="D32" s="120"/>
      <c r="E32" s="120"/>
      <c r="F32" s="120"/>
      <c r="G32" s="120"/>
      <c r="H32" s="120"/>
      <c r="I32" s="120"/>
    </row>
    <row r="33" spans="2:7" x14ac:dyDescent="0.2">
      <c r="B33" s="5"/>
      <c r="C33" s="5"/>
      <c r="D33" s="5"/>
      <c r="E33" s="5"/>
      <c r="F33" s="5"/>
      <c r="G33" s="5"/>
    </row>
    <row r="34" spans="2:7" x14ac:dyDescent="0.2">
      <c r="B34" s="5"/>
      <c r="C34" s="5"/>
      <c r="D34" s="5"/>
      <c r="E34" s="5"/>
      <c r="F34" s="5"/>
      <c r="G34" s="5"/>
    </row>
    <row r="35" spans="2:7" x14ac:dyDescent="0.2">
      <c r="B35" s="153"/>
      <c r="C35" s="153"/>
      <c r="D35" s="153"/>
      <c r="F35" s="121"/>
      <c r="G35" s="5"/>
    </row>
    <row r="36" spans="2:7" x14ac:dyDescent="0.2">
      <c r="B36" s="5"/>
      <c r="C36" s="5"/>
      <c r="D36" s="5"/>
      <c r="E36" s="5"/>
      <c r="F36" s="122"/>
      <c r="G36" s="5"/>
    </row>
    <row r="37" spans="2:7" x14ac:dyDescent="0.2">
      <c r="B37" s="5"/>
      <c r="C37" s="5"/>
      <c r="D37" s="5"/>
      <c r="E37" s="5"/>
      <c r="F37" s="111"/>
      <c r="G37" s="5"/>
    </row>
    <row r="38" spans="2:7" x14ac:dyDescent="0.2">
      <c r="B38" s="5"/>
      <c r="C38" s="5"/>
      <c r="D38" s="5"/>
      <c r="E38" s="5"/>
      <c r="F38" s="122"/>
    </row>
    <row r="39" spans="2:7" x14ac:dyDescent="0.2">
      <c r="B39" s="5"/>
      <c r="C39" s="5"/>
      <c r="D39" s="5"/>
      <c r="E39" s="5"/>
      <c r="F39" s="111"/>
    </row>
    <row r="40" spans="2:7" x14ac:dyDescent="0.2">
      <c r="B40" s="5"/>
      <c r="C40" s="5"/>
      <c r="D40" s="5"/>
      <c r="E40" s="5"/>
      <c r="F40" s="122"/>
    </row>
    <row r="41" spans="2:7" x14ac:dyDescent="0.2">
      <c r="B41" s="5"/>
      <c r="C41" s="5"/>
      <c r="D41" s="5"/>
      <c r="E41" s="5"/>
      <c r="F41" s="111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Sonat 1-2</vt:lpstr>
      <vt:lpstr>Sonat 1-3</vt:lpstr>
      <vt:lpstr>Mommentum</vt:lpstr>
      <vt:lpstr>Transportation</vt:lpstr>
      <vt:lpstr>Backhaul</vt:lpstr>
      <vt:lpstr>Sheet1</vt:lpstr>
      <vt:lpstr>Sheet 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Jan Havlíček</cp:lastModifiedBy>
  <cp:lastPrinted>2001-04-18T21:00:48Z</cp:lastPrinted>
  <dcterms:created xsi:type="dcterms:W3CDTF">2001-04-02T16:21:11Z</dcterms:created>
  <dcterms:modified xsi:type="dcterms:W3CDTF">2023-09-13T16:43:21Z</dcterms:modified>
</cp:coreProperties>
</file>