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D59615-F3EE-461A-949F-B92EFDE47B06}" xr6:coauthVersionLast="47" xr6:coauthVersionMax="47" xr10:uidLastSave="{00000000-0000-0000-0000-000000000000}"/>
  <bookViews>
    <workbookView xWindow="-120" yWindow="-120" windowWidth="38640" windowHeight="15720" activeTab="1"/>
  </bookViews>
  <sheets>
    <sheet name="volumes" sheetId="1" r:id="rId1"/>
    <sheet name="analysis" sheetId="2" r:id="rId2"/>
    <sheet name="storage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O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9" i="2"/>
  <c r="C39" i="2"/>
  <c r="E39" i="2"/>
  <c r="F39" i="2"/>
  <c r="E42" i="2"/>
  <c r="F42" i="2"/>
  <c r="B43" i="2"/>
  <c r="C43" i="2"/>
  <c r="E43" i="2"/>
  <c r="F43" i="2"/>
  <c r="B44" i="2"/>
  <c r="C44" i="2"/>
  <c r="E44" i="2"/>
  <c r="F44" i="2"/>
  <c r="B46" i="2"/>
  <c r="C46" i="2"/>
  <c r="E46" i="2"/>
  <c r="F46" i="2"/>
  <c r="B47" i="2"/>
  <c r="C47" i="2"/>
  <c r="E47" i="2"/>
  <c r="F47" i="2"/>
  <c r="B49" i="2"/>
  <c r="C49" i="2"/>
  <c r="D49" i="2"/>
  <c r="E49" i="2"/>
  <c r="F49" i="2"/>
  <c r="G49" i="2"/>
  <c r="B52" i="2"/>
  <c r="C52" i="2"/>
  <c r="E52" i="2"/>
  <c r="F52" i="2"/>
  <c r="I52" i="2"/>
  <c r="J52" i="2"/>
  <c r="B53" i="2"/>
  <c r="C53" i="2"/>
  <c r="E53" i="2"/>
  <c r="F53" i="2"/>
  <c r="I53" i="2"/>
  <c r="J53" i="2"/>
  <c r="B55" i="2"/>
  <c r="C55" i="2"/>
  <c r="D55" i="2"/>
  <c r="E55" i="2"/>
  <c r="F55" i="2"/>
  <c r="G55" i="2"/>
  <c r="B57" i="2"/>
  <c r="C57" i="2"/>
  <c r="D57" i="2"/>
  <c r="E57" i="2"/>
  <c r="F57" i="2"/>
  <c r="G57" i="2"/>
  <c r="N6" i="1"/>
  <c r="N9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</calcChain>
</file>

<file path=xl/sharedStrings.xml><?xml version="1.0" encoding="utf-8"?>
<sst xmlns="http://schemas.openxmlformats.org/spreadsheetml/2006/main" count="120" uniqueCount="88">
  <si>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</si>
  <si>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</si>
  <si>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</si>
  <si>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</si>
  <si>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</si>
  <si>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</si>
  <si>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</si>
  <si>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</si>
  <si>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</si>
  <si>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</si>
  <si>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</si>
  <si>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</si>
  <si>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Fuel Requirements 2001</t>
  </si>
  <si>
    <t># of unloading stations</t>
  </si>
  <si>
    <t>Hours of delivery</t>
  </si>
  <si>
    <t>24/7</t>
  </si>
  <si>
    <t>Days per month</t>
  </si>
  <si>
    <t>Total MMBtu required</t>
  </si>
  <si>
    <t>Total MMBtu required (actual)</t>
  </si>
  <si>
    <t>Total gas/oil MMBtu required</t>
  </si>
  <si>
    <t>Total gas/oil MMBtu  (actual)</t>
  </si>
  <si>
    <t>Months</t>
  </si>
  <si>
    <t>Boiler #2</t>
  </si>
  <si>
    <t>Notes</t>
  </si>
  <si>
    <t>Boiler #4 - Solid Fuel Boiler</t>
  </si>
  <si>
    <t>June '01 - May '02 gas reqts. (MMBtu/day)</t>
  </si>
  <si>
    <t>Boiler #1, 3, and 5</t>
  </si>
  <si>
    <t>Oil premium for boilers # 1, #3,and #5</t>
  </si>
  <si>
    <t>Fuel requirments (MMBtu/day)</t>
  </si>
  <si>
    <t>Direct Fired Air Heater</t>
  </si>
  <si>
    <t xml:space="preserve">Oct. '01  - May '02 minimum fuel oil (Gals/day) </t>
  </si>
  <si>
    <t xml:space="preserve">June '01  - Sept. '02 minimum fuel oil (Gals/month) </t>
  </si>
  <si>
    <t>Oil premium (GSP's preference to burn gas)</t>
  </si>
  <si>
    <t>Comments</t>
  </si>
  <si>
    <t>GSP prefers to burn gas unless fuel oil prices becomes 15% less than gas prices.</t>
  </si>
  <si>
    <t>GSP prefers to burn gas unless fuel oil prices becomes 5% less than gas prices.</t>
  </si>
  <si>
    <t>Minimum burn duration (days)</t>
  </si>
  <si>
    <t>Minimum notification to swap gas to oil (days)</t>
  </si>
  <si>
    <t>Fiber Burning Facility</t>
  </si>
  <si>
    <t>Forecasted to provide 10% of GSP's energy needs</t>
  </si>
  <si>
    <t xml:space="preserve">Represents the difference between Total MMBtu req'd and Total gas/oil MMBtu req'd </t>
  </si>
  <si>
    <t>Estimated Natural Gas Req.ts (Monthly)</t>
  </si>
  <si>
    <t>Estimated Fuel Oil Req.ts (Monthly)</t>
  </si>
  <si>
    <t>Conversions: 6.28 Bbls./MMBtu; 42 Gals./Bbl.</t>
  </si>
  <si>
    <t>RFP Receipients:</t>
  </si>
  <si>
    <t>EES</t>
  </si>
  <si>
    <t>ENA (Right to beat)</t>
  </si>
  <si>
    <t>Hess</t>
  </si>
  <si>
    <r>
      <t>GSP Legal Counsel:</t>
    </r>
    <r>
      <rPr>
        <sz val="10"/>
        <rFont val="Arial"/>
      </rPr>
      <t xml:space="preserve"> Peter del Vecchio x39875</t>
    </r>
  </si>
  <si>
    <r>
      <t>PSEG contact person:</t>
    </r>
    <r>
      <rPr>
        <sz val="10"/>
        <rFont val="Arial"/>
      </rPr>
      <t xml:space="preserve"> Todd McCabe</t>
    </r>
  </si>
  <si>
    <t xml:space="preserve">                                   Phone #  973-365-2808 </t>
  </si>
  <si>
    <t xml:space="preserve">                                Harry Collins x39875</t>
  </si>
  <si>
    <t xml:space="preserve">TXU: </t>
  </si>
  <si>
    <t xml:space="preserve"> </t>
  </si>
  <si>
    <r>
      <t xml:space="preserve">Onsite storage capacity </t>
    </r>
    <r>
      <rPr>
        <sz val="10"/>
        <color indexed="12"/>
        <rFont val="Arial"/>
        <family val="2"/>
      </rPr>
      <t>(Gallons)</t>
    </r>
  </si>
  <si>
    <r>
      <t>Oil Minimums</t>
    </r>
    <r>
      <rPr>
        <sz val="10"/>
        <color indexed="10"/>
        <rFont val="Arial"/>
        <family val="2"/>
      </rPr>
      <t xml:space="preserve"> (MMBtu per month)</t>
    </r>
  </si>
  <si>
    <r>
      <t xml:space="preserve">Gas Minimums </t>
    </r>
    <r>
      <rPr>
        <sz val="10"/>
        <color indexed="10"/>
        <rFont val="Arial"/>
        <family val="2"/>
      </rPr>
      <t>(MMBtu per month)</t>
    </r>
  </si>
  <si>
    <t>Total</t>
  </si>
  <si>
    <t>Boiler</t>
  </si>
  <si>
    <t>Monthly Volumes</t>
  </si>
  <si>
    <t xml:space="preserve">1 Barrel = </t>
  </si>
  <si>
    <t>gallons</t>
  </si>
  <si>
    <t xml:space="preserve">1 barrel #6 oil = </t>
  </si>
  <si>
    <t>MMBtu</t>
  </si>
  <si>
    <t>Subtotal</t>
  </si>
  <si>
    <t>Total Gas / oil</t>
  </si>
  <si>
    <t>So, Total Boliers #1, 3, &amp; 5</t>
  </si>
  <si>
    <t>ANALYSIS</t>
  </si>
  <si>
    <t>Boiler #4</t>
  </si>
  <si>
    <t>Boilers # 1, 3, 5</t>
  </si>
  <si>
    <t xml:space="preserve">   Strike</t>
  </si>
  <si>
    <t>CURRENT MARKET</t>
  </si>
  <si>
    <t xml:space="preserve">   Spread (Gas - HESS fuel oil proposal)</t>
  </si>
  <si>
    <t xml:space="preserve">   Annual Volume</t>
  </si>
  <si>
    <t>TOTAL O&amp;M</t>
  </si>
  <si>
    <t>BREAKEVEN ANALYSIS</t>
  </si>
  <si>
    <t>O&amp;M DIFFERENCE</t>
  </si>
  <si>
    <t xml:space="preserve">   HESS fuel oil proposal</t>
  </si>
  <si>
    <t xml:space="preserve">   Breakeven %</t>
  </si>
  <si>
    <t>Curve as of 05/10/2001</t>
  </si>
  <si>
    <t xml:space="preserve">   Fuel Oil Transportation</t>
  </si>
  <si>
    <t xml:space="preserve">   Fuel # 6 .3% implied curve</t>
  </si>
  <si>
    <t>Curve as of 04/26/2001</t>
  </si>
  <si>
    <t xml:space="preserve">   Gas Prices @ TETCO M3</t>
  </si>
  <si>
    <t xml:space="preserve">   Gas Transportation on LDC</t>
  </si>
  <si>
    <t xml:space="preserve">   Total Gas Prices (@ Burnertip)</t>
  </si>
  <si>
    <t xml:space="preserve">   Total Fuel Oil Prices (@ Burnertip)</t>
  </si>
  <si>
    <t>Fixed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</si>
</sst>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  <numFmt numFmtId="171" formatCode="&quot;$&quot;#,##0.0000"/>
    <numFmt numFmtId="175" formatCode="&quot;$&quot;#,##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i/>
      <u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0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9" fontId="2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7" fontId="8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167" fontId="2" fillId="0" borderId="0" xfId="1" applyNumberFormat="1" applyFont="1"/>
    <xf numFmtId="167" fontId="0" fillId="0" borderId="0" xfId="1" applyNumberFormat="1" applyFont="1"/>
    <xf numFmtId="167" fontId="2" fillId="0" borderId="0" xfId="1" applyNumberFormat="1" applyFont="1" applyAlignment="1">
      <alignment horizontal="center"/>
    </xf>
    <xf numFmtId="167" fontId="2" fillId="0" borderId="0" xfId="1" applyNumberFormat="1" applyFont="1" applyAlignment="1"/>
    <xf numFmtId="167" fontId="5" fillId="0" borderId="0" xfId="1" applyNumberFormat="1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7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3" fontId="2" fillId="0" borderId="0" xfId="0" applyNumberFormat="1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167" fontId="5" fillId="0" borderId="0" xfId="0" applyNumberFormat="1" applyFont="1"/>
    <xf numFmtId="0" fontId="10" fillId="0" borderId="0" xfId="0" applyFont="1"/>
    <xf numFmtId="9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7" fontId="7" fillId="0" borderId="0" xfId="0" applyNumberFormat="1" applyFont="1"/>
    <xf numFmtId="167" fontId="6" fillId="0" borderId="0" xfId="1" applyNumberFormat="1" applyFont="1" applyAlignment="1">
      <alignment horizontal="center"/>
    </xf>
    <xf numFmtId="167" fontId="0" fillId="0" borderId="0" xfId="0" applyNumberFormat="1"/>
    <xf numFmtId="0" fontId="13" fillId="0" borderId="0" xfId="0" applyFont="1" applyAlignment="1">
      <alignment horizontal="right"/>
    </xf>
    <xf numFmtId="171" fontId="0" fillId="0" borderId="0" xfId="0" applyNumberFormat="1" applyAlignment="1">
      <alignment horizontal="center"/>
    </xf>
    <xf numFmtId="38" fontId="6" fillId="0" borderId="0" xfId="1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71" fontId="4" fillId="0" borderId="0" xfId="0" applyNumberFormat="1" applyFont="1" applyAlignment="1">
      <alignment horizontal="center"/>
    </xf>
    <xf numFmtId="175" fontId="14" fillId="0" borderId="0" xfId="0" applyNumberFormat="1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4" fillId="0" borderId="1" xfId="0" applyFont="1" applyBorder="1"/>
    <xf numFmtId="0" fontId="4" fillId="0" borderId="2" xfId="0" applyFont="1" applyBorder="1" applyAlignment="1">
      <alignment horizontal="center"/>
    </xf>
    <xf numFmtId="175" fontId="15" fillId="0" borderId="0" xfId="0" applyNumberFormat="1" applyFont="1" applyAlignment="1">
      <alignment horizontal="center"/>
    </xf>
    <xf numFmtId="0" fontId="16" fillId="0" borderId="1" xfId="0" applyFont="1" applyBorder="1"/>
    <xf numFmtId="6" fontId="16" fillId="0" borderId="0" xfId="0" applyNumberFormat="1" applyFont="1" applyAlignment="1">
      <alignment horizontal="center"/>
    </xf>
    <xf numFmtId="6" fontId="17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75" fontId="18" fillId="0" borderId="0" xfId="0" applyNumberFormat="1" applyFont="1" applyAlignment="1">
      <alignment horizontal="center"/>
    </xf>
    <xf numFmtId="171" fontId="0" fillId="0" borderId="0" xfId="0" applyNumberFormat="1"/>
    <xf numFmtId="0" fontId="0" fillId="0" borderId="2" xfId="0" applyBorder="1"/>
    <xf numFmtId="43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"/>
  <sheetViews>
    <sheetView topLeftCell="A5" zoomScale="80" workbookViewId="0">
      <selection activeCell="D21" sqref="D21"/>
    </sheetView>
  </sheetViews>
  <sheetFormatPr defaultRowHeight="12.75" x14ac:dyDescent="0.2"/>
  <cols>
    <col min="1" max="1" width="42.28515625" customWidth="1"/>
    <col min="2" max="2" width="9.42578125" style="1" customWidth="1"/>
    <col min="3" max="3" width="11.5703125" bestFit="1" customWidth="1"/>
    <col min="4" max="13" width="9.42578125" customWidth="1"/>
    <col min="14" max="14" width="10.140625" bestFit="1" customWidth="1"/>
  </cols>
  <sheetData>
    <row r="1" spans="1:14" ht="15.75" x14ac:dyDescent="0.25">
      <c r="F1" s="3" t="s">
        <v>12</v>
      </c>
      <c r="N1" s="19" t="s">
        <v>57</v>
      </c>
    </row>
    <row r="3" spans="1:14" s="8" customFormat="1" ht="12" x14ac:dyDescent="0.2">
      <c r="A3" s="7" t="s">
        <v>16</v>
      </c>
      <c r="B3" s="7">
        <v>31</v>
      </c>
      <c r="C3" s="7">
        <v>28</v>
      </c>
      <c r="D3" s="7">
        <v>31</v>
      </c>
      <c r="E3" s="7">
        <v>30</v>
      </c>
      <c r="F3" s="7">
        <v>31</v>
      </c>
      <c r="G3" s="7">
        <v>30</v>
      </c>
      <c r="H3" s="7">
        <v>31</v>
      </c>
      <c r="I3" s="7">
        <v>31</v>
      </c>
      <c r="J3" s="7">
        <v>30</v>
      </c>
      <c r="K3" s="7">
        <v>31</v>
      </c>
      <c r="L3" s="7">
        <v>30</v>
      </c>
      <c r="M3" s="7">
        <v>31</v>
      </c>
    </row>
    <row r="4" spans="1:14" s="8" customFormat="1" ht="12" x14ac:dyDescent="0.2">
      <c r="A4" s="7" t="s">
        <v>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</row>
    <row r="5" spans="1:14" s="8" customFormat="1" ht="12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s="8" customFormat="1" ht="12" x14ac:dyDescent="0.2">
      <c r="A6" s="16" t="s">
        <v>17</v>
      </c>
      <c r="B6" s="9">
        <v>344465.18</v>
      </c>
      <c r="C6" s="9">
        <v>311129.84000000003</v>
      </c>
      <c r="D6" s="9">
        <v>344465.18</v>
      </c>
      <c r="E6" s="9">
        <v>297374.64</v>
      </c>
      <c r="F6" s="9">
        <v>298042.68</v>
      </c>
      <c r="G6" s="9">
        <v>281078.40000000002</v>
      </c>
      <c r="H6" s="9">
        <v>290447.68</v>
      </c>
      <c r="I6" s="9">
        <v>290447.68</v>
      </c>
      <c r="J6" s="9">
        <v>291728.40000000002</v>
      </c>
      <c r="K6" s="9">
        <v>331677.68</v>
      </c>
      <c r="L6" s="9">
        <v>345963.84</v>
      </c>
      <c r="M6" s="9">
        <v>357495.96799999999</v>
      </c>
      <c r="N6" s="29">
        <f>SUM(B6:M6)</f>
        <v>3784317.1680000001</v>
      </c>
    </row>
    <row r="7" spans="1:14" s="8" customFormat="1" ht="12" x14ac:dyDescent="0.2">
      <c r="A7" s="7" t="s">
        <v>18</v>
      </c>
      <c r="B7" s="10">
        <v>323308</v>
      </c>
      <c r="C7" s="10">
        <v>289038</v>
      </c>
      <c r="D7" s="10">
        <v>318105</v>
      </c>
      <c r="E7" s="10"/>
      <c r="F7" s="10"/>
      <c r="G7" s="10"/>
      <c r="H7" s="10"/>
      <c r="I7" s="10"/>
      <c r="J7" s="10"/>
      <c r="K7" s="10"/>
      <c r="L7" s="10"/>
      <c r="M7" s="10"/>
    </row>
    <row r="8" spans="1:14" s="8" customFormat="1" ht="12" x14ac:dyDescent="0.2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4" s="8" customFormat="1" ht="12" x14ac:dyDescent="0.2">
      <c r="A9" s="16" t="s">
        <v>19</v>
      </c>
      <c r="B9" s="9">
        <v>307031.28499999997</v>
      </c>
      <c r="C9" s="9">
        <v>277318.58</v>
      </c>
      <c r="D9" s="9">
        <v>307031.28499999997</v>
      </c>
      <c r="E9" s="9">
        <v>261148.29</v>
      </c>
      <c r="F9" s="9">
        <v>260608.785</v>
      </c>
      <c r="G9" s="9">
        <v>244852.05</v>
      </c>
      <c r="H9" s="9">
        <v>253013.785</v>
      </c>
      <c r="I9" s="9">
        <v>253013.785</v>
      </c>
      <c r="J9" s="9">
        <v>268416.89720000001</v>
      </c>
      <c r="K9" s="9">
        <v>294243.78499999997</v>
      </c>
      <c r="L9" s="9">
        <v>309737.49</v>
      </c>
      <c r="M9" s="9">
        <v>320062.07299999997</v>
      </c>
      <c r="N9" s="29">
        <f>SUM(B9:M9)</f>
        <v>3356478.0901999995</v>
      </c>
    </row>
    <row r="10" spans="1:14" s="8" customFormat="1" ht="12" x14ac:dyDescent="0.2">
      <c r="A10" s="7" t="s">
        <v>20</v>
      </c>
      <c r="B10" s="10">
        <v>294838</v>
      </c>
      <c r="C10" s="10">
        <v>257152</v>
      </c>
      <c r="D10" s="10">
        <v>282656</v>
      </c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A11" s="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s="25" customFormat="1" x14ac:dyDescent="0.2">
      <c r="A12" s="27" t="s">
        <v>55</v>
      </c>
      <c r="B12" s="15">
        <f>(((12000/42)*6.287)*B3)</f>
        <v>55684.857142857138</v>
      </c>
      <c r="C12" s="15">
        <f t="shared" ref="C12:M12" si="0">(((12000/42)*6.287)*C3)</f>
        <v>50296</v>
      </c>
      <c r="D12" s="15">
        <f t="shared" si="0"/>
        <v>55684.857142857138</v>
      </c>
      <c r="E12" s="15">
        <f t="shared" si="0"/>
        <v>53888.571428571428</v>
      </c>
      <c r="F12" s="15">
        <f t="shared" si="0"/>
        <v>55684.857142857138</v>
      </c>
      <c r="G12" s="15">
        <f>(((60000/42)*6.287))</f>
        <v>8981.4285714285725</v>
      </c>
      <c r="H12" s="15">
        <f>(((60000/42)*6.287))</f>
        <v>8981.4285714285725</v>
      </c>
      <c r="I12" s="15">
        <f>(((60000/42)*6.287))</f>
        <v>8981.4285714285725</v>
      </c>
      <c r="J12" s="15">
        <f>(((60000/42)*6.287))</f>
        <v>8981.4285714285725</v>
      </c>
      <c r="K12" s="15">
        <f t="shared" si="0"/>
        <v>55684.857142857138</v>
      </c>
      <c r="L12" s="15">
        <f t="shared" si="0"/>
        <v>53888.571428571428</v>
      </c>
      <c r="M12" s="15">
        <f t="shared" si="0"/>
        <v>55684.857142857138</v>
      </c>
    </row>
    <row r="13" spans="1:14" s="25" customFormat="1" x14ac:dyDescent="0.2">
      <c r="A13" s="27" t="s">
        <v>56</v>
      </c>
      <c r="B13" s="15">
        <f>24*B3</f>
        <v>744</v>
      </c>
      <c r="C13" s="15">
        <f t="shared" ref="C13:M13" si="1">24*C3</f>
        <v>672</v>
      </c>
      <c r="D13" s="15">
        <f t="shared" si="1"/>
        <v>744</v>
      </c>
      <c r="E13" s="15">
        <f t="shared" si="1"/>
        <v>720</v>
      </c>
      <c r="F13" s="15">
        <f t="shared" si="1"/>
        <v>744</v>
      </c>
      <c r="G13" s="15">
        <f t="shared" si="1"/>
        <v>720</v>
      </c>
      <c r="H13" s="15">
        <f t="shared" si="1"/>
        <v>744</v>
      </c>
      <c r="I13" s="15">
        <f t="shared" si="1"/>
        <v>744</v>
      </c>
      <c r="J13" s="15">
        <f t="shared" si="1"/>
        <v>720</v>
      </c>
      <c r="K13" s="15">
        <f t="shared" si="1"/>
        <v>744</v>
      </c>
      <c r="L13" s="15">
        <f t="shared" si="1"/>
        <v>720</v>
      </c>
      <c r="M13" s="28">
        <f t="shared" si="1"/>
        <v>744</v>
      </c>
    </row>
    <row r="14" spans="1:14" x14ac:dyDescent="0.2">
      <c r="A14" s="1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3"/>
    </row>
    <row r="15" spans="1:14" s="25" customFormat="1" x14ac:dyDescent="0.2">
      <c r="A15" s="23" t="s">
        <v>41</v>
      </c>
      <c r="B15" s="24">
        <f>B9-B12</f>
        <v>251346.42785714284</v>
      </c>
      <c r="C15" s="24">
        <f t="shared" ref="C15:M15" si="2">C9-C12</f>
        <v>227022.58000000002</v>
      </c>
      <c r="D15" s="24">
        <f t="shared" si="2"/>
        <v>251346.42785714284</v>
      </c>
      <c r="E15" s="24">
        <f t="shared" si="2"/>
        <v>207259.71857142859</v>
      </c>
      <c r="F15" s="24">
        <f t="shared" si="2"/>
        <v>204923.92785714287</v>
      </c>
      <c r="G15" s="24">
        <f t="shared" si="2"/>
        <v>235870.62142857141</v>
      </c>
      <c r="H15" s="24">
        <f t="shared" si="2"/>
        <v>244032.35642857142</v>
      </c>
      <c r="I15" s="24">
        <f t="shared" si="2"/>
        <v>244032.35642857142</v>
      </c>
      <c r="J15" s="24">
        <f t="shared" si="2"/>
        <v>259435.46862857143</v>
      </c>
      <c r="K15" s="24">
        <f t="shared" si="2"/>
        <v>238558.92785714284</v>
      </c>
      <c r="L15" s="24">
        <f t="shared" si="2"/>
        <v>255848.91857142857</v>
      </c>
      <c r="M15" s="24">
        <f t="shared" si="2"/>
        <v>264377.21585714282</v>
      </c>
    </row>
    <row r="16" spans="1:14" s="25" customFormat="1" x14ac:dyDescent="0.2">
      <c r="A16" s="23" t="s">
        <v>42</v>
      </c>
      <c r="B16" s="24">
        <f>B9-B15</f>
        <v>55684.85714285713</v>
      </c>
      <c r="C16" s="24">
        <f t="shared" ref="C16:M16" si="3">C9-C15</f>
        <v>50296</v>
      </c>
      <c r="D16" s="24">
        <f t="shared" si="3"/>
        <v>55684.85714285713</v>
      </c>
      <c r="E16" s="24">
        <f t="shared" si="3"/>
        <v>53888.57142857142</v>
      </c>
      <c r="F16" s="24">
        <f t="shared" si="3"/>
        <v>55684.85714285713</v>
      </c>
      <c r="G16" s="24">
        <f t="shared" si="3"/>
        <v>8981.4285714285797</v>
      </c>
      <c r="H16" s="24">
        <f t="shared" si="3"/>
        <v>8981.4285714285797</v>
      </c>
      <c r="I16" s="24">
        <f t="shared" si="3"/>
        <v>8981.4285714285797</v>
      </c>
      <c r="J16" s="24">
        <f t="shared" si="3"/>
        <v>8981.4285714285797</v>
      </c>
      <c r="K16" s="24">
        <f t="shared" si="3"/>
        <v>55684.85714285713</v>
      </c>
      <c r="L16" s="24">
        <f t="shared" si="3"/>
        <v>53888.57142857142</v>
      </c>
      <c r="M16" s="24">
        <f t="shared" si="3"/>
        <v>55684.857142857159</v>
      </c>
    </row>
    <row r="17" spans="1:6" x14ac:dyDescent="0.2">
      <c r="A17" t="s">
        <v>23</v>
      </c>
    </row>
    <row r="18" spans="1:6" x14ac:dyDescent="0.2">
      <c r="C18" s="1"/>
      <c r="D18" s="1"/>
      <c r="F18" t="s">
        <v>33</v>
      </c>
    </row>
    <row r="19" spans="1:6" x14ac:dyDescent="0.2">
      <c r="A19" s="20" t="s">
        <v>26</v>
      </c>
      <c r="C19" s="1"/>
      <c r="D19" s="1"/>
    </row>
    <row r="20" spans="1:6" s="6" customFormat="1" x14ac:dyDescent="0.2">
      <c r="A20" s="6" t="s">
        <v>27</v>
      </c>
      <c r="B20" s="26">
        <v>0.05</v>
      </c>
      <c r="C20" s="26"/>
      <c r="D20" s="26"/>
      <c r="F20" t="s">
        <v>35</v>
      </c>
    </row>
    <row r="21" spans="1:6" x14ac:dyDescent="0.2">
      <c r="C21" s="1"/>
      <c r="D21" s="1"/>
    </row>
    <row r="22" spans="1:6" x14ac:dyDescent="0.2">
      <c r="C22" s="1"/>
      <c r="D22" s="1"/>
    </row>
    <row r="23" spans="1:6" x14ac:dyDescent="0.2">
      <c r="C23" s="1"/>
      <c r="D23" s="1"/>
    </row>
    <row r="24" spans="1:6" x14ac:dyDescent="0.2">
      <c r="A24" s="20" t="s">
        <v>22</v>
      </c>
      <c r="C24" s="1"/>
      <c r="D24" s="1"/>
    </row>
    <row r="25" spans="1:6" x14ac:dyDescent="0.2">
      <c r="A25" s="6" t="s">
        <v>30</v>
      </c>
      <c r="B25" s="18">
        <v>12000</v>
      </c>
      <c r="C25" s="18"/>
      <c r="D25" s="18"/>
    </row>
    <row r="26" spans="1:6" x14ac:dyDescent="0.2">
      <c r="A26" s="6" t="s">
        <v>31</v>
      </c>
      <c r="B26" s="18">
        <v>60000</v>
      </c>
      <c r="C26" s="18"/>
      <c r="D26" s="18"/>
    </row>
    <row r="27" spans="1:6" x14ac:dyDescent="0.2">
      <c r="A27" s="6"/>
      <c r="B27" s="18"/>
      <c r="C27" s="18"/>
      <c r="D27" s="18"/>
    </row>
    <row r="28" spans="1:6" x14ac:dyDescent="0.2">
      <c r="A28" s="20" t="s">
        <v>24</v>
      </c>
      <c r="B28" s="18"/>
      <c r="C28" s="18"/>
      <c r="D28" s="18"/>
    </row>
    <row r="29" spans="1:6" x14ac:dyDescent="0.2">
      <c r="A29" s="6" t="s">
        <v>25</v>
      </c>
      <c r="B29" s="19">
        <v>2400</v>
      </c>
      <c r="C29" s="19"/>
      <c r="D29" s="19"/>
    </row>
    <row r="30" spans="1:6" x14ac:dyDescent="0.2">
      <c r="A30" s="6" t="s">
        <v>32</v>
      </c>
      <c r="B30" s="26">
        <v>0.15</v>
      </c>
      <c r="C30" s="26"/>
      <c r="D30" s="26"/>
      <c r="F30" t="s">
        <v>34</v>
      </c>
    </row>
    <row r="31" spans="1:6" x14ac:dyDescent="0.2">
      <c r="A31" s="1"/>
      <c r="B31" s="4"/>
      <c r="C31" s="4"/>
      <c r="D31" s="4"/>
    </row>
    <row r="32" spans="1:6" x14ac:dyDescent="0.2">
      <c r="A32" s="1"/>
      <c r="B32" s="4"/>
      <c r="C32" s="4"/>
      <c r="D32" s="4"/>
    </row>
    <row r="33" spans="1:6" x14ac:dyDescent="0.2">
      <c r="A33" s="20" t="s">
        <v>29</v>
      </c>
      <c r="C33" s="1"/>
      <c r="D33" s="1"/>
    </row>
    <row r="34" spans="1:6" x14ac:dyDescent="0.2">
      <c r="A34" s="6" t="s">
        <v>28</v>
      </c>
      <c r="B34" s="19">
        <v>24</v>
      </c>
      <c r="C34" s="19"/>
      <c r="D34" s="19"/>
    </row>
    <row r="35" spans="1:6" x14ac:dyDescent="0.2">
      <c r="C35" s="1"/>
      <c r="D35" s="1"/>
    </row>
    <row r="36" spans="1:6" x14ac:dyDescent="0.2">
      <c r="C36" s="1"/>
      <c r="D36" s="1"/>
    </row>
    <row r="37" spans="1:6" x14ac:dyDescent="0.2">
      <c r="A37" s="20" t="s">
        <v>38</v>
      </c>
      <c r="C37" s="1"/>
      <c r="D37" s="1"/>
    </row>
    <row r="38" spans="1:6" x14ac:dyDescent="0.2">
      <c r="A38" t="s">
        <v>39</v>
      </c>
      <c r="C38" s="1"/>
      <c r="D38" s="1"/>
      <c r="F38" t="s">
        <v>40</v>
      </c>
    </row>
    <row r="39" spans="1:6" x14ac:dyDescent="0.2">
      <c r="C39" s="1"/>
      <c r="D39" s="1"/>
    </row>
    <row r="40" spans="1:6" x14ac:dyDescent="0.2">
      <c r="C40" s="1"/>
      <c r="D40" s="1"/>
    </row>
    <row r="41" spans="1:6" x14ac:dyDescent="0.2">
      <c r="A41" t="s">
        <v>54</v>
      </c>
      <c r="B41" s="21">
        <v>300000</v>
      </c>
      <c r="C41" s="21"/>
      <c r="D41" s="21"/>
      <c r="F41" t="s">
        <v>53</v>
      </c>
    </row>
    <row r="42" spans="1:6" x14ac:dyDescent="0.2">
      <c r="A42" t="s">
        <v>13</v>
      </c>
      <c r="B42" s="2">
        <v>2</v>
      </c>
      <c r="C42" s="2"/>
      <c r="D42" s="2"/>
    </row>
    <row r="43" spans="1:6" x14ac:dyDescent="0.2">
      <c r="A43" t="s">
        <v>14</v>
      </c>
      <c r="B43" s="2" t="s">
        <v>15</v>
      </c>
      <c r="C43" s="2"/>
      <c r="D43" s="2"/>
    </row>
    <row r="44" spans="1:6" x14ac:dyDescent="0.2">
      <c r="A44" t="s">
        <v>36</v>
      </c>
      <c r="B44" s="2">
        <v>5</v>
      </c>
      <c r="C44" s="2"/>
      <c r="D44" s="2"/>
    </row>
    <row r="45" spans="1:6" x14ac:dyDescent="0.2">
      <c r="A45" t="s">
        <v>37</v>
      </c>
      <c r="B45" s="2">
        <v>3</v>
      </c>
      <c r="C45" s="2"/>
      <c r="D45" s="2"/>
    </row>
    <row r="46" spans="1:6" x14ac:dyDescent="0.2">
      <c r="A46" t="s">
        <v>43</v>
      </c>
      <c r="C46" s="1"/>
      <c r="D46" s="1"/>
    </row>
    <row r="47" spans="1:6" x14ac:dyDescent="0.2">
      <c r="C47" s="1"/>
      <c r="D47" s="1"/>
    </row>
    <row r="48" spans="1:6" x14ac:dyDescent="0.2">
      <c r="A48" s="22" t="s">
        <v>49</v>
      </c>
      <c r="C48" s="1"/>
      <c r="D48" s="1"/>
    </row>
    <row r="49" spans="1:4" x14ac:dyDescent="0.2">
      <c r="A49" t="s">
        <v>50</v>
      </c>
      <c r="C49" s="1"/>
      <c r="D49" s="1"/>
    </row>
    <row r="50" spans="1:4" x14ac:dyDescent="0.2">
      <c r="C50" s="1"/>
      <c r="D50" s="1"/>
    </row>
    <row r="51" spans="1:4" x14ac:dyDescent="0.2">
      <c r="A51" s="22" t="s">
        <v>48</v>
      </c>
      <c r="C51" s="1"/>
      <c r="D51" s="1"/>
    </row>
    <row r="52" spans="1:4" x14ac:dyDescent="0.2">
      <c r="A52" t="s">
        <v>51</v>
      </c>
      <c r="C52" s="1"/>
      <c r="D52" s="1"/>
    </row>
    <row r="53" spans="1:4" x14ac:dyDescent="0.2">
      <c r="C53" s="1"/>
      <c r="D53" s="1"/>
    </row>
    <row r="54" spans="1:4" x14ac:dyDescent="0.2">
      <c r="A54" s="22" t="s">
        <v>44</v>
      </c>
      <c r="C54" s="1"/>
      <c r="D54" s="1"/>
    </row>
    <row r="55" spans="1:4" x14ac:dyDescent="0.2">
      <c r="C55" s="1"/>
      <c r="D55" s="1"/>
    </row>
    <row r="56" spans="1:4" x14ac:dyDescent="0.2">
      <c r="A56" t="s">
        <v>46</v>
      </c>
      <c r="C56" s="1"/>
      <c r="D56" s="1"/>
    </row>
    <row r="57" spans="1:4" x14ac:dyDescent="0.2">
      <c r="A57" t="s">
        <v>45</v>
      </c>
      <c r="C57" s="1"/>
      <c r="D57" s="1"/>
    </row>
    <row r="58" spans="1:4" x14ac:dyDescent="0.2">
      <c r="A58" t="s">
        <v>52</v>
      </c>
      <c r="C58" s="1"/>
      <c r="D58" s="1"/>
    </row>
    <row r="59" spans="1:4" x14ac:dyDescent="0.2">
      <c r="A59" t="s">
        <v>47</v>
      </c>
      <c r="C59" s="1"/>
      <c r="D59" s="1"/>
    </row>
    <row r="60" spans="1:4" x14ac:dyDescent="0.2">
      <c r="C60" s="1"/>
      <c r="D60" s="1"/>
    </row>
    <row r="61" spans="1:4" x14ac:dyDescent="0.2">
      <c r="C61" s="1"/>
      <c r="D61" s="1"/>
    </row>
    <row r="62" spans="1:4" x14ac:dyDescent="0.2">
      <c r="C62" s="1"/>
      <c r="D62" s="1"/>
    </row>
    <row r="63" spans="1:4" x14ac:dyDescent="0.2">
      <c r="C63" s="1"/>
      <c r="D63" s="1"/>
    </row>
    <row r="64" spans="1:4" x14ac:dyDescent="0.2">
      <c r="C64" s="1"/>
      <c r="D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3" spans="3:4" x14ac:dyDescent="0.2">
      <c r="C103" s="1"/>
      <c r="D103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  <row r="127" spans="3:4" x14ac:dyDescent="0.2">
      <c r="C127" s="1"/>
      <c r="D127" s="1"/>
    </row>
    <row r="128" spans="3:4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  <row r="132" spans="3:4" x14ac:dyDescent="0.2">
      <c r="C132" s="1"/>
      <c r="D132" s="1"/>
    </row>
    <row r="133" spans="3:4" x14ac:dyDescent="0.2">
      <c r="C133" s="1"/>
      <c r="D133" s="1"/>
    </row>
    <row r="134" spans="3:4" x14ac:dyDescent="0.2">
      <c r="C134" s="1"/>
      <c r="D134" s="1"/>
    </row>
    <row r="135" spans="3:4" x14ac:dyDescent="0.2">
      <c r="C135" s="1"/>
      <c r="D135" s="1"/>
    </row>
    <row r="136" spans="3:4" x14ac:dyDescent="0.2">
      <c r="C136" s="1"/>
      <c r="D136" s="1"/>
    </row>
    <row r="137" spans="3:4" x14ac:dyDescent="0.2">
      <c r="C137" s="1"/>
      <c r="D137" s="1"/>
    </row>
    <row r="138" spans="3:4" x14ac:dyDescent="0.2">
      <c r="C138" s="1"/>
      <c r="D138" s="1"/>
    </row>
    <row r="139" spans="3:4" x14ac:dyDescent="0.2">
      <c r="C139" s="1"/>
      <c r="D139" s="1"/>
    </row>
    <row r="140" spans="3:4" x14ac:dyDescent="0.2">
      <c r="C140" s="1"/>
      <c r="D140" s="1"/>
    </row>
    <row r="141" spans="3:4" x14ac:dyDescent="0.2">
      <c r="C141" s="1"/>
      <c r="D141" s="1"/>
    </row>
    <row r="142" spans="3:4" x14ac:dyDescent="0.2">
      <c r="C142" s="1"/>
      <c r="D142" s="1"/>
    </row>
    <row r="143" spans="3:4" x14ac:dyDescent="0.2">
      <c r="C143" s="1"/>
      <c r="D143" s="1"/>
    </row>
    <row r="144" spans="3:4" x14ac:dyDescent="0.2">
      <c r="C144" s="1"/>
      <c r="D144" s="1"/>
    </row>
    <row r="145" spans="3:4" x14ac:dyDescent="0.2">
      <c r="C145" s="1"/>
      <c r="D145" s="1"/>
    </row>
    <row r="146" spans="3:4" x14ac:dyDescent="0.2">
      <c r="C146" s="1"/>
      <c r="D146" s="1"/>
    </row>
    <row r="147" spans="3:4" x14ac:dyDescent="0.2">
      <c r="C147" s="1"/>
      <c r="D147" s="1"/>
    </row>
    <row r="148" spans="3:4" x14ac:dyDescent="0.2">
      <c r="C148" s="1"/>
      <c r="D148" s="1"/>
    </row>
    <row r="149" spans="3:4" x14ac:dyDescent="0.2">
      <c r="C149" s="1"/>
      <c r="D149" s="1"/>
    </row>
    <row r="150" spans="3:4" x14ac:dyDescent="0.2">
      <c r="C150" s="1"/>
      <c r="D150" s="1"/>
    </row>
    <row r="151" spans="3:4" x14ac:dyDescent="0.2">
      <c r="C151" s="1"/>
      <c r="D151" s="1"/>
    </row>
    <row r="152" spans="3:4" x14ac:dyDescent="0.2">
      <c r="C152" s="1"/>
      <c r="D152" s="1"/>
    </row>
    <row r="153" spans="3:4" x14ac:dyDescent="0.2">
      <c r="C153" s="1"/>
      <c r="D153" s="1"/>
    </row>
    <row r="154" spans="3:4" x14ac:dyDescent="0.2">
      <c r="C154" s="1"/>
      <c r="D154" s="1"/>
    </row>
    <row r="155" spans="3:4" x14ac:dyDescent="0.2">
      <c r="C155" s="1"/>
      <c r="D155" s="1"/>
    </row>
    <row r="156" spans="3:4" x14ac:dyDescent="0.2">
      <c r="C156" s="1"/>
      <c r="D156" s="1"/>
    </row>
    <row r="157" spans="3:4" x14ac:dyDescent="0.2">
      <c r="C157" s="1"/>
      <c r="D157" s="1"/>
    </row>
    <row r="158" spans="3:4" x14ac:dyDescent="0.2">
      <c r="C158" s="1"/>
      <c r="D158" s="1"/>
    </row>
    <row r="159" spans="3:4" x14ac:dyDescent="0.2">
      <c r="C159" s="1"/>
      <c r="D159" s="1"/>
    </row>
    <row r="160" spans="3:4" x14ac:dyDescent="0.2">
      <c r="C160" s="1"/>
      <c r="D160" s="1"/>
    </row>
    <row r="161" spans="3:4" x14ac:dyDescent="0.2">
      <c r="C161" s="1"/>
      <c r="D161" s="1"/>
    </row>
    <row r="162" spans="3:4" x14ac:dyDescent="0.2">
      <c r="C162" s="1"/>
      <c r="D162" s="1"/>
    </row>
    <row r="163" spans="3:4" x14ac:dyDescent="0.2">
      <c r="C163" s="1"/>
      <c r="D163" s="1"/>
    </row>
    <row r="164" spans="3:4" x14ac:dyDescent="0.2">
      <c r="C164" s="1"/>
      <c r="D164" s="1"/>
    </row>
    <row r="165" spans="3:4" x14ac:dyDescent="0.2">
      <c r="C165" s="1"/>
      <c r="D165" s="1"/>
    </row>
    <row r="166" spans="3:4" x14ac:dyDescent="0.2">
      <c r="C166" s="1"/>
      <c r="D166" s="1"/>
    </row>
    <row r="167" spans="3:4" x14ac:dyDescent="0.2">
      <c r="C167" s="1"/>
      <c r="D167" s="1"/>
    </row>
    <row r="168" spans="3:4" x14ac:dyDescent="0.2">
      <c r="C168" s="1"/>
      <c r="D168" s="1"/>
    </row>
    <row r="169" spans="3:4" x14ac:dyDescent="0.2">
      <c r="C169" s="1"/>
      <c r="D169" s="1"/>
    </row>
    <row r="170" spans="3:4" x14ac:dyDescent="0.2">
      <c r="C170" s="1"/>
      <c r="D170" s="1"/>
    </row>
    <row r="171" spans="3:4" x14ac:dyDescent="0.2">
      <c r="C171" s="1"/>
      <c r="D171" s="1"/>
    </row>
    <row r="172" spans="3:4" x14ac:dyDescent="0.2">
      <c r="C172" s="1"/>
      <c r="D172" s="1"/>
    </row>
    <row r="173" spans="3:4" x14ac:dyDescent="0.2">
      <c r="C173" s="1"/>
      <c r="D173" s="1"/>
    </row>
    <row r="174" spans="3:4" x14ac:dyDescent="0.2">
      <c r="C174" s="1"/>
      <c r="D174" s="1"/>
    </row>
    <row r="175" spans="3:4" x14ac:dyDescent="0.2">
      <c r="C175" s="1"/>
      <c r="D175" s="1"/>
    </row>
    <row r="176" spans="3:4" x14ac:dyDescent="0.2">
      <c r="C176" s="1"/>
      <c r="D176" s="1"/>
    </row>
    <row r="177" spans="3:4" x14ac:dyDescent="0.2">
      <c r="C177" s="1"/>
      <c r="D177" s="1"/>
    </row>
    <row r="178" spans="3:4" x14ac:dyDescent="0.2">
      <c r="C178" s="1"/>
      <c r="D178" s="1"/>
    </row>
    <row r="179" spans="3:4" x14ac:dyDescent="0.2">
      <c r="C179" s="1"/>
      <c r="D179" s="1"/>
    </row>
    <row r="180" spans="3:4" x14ac:dyDescent="0.2">
      <c r="C180" s="1"/>
      <c r="D180" s="1"/>
    </row>
    <row r="181" spans="3:4" x14ac:dyDescent="0.2">
      <c r="C181" s="1"/>
      <c r="D181" s="1"/>
    </row>
    <row r="182" spans="3:4" x14ac:dyDescent="0.2">
      <c r="C182" s="1"/>
      <c r="D182" s="1"/>
    </row>
    <row r="183" spans="3:4" x14ac:dyDescent="0.2">
      <c r="C183" s="1"/>
      <c r="D183" s="1"/>
    </row>
    <row r="184" spans="3:4" x14ac:dyDescent="0.2">
      <c r="C184" s="1"/>
      <c r="D184" s="1"/>
    </row>
    <row r="185" spans="3:4" x14ac:dyDescent="0.2">
      <c r="C185" s="1"/>
      <c r="D185" s="1"/>
    </row>
    <row r="186" spans="3:4" x14ac:dyDescent="0.2">
      <c r="C186" s="1"/>
      <c r="D186" s="1"/>
    </row>
    <row r="187" spans="3:4" x14ac:dyDescent="0.2">
      <c r="C187" s="1"/>
      <c r="D187" s="1"/>
    </row>
    <row r="188" spans="3:4" x14ac:dyDescent="0.2">
      <c r="C188" s="1"/>
      <c r="D188" s="1"/>
    </row>
    <row r="189" spans="3:4" x14ac:dyDescent="0.2">
      <c r="C189" s="1"/>
      <c r="D189" s="1"/>
    </row>
    <row r="190" spans="3:4" x14ac:dyDescent="0.2">
      <c r="C190" s="1"/>
      <c r="D190" s="1"/>
    </row>
    <row r="191" spans="3:4" x14ac:dyDescent="0.2">
      <c r="C191" s="1"/>
      <c r="D191" s="1"/>
    </row>
    <row r="192" spans="3:4" x14ac:dyDescent="0.2">
      <c r="C192" s="1"/>
      <c r="D192" s="1"/>
    </row>
    <row r="193" spans="3:4" x14ac:dyDescent="0.2">
      <c r="C193" s="1"/>
      <c r="D193" s="1"/>
    </row>
    <row r="194" spans="3:4" x14ac:dyDescent="0.2">
      <c r="C194" s="1"/>
      <c r="D194" s="1"/>
    </row>
    <row r="195" spans="3:4" x14ac:dyDescent="0.2">
      <c r="C195" s="1"/>
      <c r="D195" s="1"/>
    </row>
    <row r="196" spans="3:4" x14ac:dyDescent="0.2">
      <c r="C196" s="1"/>
      <c r="D196" s="1"/>
    </row>
    <row r="197" spans="3:4" x14ac:dyDescent="0.2">
      <c r="C197" s="1"/>
      <c r="D197" s="1"/>
    </row>
    <row r="198" spans="3:4" x14ac:dyDescent="0.2">
      <c r="C198" s="1"/>
      <c r="D198" s="1"/>
    </row>
    <row r="199" spans="3:4" x14ac:dyDescent="0.2">
      <c r="C199" s="1"/>
      <c r="D199" s="1"/>
    </row>
    <row r="200" spans="3:4" x14ac:dyDescent="0.2">
      <c r="C200" s="1"/>
      <c r="D200" s="1"/>
    </row>
    <row r="201" spans="3:4" x14ac:dyDescent="0.2">
      <c r="C201" s="1"/>
      <c r="D201" s="1"/>
    </row>
  </sheetData>
  <phoneticPr fontId="0" type="noConversion"/>
  <pageMargins left="0.2" right="0.21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topLeftCell="D23" zoomScale="80" workbookViewId="0">
      <selection activeCell="I58" sqref="I58"/>
    </sheetView>
  </sheetViews>
  <sheetFormatPr defaultRowHeight="12.75" x14ac:dyDescent="0.2"/>
  <cols>
    <col min="1" max="1" width="46" customWidth="1"/>
    <col min="2" max="2" width="15.85546875" bestFit="1" customWidth="1"/>
    <col min="3" max="3" width="16.42578125" customWidth="1"/>
    <col min="4" max="4" width="13.85546875" customWidth="1"/>
    <col min="5" max="5" width="16" bestFit="1" customWidth="1"/>
    <col min="6" max="6" width="14.5703125" customWidth="1"/>
    <col min="7" max="7" width="13" customWidth="1"/>
    <col min="8" max="8" width="11" customWidth="1"/>
    <col min="9" max="9" width="15.85546875" customWidth="1"/>
    <col min="10" max="10" width="12.5703125" customWidth="1"/>
    <col min="11" max="15" width="11.28515625" bestFit="1" customWidth="1"/>
    <col min="16" max="16" width="12.28515625" bestFit="1" customWidth="1"/>
  </cols>
  <sheetData>
    <row r="1" spans="1:15" x14ac:dyDescent="0.2">
      <c r="F1" t="s">
        <v>60</v>
      </c>
      <c r="G1">
        <v>42</v>
      </c>
      <c r="H1" t="s">
        <v>61</v>
      </c>
    </row>
    <row r="2" spans="1:15" x14ac:dyDescent="0.2">
      <c r="F2" t="s">
        <v>62</v>
      </c>
      <c r="G2">
        <v>6.2869999999999999</v>
      </c>
      <c r="H2" t="s">
        <v>63</v>
      </c>
    </row>
    <row r="4" spans="1:15" x14ac:dyDescent="0.2">
      <c r="A4" s="22" t="s">
        <v>58</v>
      </c>
      <c r="B4" s="22"/>
    </row>
    <row r="5" spans="1:15" x14ac:dyDescent="0.2">
      <c r="D5" t="s">
        <v>59</v>
      </c>
    </row>
    <row r="6" spans="1:15" s="8" customFormat="1" ht="12" x14ac:dyDescent="0.2">
      <c r="A6" s="7" t="s">
        <v>16</v>
      </c>
      <c r="B6" s="7"/>
      <c r="C6" s="7">
        <v>31</v>
      </c>
      <c r="D6" s="7">
        <v>28</v>
      </c>
      <c r="E6" s="7">
        <v>31</v>
      </c>
      <c r="F6" s="7">
        <v>30</v>
      </c>
      <c r="G6" s="7">
        <v>31</v>
      </c>
      <c r="H6" s="7">
        <v>30</v>
      </c>
      <c r="I6" s="7">
        <v>31</v>
      </c>
      <c r="J6" s="7">
        <v>31</v>
      </c>
      <c r="K6" s="7">
        <v>30</v>
      </c>
      <c r="L6" s="7">
        <v>31</v>
      </c>
      <c r="M6" s="7">
        <v>30</v>
      </c>
      <c r="N6" s="7">
        <v>31</v>
      </c>
      <c r="O6" s="16" t="s">
        <v>57</v>
      </c>
    </row>
    <row r="7" spans="1:15" s="8" customFormat="1" ht="12" x14ac:dyDescent="0.2">
      <c r="A7" s="7" t="s">
        <v>21</v>
      </c>
      <c r="B7" s="7"/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11</v>
      </c>
    </row>
    <row r="9" spans="1:15" x14ac:dyDescent="0.2">
      <c r="A9" s="20" t="s">
        <v>26</v>
      </c>
      <c r="B9" s="20"/>
    </row>
    <row r="10" spans="1:15" x14ac:dyDescent="0.2">
      <c r="A10" s="6" t="s">
        <v>27</v>
      </c>
      <c r="B10" s="26">
        <v>0.05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5" x14ac:dyDescent="0.2">
      <c r="B11" s="1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5" x14ac:dyDescent="0.2">
      <c r="A12" s="20" t="s">
        <v>22</v>
      </c>
      <c r="B12" s="1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5" x14ac:dyDescent="0.2">
      <c r="A13" s="6" t="s">
        <v>30</v>
      </c>
      <c r="B13" s="18">
        <v>12000</v>
      </c>
      <c r="C13" s="15">
        <f>(((12000/42)*6.287)*C6)</f>
        <v>55684.857142857138</v>
      </c>
      <c r="D13" s="15">
        <f>(((12000/42)*6.287)*D6)</f>
        <v>50296</v>
      </c>
      <c r="E13" s="15">
        <f>(((12000/42)*6.287)*E6)</f>
        <v>55684.857142857138</v>
      </c>
      <c r="F13" s="15">
        <f>(((12000/42)*6.287)*F6)</f>
        <v>53888.571428571428</v>
      </c>
      <c r="G13" s="15">
        <f>(((12000/42)*6.287)*G6)</f>
        <v>55684.857142857138</v>
      </c>
      <c r="H13" s="15">
        <f>(((60000/42)*6.287))</f>
        <v>8981.4285714285725</v>
      </c>
      <c r="I13" s="15">
        <f>(((60000/42)*6.287))</f>
        <v>8981.4285714285725</v>
      </c>
      <c r="J13" s="15">
        <f>(((60000/42)*6.287))</f>
        <v>8981.4285714285725</v>
      </c>
      <c r="K13" s="15">
        <f>(((60000/42)*6.287))</f>
        <v>8981.4285714285725</v>
      </c>
      <c r="L13" s="15">
        <f>(((12000/42)*6.287)*L6)</f>
        <v>55684.857142857138</v>
      </c>
      <c r="M13" s="15">
        <f>(((12000/42)*6.287)*M6)</f>
        <v>53888.571428571428</v>
      </c>
      <c r="N13" s="15">
        <f>(((12000/42)*6.287)*N6)</f>
        <v>55684.857142857138</v>
      </c>
      <c r="O13" s="31">
        <f>SUM(C13:N13)</f>
        <v>472423.1428571429</v>
      </c>
    </row>
    <row r="14" spans="1:15" x14ac:dyDescent="0.2">
      <c r="A14" s="6" t="s">
        <v>31</v>
      </c>
      <c r="B14" s="18">
        <v>60000</v>
      </c>
      <c r="C14" s="30"/>
      <c r="D14" s="30"/>
      <c r="E14" s="30"/>
      <c r="F14" s="30"/>
      <c r="G14" s="30"/>
      <c r="H14" s="30">
        <v>0</v>
      </c>
      <c r="I14" s="30">
        <v>0</v>
      </c>
      <c r="J14" s="30">
        <v>0</v>
      </c>
      <c r="K14" s="30"/>
      <c r="L14" s="30"/>
      <c r="M14" s="30"/>
      <c r="N14" s="30"/>
      <c r="O14" s="31">
        <f>SUM(C14:N14)</f>
        <v>0</v>
      </c>
    </row>
    <row r="15" spans="1:15" x14ac:dyDescent="0.2">
      <c r="A15" s="6"/>
      <c r="B15" s="1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6" spans="1:15" x14ac:dyDescent="0.2">
      <c r="A16" s="20" t="s">
        <v>24</v>
      </c>
      <c r="B16" s="1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</row>
    <row r="17" spans="1:15" x14ac:dyDescent="0.2">
      <c r="A17" s="6" t="s">
        <v>25</v>
      </c>
      <c r="B17" s="19">
        <v>2400</v>
      </c>
      <c r="C17" s="30">
        <f>$B$17*C6</f>
        <v>74400</v>
      </c>
      <c r="D17" s="30">
        <f t="shared" ref="D17:N17" si="0">$B$17*D6</f>
        <v>67200</v>
      </c>
      <c r="E17" s="30">
        <f t="shared" si="0"/>
        <v>74400</v>
      </c>
      <c r="F17" s="30">
        <f t="shared" si="0"/>
        <v>72000</v>
      </c>
      <c r="G17" s="30">
        <f t="shared" si="0"/>
        <v>74400</v>
      </c>
      <c r="H17" s="30">
        <f t="shared" si="0"/>
        <v>72000</v>
      </c>
      <c r="I17" s="30">
        <f t="shared" si="0"/>
        <v>74400</v>
      </c>
      <c r="J17" s="30">
        <f t="shared" si="0"/>
        <v>74400</v>
      </c>
      <c r="K17" s="30">
        <f t="shared" si="0"/>
        <v>72000</v>
      </c>
      <c r="L17" s="30">
        <f t="shared" si="0"/>
        <v>74400</v>
      </c>
      <c r="M17" s="30">
        <f t="shared" si="0"/>
        <v>72000</v>
      </c>
      <c r="N17" s="30">
        <f t="shared" si="0"/>
        <v>74400</v>
      </c>
      <c r="O17" s="31">
        <f>SUM(C17:N17)</f>
        <v>876000</v>
      </c>
    </row>
    <row r="18" spans="1:15" x14ac:dyDescent="0.2">
      <c r="A18" s="6" t="s">
        <v>32</v>
      </c>
      <c r="B18" s="26">
        <v>0.15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</row>
    <row r="19" spans="1:15" x14ac:dyDescent="0.2">
      <c r="A19" s="1"/>
      <c r="B19" s="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1:15" x14ac:dyDescent="0.2">
      <c r="A20" s="1"/>
      <c r="B20" s="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1:15" x14ac:dyDescent="0.2">
      <c r="A21" s="20" t="s">
        <v>29</v>
      </c>
      <c r="B21" s="1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1"/>
    </row>
    <row r="22" spans="1:15" x14ac:dyDescent="0.2">
      <c r="A22" s="6" t="s">
        <v>28</v>
      </c>
      <c r="B22" s="19">
        <v>24</v>
      </c>
      <c r="C22" s="30">
        <f>$B$22*C6</f>
        <v>744</v>
      </c>
      <c r="D22" s="30">
        <f t="shared" ref="D22:N22" si="1">$B$22*D6</f>
        <v>672</v>
      </c>
      <c r="E22" s="30">
        <f t="shared" si="1"/>
        <v>744</v>
      </c>
      <c r="F22" s="30">
        <f t="shared" si="1"/>
        <v>720</v>
      </c>
      <c r="G22" s="30">
        <f t="shared" si="1"/>
        <v>744</v>
      </c>
      <c r="H22" s="30">
        <f t="shared" si="1"/>
        <v>720</v>
      </c>
      <c r="I22" s="30">
        <f t="shared" si="1"/>
        <v>744</v>
      </c>
      <c r="J22" s="30">
        <f t="shared" si="1"/>
        <v>744</v>
      </c>
      <c r="K22" s="30">
        <f t="shared" si="1"/>
        <v>720</v>
      </c>
      <c r="L22" s="30">
        <f t="shared" si="1"/>
        <v>744</v>
      </c>
      <c r="M22" s="30">
        <f t="shared" si="1"/>
        <v>720</v>
      </c>
      <c r="N22" s="30">
        <f t="shared" si="1"/>
        <v>744</v>
      </c>
      <c r="O22" s="31">
        <f>SUM(C22:N22)</f>
        <v>8760</v>
      </c>
    </row>
    <row r="23" spans="1:15" x14ac:dyDescent="0.2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5" x14ac:dyDescent="0.2">
      <c r="A24" s="32" t="s">
        <v>64</v>
      </c>
      <c r="C24" s="30">
        <f>C13+C17+C22+C14</f>
        <v>130828.85714285713</v>
      </c>
      <c r="D24" s="30">
        <f t="shared" ref="D24:N24" si="2">D13+D17+D22+D14</f>
        <v>118168</v>
      </c>
      <c r="E24" s="30">
        <f t="shared" si="2"/>
        <v>130828.85714285713</v>
      </c>
      <c r="F24" s="30">
        <f t="shared" si="2"/>
        <v>126608.57142857142</v>
      </c>
      <c r="G24" s="30">
        <f t="shared" si="2"/>
        <v>130828.85714285713</v>
      </c>
      <c r="H24" s="30">
        <f t="shared" si="2"/>
        <v>81701.42857142858</v>
      </c>
      <c r="I24" s="30">
        <f t="shared" si="2"/>
        <v>84125.42857142858</v>
      </c>
      <c r="J24" s="30">
        <f t="shared" si="2"/>
        <v>84125.42857142858</v>
      </c>
      <c r="K24" s="30">
        <f t="shared" si="2"/>
        <v>81701.42857142858</v>
      </c>
      <c r="L24" s="30">
        <f t="shared" si="2"/>
        <v>130828.85714285713</v>
      </c>
      <c r="M24" s="30">
        <f t="shared" si="2"/>
        <v>126608.57142857142</v>
      </c>
      <c r="N24" s="30">
        <f t="shared" si="2"/>
        <v>130828.85714285713</v>
      </c>
      <c r="O24" s="31">
        <f>SUM(O13:O22)</f>
        <v>1357183.142857143</v>
      </c>
    </row>
    <row r="25" spans="1:15" x14ac:dyDescent="0.2">
      <c r="A25" s="20"/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5" x14ac:dyDescent="0.2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5" x14ac:dyDescent="0.2">
      <c r="A27" t="s">
        <v>65</v>
      </c>
      <c r="C27" s="30">
        <f>volumes!B9</f>
        <v>307031.28499999997</v>
      </c>
      <c r="D27" s="30">
        <f>volumes!C9</f>
        <v>277318.58</v>
      </c>
      <c r="E27" s="30">
        <f>volumes!D9</f>
        <v>307031.28499999997</v>
      </c>
      <c r="F27" s="30">
        <f>volumes!E9</f>
        <v>261148.29</v>
      </c>
      <c r="G27" s="30">
        <f>volumes!F9</f>
        <v>260608.785</v>
      </c>
      <c r="H27" s="30">
        <f>volumes!G9</f>
        <v>244852.05</v>
      </c>
      <c r="I27" s="30">
        <f>volumes!H9</f>
        <v>253013.785</v>
      </c>
      <c r="J27" s="30">
        <f>volumes!I9</f>
        <v>253013.785</v>
      </c>
      <c r="K27" s="30">
        <f>volumes!J9</f>
        <v>268416.89720000001</v>
      </c>
      <c r="L27" s="30">
        <f>volumes!K9</f>
        <v>294243.78499999997</v>
      </c>
      <c r="M27" s="30">
        <f>volumes!L9</f>
        <v>309737.49</v>
      </c>
      <c r="N27" s="30">
        <f>volumes!M9</f>
        <v>320062.07299999997</v>
      </c>
      <c r="O27" s="30">
        <f>volumes!N9</f>
        <v>3356478.0901999995</v>
      </c>
    </row>
    <row r="28" spans="1:15" x14ac:dyDescent="0.2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2">
      <c r="A29" t="s">
        <v>66</v>
      </c>
      <c r="C29" s="30">
        <f>C27-C24</f>
        <v>176202.42785714284</v>
      </c>
      <c r="D29" s="30">
        <f t="shared" ref="D29:O29" si="3">D27-D24</f>
        <v>159150.58000000002</v>
      </c>
      <c r="E29" s="30">
        <f t="shared" si="3"/>
        <v>176202.42785714284</v>
      </c>
      <c r="F29" s="30">
        <f t="shared" si="3"/>
        <v>134539.71857142859</v>
      </c>
      <c r="G29" s="30">
        <f t="shared" si="3"/>
        <v>129779.92785714287</v>
      </c>
      <c r="H29" s="30">
        <f t="shared" si="3"/>
        <v>163150.62142857141</v>
      </c>
      <c r="I29" s="30">
        <f t="shared" si="3"/>
        <v>168888.35642857142</v>
      </c>
      <c r="J29" s="30">
        <f t="shared" si="3"/>
        <v>168888.35642857142</v>
      </c>
      <c r="K29" s="30">
        <f t="shared" si="3"/>
        <v>186715.46862857143</v>
      </c>
      <c r="L29" s="30">
        <f t="shared" si="3"/>
        <v>163414.92785714284</v>
      </c>
      <c r="M29" s="30">
        <f t="shared" si="3"/>
        <v>183128.91857142857</v>
      </c>
      <c r="N29" s="30">
        <f t="shared" si="3"/>
        <v>189233.21585714284</v>
      </c>
      <c r="O29" s="30">
        <f t="shared" si="3"/>
        <v>1999294.9473428566</v>
      </c>
    </row>
    <row r="30" spans="1:15" x14ac:dyDescent="0.2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2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2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2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">
      <c r="A34" s="22" t="s">
        <v>67</v>
      </c>
      <c r="B34" s="52" t="s">
        <v>82</v>
      </c>
      <c r="C34" s="52"/>
      <c r="D34" s="19" t="s">
        <v>57</v>
      </c>
      <c r="E34" s="52" t="s">
        <v>79</v>
      </c>
      <c r="F34" s="52"/>
      <c r="G34" s="19" t="s">
        <v>57</v>
      </c>
      <c r="I34" s="52" t="s">
        <v>87</v>
      </c>
      <c r="J34" s="52"/>
    </row>
    <row r="35" spans="1:15" x14ac:dyDescent="0.2">
      <c r="B35" s="42" t="s">
        <v>69</v>
      </c>
      <c r="C35" s="42" t="s">
        <v>68</v>
      </c>
      <c r="D35" s="42"/>
      <c r="E35" s="42" t="s">
        <v>69</v>
      </c>
      <c r="F35" s="42" t="s">
        <v>68</v>
      </c>
      <c r="G35" s="50"/>
      <c r="H35" s="50"/>
      <c r="I35" s="42" t="s">
        <v>69</v>
      </c>
      <c r="J35" s="42" t="s">
        <v>68</v>
      </c>
    </row>
    <row r="36" spans="1:15" x14ac:dyDescent="0.2">
      <c r="A36" s="41" t="s">
        <v>71</v>
      </c>
      <c r="E36" s="5"/>
      <c r="F36" s="5"/>
    </row>
    <row r="37" spans="1:15" x14ac:dyDescent="0.2">
      <c r="A37" s="39" t="s">
        <v>83</v>
      </c>
      <c r="B37" s="33">
        <v>5.81</v>
      </c>
      <c r="C37" s="33">
        <v>5.81</v>
      </c>
      <c r="D37" s="33"/>
      <c r="E37" s="33">
        <v>5.2279999999999998</v>
      </c>
      <c r="F37" s="33">
        <v>5.2279999999999998</v>
      </c>
      <c r="G37" s="33"/>
      <c r="I37" s="33"/>
      <c r="J37" s="33"/>
    </row>
    <row r="38" spans="1:15" x14ac:dyDescent="0.2">
      <c r="A38" s="39" t="s">
        <v>84</v>
      </c>
      <c r="B38" s="33">
        <v>0.28000000000000003</v>
      </c>
      <c r="C38" s="33">
        <v>0.28000000000000003</v>
      </c>
      <c r="D38" s="33"/>
      <c r="E38" s="33">
        <v>0.28000000000000003</v>
      </c>
      <c r="F38" s="33">
        <v>0.28000000000000003</v>
      </c>
      <c r="G38" s="33"/>
      <c r="I38" s="33"/>
      <c r="J38" s="33"/>
    </row>
    <row r="39" spans="1:15" x14ac:dyDescent="0.2">
      <c r="A39" s="40" t="s">
        <v>85</v>
      </c>
      <c r="B39" s="37">
        <f>B37+B38</f>
        <v>6.09</v>
      </c>
      <c r="C39" s="37">
        <f>C37+C38</f>
        <v>6.09</v>
      </c>
      <c r="D39" s="33"/>
      <c r="E39" s="37">
        <f>E37+E38</f>
        <v>5.508</v>
      </c>
      <c r="F39" s="37">
        <f>F37+F38</f>
        <v>5.508</v>
      </c>
      <c r="G39" s="33"/>
      <c r="I39" s="37"/>
      <c r="J39" s="37"/>
    </row>
    <row r="40" spans="1:15" x14ac:dyDescent="0.2">
      <c r="A40" s="40"/>
      <c r="B40" s="37"/>
      <c r="C40" s="37"/>
      <c r="D40" s="33"/>
      <c r="E40" s="37"/>
      <c r="F40" s="37"/>
      <c r="G40" s="33"/>
      <c r="I40" s="49"/>
      <c r="J40" s="49"/>
    </row>
    <row r="41" spans="1:15" x14ac:dyDescent="0.2">
      <c r="A41" s="39" t="s">
        <v>77</v>
      </c>
      <c r="B41" s="33">
        <v>5.37</v>
      </c>
      <c r="C41" s="33">
        <v>5.37</v>
      </c>
      <c r="D41" s="33"/>
      <c r="G41" s="33"/>
      <c r="I41" s="33"/>
      <c r="J41" s="33"/>
    </row>
    <row r="42" spans="1:15" x14ac:dyDescent="0.2">
      <c r="A42" s="39" t="s">
        <v>81</v>
      </c>
      <c r="B42" s="33"/>
      <c r="C42" s="33"/>
      <c r="D42" s="33"/>
      <c r="E42" s="33">
        <f>4.77+0.35</f>
        <v>5.1199999999999992</v>
      </c>
      <c r="F42" s="33">
        <f>4.77+0.35</f>
        <v>5.1199999999999992</v>
      </c>
      <c r="G42" s="33"/>
      <c r="I42" s="49"/>
      <c r="J42" s="49"/>
    </row>
    <row r="43" spans="1:15" x14ac:dyDescent="0.2">
      <c r="A43" s="39" t="s">
        <v>80</v>
      </c>
      <c r="B43" s="33">
        <f>0.79/6.287</f>
        <v>0.12565611579449659</v>
      </c>
      <c r="C43" s="33">
        <f>0.79/6.287</f>
        <v>0.12565611579449659</v>
      </c>
      <c r="D43" s="33"/>
      <c r="E43" s="33">
        <f>0.79/6.287</f>
        <v>0.12565611579449659</v>
      </c>
      <c r="F43" s="33">
        <f>0.79/6.287</f>
        <v>0.12565611579449659</v>
      </c>
      <c r="G43" s="33"/>
      <c r="I43" s="33"/>
      <c r="J43" s="33"/>
    </row>
    <row r="44" spans="1:15" x14ac:dyDescent="0.2">
      <c r="A44" s="40" t="s">
        <v>86</v>
      </c>
      <c r="B44" s="37">
        <f>B41+B43</f>
        <v>5.495656115794497</v>
      </c>
      <c r="C44" s="37">
        <f>C41+C43</f>
        <v>5.495656115794497</v>
      </c>
      <c r="D44" s="33"/>
      <c r="E44" s="37">
        <f>E42+E43</f>
        <v>5.2456561157944961</v>
      </c>
      <c r="F44" s="37">
        <f>F42+F43</f>
        <v>5.2456561157944961</v>
      </c>
      <c r="G44" s="33"/>
      <c r="I44" s="37"/>
      <c r="J44" s="37"/>
    </row>
    <row r="45" spans="1:15" x14ac:dyDescent="0.2">
      <c r="A45" s="40"/>
      <c r="B45" s="37"/>
      <c r="C45" s="37"/>
      <c r="D45" s="33"/>
      <c r="E45" s="37"/>
      <c r="F45" s="37"/>
      <c r="G45" s="33"/>
      <c r="I45" s="49"/>
      <c r="J45" s="49"/>
    </row>
    <row r="46" spans="1:15" x14ac:dyDescent="0.2">
      <c r="A46" s="39" t="s">
        <v>72</v>
      </c>
      <c r="B46" s="33">
        <f>IF(B39-B44&lt;0,"N/A",B39-B44)</f>
        <v>0.59434388420550288</v>
      </c>
      <c r="C46" s="33">
        <f>IF(C39-C44&lt;0,"N/A",C39-C44)</f>
        <v>0.59434388420550288</v>
      </c>
      <c r="D46" s="33"/>
      <c r="E46" s="33">
        <f>IF(E39-E44&lt;0,"N/A",E39-E44)</f>
        <v>0.26234388420550392</v>
      </c>
      <c r="F46" s="33">
        <f>IF(F39-F44&lt;0,"N/A",F39-F44)</f>
        <v>0.26234388420550392</v>
      </c>
      <c r="G46" s="33"/>
      <c r="I46" s="33"/>
      <c r="J46" s="33"/>
    </row>
    <row r="47" spans="1:15" x14ac:dyDescent="0.2">
      <c r="A47" s="39" t="s">
        <v>73</v>
      </c>
      <c r="B47" s="34">
        <f>O29</f>
        <v>1999294.9473428566</v>
      </c>
      <c r="C47" s="34">
        <f>O17</f>
        <v>876000</v>
      </c>
      <c r="D47" s="33"/>
      <c r="E47" s="34">
        <f>O29</f>
        <v>1999294.9473428566</v>
      </c>
      <c r="F47" s="34">
        <f>O17</f>
        <v>876000</v>
      </c>
      <c r="G47" s="33"/>
      <c r="I47" s="49"/>
      <c r="J47" s="49"/>
    </row>
    <row r="48" spans="1:15" x14ac:dyDescent="0.2">
      <c r="A48" s="39"/>
      <c r="B48" s="33"/>
      <c r="C48" s="33"/>
      <c r="D48" s="33"/>
      <c r="E48" s="33"/>
      <c r="F48" s="33"/>
      <c r="G48" s="33"/>
      <c r="I48" s="49"/>
      <c r="J48" s="49"/>
    </row>
    <row r="49" spans="1:10" x14ac:dyDescent="0.2">
      <c r="A49" s="41" t="s">
        <v>74</v>
      </c>
      <c r="B49" s="38">
        <f>B46*B47</f>
        <v>1188268.7246761897</v>
      </c>
      <c r="C49" s="38">
        <f>C46*C47</f>
        <v>520645.2425640205</v>
      </c>
      <c r="D49" s="43">
        <f>B49+C49</f>
        <v>1708913.9672402102</v>
      </c>
      <c r="E49" s="38">
        <f>E46*E47</f>
        <v>524502.8021583634</v>
      </c>
      <c r="F49" s="38">
        <f>F46*F47</f>
        <v>229813.24256402144</v>
      </c>
      <c r="G49" s="43">
        <f>E49+F49</f>
        <v>754316.04472238477</v>
      </c>
      <c r="I49" s="49"/>
      <c r="J49" s="49"/>
    </row>
    <row r="50" spans="1:10" x14ac:dyDescent="0.2">
      <c r="A50" s="39"/>
      <c r="B50" s="33"/>
      <c r="C50" s="33"/>
      <c r="D50" s="33"/>
      <c r="E50" s="33"/>
      <c r="F50" s="33"/>
      <c r="G50" s="33"/>
    </row>
    <row r="51" spans="1:10" x14ac:dyDescent="0.2">
      <c r="A51" s="41" t="s">
        <v>75</v>
      </c>
      <c r="D51" s="33"/>
      <c r="G51" s="33"/>
    </row>
    <row r="52" spans="1:10" x14ac:dyDescent="0.2">
      <c r="A52" s="39" t="s">
        <v>78</v>
      </c>
      <c r="B52" s="36">
        <f>B10</f>
        <v>0.05</v>
      </c>
      <c r="C52" s="36">
        <f>B18</f>
        <v>0.15</v>
      </c>
      <c r="D52" s="33"/>
      <c r="E52" s="36">
        <f>B10</f>
        <v>0.05</v>
      </c>
      <c r="F52" s="36">
        <f>B18</f>
        <v>0.15</v>
      </c>
      <c r="G52" s="33"/>
      <c r="I52" s="47">
        <f>B10</f>
        <v>0.05</v>
      </c>
      <c r="J52" s="47">
        <f>B18</f>
        <v>0.15</v>
      </c>
    </row>
    <row r="53" spans="1:10" x14ac:dyDescent="0.2">
      <c r="A53" s="39" t="s">
        <v>70</v>
      </c>
      <c r="B53" s="33">
        <f>B39*B52</f>
        <v>0.30449999999999999</v>
      </c>
      <c r="C53" s="33">
        <f>C39*C52</f>
        <v>0.91349999999999998</v>
      </c>
      <c r="D53" s="33"/>
      <c r="E53" s="33">
        <f>E39*E52</f>
        <v>0.27540000000000003</v>
      </c>
      <c r="F53" s="33">
        <f>F39*F52</f>
        <v>0.82619999999999993</v>
      </c>
      <c r="G53" s="33"/>
      <c r="I53" s="37">
        <f>I55/B47</f>
        <v>0.15005289759708146</v>
      </c>
      <c r="J53" s="37">
        <f>J55/C47</f>
        <v>0.22831050228310501</v>
      </c>
    </row>
    <row r="54" spans="1:10" x14ac:dyDescent="0.2">
      <c r="A54" s="39"/>
      <c r="D54" s="33"/>
      <c r="G54" s="33"/>
    </row>
    <row r="55" spans="1:10" x14ac:dyDescent="0.2">
      <c r="A55" s="41" t="s">
        <v>74</v>
      </c>
      <c r="B55" s="38">
        <f>B47*B53</f>
        <v>608785.31146589981</v>
      </c>
      <c r="C55" s="38">
        <f>C47*C53</f>
        <v>800226</v>
      </c>
      <c r="D55" s="43">
        <f>B55+C55</f>
        <v>1409011.3114658999</v>
      </c>
      <c r="E55" s="38">
        <f>E47*E53</f>
        <v>550605.82849822275</v>
      </c>
      <c r="F55" s="38">
        <f>F47*F53</f>
        <v>723751.2</v>
      </c>
      <c r="G55" s="43">
        <f>E55+F55</f>
        <v>1274357.0284982226</v>
      </c>
      <c r="I55" s="48">
        <v>300000</v>
      </c>
      <c r="J55" s="48">
        <v>200000</v>
      </c>
    </row>
    <row r="56" spans="1:10" x14ac:dyDescent="0.2">
      <c r="A56" s="39"/>
      <c r="B56" s="35"/>
      <c r="C56" s="35"/>
      <c r="D56" s="33"/>
      <c r="E56" s="35"/>
      <c r="F56" s="35"/>
      <c r="G56" s="33"/>
    </row>
    <row r="57" spans="1:10" ht="15" x14ac:dyDescent="0.25">
      <c r="A57" s="44" t="s">
        <v>76</v>
      </c>
      <c r="B57" s="45">
        <f>B55-B49</f>
        <v>-579483.4132102899</v>
      </c>
      <c r="C57" s="45">
        <f>C55-C49</f>
        <v>279580.7574359795</v>
      </c>
      <c r="D57" s="46">
        <f>B57+C57</f>
        <v>-299902.65577431041</v>
      </c>
      <c r="E57" s="45">
        <f>E55-E49</f>
        <v>26103.026339859352</v>
      </c>
      <c r="F57" s="45">
        <f>F55-F49</f>
        <v>493937.95743597852</v>
      </c>
      <c r="G57" s="46">
        <f>E57+F57</f>
        <v>520040.98377583787</v>
      </c>
    </row>
    <row r="58" spans="1:10" x14ac:dyDescent="0.2">
      <c r="D58" s="33"/>
      <c r="G58" s="33"/>
    </row>
    <row r="59" spans="1:10" x14ac:dyDescent="0.2">
      <c r="B59" s="33"/>
      <c r="C59" s="33"/>
      <c r="D59" s="33"/>
    </row>
    <row r="60" spans="1:10" x14ac:dyDescent="0.2">
      <c r="A60" s="22"/>
      <c r="B60" s="33"/>
      <c r="C60" s="33"/>
      <c r="D60" s="33"/>
    </row>
  </sheetData>
  <mergeCells count="3">
    <mergeCell ref="E34:F34"/>
    <mergeCell ref="B34:C34"/>
    <mergeCell ref="I34:J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"/>
  <sheetViews>
    <sheetView workbookViewId="0">
      <selection activeCell="A8" sqref="A8"/>
    </sheetView>
  </sheetViews>
  <sheetFormatPr defaultRowHeight="12.75" x14ac:dyDescent="0.2"/>
  <cols>
    <col min="1" max="1" width="28.140625" customWidth="1"/>
    <col min="2" max="2" width="10.28515625" bestFit="1" customWidth="1"/>
  </cols>
  <sheetData>
    <row r="4" spans="1:13" s="8" customFormat="1" ht="12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s="8" customFormat="1" ht="12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8" spans="1:13" x14ac:dyDescent="0.2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10" spans="1:13" x14ac:dyDescent="0.2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2" spans="1:13" x14ac:dyDescent="0.2">
      <c r="B12" s="5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analysis</vt:lpstr>
      <vt:lpstr>storage</vt:lpstr>
    </vt:vector>
  </TitlesOfParts>
  <Company>GSP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CUhlik</dc:creator>
  <cp:lastModifiedBy>Jan Havlíček</cp:lastModifiedBy>
  <cp:lastPrinted>2001-06-04T21:54:34Z</cp:lastPrinted>
  <dcterms:created xsi:type="dcterms:W3CDTF">2001-04-27T12:34:09Z</dcterms:created>
  <dcterms:modified xsi:type="dcterms:W3CDTF">2023-09-13T16:46:06Z</dcterms:modified>
</cp:coreProperties>
</file>