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0EA341-2519-4CFF-AAA1-1DAC38B343F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7" r:id="rId1"/>
    <sheet name="Sheet2" sheetId="16" r:id="rId2"/>
    <sheet name="Sheet3" sheetId="15" r:id="rId3"/>
  </sheets>
  <calcPr calcId="0"/>
</workbook>
</file>

<file path=xl/calcChain.xml><?xml version="1.0" encoding="utf-8"?>
<calcChain xmlns="http://schemas.openxmlformats.org/spreadsheetml/2006/main">
  <c r="K4" i="17" l="1"/>
  <c r="D9" i="17"/>
  <c r="H9" i="17"/>
  <c r="J9" i="17"/>
  <c r="K9" i="17"/>
  <c r="M9" i="17"/>
  <c r="B11" i="17"/>
  <c r="D11" i="17"/>
  <c r="H11" i="17"/>
  <c r="J11" i="17"/>
  <c r="K11" i="17"/>
  <c r="B12" i="17"/>
  <c r="D12" i="17"/>
  <c r="H12" i="17"/>
  <c r="J12" i="17"/>
  <c r="K12" i="17"/>
  <c r="B13" i="17"/>
  <c r="D13" i="17"/>
  <c r="H13" i="17"/>
  <c r="J13" i="17"/>
  <c r="K13" i="17"/>
  <c r="B14" i="17"/>
  <c r="D14" i="17"/>
  <c r="H14" i="17"/>
  <c r="J14" i="17"/>
  <c r="K14" i="17"/>
  <c r="B15" i="17"/>
  <c r="D15" i="17"/>
  <c r="H15" i="17"/>
  <c r="J15" i="17"/>
  <c r="K15" i="17"/>
  <c r="B16" i="17"/>
  <c r="D16" i="17"/>
  <c r="H16" i="17"/>
  <c r="J16" i="17"/>
  <c r="K16" i="17"/>
  <c r="B17" i="17"/>
  <c r="D17" i="17"/>
  <c r="H17" i="17"/>
  <c r="J17" i="17"/>
  <c r="K17" i="17"/>
  <c r="B18" i="17"/>
  <c r="D18" i="17"/>
  <c r="H18" i="17"/>
  <c r="J18" i="17"/>
  <c r="K18" i="17"/>
  <c r="B19" i="17"/>
  <c r="D19" i="17"/>
  <c r="H19" i="17"/>
  <c r="J19" i="17"/>
  <c r="K19" i="17"/>
  <c r="B20" i="17"/>
  <c r="D20" i="17"/>
  <c r="H20" i="17"/>
  <c r="J20" i="17"/>
  <c r="K20" i="17"/>
  <c r="B21" i="17"/>
  <c r="D21" i="17"/>
  <c r="H21" i="17"/>
  <c r="J21" i="17"/>
  <c r="K21" i="17"/>
  <c r="B22" i="17"/>
  <c r="D22" i="17"/>
  <c r="H22" i="17"/>
  <c r="J22" i="17"/>
  <c r="K22" i="17"/>
  <c r="D23" i="17"/>
  <c r="H23" i="17"/>
  <c r="J23" i="17"/>
  <c r="K23" i="17"/>
  <c r="M23" i="17"/>
  <c r="B25" i="17"/>
  <c r="D25" i="17"/>
  <c r="H25" i="17"/>
  <c r="J25" i="17"/>
  <c r="K25" i="17"/>
  <c r="B26" i="17"/>
  <c r="D26" i="17"/>
  <c r="H26" i="17"/>
  <c r="J26" i="17"/>
  <c r="K26" i="17"/>
  <c r="B27" i="17"/>
  <c r="D27" i="17"/>
  <c r="H27" i="17"/>
  <c r="J27" i="17"/>
  <c r="K27" i="17"/>
  <c r="B28" i="17"/>
  <c r="D28" i="17"/>
  <c r="H28" i="17"/>
  <c r="J28" i="17"/>
  <c r="K28" i="17"/>
  <c r="B29" i="17"/>
  <c r="D29" i="17"/>
  <c r="H29" i="17"/>
  <c r="J29" i="17"/>
  <c r="K29" i="17"/>
  <c r="B30" i="17"/>
  <c r="D30" i="17"/>
  <c r="H30" i="17"/>
  <c r="J30" i="17"/>
  <c r="K30" i="17"/>
  <c r="B31" i="17"/>
  <c r="D31" i="17"/>
  <c r="H31" i="17"/>
  <c r="J31" i="17"/>
  <c r="K31" i="17"/>
  <c r="B32" i="17"/>
  <c r="D32" i="17"/>
  <c r="H32" i="17"/>
  <c r="J32" i="17"/>
  <c r="B33" i="17"/>
  <c r="D33" i="17"/>
  <c r="H33" i="17"/>
  <c r="J33" i="17"/>
  <c r="K33" i="17"/>
  <c r="B34" i="17"/>
  <c r="D34" i="17"/>
  <c r="H34" i="17"/>
  <c r="J34" i="17"/>
  <c r="K34" i="17"/>
  <c r="B35" i="17"/>
  <c r="D35" i="17"/>
  <c r="H35" i="17"/>
  <c r="J35" i="17"/>
  <c r="K35" i="17"/>
  <c r="B36" i="17"/>
  <c r="D36" i="17"/>
  <c r="H36" i="17"/>
  <c r="J36" i="17"/>
  <c r="K36" i="17"/>
  <c r="D37" i="17"/>
  <c r="J37" i="17"/>
  <c r="K37" i="17"/>
  <c r="M37" i="17"/>
  <c r="B39" i="17"/>
  <c r="D39" i="17"/>
  <c r="H39" i="17"/>
  <c r="J39" i="17"/>
  <c r="K39" i="17"/>
  <c r="B40" i="17"/>
  <c r="D40" i="17"/>
  <c r="H40" i="17"/>
  <c r="J40" i="17"/>
  <c r="K40" i="17"/>
  <c r="B41" i="17"/>
  <c r="D41" i="17"/>
  <c r="H41" i="17"/>
  <c r="J41" i="17"/>
  <c r="K41" i="17"/>
  <c r="B42" i="17"/>
  <c r="D42" i="17"/>
  <c r="H42" i="17"/>
  <c r="J42" i="17"/>
  <c r="K42" i="17"/>
  <c r="B43" i="17"/>
  <c r="D43" i="17"/>
  <c r="H43" i="17"/>
  <c r="J43" i="17"/>
  <c r="K43" i="17"/>
  <c r="B44" i="17"/>
  <c r="D44" i="17"/>
  <c r="H44" i="17"/>
  <c r="J44" i="17"/>
  <c r="K44" i="17"/>
  <c r="B45" i="17"/>
  <c r="D45" i="17"/>
  <c r="H45" i="17"/>
  <c r="J45" i="17"/>
  <c r="K45" i="17"/>
  <c r="B46" i="17"/>
  <c r="D46" i="17"/>
  <c r="H46" i="17"/>
  <c r="J46" i="17"/>
  <c r="K46" i="17"/>
  <c r="B47" i="17"/>
  <c r="D47" i="17"/>
  <c r="H47" i="17"/>
  <c r="J47" i="17"/>
  <c r="K47" i="17"/>
  <c r="B48" i="17"/>
  <c r="D48" i="17"/>
  <c r="H48" i="17"/>
  <c r="J48" i="17"/>
  <c r="K48" i="17"/>
  <c r="B49" i="17"/>
  <c r="D49" i="17"/>
  <c r="H49" i="17"/>
  <c r="J49" i="17"/>
  <c r="K49" i="17"/>
  <c r="B50" i="17"/>
  <c r="D50" i="17"/>
  <c r="H50" i="17"/>
  <c r="J50" i="17"/>
  <c r="K50" i="17"/>
  <c r="D51" i="17"/>
  <c r="J51" i="17"/>
  <c r="K51" i="17"/>
  <c r="M51" i="17"/>
  <c r="B53" i="17"/>
  <c r="D53" i="17"/>
  <c r="H53" i="17"/>
  <c r="J53" i="17"/>
  <c r="K53" i="17"/>
  <c r="B54" i="17"/>
  <c r="D54" i="17"/>
  <c r="H54" i="17"/>
  <c r="J54" i="17"/>
  <c r="K54" i="17"/>
  <c r="B55" i="17"/>
  <c r="D55" i="17"/>
  <c r="H55" i="17"/>
  <c r="J55" i="17"/>
  <c r="K55" i="17"/>
  <c r="B56" i="17"/>
  <c r="D56" i="17"/>
  <c r="H56" i="17"/>
  <c r="J56" i="17"/>
  <c r="K56" i="17"/>
  <c r="B57" i="17"/>
  <c r="D57" i="17"/>
  <c r="H57" i="17"/>
  <c r="J57" i="17"/>
  <c r="K57" i="17"/>
  <c r="B58" i="17"/>
  <c r="D58" i="17"/>
  <c r="H58" i="17"/>
  <c r="J58" i="17"/>
  <c r="K58" i="17"/>
  <c r="B59" i="17"/>
  <c r="D59" i="17"/>
  <c r="H59" i="17"/>
  <c r="J59" i="17"/>
  <c r="K59" i="17"/>
  <c r="B60" i="17"/>
  <c r="D60" i="17"/>
  <c r="H60" i="17"/>
  <c r="J60" i="17"/>
  <c r="K60" i="17"/>
  <c r="B61" i="17"/>
  <c r="D61" i="17"/>
  <c r="H61" i="17"/>
  <c r="J61" i="17"/>
  <c r="K61" i="17"/>
  <c r="B62" i="17"/>
  <c r="D62" i="17"/>
  <c r="H62" i="17"/>
  <c r="J62" i="17"/>
  <c r="K62" i="17"/>
  <c r="B63" i="17"/>
  <c r="D63" i="17"/>
  <c r="H63" i="17"/>
  <c r="J63" i="17"/>
  <c r="K63" i="17"/>
  <c r="B64" i="17"/>
  <c r="D64" i="17"/>
  <c r="H64" i="17"/>
  <c r="J64" i="17"/>
  <c r="K64" i="17"/>
  <c r="D65" i="17"/>
  <c r="J65" i="17"/>
  <c r="K65" i="17"/>
  <c r="K66" i="17"/>
  <c r="M66" i="17"/>
  <c r="B68" i="17"/>
  <c r="D68" i="17"/>
  <c r="H68" i="17"/>
  <c r="J68" i="17"/>
  <c r="K68" i="17"/>
  <c r="B69" i="17"/>
  <c r="D69" i="17"/>
  <c r="H69" i="17"/>
  <c r="J69" i="17"/>
  <c r="K69" i="17"/>
  <c r="B70" i="17"/>
  <c r="D70" i="17"/>
  <c r="H70" i="17"/>
  <c r="J70" i="17"/>
  <c r="K70" i="17"/>
  <c r="B71" i="17"/>
  <c r="D71" i="17"/>
  <c r="H71" i="17"/>
  <c r="J71" i="17"/>
  <c r="K71" i="17"/>
  <c r="B72" i="17"/>
  <c r="D72" i="17"/>
  <c r="H72" i="17"/>
  <c r="J72" i="17"/>
  <c r="K72" i="17"/>
  <c r="J73" i="17"/>
  <c r="K73" i="17"/>
  <c r="M73" i="17"/>
  <c r="M74" i="17"/>
  <c r="B4" i="16"/>
  <c r="B6" i="16"/>
  <c r="C6" i="16"/>
  <c r="D6" i="16"/>
  <c r="E6" i="16"/>
  <c r="F6" i="16"/>
  <c r="G6" i="16"/>
  <c r="H6" i="16"/>
  <c r="I6" i="16"/>
  <c r="J6" i="16"/>
  <c r="K6" i="16"/>
  <c r="L6" i="16"/>
  <c r="M6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B49" i="16"/>
</calcChain>
</file>

<file path=xl/sharedStrings.xml><?xml version="1.0" encoding="utf-8"?>
<sst xmlns="http://schemas.openxmlformats.org/spreadsheetml/2006/main" count="22" uniqueCount="21">
  <si>
    <t>EPMI</t>
  </si>
  <si>
    <t>APX</t>
  </si>
  <si>
    <t>Base</t>
  </si>
  <si>
    <t>Load</t>
  </si>
  <si>
    <t>Shape</t>
  </si>
  <si>
    <t>Total</t>
  </si>
  <si>
    <t>Annual</t>
  </si>
  <si>
    <t>Peak to</t>
  </si>
  <si>
    <t>Energy Ratio</t>
  </si>
  <si>
    <t>Energy</t>
  </si>
  <si>
    <t>per MWH Charges</t>
  </si>
  <si>
    <t>Differences</t>
  </si>
  <si>
    <t>ERCOT Scehduling Services:</t>
  </si>
  <si>
    <t>Assumption of Future NewPower ERCOT Loads:</t>
  </si>
  <si>
    <t>Peak Load</t>
  </si>
  <si>
    <t>Multi year Sum</t>
  </si>
  <si>
    <t>Annual Limits</t>
  </si>
  <si>
    <t>minimum monthly charge</t>
  </si>
  <si>
    <t xml:space="preserve">maximum annual charge </t>
  </si>
  <si>
    <t>N/A</t>
  </si>
  <si>
    <t>maximum monthly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</si>
</sst>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6" formatCode="_(* #,##0_);_(* \(#,##0\);_(* &quot;-&quot;??_);_(@_)"/>
    <numFmt numFmtId="169" formatCode="0.0"/>
    <numFmt numFmtId="172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sz val="12"/>
      <name val="Courier New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</font>
    <font>
      <b/>
      <u val="singleAccounting"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" fontId="0" fillId="0" borderId="0" xfId="0" applyNumberFormat="1"/>
    <xf numFmtId="0" fontId="2" fillId="0" borderId="0" xfId="4"/>
    <xf numFmtId="9" fontId="0" fillId="0" borderId="0" xfId="5" applyFont="1"/>
    <xf numFmtId="0" fontId="3" fillId="0" borderId="0" xfId="0" applyFont="1"/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17" fontId="3" fillId="0" borderId="0" xfId="0" applyNumberFormat="1" applyFont="1"/>
    <xf numFmtId="1" fontId="3" fillId="0" borderId="0" xfId="0" applyNumberFormat="1" applyFont="1"/>
    <xf numFmtId="9" fontId="3" fillId="0" borderId="0" xfId="5" applyFont="1"/>
    <xf numFmtId="169" fontId="3" fillId="0" borderId="0" xfId="0" applyNumberFormat="1" applyFont="1"/>
    <xf numFmtId="164" fontId="3" fillId="0" borderId="0" xfId="1" applyNumberFormat="1" applyFont="1"/>
    <xf numFmtId="166" fontId="3" fillId="0" borderId="0" xfId="1" applyNumberFormat="1" applyFont="1"/>
    <xf numFmtId="172" fontId="3" fillId="0" borderId="0" xfId="0" applyNumberFormat="1" applyFont="1"/>
    <xf numFmtId="16" fontId="3" fillId="0" borderId="0" xfId="0" applyNumberFormat="1" applyFont="1"/>
    <xf numFmtId="0" fontId="3" fillId="0" borderId="0" xfId="3" applyFont="1"/>
    <xf numFmtId="164" fontId="3" fillId="0" borderId="0" xfId="0" applyNumberFormat="1" applyFont="1"/>
    <xf numFmtId="166" fontId="3" fillId="0" borderId="0" xfId="0" applyNumberFormat="1" applyFont="1" applyAlignment="1">
      <alignment horizontal="center"/>
    </xf>
    <xf numFmtId="166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4" fontId="4" fillId="0" borderId="0" xfId="1" applyNumberFormat="1" applyFont="1" applyAlignment="1">
      <alignment horizontal="left"/>
    </xf>
    <xf numFmtId="164" fontId="4" fillId="0" borderId="0" xfId="1" applyNumberFormat="1" applyFont="1" applyAlignment="1">
      <alignment horizontal="center"/>
    </xf>
    <xf numFmtId="0" fontId="5" fillId="0" borderId="0" xfId="0" applyFont="1"/>
    <xf numFmtId="44" fontId="4" fillId="0" borderId="0" xfId="2" applyFont="1" applyAlignment="1">
      <alignment horizontal="center"/>
    </xf>
    <xf numFmtId="17" fontId="3" fillId="2" borderId="0" xfId="0" applyNumberFormat="1" applyFont="1" applyFill="1"/>
    <xf numFmtId="1" fontId="3" fillId="2" borderId="0" xfId="0" applyNumberFormat="1" applyFont="1" applyFill="1"/>
    <xf numFmtId="9" fontId="3" fillId="2" borderId="0" xfId="5" applyFont="1" applyFill="1"/>
    <xf numFmtId="169" fontId="3" fillId="2" borderId="0" xfId="0" applyNumberFormat="1" applyFont="1" applyFill="1"/>
    <xf numFmtId="0" fontId="3" fillId="2" borderId="0" xfId="0" applyFont="1" applyFill="1"/>
    <xf numFmtId="164" fontId="3" fillId="2" borderId="0" xfId="1" applyNumberFormat="1" applyFont="1" applyFill="1"/>
    <xf numFmtId="166" fontId="3" fillId="2" borderId="0" xfId="1" applyNumberFormat="1" applyFont="1" applyFill="1"/>
    <xf numFmtId="166" fontId="3" fillId="2" borderId="0" xfId="1" applyNumberFormat="1" applyFont="1" applyFill="1" applyAlignment="1">
      <alignment horizontal="center"/>
    </xf>
    <xf numFmtId="172" fontId="3" fillId="2" borderId="0" xfId="0" applyNumberFormat="1" applyFont="1" applyFill="1"/>
    <xf numFmtId="0" fontId="3" fillId="2" borderId="0" xfId="0" applyFont="1" applyFill="1" applyAlignment="1">
      <alignment horizontal="right"/>
    </xf>
    <xf numFmtId="172" fontId="3" fillId="2" borderId="0" xfId="2" applyNumberFormat="1" applyFont="1" applyFill="1" applyAlignment="1">
      <alignment horizontal="center"/>
    </xf>
    <xf numFmtId="164" fontId="3" fillId="2" borderId="0" xfId="0" applyNumberFormat="1" applyFont="1" applyFill="1"/>
    <xf numFmtId="166" fontId="3" fillId="2" borderId="0" xfId="0" applyNumberFormat="1" applyFont="1" applyFill="1" applyAlignment="1">
      <alignment horizontal="center"/>
    </xf>
    <xf numFmtId="166" fontId="3" fillId="2" borderId="0" xfId="0" applyNumberFormat="1" applyFont="1" applyFill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172" fontId="6" fillId="2" borderId="0" xfId="0" applyNumberFormat="1" applyFont="1" applyFill="1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3" fillId="0" borderId="0" xfId="3" applyFont="1" applyFill="1"/>
    <xf numFmtId="172" fontId="3" fillId="0" borderId="0" xfId="0" applyNumberFormat="1" applyFont="1" applyFill="1"/>
    <xf numFmtId="166" fontId="3" fillId="0" borderId="0" xfId="0" applyNumberFormat="1" applyFont="1" applyFill="1"/>
  </cellXfs>
  <cellStyles count="6">
    <cellStyle name="Comma" xfId="1" builtinId="3"/>
    <cellStyle name="Currency" xfId="2" builtinId="4"/>
    <cellStyle name="Normal" xfId="0" builtinId="0"/>
    <cellStyle name="Normal_Sheet1" xfId="3"/>
    <cellStyle name="Normal_Sheet2" xfId="4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zoomScaleNormal="100" zoomScaleSheetLayoutView="100" workbookViewId="0">
      <pane xSplit="1" ySplit="7" topLeftCell="B53" activePane="bottomRight" state="frozen"/>
      <selection pane="topRight" activeCell="B1" sqref="B1"/>
      <selection pane="bottomLeft" activeCell="A7" sqref="A7"/>
      <selection pane="bottomRight" activeCell="N63" sqref="N63"/>
    </sheetView>
  </sheetViews>
  <sheetFormatPr defaultRowHeight="12.75" x14ac:dyDescent="0.2"/>
  <cols>
    <col min="1" max="1" width="7.140625" style="4" bestFit="1" customWidth="1"/>
    <col min="2" max="2" width="9.140625" style="4"/>
    <col min="3" max="3" width="9.85546875" style="4" customWidth="1"/>
    <col min="4" max="4" width="9.7109375" style="4" customWidth="1"/>
    <col min="5" max="5" width="6.7109375" style="4" customWidth="1"/>
    <col min="6" max="6" width="9.140625" style="4"/>
    <col min="7" max="7" width="7.7109375" style="4" customWidth="1"/>
    <col min="8" max="8" width="8.7109375" style="4" bestFit="1" customWidth="1"/>
    <col min="9" max="9" width="6.7109375" style="4" customWidth="1"/>
    <col min="10" max="10" width="10.5703125" style="5" customWidth="1"/>
    <col min="11" max="11" width="8.7109375" style="5" bestFit="1" customWidth="1"/>
    <col min="12" max="12" width="9.7109375" style="4" customWidth="1"/>
    <col min="13" max="13" width="9.7109375" style="4" bestFit="1" customWidth="1"/>
    <col min="14" max="14" width="9.140625" style="44"/>
  </cols>
  <sheetData>
    <row r="1" spans="1:14" x14ac:dyDescent="0.2">
      <c r="G1" s="20" t="s">
        <v>12</v>
      </c>
      <c r="J1" s="21" t="s">
        <v>1</v>
      </c>
      <c r="K1" s="21" t="s">
        <v>0</v>
      </c>
    </row>
    <row r="2" spans="1:14" x14ac:dyDescent="0.2">
      <c r="J2" s="6">
        <v>3500</v>
      </c>
      <c r="K2" s="6">
        <v>2000</v>
      </c>
      <c r="L2" s="4" t="s">
        <v>17</v>
      </c>
    </row>
    <row r="3" spans="1:14" x14ac:dyDescent="0.2">
      <c r="J3" s="6" t="s">
        <v>19</v>
      </c>
      <c r="K3" s="6">
        <v>25000</v>
      </c>
      <c r="L3" s="4" t="s">
        <v>20</v>
      </c>
    </row>
    <row r="4" spans="1:14" x14ac:dyDescent="0.2">
      <c r="B4" s="20" t="s">
        <v>13</v>
      </c>
      <c r="J4" s="6">
        <v>400000</v>
      </c>
      <c r="K4" s="6">
        <f>25000*12</f>
        <v>300000</v>
      </c>
      <c r="L4" s="4" t="s">
        <v>18</v>
      </c>
    </row>
    <row r="5" spans="1:14" x14ac:dyDescent="0.2">
      <c r="J5" s="7"/>
      <c r="K5" s="7"/>
    </row>
    <row r="6" spans="1:14" s="25" customFormat="1" x14ac:dyDescent="0.2">
      <c r="A6" s="20"/>
      <c r="B6" s="22" t="s">
        <v>2</v>
      </c>
      <c r="C6" s="22" t="s">
        <v>6</v>
      </c>
      <c r="D6" s="22" t="s">
        <v>5</v>
      </c>
      <c r="E6" s="20"/>
      <c r="F6" s="20" t="s">
        <v>7</v>
      </c>
      <c r="G6" s="20"/>
      <c r="H6" s="20" t="s">
        <v>5</v>
      </c>
      <c r="I6" s="20"/>
      <c r="J6" s="23" t="s">
        <v>10</v>
      </c>
      <c r="K6" s="24"/>
      <c r="L6" s="20"/>
      <c r="M6" s="20"/>
      <c r="N6" s="46"/>
    </row>
    <row r="7" spans="1:14" s="25" customFormat="1" x14ac:dyDescent="0.2">
      <c r="A7" s="20"/>
      <c r="B7" s="22" t="s">
        <v>3</v>
      </c>
      <c r="C7" s="22" t="s">
        <v>4</v>
      </c>
      <c r="D7" s="22" t="s">
        <v>14</v>
      </c>
      <c r="E7" s="20"/>
      <c r="F7" s="20" t="s">
        <v>8</v>
      </c>
      <c r="G7" s="20"/>
      <c r="H7" s="20" t="s">
        <v>9</v>
      </c>
      <c r="I7" s="20"/>
      <c r="J7" s="26">
        <v>0.13</v>
      </c>
      <c r="K7" s="26">
        <v>0.1</v>
      </c>
      <c r="L7" s="20"/>
      <c r="M7" s="20" t="s">
        <v>11</v>
      </c>
      <c r="N7" s="46"/>
    </row>
    <row r="9" spans="1:14" s="45" customFormat="1" x14ac:dyDescent="0.2">
      <c r="A9" s="27">
        <v>37226</v>
      </c>
      <c r="B9" s="28">
        <v>50</v>
      </c>
      <c r="C9" s="29">
        <v>0.91408745374541167</v>
      </c>
      <c r="D9" s="30">
        <f>B9*C9</f>
        <v>45.704372687270585</v>
      </c>
      <c r="E9" s="31"/>
      <c r="F9" s="32">
        <v>542.53025051239979</v>
      </c>
      <c r="G9" s="31"/>
      <c r="H9" s="33">
        <f>F9*D9</f>
        <v>24796.004763536992</v>
      </c>
      <c r="I9" s="31"/>
      <c r="J9" s="34">
        <f>H9*J$7</f>
        <v>3223.4806192598089</v>
      </c>
      <c r="K9" s="34">
        <f>H9*K$7</f>
        <v>2479.6004763536994</v>
      </c>
      <c r="L9" s="31"/>
      <c r="M9" s="35">
        <f>+J9-K9</f>
        <v>743.88014290610954</v>
      </c>
      <c r="N9" s="44"/>
    </row>
    <row r="10" spans="1:14" x14ac:dyDescent="0.2">
      <c r="A10" s="8"/>
      <c r="B10" s="9"/>
      <c r="D10" s="15"/>
    </row>
    <row r="11" spans="1:14" x14ac:dyDescent="0.2">
      <c r="A11" s="8">
        <v>37257</v>
      </c>
      <c r="B11" s="9">
        <f>+B9+15</f>
        <v>65</v>
      </c>
      <c r="C11" s="10">
        <v>0.89974760071773718</v>
      </c>
      <c r="D11" s="11">
        <f t="shared" ref="D11:D22" si="0">B11*C11</f>
        <v>58.483594046652918</v>
      </c>
      <c r="F11" s="12">
        <v>534.32981513857135</v>
      </c>
      <c r="G11" s="16"/>
      <c r="H11" s="13">
        <f>F11*D11</f>
        <v>31249.527995587305</v>
      </c>
      <c r="I11" s="16"/>
      <c r="J11" s="6">
        <f>H11*J$7</f>
        <v>4062.4386394263497</v>
      </c>
      <c r="K11" s="6">
        <f>H11*K$7</f>
        <v>3124.9527995587305</v>
      </c>
      <c r="L11" s="16"/>
      <c r="M11" s="16"/>
      <c r="N11" s="48"/>
    </row>
    <row r="12" spans="1:14" x14ac:dyDescent="0.2">
      <c r="A12" s="8">
        <v>37288</v>
      </c>
      <c r="B12" s="9">
        <f t="shared" ref="B12:B22" si="1">+B11+15</f>
        <v>80</v>
      </c>
      <c r="C12" s="10">
        <v>0.76550692050539415</v>
      </c>
      <c r="D12" s="11">
        <f t="shared" si="0"/>
        <v>61.240553640431528</v>
      </c>
      <c r="F12" s="12">
        <v>493.07428562171162</v>
      </c>
      <c r="H12" s="13">
        <f t="shared" ref="H12:H22" si="2">F12*D12</f>
        <v>30196.142237333886</v>
      </c>
      <c r="J12" s="6">
        <f t="shared" ref="J12:J22" si="3">H12*J$7</f>
        <v>3925.4984908534052</v>
      </c>
      <c r="K12" s="6">
        <f t="shared" ref="K12:K22" si="4">H12*K$7</f>
        <v>3019.6142237333888</v>
      </c>
    </row>
    <row r="13" spans="1:14" x14ac:dyDescent="0.2">
      <c r="A13" s="8">
        <v>37316</v>
      </c>
      <c r="B13" s="9">
        <f t="shared" si="1"/>
        <v>95</v>
      </c>
      <c r="C13" s="10">
        <v>0.83617871953898038</v>
      </c>
      <c r="D13" s="11">
        <f t="shared" si="0"/>
        <v>79.436978356203142</v>
      </c>
      <c r="F13" s="12">
        <v>550.27243075611023</v>
      </c>
      <c r="H13" s="13">
        <f t="shared" si="2"/>
        <v>43711.979171988423</v>
      </c>
      <c r="J13" s="6">
        <f t="shared" si="3"/>
        <v>5682.557292358495</v>
      </c>
      <c r="K13" s="6">
        <f t="shared" si="4"/>
        <v>4371.1979171988423</v>
      </c>
    </row>
    <row r="14" spans="1:14" x14ac:dyDescent="0.2">
      <c r="A14" s="8">
        <v>37347</v>
      </c>
      <c r="B14" s="9">
        <f t="shared" si="1"/>
        <v>110</v>
      </c>
      <c r="C14" s="10">
        <v>0.89050040577465728</v>
      </c>
      <c r="D14" s="11">
        <f t="shared" si="0"/>
        <v>97.955044635212303</v>
      </c>
      <c r="F14" s="12">
        <v>504.70338715289029</v>
      </c>
      <c r="H14" s="13">
        <f t="shared" si="2"/>
        <v>49438.242816104204</v>
      </c>
      <c r="J14" s="6">
        <f t="shared" si="3"/>
        <v>6426.9715660935472</v>
      </c>
      <c r="K14" s="6">
        <f t="shared" si="4"/>
        <v>4943.8242816104212</v>
      </c>
    </row>
    <row r="15" spans="1:14" x14ac:dyDescent="0.2">
      <c r="A15" s="8">
        <v>37377</v>
      </c>
      <c r="B15" s="9">
        <f t="shared" si="1"/>
        <v>125</v>
      </c>
      <c r="C15" s="10">
        <v>1.0077655590383512</v>
      </c>
      <c r="D15" s="11">
        <f t="shared" si="0"/>
        <v>125.9706948797939</v>
      </c>
      <c r="F15" s="12">
        <v>509.76676426039398</v>
      </c>
      <c r="H15" s="13">
        <f t="shared" si="2"/>
        <v>64215.673520505916</v>
      </c>
      <c r="J15" s="6">
        <f t="shared" si="3"/>
        <v>8348.0375576657698</v>
      </c>
      <c r="K15" s="6">
        <f t="shared" si="4"/>
        <v>6421.5673520505916</v>
      </c>
    </row>
    <row r="16" spans="1:14" x14ac:dyDescent="0.2">
      <c r="A16" s="8">
        <v>37408</v>
      </c>
      <c r="B16" s="9">
        <f t="shared" si="1"/>
        <v>140</v>
      </c>
      <c r="C16" s="10">
        <v>1.1424529636440797</v>
      </c>
      <c r="D16" s="11">
        <f t="shared" si="0"/>
        <v>159.94341491017116</v>
      </c>
      <c r="F16" s="12">
        <v>513.11307406759374</v>
      </c>
      <c r="H16" s="13">
        <f t="shared" si="2"/>
        <v>82069.057301426525</v>
      </c>
      <c r="J16" s="6">
        <f t="shared" si="3"/>
        <v>10668.977449185448</v>
      </c>
      <c r="K16" s="6">
        <f t="shared" si="4"/>
        <v>8206.9057301426528</v>
      </c>
    </row>
    <row r="17" spans="1:14" x14ac:dyDescent="0.2">
      <c r="A17" s="8">
        <v>37438</v>
      </c>
      <c r="B17" s="9">
        <f t="shared" si="1"/>
        <v>155</v>
      </c>
      <c r="C17" s="10">
        <v>1.2586906508029869</v>
      </c>
      <c r="D17" s="11">
        <f t="shared" si="0"/>
        <v>195.09705087446298</v>
      </c>
      <c r="F17" s="12">
        <v>538.17218775882316</v>
      </c>
      <c r="H17" s="13">
        <f t="shared" si="2"/>
        <v>104995.80669440416</v>
      </c>
      <c r="J17" s="6">
        <f t="shared" si="3"/>
        <v>13649.454870272542</v>
      </c>
      <c r="K17" s="6">
        <f t="shared" si="4"/>
        <v>10499.580669440416</v>
      </c>
    </row>
    <row r="18" spans="1:14" x14ac:dyDescent="0.2">
      <c r="A18" s="8">
        <v>37469</v>
      </c>
      <c r="B18" s="9">
        <f t="shared" si="1"/>
        <v>170</v>
      </c>
      <c r="C18" s="10">
        <v>1.3852923438884379</v>
      </c>
      <c r="D18" s="11">
        <f t="shared" si="0"/>
        <v>235.49969846103446</v>
      </c>
      <c r="F18" s="12">
        <v>545.11782407474846</v>
      </c>
      <c r="H18" s="13">
        <f t="shared" si="2"/>
        <v>128375.08319533849</v>
      </c>
      <c r="J18" s="6">
        <f t="shared" si="3"/>
        <v>16688.760815394005</v>
      </c>
      <c r="K18" s="6">
        <f t="shared" si="4"/>
        <v>12837.50831953385</v>
      </c>
    </row>
    <row r="19" spans="1:14" x14ac:dyDescent="0.2">
      <c r="A19" s="8">
        <v>37500</v>
      </c>
      <c r="B19" s="9">
        <f t="shared" si="1"/>
        <v>185</v>
      </c>
      <c r="C19" s="10">
        <v>1.1152027756475642</v>
      </c>
      <c r="D19" s="11">
        <f t="shared" si="0"/>
        <v>206.31251349479939</v>
      </c>
      <c r="F19" s="12">
        <v>492.20748392393836</v>
      </c>
      <c r="H19" s="13">
        <f t="shared" si="2"/>
        <v>101548.56316929878</v>
      </c>
      <c r="J19" s="6">
        <f t="shared" si="3"/>
        <v>13201.313212008841</v>
      </c>
      <c r="K19" s="6">
        <f t="shared" si="4"/>
        <v>10154.85631692988</v>
      </c>
    </row>
    <row r="20" spans="1:14" x14ac:dyDescent="0.2">
      <c r="A20" s="8">
        <v>37530</v>
      </c>
      <c r="B20" s="9">
        <f t="shared" si="1"/>
        <v>200</v>
      </c>
      <c r="C20" s="10">
        <v>0.9513442681537625</v>
      </c>
      <c r="D20" s="11">
        <f t="shared" si="0"/>
        <v>190.26885363075249</v>
      </c>
      <c r="F20" s="12">
        <v>492.34585214531091</v>
      </c>
      <c r="H20" s="13">
        <f t="shared" si="2"/>
        <v>93678.080877544271</v>
      </c>
      <c r="J20" s="6">
        <f t="shared" si="3"/>
        <v>12178.150514080755</v>
      </c>
      <c r="K20" s="6">
        <f t="shared" si="4"/>
        <v>9367.8080877544271</v>
      </c>
    </row>
    <row r="21" spans="1:14" x14ac:dyDescent="0.2">
      <c r="A21" s="8">
        <v>37561</v>
      </c>
      <c r="B21" s="9">
        <f t="shared" si="1"/>
        <v>215</v>
      </c>
      <c r="C21" s="10">
        <v>0.83323033854263606</v>
      </c>
      <c r="D21" s="11">
        <f t="shared" si="0"/>
        <v>179.14452278666676</v>
      </c>
      <c r="F21" s="12">
        <v>530.93505529141896</v>
      </c>
      <c r="H21" s="13">
        <f t="shared" si="2"/>
        <v>95114.107110893776</v>
      </c>
      <c r="J21" s="6">
        <f t="shared" si="3"/>
        <v>12364.833924416191</v>
      </c>
      <c r="K21" s="6">
        <f t="shared" si="4"/>
        <v>9511.4107110893783</v>
      </c>
    </row>
    <row r="22" spans="1:14" x14ac:dyDescent="0.2">
      <c r="A22" s="8">
        <v>37591</v>
      </c>
      <c r="B22" s="9">
        <f t="shared" si="1"/>
        <v>230</v>
      </c>
      <c r="C22" s="10">
        <v>0.91408745374541167</v>
      </c>
      <c r="D22" s="11">
        <f t="shared" si="0"/>
        <v>210.24011436144468</v>
      </c>
      <c r="F22" s="12">
        <v>542.53025051239979</v>
      </c>
      <c r="H22" s="13">
        <f t="shared" si="2"/>
        <v>114061.62191227016</v>
      </c>
      <c r="J22" s="6">
        <f t="shared" si="3"/>
        <v>14828.01084859512</v>
      </c>
      <c r="K22" s="6">
        <f t="shared" si="4"/>
        <v>11406.162191227017</v>
      </c>
    </row>
    <row r="23" spans="1:14" s="45" customFormat="1" x14ac:dyDescent="0.2">
      <c r="A23" s="27"/>
      <c r="B23" s="28"/>
      <c r="C23" s="36"/>
      <c r="D23" s="32">
        <f>AVERAGE(D11:D22)</f>
        <v>149.96608617313549</v>
      </c>
      <c r="E23" s="31"/>
      <c r="F23" s="32"/>
      <c r="G23" s="36"/>
      <c r="H23" s="33">
        <f>AVERAGE(H11:H22)</f>
        <v>78221.157166891338</v>
      </c>
      <c r="I23" s="31"/>
      <c r="J23" s="37">
        <f>SUM(J11:J22)</f>
        <v>122025.00518035048</v>
      </c>
      <c r="K23" s="37">
        <f>SUM(K11:K22)</f>
        <v>93865.388600269594</v>
      </c>
      <c r="L23" s="31"/>
      <c r="M23" s="35">
        <f>+J23-K23</f>
        <v>28159.616580080881</v>
      </c>
      <c r="N23" s="44"/>
    </row>
    <row r="24" spans="1:14" x14ac:dyDescent="0.2">
      <c r="A24" s="8"/>
      <c r="B24" s="9"/>
      <c r="C24" s="10"/>
      <c r="D24" s="11"/>
      <c r="F24" s="12"/>
      <c r="H24" s="13"/>
      <c r="J24" s="6"/>
      <c r="K24" s="6"/>
    </row>
    <row r="25" spans="1:14" x14ac:dyDescent="0.2">
      <c r="A25" s="8">
        <v>37622</v>
      </c>
      <c r="B25" s="9">
        <f>+B22+15</f>
        <v>245</v>
      </c>
      <c r="C25" s="10">
        <v>0.89974760071773718</v>
      </c>
      <c r="D25" s="12">
        <f>B25*C25</f>
        <v>220.4381621758456</v>
      </c>
      <c r="F25" s="12">
        <v>534.32981513857135</v>
      </c>
      <c r="H25" s="13">
        <f>F25*D25</f>
        <v>117786.68244490599</v>
      </c>
      <c r="I25" s="16"/>
      <c r="J25" s="6">
        <f>H25*J$7</f>
        <v>15312.26871783778</v>
      </c>
      <c r="K25" s="6">
        <f>H25*K$7</f>
        <v>11778.6682444906</v>
      </c>
    </row>
    <row r="26" spans="1:14" x14ac:dyDescent="0.2">
      <c r="A26" s="8">
        <v>37653</v>
      </c>
      <c r="B26" s="9">
        <f>+B25+15</f>
        <v>260</v>
      </c>
      <c r="C26" s="10">
        <v>0.76550692050539415</v>
      </c>
      <c r="D26" s="12">
        <f t="shared" ref="D26:D36" si="5">B26*C26</f>
        <v>199.03179933140248</v>
      </c>
      <c r="F26" s="12">
        <v>493.07428562171162</v>
      </c>
      <c r="H26" s="13">
        <f t="shared" ref="H26:H36" si="6">F26*D26</f>
        <v>98137.462271335142</v>
      </c>
      <c r="J26" s="6">
        <f t="shared" ref="J26:J36" si="7">H26*J$7</f>
        <v>12757.870095273569</v>
      </c>
      <c r="K26" s="6">
        <f t="shared" ref="K26:K36" si="8">H26*K$7</f>
        <v>9813.7462271335153</v>
      </c>
    </row>
    <row r="27" spans="1:14" x14ac:dyDescent="0.2">
      <c r="A27" s="8">
        <v>37681</v>
      </c>
      <c r="B27" s="9">
        <f t="shared" ref="B27:B36" si="9">+B26+15</f>
        <v>275</v>
      </c>
      <c r="C27" s="10">
        <v>0.83617871953898038</v>
      </c>
      <c r="D27" s="12">
        <f t="shared" si="5"/>
        <v>229.9491478732196</v>
      </c>
      <c r="F27" s="12">
        <v>550.27243075611023</v>
      </c>
      <c r="H27" s="13">
        <f t="shared" si="6"/>
        <v>126534.67655049279</v>
      </c>
      <c r="J27" s="6">
        <f t="shared" si="7"/>
        <v>16449.507951564065</v>
      </c>
      <c r="K27" s="6">
        <f t="shared" si="8"/>
        <v>12653.46765504928</v>
      </c>
    </row>
    <row r="28" spans="1:14" x14ac:dyDescent="0.2">
      <c r="A28" s="8">
        <v>37712</v>
      </c>
      <c r="B28" s="9">
        <f t="shared" si="9"/>
        <v>290</v>
      </c>
      <c r="C28" s="10">
        <v>0.89050040577465728</v>
      </c>
      <c r="D28" s="12">
        <f t="shared" si="5"/>
        <v>258.2451176746506</v>
      </c>
      <c r="F28" s="12">
        <v>504.70338715289029</v>
      </c>
      <c r="H28" s="13">
        <f t="shared" si="6"/>
        <v>130337.1856060929</v>
      </c>
      <c r="J28" s="6">
        <f t="shared" si="7"/>
        <v>16943.834128792078</v>
      </c>
      <c r="K28" s="6">
        <f t="shared" si="8"/>
        <v>13033.71856060929</v>
      </c>
    </row>
    <row r="29" spans="1:14" x14ac:dyDescent="0.2">
      <c r="A29" s="8">
        <v>37742</v>
      </c>
      <c r="B29" s="9">
        <f t="shared" si="9"/>
        <v>305</v>
      </c>
      <c r="C29" s="10">
        <v>1.0077655590383512</v>
      </c>
      <c r="D29" s="12">
        <f t="shared" si="5"/>
        <v>307.36849550669712</v>
      </c>
      <c r="F29" s="12">
        <v>509.76676426039398</v>
      </c>
      <c r="H29" s="13">
        <f t="shared" si="6"/>
        <v>156686.24339003445</v>
      </c>
      <c r="J29" s="6">
        <f t="shared" si="7"/>
        <v>20369.211640704478</v>
      </c>
      <c r="K29" s="6">
        <f t="shared" si="8"/>
        <v>15668.624339003445</v>
      </c>
    </row>
    <row r="30" spans="1:14" x14ac:dyDescent="0.2">
      <c r="A30" s="8">
        <v>37773</v>
      </c>
      <c r="B30" s="9">
        <f t="shared" si="9"/>
        <v>320</v>
      </c>
      <c r="C30" s="10">
        <v>1.1424529636440797</v>
      </c>
      <c r="D30" s="12">
        <f t="shared" si="5"/>
        <v>365.58494836610549</v>
      </c>
      <c r="F30" s="12">
        <v>513.11307406759374</v>
      </c>
      <c r="H30" s="13">
        <f t="shared" si="6"/>
        <v>187586.41668897492</v>
      </c>
      <c r="J30" s="6">
        <f t="shared" si="7"/>
        <v>24386.234169566742</v>
      </c>
      <c r="K30" s="6">
        <f t="shared" si="8"/>
        <v>18758.641668897493</v>
      </c>
    </row>
    <row r="31" spans="1:14" x14ac:dyDescent="0.2">
      <c r="A31" s="8">
        <v>37803</v>
      </c>
      <c r="B31" s="9">
        <f t="shared" si="9"/>
        <v>335</v>
      </c>
      <c r="C31" s="10">
        <v>1.2586906508029869</v>
      </c>
      <c r="D31" s="12">
        <f t="shared" si="5"/>
        <v>421.66136801900063</v>
      </c>
      <c r="F31" s="12">
        <v>538.17218775882316</v>
      </c>
      <c r="H31" s="13">
        <f t="shared" si="6"/>
        <v>226926.42092016383</v>
      </c>
      <c r="J31" s="6">
        <f t="shared" si="7"/>
        <v>29500.434719621298</v>
      </c>
      <c r="K31" s="6">
        <f t="shared" si="8"/>
        <v>22692.642092016384</v>
      </c>
    </row>
    <row r="32" spans="1:14" x14ac:dyDescent="0.2">
      <c r="A32" s="8">
        <v>37834</v>
      </c>
      <c r="B32" s="9">
        <f t="shared" si="9"/>
        <v>350</v>
      </c>
      <c r="C32" s="10">
        <v>1.3852923438884379</v>
      </c>
      <c r="D32" s="12">
        <f t="shared" si="5"/>
        <v>484.85232036095329</v>
      </c>
      <c r="F32" s="12">
        <v>545.11782407474846</v>
      </c>
      <c r="H32" s="13">
        <f t="shared" si="6"/>
        <v>264301.64187275572</v>
      </c>
      <c r="J32" s="6">
        <f t="shared" si="7"/>
        <v>34359.213443458248</v>
      </c>
      <c r="K32" s="6">
        <v>25000</v>
      </c>
    </row>
    <row r="33" spans="1:14" x14ac:dyDescent="0.2">
      <c r="A33" s="8">
        <v>37865</v>
      </c>
      <c r="B33" s="9">
        <f t="shared" si="9"/>
        <v>365</v>
      </c>
      <c r="C33" s="10">
        <v>1.1152027756475642</v>
      </c>
      <c r="D33" s="12">
        <f t="shared" si="5"/>
        <v>407.04901311136092</v>
      </c>
      <c r="F33" s="12">
        <v>492.20748392393836</v>
      </c>
      <c r="H33" s="13">
        <f t="shared" si="6"/>
        <v>200352.57057726514</v>
      </c>
      <c r="J33" s="6">
        <f t="shared" si="7"/>
        <v>26045.834175044471</v>
      </c>
      <c r="K33" s="6">
        <f t="shared" si="8"/>
        <v>20035.257057726514</v>
      </c>
    </row>
    <row r="34" spans="1:14" x14ac:dyDescent="0.2">
      <c r="A34" s="8">
        <v>37895</v>
      </c>
      <c r="B34" s="9">
        <f t="shared" si="9"/>
        <v>380</v>
      </c>
      <c r="C34" s="10">
        <v>0.9513442681537625</v>
      </c>
      <c r="D34" s="12">
        <f t="shared" si="5"/>
        <v>361.51082189842975</v>
      </c>
      <c r="F34" s="12">
        <v>492.34585214531091</v>
      </c>
      <c r="H34" s="13">
        <f t="shared" si="6"/>
        <v>177988.35366733413</v>
      </c>
      <c r="J34" s="6">
        <f t="shared" si="7"/>
        <v>23138.485976753436</v>
      </c>
      <c r="K34" s="6">
        <f t="shared" si="8"/>
        <v>17798.835366733412</v>
      </c>
    </row>
    <row r="35" spans="1:14" x14ac:dyDescent="0.2">
      <c r="A35" s="8">
        <v>37926</v>
      </c>
      <c r="B35" s="9">
        <f t="shared" si="9"/>
        <v>395</v>
      </c>
      <c r="C35" s="10">
        <v>0.83323033854263606</v>
      </c>
      <c r="D35" s="12">
        <f t="shared" si="5"/>
        <v>329.12598372434127</v>
      </c>
      <c r="F35" s="12">
        <v>530.93505529141896</v>
      </c>
      <c r="H35" s="13">
        <f t="shared" si="6"/>
        <v>174744.52236652578</v>
      </c>
      <c r="J35" s="6">
        <f t="shared" si="7"/>
        <v>22716.787907648351</v>
      </c>
      <c r="K35" s="6">
        <f t="shared" si="8"/>
        <v>17474.452236652578</v>
      </c>
    </row>
    <row r="36" spans="1:14" x14ac:dyDescent="0.2">
      <c r="A36" s="8">
        <v>37956</v>
      </c>
      <c r="B36" s="9">
        <f t="shared" si="9"/>
        <v>410</v>
      </c>
      <c r="C36" s="10">
        <v>0.91408745374541167</v>
      </c>
      <c r="D36" s="12">
        <f t="shared" si="5"/>
        <v>374.7758560356188</v>
      </c>
      <c r="F36" s="12">
        <v>542.53025051239979</v>
      </c>
      <c r="H36" s="13">
        <f t="shared" si="6"/>
        <v>203327.23906100335</v>
      </c>
      <c r="J36" s="6">
        <f t="shared" si="7"/>
        <v>26432.541077930437</v>
      </c>
      <c r="K36" s="6">
        <f t="shared" si="8"/>
        <v>20332.723906100335</v>
      </c>
    </row>
    <row r="37" spans="1:14" s="45" customFormat="1" x14ac:dyDescent="0.2">
      <c r="A37" s="27"/>
      <c r="B37" s="31"/>
      <c r="C37" s="31"/>
      <c r="D37" s="38">
        <f>AVERAGE(D25:D36)</f>
        <v>329.96608617313547</v>
      </c>
      <c r="E37" s="31"/>
      <c r="F37" s="31"/>
      <c r="G37" s="31"/>
      <c r="H37" s="31"/>
      <c r="I37" s="31"/>
      <c r="J37" s="39">
        <f>SUM(J25:J36)</f>
        <v>268412.22400419496</v>
      </c>
      <c r="K37" s="39">
        <f>SUM(K25:K36)</f>
        <v>205040.77735441283</v>
      </c>
      <c r="L37" s="31"/>
      <c r="M37" s="40">
        <f>+J37-K37</f>
        <v>63371.446649782127</v>
      </c>
      <c r="N37" s="49"/>
    </row>
    <row r="38" spans="1:14" x14ac:dyDescent="0.2">
      <c r="A38" s="8"/>
      <c r="M38" s="14"/>
    </row>
    <row r="39" spans="1:14" x14ac:dyDescent="0.2">
      <c r="A39" s="8">
        <v>37987</v>
      </c>
      <c r="B39" s="9">
        <f>+B36+10</f>
        <v>420</v>
      </c>
      <c r="C39" s="10">
        <v>0.89974760071773718</v>
      </c>
      <c r="D39" s="12">
        <f>B39*C39</f>
        <v>377.8939923014496</v>
      </c>
      <c r="F39" s="12">
        <v>534.32981513857135</v>
      </c>
      <c r="H39" s="13">
        <f>F39*D39</f>
        <v>201920.02704841027</v>
      </c>
      <c r="I39" s="16"/>
      <c r="J39" s="6">
        <f>H39*J$7</f>
        <v>26249.603516293337</v>
      </c>
      <c r="K39" s="6">
        <f t="shared" ref="K39:K50" si="10">IF((H39*K$7)&gt;25000,25000,(H39*K$7))</f>
        <v>20192.002704841027</v>
      </c>
    </row>
    <row r="40" spans="1:14" x14ac:dyDescent="0.2">
      <c r="A40" s="8">
        <v>38018</v>
      </c>
      <c r="B40" s="9">
        <f>+B39+10</f>
        <v>430</v>
      </c>
      <c r="C40" s="10">
        <v>0.76550692050539415</v>
      </c>
      <c r="D40" s="12">
        <f t="shared" ref="D40:D50" si="11">B40*C40</f>
        <v>329.16797581731947</v>
      </c>
      <c r="F40" s="12">
        <v>493.07428562171162</v>
      </c>
      <c r="H40" s="13">
        <f t="shared" ref="H40:H50" si="12">F40*D40</f>
        <v>162304.26452566966</v>
      </c>
      <c r="J40" s="6">
        <f t="shared" ref="J40:J50" si="13">H40*J$7</f>
        <v>21099.554388337056</v>
      </c>
      <c r="K40" s="6">
        <f t="shared" si="10"/>
        <v>16230.426452566966</v>
      </c>
    </row>
    <row r="41" spans="1:14" x14ac:dyDescent="0.2">
      <c r="A41" s="8">
        <v>38047</v>
      </c>
      <c r="B41" s="9">
        <f t="shared" ref="B41:B50" si="14">+B40+10</f>
        <v>440</v>
      </c>
      <c r="C41" s="10">
        <v>0.83617871953898038</v>
      </c>
      <c r="D41" s="12">
        <f t="shared" si="11"/>
        <v>367.91863659715136</v>
      </c>
      <c r="F41" s="12">
        <v>550.27243075611023</v>
      </c>
      <c r="H41" s="13">
        <f t="shared" si="12"/>
        <v>202455.48248078846</v>
      </c>
      <c r="J41" s="6">
        <f t="shared" si="13"/>
        <v>26319.2127225025</v>
      </c>
      <c r="K41" s="6">
        <f t="shared" si="10"/>
        <v>20245.548248078849</v>
      </c>
    </row>
    <row r="42" spans="1:14" x14ac:dyDescent="0.2">
      <c r="A42" s="8">
        <v>38078</v>
      </c>
      <c r="B42" s="9">
        <f t="shared" si="14"/>
        <v>450</v>
      </c>
      <c r="C42" s="10">
        <v>0.89050040577465728</v>
      </c>
      <c r="D42" s="12">
        <f t="shared" si="11"/>
        <v>400.72518259859578</v>
      </c>
      <c r="F42" s="12">
        <v>504.70338715289029</v>
      </c>
      <c r="H42" s="13">
        <f t="shared" si="12"/>
        <v>202247.35697497174</v>
      </c>
      <c r="J42" s="6">
        <f t="shared" si="13"/>
        <v>26292.156406746326</v>
      </c>
      <c r="K42" s="6">
        <f t="shared" si="10"/>
        <v>20224.735697497177</v>
      </c>
    </row>
    <row r="43" spans="1:14" x14ac:dyDescent="0.2">
      <c r="A43" s="8">
        <v>38108</v>
      </c>
      <c r="B43" s="9">
        <f t="shared" si="14"/>
        <v>460</v>
      </c>
      <c r="C43" s="10">
        <v>1.0077655590383512</v>
      </c>
      <c r="D43" s="12">
        <f t="shared" si="11"/>
        <v>463.57215715764153</v>
      </c>
      <c r="F43" s="12">
        <v>509.76676426039398</v>
      </c>
      <c r="H43" s="13">
        <f t="shared" si="12"/>
        <v>236313.67855546175</v>
      </c>
      <c r="J43" s="6">
        <f t="shared" si="13"/>
        <v>30720.778212210029</v>
      </c>
      <c r="K43" s="6">
        <f t="shared" si="10"/>
        <v>23631.367855546177</v>
      </c>
    </row>
    <row r="44" spans="1:14" x14ac:dyDescent="0.2">
      <c r="A44" s="8">
        <v>38139</v>
      </c>
      <c r="B44" s="9">
        <f t="shared" si="14"/>
        <v>470</v>
      </c>
      <c r="C44" s="10">
        <v>1.1424529636440797</v>
      </c>
      <c r="D44" s="12">
        <f t="shared" si="11"/>
        <v>536.9528929127174</v>
      </c>
      <c r="F44" s="12">
        <v>513.11307406759374</v>
      </c>
      <c r="H44" s="13">
        <f t="shared" si="12"/>
        <v>275517.54951193189</v>
      </c>
      <c r="J44" s="6">
        <f t="shared" si="13"/>
        <v>35817.281436551144</v>
      </c>
      <c r="K44" s="6">
        <f t="shared" si="10"/>
        <v>25000</v>
      </c>
    </row>
    <row r="45" spans="1:14" x14ac:dyDescent="0.2">
      <c r="A45" s="8">
        <v>38169</v>
      </c>
      <c r="B45" s="9">
        <f t="shared" si="14"/>
        <v>480</v>
      </c>
      <c r="C45" s="10">
        <v>1.2586906508029869</v>
      </c>
      <c r="D45" s="12">
        <f t="shared" si="11"/>
        <v>604.17151238543374</v>
      </c>
      <c r="F45" s="12">
        <v>538.17218775882316</v>
      </c>
      <c r="H45" s="13">
        <f t="shared" si="12"/>
        <v>325148.30460202578</v>
      </c>
      <c r="J45" s="6">
        <f t="shared" si="13"/>
        <v>42269.279598263354</v>
      </c>
      <c r="K45" s="6">
        <f t="shared" si="10"/>
        <v>25000</v>
      </c>
    </row>
    <row r="46" spans="1:14" x14ac:dyDescent="0.2">
      <c r="A46" s="8">
        <v>38200</v>
      </c>
      <c r="B46" s="9">
        <f t="shared" si="14"/>
        <v>490</v>
      </c>
      <c r="C46" s="10">
        <v>1.3852923438884379</v>
      </c>
      <c r="D46" s="12">
        <f t="shared" si="11"/>
        <v>678.79324850533453</v>
      </c>
      <c r="F46" s="12">
        <v>545.11782407474846</v>
      </c>
      <c r="H46" s="13">
        <f t="shared" si="12"/>
        <v>370022.29862185795</v>
      </c>
      <c r="J46" s="6">
        <f t="shared" si="13"/>
        <v>48102.898820841532</v>
      </c>
      <c r="K46" s="6">
        <f t="shared" si="10"/>
        <v>25000</v>
      </c>
    </row>
    <row r="47" spans="1:14" x14ac:dyDescent="0.2">
      <c r="A47" s="8">
        <v>38231</v>
      </c>
      <c r="B47" s="9">
        <f t="shared" si="14"/>
        <v>500</v>
      </c>
      <c r="C47" s="10">
        <v>1.1152027756475642</v>
      </c>
      <c r="D47" s="12">
        <f t="shared" si="11"/>
        <v>557.60138782378215</v>
      </c>
      <c r="F47" s="12">
        <v>492.20748392393836</v>
      </c>
      <c r="H47" s="13">
        <f t="shared" si="12"/>
        <v>274455.57613323996</v>
      </c>
      <c r="J47" s="6">
        <f t="shared" si="13"/>
        <v>35679.224897321197</v>
      </c>
      <c r="K47" s="6">
        <f t="shared" si="10"/>
        <v>25000</v>
      </c>
    </row>
    <row r="48" spans="1:14" x14ac:dyDescent="0.2">
      <c r="A48" s="8">
        <v>38261</v>
      </c>
      <c r="B48" s="9">
        <f t="shared" si="14"/>
        <v>510</v>
      </c>
      <c r="C48" s="10">
        <v>0.9513442681537625</v>
      </c>
      <c r="D48" s="12">
        <f t="shared" si="11"/>
        <v>485.18557675841885</v>
      </c>
      <c r="F48" s="12">
        <v>492.34585214531091</v>
      </c>
      <c r="H48" s="13">
        <f t="shared" si="12"/>
        <v>238879.1062377379</v>
      </c>
      <c r="J48" s="6">
        <f t="shared" si="13"/>
        <v>31054.283810905927</v>
      </c>
      <c r="K48" s="6">
        <f t="shared" si="10"/>
        <v>23887.910623773791</v>
      </c>
    </row>
    <row r="49" spans="1:14" x14ac:dyDescent="0.2">
      <c r="A49" s="8">
        <v>38292</v>
      </c>
      <c r="B49" s="9">
        <f t="shared" si="14"/>
        <v>520</v>
      </c>
      <c r="C49" s="10">
        <v>0.83323033854263606</v>
      </c>
      <c r="D49" s="12">
        <f t="shared" si="11"/>
        <v>433.27977604217074</v>
      </c>
      <c r="F49" s="12">
        <v>530.93505529141896</v>
      </c>
      <c r="H49" s="13">
        <f t="shared" si="12"/>
        <v>230043.42184960353</v>
      </c>
      <c r="J49" s="6">
        <f t="shared" si="13"/>
        <v>29905.644840448462</v>
      </c>
      <c r="K49" s="6">
        <f t="shared" si="10"/>
        <v>23004.342184960355</v>
      </c>
    </row>
    <row r="50" spans="1:14" x14ac:dyDescent="0.2">
      <c r="A50" s="8">
        <v>38322</v>
      </c>
      <c r="B50" s="9">
        <f t="shared" si="14"/>
        <v>530</v>
      </c>
      <c r="C50" s="10">
        <v>0.91408745374541167</v>
      </c>
      <c r="D50" s="12">
        <f t="shared" si="11"/>
        <v>484.46635048506818</v>
      </c>
      <c r="F50" s="12">
        <v>542.53025051239979</v>
      </c>
      <c r="H50" s="13">
        <f t="shared" si="12"/>
        <v>262837.65049349214</v>
      </c>
      <c r="J50" s="6">
        <f t="shared" si="13"/>
        <v>34168.894564153976</v>
      </c>
      <c r="K50" s="6">
        <f t="shared" si="10"/>
        <v>25000</v>
      </c>
    </row>
    <row r="51" spans="1:14" s="45" customFormat="1" x14ac:dyDescent="0.2">
      <c r="A51" s="27"/>
      <c r="B51" s="31"/>
      <c r="C51" s="31"/>
      <c r="D51" s="38">
        <f>AVERAGE(D39:D50)</f>
        <v>476.64405744875688</v>
      </c>
      <c r="E51" s="31"/>
      <c r="F51" s="31"/>
      <c r="G51" s="31"/>
      <c r="H51" s="31"/>
      <c r="I51" s="31"/>
      <c r="J51" s="39">
        <f>SUM(J39:J50)</f>
        <v>387678.81321457482</v>
      </c>
      <c r="K51" s="39">
        <f>SUM(K39:K50)</f>
        <v>272416.33376726432</v>
      </c>
      <c r="L51" s="33"/>
      <c r="M51" s="40">
        <f>+J51-K51</f>
        <v>115262.4794473105</v>
      </c>
      <c r="N51" s="50"/>
    </row>
    <row r="52" spans="1:14" x14ac:dyDescent="0.2">
      <c r="A52" s="8"/>
    </row>
    <row r="53" spans="1:14" x14ac:dyDescent="0.2">
      <c r="A53" s="8">
        <v>38353</v>
      </c>
      <c r="B53" s="9">
        <f>+B50+10</f>
        <v>540</v>
      </c>
      <c r="C53" s="10">
        <v>0.89974760071773718</v>
      </c>
      <c r="D53" s="12">
        <f>B53*C53</f>
        <v>485.86370438757808</v>
      </c>
      <c r="F53" s="12">
        <v>534.32981513857135</v>
      </c>
      <c r="H53" s="13">
        <f>F53*D53</f>
        <v>259611.46334795607</v>
      </c>
      <c r="I53" s="16"/>
      <c r="J53" s="6">
        <f>H53*J$7</f>
        <v>33749.490235234291</v>
      </c>
      <c r="K53" s="6">
        <f>IF((H53*K$7)&gt;25000,25000,(H53*K$7))</f>
        <v>25000</v>
      </c>
    </row>
    <row r="54" spans="1:14" x14ac:dyDescent="0.2">
      <c r="A54" s="8">
        <v>38384</v>
      </c>
      <c r="B54" s="9">
        <f>+B53+10</f>
        <v>550</v>
      </c>
      <c r="C54" s="10">
        <v>0.76550692050539415</v>
      </c>
      <c r="D54" s="12">
        <f t="shared" ref="D54:D64" si="15">B54*C54</f>
        <v>421.02880627796679</v>
      </c>
      <c r="F54" s="12">
        <v>493.07428562171162</v>
      </c>
      <c r="H54" s="13">
        <f t="shared" ref="H54:H64" si="16">F54*D54</f>
        <v>207598.47788167049</v>
      </c>
      <c r="J54" s="6">
        <f t="shared" ref="J54:J64" si="17">H54*J$7</f>
        <v>26987.802124617167</v>
      </c>
      <c r="K54" s="6">
        <f t="shared" ref="K54:K64" si="18">IF((H54*K$7)&gt;25000,25000,(H54*K$7))</f>
        <v>20759.847788167051</v>
      </c>
    </row>
    <row r="55" spans="1:14" x14ac:dyDescent="0.2">
      <c r="A55" s="8">
        <v>38412</v>
      </c>
      <c r="B55" s="9">
        <f t="shared" ref="B55:B64" si="19">+B54+10</f>
        <v>560</v>
      </c>
      <c r="C55" s="10">
        <v>0.83617871953898038</v>
      </c>
      <c r="D55" s="12">
        <f t="shared" si="15"/>
        <v>468.26008294182901</v>
      </c>
      <c r="F55" s="12">
        <v>550.27243075611023</v>
      </c>
      <c r="H55" s="13">
        <f t="shared" si="16"/>
        <v>257670.61406645805</v>
      </c>
      <c r="J55" s="6">
        <f t="shared" si="17"/>
        <v>33497.17982863955</v>
      </c>
      <c r="K55" s="6">
        <f t="shared" si="18"/>
        <v>25000</v>
      </c>
    </row>
    <row r="56" spans="1:14" x14ac:dyDescent="0.2">
      <c r="A56" s="8">
        <v>38443</v>
      </c>
      <c r="B56" s="9">
        <f t="shared" si="19"/>
        <v>570</v>
      </c>
      <c r="C56" s="10">
        <v>0.89050040577465728</v>
      </c>
      <c r="D56" s="12">
        <f t="shared" si="15"/>
        <v>507.58523129155463</v>
      </c>
      <c r="F56" s="12">
        <v>504.70338715289029</v>
      </c>
      <c r="H56" s="13">
        <f t="shared" si="16"/>
        <v>256179.98550163087</v>
      </c>
      <c r="J56" s="6">
        <f t="shared" si="17"/>
        <v>33303.398115212018</v>
      </c>
      <c r="K56" s="6">
        <f t="shared" si="18"/>
        <v>25000</v>
      </c>
    </row>
    <row r="57" spans="1:14" x14ac:dyDescent="0.2">
      <c r="A57" s="8">
        <v>38473</v>
      </c>
      <c r="B57" s="9">
        <f t="shared" si="19"/>
        <v>580</v>
      </c>
      <c r="C57" s="10">
        <v>1.0077655590383512</v>
      </c>
      <c r="D57" s="12">
        <f t="shared" si="15"/>
        <v>584.50402424224364</v>
      </c>
      <c r="F57" s="12">
        <v>509.76676426039398</v>
      </c>
      <c r="H57" s="13">
        <f t="shared" si="16"/>
        <v>297960.72513514746</v>
      </c>
      <c r="J57" s="6">
        <f t="shared" si="17"/>
        <v>38734.894267569172</v>
      </c>
      <c r="K57" s="6">
        <f t="shared" si="18"/>
        <v>25000</v>
      </c>
    </row>
    <row r="58" spans="1:14" x14ac:dyDescent="0.2">
      <c r="A58" s="8">
        <v>38504</v>
      </c>
      <c r="B58" s="9">
        <f t="shared" si="19"/>
        <v>590</v>
      </c>
      <c r="C58" s="10">
        <v>1.1424529636440797</v>
      </c>
      <c r="D58" s="12">
        <f t="shared" si="15"/>
        <v>674.047248550007</v>
      </c>
      <c r="F58" s="12">
        <v>513.11307406759374</v>
      </c>
      <c r="H58" s="13">
        <f t="shared" si="16"/>
        <v>345862.4557702975</v>
      </c>
      <c r="J58" s="6">
        <f t="shared" si="17"/>
        <v>44962.119250138676</v>
      </c>
      <c r="K58" s="6">
        <f t="shared" si="18"/>
        <v>25000</v>
      </c>
    </row>
    <row r="59" spans="1:14" x14ac:dyDescent="0.2">
      <c r="A59" s="8">
        <v>38534</v>
      </c>
      <c r="B59" s="9">
        <f t="shared" si="19"/>
        <v>600</v>
      </c>
      <c r="C59" s="10">
        <v>1.2586906508029869</v>
      </c>
      <c r="D59" s="12">
        <f t="shared" si="15"/>
        <v>755.21439048179218</v>
      </c>
      <c r="F59" s="12">
        <v>538.17218775882316</v>
      </c>
      <c r="H59" s="13">
        <f t="shared" si="16"/>
        <v>406435.38075253228</v>
      </c>
      <c r="J59" s="6">
        <f t="shared" si="17"/>
        <v>52836.5994978292</v>
      </c>
      <c r="K59" s="6">
        <f t="shared" si="18"/>
        <v>25000</v>
      </c>
    </row>
    <row r="60" spans="1:14" x14ac:dyDescent="0.2">
      <c r="A60" s="8">
        <v>38565</v>
      </c>
      <c r="B60" s="9">
        <f t="shared" si="19"/>
        <v>610</v>
      </c>
      <c r="C60" s="10">
        <v>1.3852923438884379</v>
      </c>
      <c r="D60" s="12">
        <f t="shared" si="15"/>
        <v>845.02832977194714</v>
      </c>
      <c r="F60" s="12">
        <v>545.11782407474846</v>
      </c>
      <c r="H60" s="13">
        <f t="shared" si="16"/>
        <v>460640.00440680282</v>
      </c>
      <c r="J60" s="6">
        <f t="shared" si="17"/>
        <v>59883.200572884372</v>
      </c>
      <c r="K60" s="6">
        <f t="shared" si="18"/>
        <v>25000</v>
      </c>
    </row>
    <row r="61" spans="1:14" x14ac:dyDescent="0.2">
      <c r="A61" s="8">
        <v>38596</v>
      </c>
      <c r="B61" s="9">
        <f t="shared" si="19"/>
        <v>620</v>
      </c>
      <c r="C61" s="10">
        <v>1.1152027756475642</v>
      </c>
      <c r="D61" s="12">
        <f t="shared" si="15"/>
        <v>691.42572090148985</v>
      </c>
      <c r="F61" s="12">
        <v>492.20748392393836</v>
      </c>
      <c r="H61" s="13">
        <f t="shared" si="16"/>
        <v>340324.91440521757</v>
      </c>
      <c r="J61" s="6">
        <f t="shared" si="17"/>
        <v>44242.238872678288</v>
      </c>
      <c r="K61" s="6">
        <f t="shared" si="18"/>
        <v>25000</v>
      </c>
    </row>
    <row r="62" spans="1:14" x14ac:dyDescent="0.2">
      <c r="A62" s="8">
        <v>38626</v>
      </c>
      <c r="B62" s="9">
        <f t="shared" si="19"/>
        <v>630</v>
      </c>
      <c r="C62" s="10">
        <v>0.9513442681537625</v>
      </c>
      <c r="D62" s="12">
        <f t="shared" si="15"/>
        <v>599.34688893687041</v>
      </c>
      <c r="F62" s="12">
        <v>492.34585214531091</v>
      </c>
      <c r="H62" s="13">
        <f t="shared" si="16"/>
        <v>295085.95476426446</v>
      </c>
      <c r="J62" s="6">
        <f t="shared" si="17"/>
        <v>38361.174119354378</v>
      </c>
      <c r="K62" s="6">
        <f t="shared" si="18"/>
        <v>25000</v>
      </c>
    </row>
    <row r="63" spans="1:14" x14ac:dyDescent="0.2">
      <c r="A63" s="8">
        <v>38657</v>
      </c>
      <c r="B63" s="9">
        <f t="shared" si="19"/>
        <v>640</v>
      </c>
      <c r="C63" s="10">
        <v>0.83323033854263606</v>
      </c>
      <c r="D63" s="12">
        <f t="shared" si="15"/>
        <v>533.26741666728708</v>
      </c>
      <c r="F63" s="12">
        <v>530.93505529141896</v>
      </c>
      <c r="H63" s="13">
        <f t="shared" si="16"/>
        <v>283130.36535335821</v>
      </c>
      <c r="J63" s="6">
        <f t="shared" si="17"/>
        <v>36806.947495936569</v>
      </c>
      <c r="K63" s="6">
        <f t="shared" si="18"/>
        <v>25000</v>
      </c>
    </row>
    <row r="64" spans="1:14" x14ac:dyDescent="0.2">
      <c r="A64" s="8">
        <v>38687</v>
      </c>
      <c r="B64" s="9">
        <f t="shared" si="19"/>
        <v>650</v>
      </c>
      <c r="C64" s="10">
        <v>0.91408745374541167</v>
      </c>
      <c r="D64" s="12">
        <f t="shared" si="15"/>
        <v>594.15684493451761</v>
      </c>
      <c r="F64" s="12">
        <v>542.53025051239979</v>
      </c>
      <c r="H64" s="13">
        <f t="shared" si="16"/>
        <v>322348.0619259809</v>
      </c>
      <c r="J64" s="6">
        <f t="shared" si="17"/>
        <v>41905.248050377522</v>
      </c>
      <c r="K64" s="6">
        <f t="shared" si="18"/>
        <v>25000</v>
      </c>
    </row>
    <row r="65" spans="1:14" x14ac:dyDescent="0.2">
      <c r="A65" s="8"/>
      <c r="D65" s="17">
        <f>AVERAGE(D53:D64)</f>
        <v>596.64405744875694</v>
      </c>
      <c r="J65" s="18">
        <f>SUM(J53:J64)</f>
        <v>485270.29243047128</v>
      </c>
      <c r="K65" s="18">
        <f>SUM(K53:K64)</f>
        <v>295759.84778816707</v>
      </c>
      <c r="M65" s="19"/>
      <c r="N65" s="50"/>
    </row>
    <row r="66" spans="1:14" s="45" customFormat="1" x14ac:dyDescent="0.2">
      <c r="A66" s="31"/>
      <c r="B66" s="31"/>
      <c r="C66" s="31"/>
      <c r="D66" s="31"/>
      <c r="E66" s="31"/>
      <c r="F66" s="31"/>
      <c r="G66" s="31"/>
      <c r="H66" s="31" t="s">
        <v>16</v>
      </c>
      <c r="I66" s="31"/>
      <c r="J66" s="34">
        <v>400000</v>
      </c>
      <c r="K66" s="39">
        <f>+K65</f>
        <v>295759.84778816707</v>
      </c>
      <c r="L66" s="31"/>
      <c r="M66" s="40">
        <f>+J66-K66</f>
        <v>104240.15221183293</v>
      </c>
      <c r="N66" s="44"/>
    </row>
    <row r="68" spans="1:14" x14ac:dyDescent="0.2">
      <c r="A68" s="8">
        <v>38718</v>
      </c>
      <c r="B68" s="9">
        <f>+B64+10</f>
        <v>660</v>
      </c>
      <c r="C68" s="10">
        <v>0.89974760071773718</v>
      </c>
      <c r="D68" s="12">
        <f>B68*C68</f>
        <v>593.83341647370651</v>
      </c>
      <c r="F68" s="12">
        <v>534.32981513857135</v>
      </c>
      <c r="H68" s="13">
        <f>F68*D68</f>
        <v>317302.89964750182</v>
      </c>
      <c r="I68" s="16"/>
      <c r="J68" s="6">
        <f>H68*J$7</f>
        <v>41249.376954175241</v>
      </c>
      <c r="K68" s="6">
        <f>IF((H68*K$7)&gt;25000,25000,(H68*K$7))</f>
        <v>25000</v>
      </c>
      <c r="M68" s="14"/>
    </row>
    <row r="69" spans="1:14" x14ac:dyDescent="0.2">
      <c r="A69" s="8">
        <v>38749</v>
      </c>
      <c r="B69" s="9">
        <f>+B68+10</f>
        <v>670</v>
      </c>
      <c r="C69" s="10">
        <v>0.76550692050539415</v>
      </c>
      <c r="D69" s="12">
        <f>B69*C69</f>
        <v>512.88963673861406</v>
      </c>
      <c r="F69" s="12">
        <v>493.07428562171162</v>
      </c>
      <c r="H69" s="13">
        <f>F69*D69</f>
        <v>252892.6912376713</v>
      </c>
      <c r="J69" s="6">
        <f>H69*J$7</f>
        <v>32876.04986089727</v>
      </c>
      <c r="K69" s="6">
        <f>IF((H69*K$7)&gt;25000,25000,(H69*K$7))</f>
        <v>25000</v>
      </c>
    </row>
    <row r="70" spans="1:14" x14ac:dyDescent="0.2">
      <c r="A70" s="8">
        <v>38777</v>
      </c>
      <c r="B70" s="9">
        <f>+B69+10</f>
        <v>680</v>
      </c>
      <c r="C70" s="10">
        <v>0.83617871953898038</v>
      </c>
      <c r="D70" s="12">
        <f>B70*C70</f>
        <v>568.60152928650666</v>
      </c>
      <c r="F70" s="12">
        <v>550.27243075611023</v>
      </c>
      <c r="H70" s="13">
        <f>F70*D70</f>
        <v>312885.7456521276</v>
      </c>
      <c r="J70" s="6">
        <f>H70*J$7</f>
        <v>40675.146934776589</v>
      </c>
      <c r="K70" s="6">
        <f>IF((H70*K$7)&gt;25000,25000,(H70*K$7))</f>
        <v>25000</v>
      </c>
    </row>
    <row r="71" spans="1:14" x14ac:dyDescent="0.2">
      <c r="A71" s="8">
        <v>38808</v>
      </c>
      <c r="B71" s="9">
        <f>+B70+10</f>
        <v>690</v>
      </c>
      <c r="C71" s="10">
        <v>0.89050040577465728</v>
      </c>
      <c r="D71" s="12">
        <f>B71*C71</f>
        <v>614.44527998451349</v>
      </c>
      <c r="F71" s="12">
        <v>504.70338715289029</v>
      </c>
      <c r="H71" s="13">
        <f>F71*D71</f>
        <v>310112.61402828997</v>
      </c>
      <c r="J71" s="6">
        <f>H71*J$7</f>
        <v>40314.639823677695</v>
      </c>
      <c r="K71" s="6">
        <f>IF((H71*K$7)&gt;25000,25000,(H71*K$7))</f>
        <v>25000</v>
      </c>
    </row>
    <row r="72" spans="1:14" x14ac:dyDescent="0.2">
      <c r="A72" s="8">
        <v>38838</v>
      </c>
      <c r="B72" s="9">
        <f>+B71+10</f>
        <v>700</v>
      </c>
      <c r="C72" s="10">
        <v>1.0077655590383512</v>
      </c>
      <c r="D72" s="12">
        <f>B72*C72</f>
        <v>705.43589132684588</v>
      </c>
      <c r="F72" s="12">
        <v>509.76676426039398</v>
      </c>
      <c r="H72" s="13">
        <f>F72*D72</f>
        <v>359607.77171483316</v>
      </c>
      <c r="J72" s="6">
        <f>H72*J$7</f>
        <v>46749.010322928312</v>
      </c>
      <c r="K72" s="6">
        <f>IF((H72*K$7)&gt;25000,25000,(H72*K$7))</f>
        <v>25000</v>
      </c>
    </row>
    <row r="73" spans="1:14" x14ac:dyDescent="0.2">
      <c r="A73" s="31"/>
      <c r="B73" s="31"/>
      <c r="C73" s="31"/>
      <c r="D73" s="31"/>
      <c r="E73" s="31"/>
      <c r="F73" s="31"/>
      <c r="G73" s="31"/>
      <c r="H73" s="31"/>
      <c r="I73" s="31"/>
      <c r="J73" s="39">
        <f>SUM(J68:J72)</f>
        <v>201864.22389645511</v>
      </c>
      <c r="K73" s="39">
        <f>SUM(K68:K72)</f>
        <v>125000</v>
      </c>
      <c r="L73" s="31"/>
      <c r="M73" s="40">
        <f>+J73-K73</f>
        <v>76864.223896455107</v>
      </c>
    </row>
    <row r="74" spans="1:14" s="47" customFormat="1" ht="15" x14ac:dyDescent="0.35">
      <c r="A74" s="41"/>
      <c r="B74" s="41"/>
      <c r="C74" s="41"/>
      <c r="D74" s="41"/>
      <c r="E74" s="41"/>
      <c r="F74" s="41"/>
      <c r="G74" s="41"/>
      <c r="H74" s="41"/>
      <c r="I74" s="41"/>
      <c r="J74" s="42" t="s">
        <v>15</v>
      </c>
      <c r="K74" s="42"/>
      <c r="L74" s="41"/>
      <c r="M74" s="43">
        <f>SUM(M9:M73)</f>
        <v>388641.79892836767</v>
      </c>
      <c r="N74" s="46"/>
    </row>
  </sheetData>
  <pageMargins left="0.75" right="0.75" top="1" bottom="1" header="0.5" footer="0.5"/>
  <pageSetup orientation="landscape" r:id="rId1"/>
  <headerFooter alignWithMargins="0">
    <oddHeader>&amp;LNewPower&amp;CQSE Scheduling Agreement Default
&amp;RTab 9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workbookViewId="0"/>
  </sheetViews>
  <sheetFormatPr defaultRowHeight="12.75" x14ac:dyDescent="0.2"/>
  <sheetData>
    <row r="2" spans="2:13" ht="15.75" x14ac:dyDescent="0.25">
      <c r="B2" s="2">
        <v>20141</v>
      </c>
      <c r="C2" s="2">
        <v>17136</v>
      </c>
      <c r="D2" s="2">
        <v>18718</v>
      </c>
      <c r="E2" s="2">
        <v>19934</v>
      </c>
      <c r="F2" s="2">
        <v>22559</v>
      </c>
      <c r="G2" s="2">
        <v>25574</v>
      </c>
      <c r="H2" s="2">
        <v>28176</v>
      </c>
      <c r="I2" s="2">
        <v>31010</v>
      </c>
      <c r="J2" s="2">
        <v>24964</v>
      </c>
      <c r="K2" s="2">
        <v>21296</v>
      </c>
      <c r="L2" s="2">
        <v>18652</v>
      </c>
      <c r="M2" s="2">
        <v>20462</v>
      </c>
    </row>
    <row r="4" spans="2:13" x14ac:dyDescent="0.2">
      <c r="B4">
        <f>AVERAGE(B2:M2)</f>
        <v>22385.166666666668</v>
      </c>
    </row>
    <row r="6" spans="2:13" x14ac:dyDescent="0.2">
      <c r="B6">
        <f>B2/$B4</f>
        <v>0.89974760071773718</v>
      </c>
      <c r="C6">
        <f t="shared" ref="C6:M6" si="0">C2/$B4</f>
        <v>0.76550692050539415</v>
      </c>
      <c r="D6">
        <f t="shared" si="0"/>
        <v>0.83617871953898038</v>
      </c>
      <c r="E6">
        <f t="shared" si="0"/>
        <v>0.89050040577465728</v>
      </c>
      <c r="F6">
        <f t="shared" si="0"/>
        <v>1.0077655590383512</v>
      </c>
      <c r="G6">
        <f t="shared" si="0"/>
        <v>1.1424529636440797</v>
      </c>
      <c r="H6">
        <f t="shared" si="0"/>
        <v>1.2586906508029869</v>
      </c>
      <c r="I6">
        <f t="shared" si="0"/>
        <v>1.3852923438884379</v>
      </c>
      <c r="J6">
        <f t="shared" si="0"/>
        <v>1.1152027756475642</v>
      </c>
      <c r="K6">
        <f t="shared" si="0"/>
        <v>0.9513442681537625</v>
      </c>
      <c r="L6">
        <f t="shared" si="0"/>
        <v>0.83323033854263606</v>
      </c>
      <c r="M6">
        <f t="shared" si="0"/>
        <v>0.91408745374541167</v>
      </c>
    </row>
    <row r="9" spans="2:13" x14ac:dyDescent="0.2">
      <c r="B9">
        <v>0.89974760071773718</v>
      </c>
    </row>
    <row r="10" spans="2:13" x14ac:dyDescent="0.2">
      <c r="B10">
        <v>0.76550692050539415</v>
      </c>
    </row>
    <row r="11" spans="2:13" x14ac:dyDescent="0.2">
      <c r="B11">
        <v>0.83617871953898038</v>
      </c>
    </row>
    <row r="12" spans="2:13" x14ac:dyDescent="0.2">
      <c r="B12">
        <v>0.89050040577465728</v>
      </c>
    </row>
    <row r="13" spans="2:13" x14ac:dyDescent="0.2">
      <c r="B13">
        <v>1.0077655590383512</v>
      </c>
    </row>
    <row r="14" spans="2:13" x14ac:dyDescent="0.2">
      <c r="B14">
        <v>1.1424529636440797</v>
      </c>
    </row>
    <row r="15" spans="2:13" x14ac:dyDescent="0.2">
      <c r="B15">
        <v>1.2586906508029869</v>
      </c>
    </row>
    <row r="16" spans="2:13" x14ac:dyDescent="0.2">
      <c r="B16">
        <v>1.3852923438884379</v>
      </c>
    </row>
    <row r="17" spans="1:3" x14ac:dyDescent="0.2">
      <c r="B17">
        <v>1.1152027756475642</v>
      </c>
    </row>
    <row r="18" spans="1:3" x14ac:dyDescent="0.2">
      <c r="B18">
        <v>0.9513442681537625</v>
      </c>
    </row>
    <row r="19" spans="1:3" x14ac:dyDescent="0.2">
      <c r="B19">
        <v>0.83323033854263606</v>
      </c>
    </row>
    <row r="20" spans="1:3" x14ac:dyDescent="0.2">
      <c r="B20">
        <v>0.91408745374541167</v>
      </c>
    </row>
    <row r="24" spans="1:3" x14ac:dyDescent="0.2">
      <c r="A24">
        <v>1</v>
      </c>
      <c r="B24" s="1">
        <v>37539</v>
      </c>
      <c r="C24" s="3">
        <f t="shared" ref="C24:C46" si="1">B24/B$49</f>
        <v>0.86222552292285548</v>
      </c>
    </row>
    <row r="25" spans="1:3" x14ac:dyDescent="0.2">
      <c r="A25">
        <v>2</v>
      </c>
      <c r="B25" s="1">
        <v>35634</v>
      </c>
      <c r="C25" s="3">
        <f t="shared" si="1"/>
        <v>0.81846997213119765</v>
      </c>
    </row>
    <row r="26" spans="1:3" x14ac:dyDescent="0.2">
      <c r="A26">
        <v>3</v>
      </c>
      <c r="B26" s="1">
        <v>33878</v>
      </c>
      <c r="C26" s="3">
        <f t="shared" si="1"/>
        <v>0.77813677150644656</v>
      </c>
    </row>
    <row r="27" spans="1:3" x14ac:dyDescent="0.2">
      <c r="A27">
        <v>4</v>
      </c>
      <c r="B27" s="1">
        <v>33637</v>
      </c>
      <c r="C27" s="3">
        <f t="shared" si="1"/>
        <v>0.77260129237742314</v>
      </c>
    </row>
    <row r="28" spans="1:3" x14ac:dyDescent="0.2">
      <c r="A28">
        <v>5</v>
      </c>
      <c r="B28" s="1">
        <v>33149</v>
      </c>
      <c r="C28" s="3">
        <f t="shared" si="1"/>
        <v>0.76139252136097746</v>
      </c>
    </row>
    <row r="29" spans="1:3" x14ac:dyDescent="0.2">
      <c r="A29">
        <v>6</v>
      </c>
      <c r="B29" s="1">
        <v>33807</v>
      </c>
      <c r="C29" s="3">
        <f t="shared" si="1"/>
        <v>0.77650598719872599</v>
      </c>
    </row>
    <row r="30" spans="1:3" x14ac:dyDescent="0.2">
      <c r="A30">
        <v>7</v>
      </c>
      <c r="B30" s="1">
        <v>35624</v>
      </c>
      <c r="C30" s="3">
        <f t="shared" si="1"/>
        <v>0.81824028420053285</v>
      </c>
    </row>
    <row r="31" spans="1:3" x14ac:dyDescent="0.2">
      <c r="A31">
        <v>8</v>
      </c>
      <c r="B31" s="1">
        <v>36393</v>
      </c>
      <c r="C31" s="3">
        <f t="shared" si="1"/>
        <v>0.83590328606866138</v>
      </c>
    </row>
    <row r="32" spans="1:3" x14ac:dyDescent="0.2">
      <c r="A32">
        <v>9</v>
      </c>
      <c r="B32" s="1">
        <v>38598</v>
      </c>
      <c r="C32" s="3">
        <f t="shared" si="1"/>
        <v>0.88654947478026513</v>
      </c>
    </row>
    <row r="33" spans="1:3" x14ac:dyDescent="0.2">
      <c r="A33">
        <v>10</v>
      </c>
      <c r="B33" s="1">
        <v>41598</v>
      </c>
      <c r="C33" s="3">
        <f t="shared" si="1"/>
        <v>0.95545585397972621</v>
      </c>
    </row>
    <row r="34" spans="1:3" x14ac:dyDescent="0.2">
      <c r="A34">
        <v>11</v>
      </c>
      <c r="B34" s="1">
        <v>44557</v>
      </c>
      <c r="C34" s="3">
        <f t="shared" si="1"/>
        <v>1.0234205126634612</v>
      </c>
    </row>
    <row r="35" spans="1:3" x14ac:dyDescent="0.2">
      <c r="A35">
        <v>12</v>
      </c>
      <c r="B35" s="1">
        <v>46742</v>
      </c>
      <c r="C35" s="3">
        <f t="shared" si="1"/>
        <v>1.0736073255137353</v>
      </c>
    </row>
    <row r="36" spans="1:3" x14ac:dyDescent="0.2">
      <c r="A36">
        <v>13</v>
      </c>
      <c r="B36" s="1">
        <v>48860</v>
      </c>
      <c r="C36" s="3">
        <f t="shared" si="1"/>
        <v>1.1222552292285548</v>
      </c>
    </row>
    <row r="37" spans="1:3" x14ac:dyDescent="0.2">
      <c r="A37">
        <v>14</v>
      </c>
      <c r="B37" s="1">
        <v>50565</v>
      </c>
      <c r="C37" s="3">
        <f t="shared" si="1"/>
        <v>1.1614170214069151</v>
      </c>
    </row>
    <row r="38" spans="1:3" x14ac:dyDescent="0.2">
      <c r="A38">
        <v>15</v>
      </c>
      <c r="B38" s="1">
        <v>52553</v>
      </c>
      <c r="C38" s="3">
        <f t="shared" si="1"/>
        <v>1.2070789820230912</v>
      </c>
    </row>
    <row r="39" spans="1:3" x14ac:dyDescent="0.2">
      <c r="A39">
        <v>16</v>
      </c>
      <c r="B39" s="1">
        <v>52528</v>
      </c>
      <c r="C39" s="3">
        <f t="shared" si="1"/>
        <v>1.2065047621964291</v>
      </c>
    </row>
    <row r="40" spans="1:3" x14ac:dyDescent="0.2">
      <c r="A40">
        <v>17</v>
      </c>
      <c r="B40" s="1">
        <v>53425</v>
      </c>
      <c r="C40" s="3">
        <f t="shared" si="1"/>
        <v>1.2271077695770678</v>
      </c>
    </row>
    <row r="41" spans="1:3" x14ac:dyDescent="0.2">
      <c r="A41">
        <v>18</v>
      </c>
      <c r="B41" s="1">
        <v>52544</v>
      </c>
      <c r="C41" s="3">
        <f t="shared" si="1"/>
        <v>1.2068722628854929</v>
      </c>
    </row>
    <row r="42" spans="1:3" x14ac:dyDescent="0.2">
      <c r="A42">
        <v>19</v>
      </c>
      <c r="B42" s="1">
        <v>52437</v>
      </c>
      <c r="C42" s="3">
        <f t="shared" si="1"/>
        <v>1.2044146020273787</v>
      </c>
    </row>
    <row r="43" spans="1:3" x14ac:dyDescent="0.2">
      <c r="A43">
        <v>20</v>
      </c>
      <c r="B43" s="1">
        <v>49847</v>
      </c>
      <c r="C43" s="3">
        <f t="shared" si="1"/>
        <v>1.1449254279851775</v>
      </c>
    </row>
    <row r="44" spans="1:3" x14ac:dyDescent="0.2">
      <c r="A44">
        <v>21</v>
      </c>
      <c r="B44" s="1">
        <v>48094</v>
      </c>
      <c r="C44" s="3">
        <f t="shared" si="1"/>
        <v>1.1046611337396257</v>
      </c>
    </row>
    <row r="45" spans="1:3" x14ac:dyDescent="0.2">
      <c r="A45">
        <v>22</v>
      </c>
      <c r="B45" s="1">
        <v>47107</v>
      </c>
      <c r="C45" s="3">
        <f t="shared" si="1"/>
        <v>1.081990934983003</v>
      </c>
    </row>
    <row r="46" spans="1:3" x14ac:dyDescent="0.2">
      <c r="A46">
        <v>23</v>
      </c>
      <c r="B46" s="1">
        <v>44455</v>
      </c>
      <c r="C46" s="3">
        <f t="shared" si="1"/>
        <v>1.0210776957706795</v>
      </c>
    </row>
    <row r="47" spans="1:3" x14ac:dyDescent="0.2">
      <c r="A47">
        <v>24</v>
      </c>
      <c r="B47" s="1">
        <v>41325</v>
      </c>
      <c r="C47" s="3">
        <f>B47/B$49</f>
        <v>0.94918537347257526</v>
      </c>
    </row>
    <row r="49" spans="2:2" x14ac:dyDescent="0.2">
      <c r="B49" s="1">
        <f>AVERAGE(B24:B47)</f>
        <v>43537.333333333336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11"/>
    </sheetView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ghopley</dc:creator>
  <cp:lastModifiedBy>Jan Havlíček</cp:lastModifiedBy>
  <cp:lastPrinted>2002-01-03T01:07:13Z</cp:lastPrinted>
  <dcterms:created xsi:type="dcterms:W3CDTF">2001-12-12T14:53:04Z</dcterms:created>
  <dcterms:modified xsi:type="dcterms:W3CDTF">2023-09-13T16:48:52Z</dcterms:modified>
</cp:coreProperties>
</file>