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C02E00-A16D-458D-9F61-033BC5C551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Sheet1!$A$280:$J$302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V4" i="1"/>
  <c r="X4" i="1"/>
  <c r="D5" i="1"/>
  <c r="S5" i="1"/>
  <c r="V5" i="1"/>
  <c r="X5" i="1"/>
  <c r="S6" i="1"/>
  <c r="V6" i="1"/>
  <c r="X6" i="1"/>
  <c r="D7" i="1"/>
  <c r="E7" i="1"/>
  <c r="F7" i="1"/>
  <c r="S7" i="1"/>
  <c r="V7" i="1"/>
  <c r="X7" i="1"/>
  <c r="D8" i="1"/>
  <c r="E8" i="1"/>
  <c r="F8" i="1"/>
  <c r="S8" i="1"/>
  <c r="V8" i="1"/>
  <c r="W8" i="1"/>
  <c r="X8" i="1"/>
  <c r="Y8" i="1"/>
  <c r="D9" i="1"/>
  <c r="E9" i="1"/>
  <c r="F9" i="1"/>
  <c r="S9" i="1"/>
  <c r="V9" i="1"/>
  <c r="X9" i="1"/>
  <c r="D10" i="1"/>
  <c r="E10" i="1"/>
  <c r="F10" i="1"/>
  <c r="K10" i="1"/>
  <c r="L10" i="1"/>
  <c r="M10" i="1"/>
  <c r="N10" i="1"/>
  <c r="S10" i="1"/>
  <c r="V10" i="1"/>
  <c r="X10" i="1"/>
  <c r="D11" i="1"/>
  <c r="E11" i="1"/>
  <c r="F11" i="1"/>
  <c r="S11" i="1"/>
  <c r="V11" i="1"/>
  <c r="X11" i="1"/>
  <c r="D12" i="1"/>
  <c r="E12" i="1"/>
  <c r="F12" i="1"/>
  <c r="L12" i="1"/>
  <c r="N12" i="1"/>
  <c r="S12" i="1"/>
  <c r="V12" i="1"/>
  <c r="W12" i="1"/>
  <c r="X12" i="1"/>
  <c r="D13" i="1"/>
  <c r="E13" i="1"/>
  <c r="F13" i="1"/>
  <c r="D14" i="1"/>
  <c r="E14" i="1"/>
  <c r="F14" i="1"/>
  <c r="D15" i="1"/>
  <c r="E15" i="1"/>
  <c r="F15" i="1"/>
  <c r="L15" i="1"/>
  <c r="D16" i="1"/>
  <c r="E16" i="1"/>
  <c r="F16" i="1"/>
  <c r="D17" i="1"/>
  <c r="E17" i="1"/>
  <c r="F17" i="1"/>
  <c r="D18" i="1"/>
  <c r="E18" i="1"/>
  <c r="F18" i="1"/>
  <c r="L18" i="1"/>
  <c r="N18" i="1"/>
  <c r="D19" i="1"/>
  <c r="E19" i="1"/>
  <c r="F19" i="1"/>
  <c r="L19" i="1"/>
  <c r="N19" i="1"/>
  <c r="D20" i="1"/>
  <c r="E20" i="1"/>
  <c r="F20" i="1"/>
  <c r="D21" i="1"/>
  <c r="E21" i="1"/>
  <c r="F21" i="1"/>
  <c r="L21" i="1"/>
  <c r="N21" i="1"/>
  <c r="D22" i="1"/>
  <c r="E22" i="1"/>
  <c r="F22" i="1"/>
  <c r="L22" i="1"/>
  <c r="N22" i="1"/>
  <c r="D23" i="1"/>
  <c r="E23" i="1"/>
  <c r="F23" i="1"/>
  <c r="D24" i="1"/>
  <c r="E24" i="1"/>
  <c r="F24" i="1"/>
  <c r="R24" i="1"/>
  <c r="U24" i="1"/>
  <c r="V24" i="1"/>
  <c r="W24" i="1"/>
  <c r="X24" i="1"/>
  <c r="Y24" i="1"/>
  <c r="Z24" i="1"/>
  <c r="AB24" i="1"/>
  <c r="AM24" i="1"/>
  <c r="D25" i="1"/>
  <c r="E25" i="1"/>
  <c r="F25" i="1"/>
  <c r="R25" i="1"/>
  <c r="U25" i="1"/>
  <c r="V25" i="1"/>
  <c r="W25" i="1"/>
  <c r="X25" i="1"/>
  <c r="Y25" i="1"/>
  <c r="Z25" i="1"/>
  <c r="AB25" i="1"/>
  <c r="AM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M41" i="1"/>
  <c r="O41" i="1"/>
  <c r="Q41" i="1"/>
  <c r="R41" i="1"/>
  <c r="U41" i="1"/>
  <c r="V41" i="1"/>
  <c r="W41" i="1"/>
  <c r="X41" i="1"/>
  <c r="Y41" i="1"/>
  <c r="Z41" i="1"/>
  <c r="AM41" i="1"/>
  <c r="A42" i="1"/>
  <c r="D42" i="1"/>
  <c r="E42" i="1"/>
  <c r="F42" i="1"/>
  <c r="H42" i="1"/>
  <c r="I42" i="1"/>
  <c r="J42" i="1"/>
  <c r="Q42" i="1"/>
  <c r="R42" i="1"/>
  <c r="U42" i="1"/>
  <c r="V42" i="1"/>
  <c r="W42" i="1"/>
  <c r="X42" i="1"/>
  <c r="Y42" i="1"/>
  <c r="Z42" i="1"/>
  <c r="AM42" i="1"/>
  <c r="A43" i="1"/>
  <c r="D43" i="1"/>
  <c r="E43" i="1"/>
  <c r="F43" i="1"/>
  <c r="H43" i="1"/>
  <c r="L43" i="1"/>
  <c r="A44" i="1"/>
  <c r="D44" i="1"/>
  <c r="E44" i="1"/>
  <c r="F44" i="1"/>
  <c r="H44" i="1"/>
  <c r="L44" i="1"/>
  <c r="A45" i="1"/>
  <c r="D45" i="1"/>
  <c r="E45" i="1"/>
  <c r="F45" i="1"/>
  <c r="H45" i="1"/>
  <c r="J45" i="1"/>
  <c r="L45" i="1"/>
  <c r="A46" i="1"/>
  <c r="D46" i="1"/>
  <c r="E46" i="1"/>
  <c r="F46" i="1"/>
  <c r="L46" i="1"/>
  <c r="A47" i="1"/>
  <c r="D47" i="1"/>
  <c r="E47" i="1"/>
  <c r="F47" i="1"/>
  <c r="Q47" i="1"/>
  <c r="R47" i="1"/>
  <c r="T47" i="1"/>
  <c r="U47" i="1"/>
  <c r="V47" i="1"/>
  <c r="W47" i="1"/>
  <c r="X47" i="1"/>
  <c r="Y47" i="1"/>
  <c r="Z47" i="1"/>
  <c r="AM47" i="1"/>
  <c r="A48" i="1"/>
  <c r="D48" i="1"/>
  <c r="E48" i="1"/>
  <c r="F48" i="1"/>
  <c r="H48" i="1"/>
  <c r="M48" i="1"/>
  <c r="O48" i="1"/>
  <c r="Q48" i="1"/>
  <c r="R48" i="1"/>
  <c r="T48" i="1"/>
  <c r="U48" i="1"/>
  <c r="V48" i="1"/>
  <c r="W48" i="1"/>
  <c r="X48" i="1"/>
  <c r="Y48" i="1"/>
  <c r="Z48" i="1"/>
  <c r="AM48" i="1"/>
  <c r="A49" i="1"/>
  <c r="D49" i="1"/>
  <c r="E49" i="1"/>
  <c r="F49" i="1"/>
  <c r="M49" i="1"/>
  <c r="O49" i="1"/>
  <c r="Q49" i="1"/>
  <c r="R49" i="1"/>
  <c r="T49" i="1"/>
  <c r="U49" i="1"/>
  <c r="V49" i="1"/>
  <c r="W49" i="1"/>
  <c r="X49" i="1"/>
  <c r="Y49" i="1"/>
  <c r="Z49" i="1"/>
  <c r="AM49" i="1"/>
  <c r="A50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J55" i="1"/>
  <c r="D56" i="1"/>
  <c r="E56" i="1"/>
  <c r="F56" i="1"/>
  <c r="P56" i="1"/>
  <c r="Q56" i="1"/>
  <c r="D57" i="1"/>
  <c r="E57" i="1"/>
  <c r="F57" i="1"/>
  <c r="J57" i="1"/>
  <c r="P57" i="1"/>
  <c r="Q57" i="1"/>
  <c r="D58" i="1"/>
  <c r="E58" i="1"/>
  <c r="F58" i="1"/>
  <c r="J58" i="1"/>
  <c r="P58" i="1"/>
  <c r="D59" i="1"/>
  <c r="E59" i="1"/>
  <c r="F59" i="1"/>
  <c r="D60" i="1"/>
  <c r="E60" i="1"/>
  <c r="F60" i="1"/>
  <c r="D61" i="1"/>
  <c r="E61" i="1"/>
  <c r="F61" i="1"/>
  <c r="O61" i="1"/>
  <c r="D62" i="1"/>
  <c r="E62" i="1"/>
  <c r="F62" i="1"/>
  <c r="D63" i="1"/>
  <c r="E63" i="1"/>
  <c r="F63" i="1"/>
  <c r="P63" i="1"/>
  <c r="D64" i="1"/>
  <c r="E64" i="1"/>
  <c r="F64" i="1"/>
  <c r="O64" i="1"/>
  <c r="P64" i="1"/>
  <c r="D65" i="1"/>
  <c r="E65" i="1"/>
  <c r="F65" i="1"/>
  <c r="D66" i="1"/>
  <c r="E66" i="1"/>
  <c r="F66" i="1"/>
  <c r="D67" i="1"/>
  <c r="E67" i="1"/>
  <c r="F67" i="1"/>
  <c r="J67" i="1"/>
  <c r="L67" i="1"/>
  <c r="N67" i="1"/>
  <c r="P67" i="1"/>
  <c r="D68" i="1"/>
  <c r="E68" i="1"/>
  <c r="F68" i="1"/>
  <c r="N68" i="1"/>
  <c r="O68" i="1"/>
  <c r="P68" i="1"/>
  <c r="Q68" i="1"/>
  <c r="D69" i="1"/>
  <c r="E69" i="1"/>
  <c r="F69" i="1"/>
  <c r="J69" i="1"/>
  <c r="N69" i="1"/>
  <c r="P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H74" i="1"/>
  <c r="N74" i="1"/>
  <c r="D75" i="1"/>
  <c r="E75" i="1"/>
  <c r="F75" i="1"/>
  <c r="N75" i="1"/>
  <c r="D76" i="1"/>
  <c r="E76" i="1"/>
  <c r="F76" i="1"/>
  <c r="D77" i="1"/>
  <c r="E77" i="1"/>
  <c r="F77" i="1"/>
  <c r="D79" i="1"/>
  <c r="E79" i="1"/>
  <c r="F79" i="1"/>
  <c r="D80" i="1"/>
  <c r="E80" i="1"/>
  <c r="F80" i="1"/>
  <c r="D81" i="1"/>
  <c r="E81" i="1"/>
  <c r="F81" i="1"/>
  <c r="K81" i="1"/>
  <c r="D82" i="1"/>
  <c r="E82" i="1"/>
  <c r="F82" i="1"/>
  <c r="K82" i="1"/>
  <c r="D83" i="1"/>
  <c r="E83" i="1"/>
  <c r="F83" i="1"/>
  <c r="C84" i="1"/>
  <c r="D84" i="1"/>
  <c r="E84" i="1"/>
  <c r="F84" i="1"/>
  <c r="G84" i="1"/>
  <c r="H84" i="1"/>
  <c r="C85" i="1"/>
  <c r="D85" i="1"/>
  <c r="E85" i="1"/>
  <c r="F85" i="1"/>
  <c r="K85" i="1"/>
  <c r="C86" i="1"/>
  <c r="D86" i="1"/>
  <c r="E86" i="1"/>
  <c r="F86" i="1"/>
  <c r="K86" i="1"/>
  <c r="C87" i="1"/>
  <c r="D87" i="1"/>
  <c r="E87" i="1"/>
  <c r="F87" i="1"/>
  <c r="C88" i="1"/>
  <c r="D88" i="1"/>
  <c r="E88" i="1"/>
  <c r="F88" i="1"/>
  <c r="G88" i="1"/>
  <c r="H88" i="1"/>
  <c r="E89" i="1"/>
  <c r="F89" i="1"/>
  <c r="I89" i="1"/>
  <c r="K89" i="1"/>
  <c r="D90" i="1"/>
  <c r="E90" i="1"/>
  <c r="F90" i="1"/>
  <c r="I90" i="1"/>
  <c r="D91" i="1"/>
  <c r="E91" i="1"/>
  <c r="F91" i="1"/>
  <c r="I91" i="1"/>
  <c r="D92" i="1"/>
  <c r="E92" i="1"/>
  <c r="F92" i="1"/>
  <c r="I92" i="1"/>
  <c r="J92" i="1"/>
  <c r="D93" i="1"/>
  <c r="E93" i="1"/>
  <c r="F93" i="1"/>
  <c r="G93" i="1"/>
  <c r="I93" i="1"/>
  <c r="J93" i="1"/>
  <c r="D94" i="1"/>
  <c r="E94" i="1"/>
  <c r="F94" i="1"/>
  <c r="I94" i="1"/>
  <c r="D95" i="1"/>
  <c r="E95" i="1"/>
  <c r="F95" i="1"/>
  <c r="I95" i="1"/>
  <c r="D96" i="1"/>
  <c r="E96" i="1"/>
  <c r="F96" i="1"/>
  <c r="I96" i="1"/>
  <c r="J96" i="1"/>
  <c r="D97" i="1"/>
  <c r="E97" i="1"/>
  <c r="F97" i="1"/>
  <c r="I97" i="1"/>
  <c r="D98" i="1"/>
  <c r="E98" i="1"/>
  <c r="F98" i="1"/>
  <c r="D99" i="1"/>
  <c r="E99" i="1"/>
  <c r="F99" i="1"/>
  <c r="H99" i="1"/>
  <c r="J99" i="1"/>
  <c r="B100" i="1"/>
  <c r="C100" i="1"/>
  <c r="H100" i="1"/>
  <c r="J100" i="1"/>
  <c r="J101" i="1"/>
  <c r="D102" i="1"/>
  <c r="E102" i="1"/>
  <c r="F102" i="1"/>
  <c r="D103" i="1"/>
  <c r="E103" i="1"/>
  <c r="F103" i="1"/>
  <c r="I103" i="1"/>
  <c r="J103" i="1"/>
  <c r="D104" i="1"/>
  <c r="E104" i="1"/>
  <c r="F104" i="1"/>
  <c r="J104" i="1"/>
  <c r="D105" i="1"/>
  <c r="E105" i="1"/>
  <c r="F105" i="1"/>
  <c r="J105" i="1"/>
  <c r="D106" i="1"/>
  <c r="E106" i="1"/>
  <c r="F106" i="1"/>
  <c r="J106" i="1"/>
  <c r="L106" i="1"/>
  <c r="D107" i="1"/>
  <c r="E107" i="1"/>
  <c r="F107" i="1"/>
  <c r="D108" i="1"/>
  <c r="E108" i="1"/>
  <c r="F108" i="1"/>
  <c r="J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H136" i="1"/>
  <c r="D137" i="1"/>
  <c r="E137" i="1"/>
  <c r="F137" i="1"/>
  <c r="D138" i="1"/>
  <c r="E138" i="1"/>
  <c r="F138" i="1"/>
  <c r="D139" i="1"/>
  <c r="E139" i="1"/>
  <c r="F139" i="1"/>
  <c r="H139" i="1"/>
  <c r="D140" i="1"/>
  <c r="E140" i="1"/>
  <c r="F140" i="1"/>
  <c r="M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J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I177" i="1"/>
  <c r="B179" i="1"/>
  <c r="F179" i="1"/>
  <c r="F180" i="1"/>
  <c r="B181" i="1"/>
  <c r="C181" i="1"/>
  <c r="D181" i="1"/>
  <c r="B182" i="1"/>
  <c r="B183" i="1"/>
  <c r="C183" i="1"/>
  <c r="D183" i="1"/>
  <c r="L183" i="1"/>
  <c r="M183" i="1"/>
  <c r="L184" i="1"/>
  <c r="M184" i="1"/>
  <c r="B185" i="1"/>
  <c r="C185" i="1"/>
  <c r="D185" i="1"/>
  <c r="L185" i="1"/>
  <c r="M185" i="1"/>
  <c r="B186" i="1"/>
  <c r="L186" i="1"/>
  <c r="M186" i="1"/>
  <c r="B187" i="1"/>
  <c r="C187" i="1"/>
  <c r="D187" i="1"/>
  <c r="L187" i="1"/>
  <c r="M187" i="1"/>
  <c r="B188" i="1"/>
  <c r="D188" i="1"/>
  <c r="L188" i="1"/>
  <c r="M188" i="1"/>
  <c r="B189" i="1"/>
  <c r="L189" i="1"/>
  <c r="M189" i="1"/>
  <c r="B190" i="1"/>
  <c r="B191" i="1"/>
  <c r="C191" i="1"/>
  <c r="D191" i="1"/>
  <c r="B192" i="1"/>
  <c r="B193" i="1"/>
  <c r="B194" i="1"/>
  <c r="B197" i="1"/>
  <c r="B198" i="1"/>
  <c r="C198" i="1"/>
  <c r="B199" i="1"/>
  <c r="B200" i="1"/>
  <c r="B201" i="1"/>
  <c r="C201" i="1"/>
  <c r="D201" i="1"/>
  <c r="K202" i="1"/>
  <c r="B203" i="1"/>
  <c r="B208" i="1"/>
  <c r="F220" i="1"/>
  <c r="F225" i="1"/>
  <c r="F228" i="1"/>
  <c r="F232" i="1"/>
  <c r="C283" i="1"/>
  <c r="C284" i="1"/>
  <c r="P284" i="1"/>
  <c r="Q284" i="1"/>
  <c r="P285" i="1"/>
  <c r="Q285" i="1"/>
  <c r="P286" i="1"/>
  <c r="Q286" i="1"/>
  <c r="D287" i="1"/>
  <c r="F287" i="1"/>
  <c r="G287" i="1"/>
  <c r="I287" i="1"/>
  <c r="J287" i="1"/>
  <c r="D288" i="1"/>
  <c r="F288" i="1"/>
  <c r="G288" i="1"/>
  <c r="I288" i="1"/>
  <c r="J288" i="1"/>
  <c r="C291" i="1"/>
  <c r="D291" i="1"/>
  <c r="F291" i="1"/>
  <c r="G291" i="1"/>
  <c r="I291" i="1"/>
  <c r="J291" i="1"/>
  <c r="P291" i="1"/>
  <c r="Q291" i="1"/>
  <c r="C292" i="1"/>
  <c r="D292" i="1"/>
  <c r="F292" i="1"/>
  <c r="G292" i="1"/>
  <c r="I292" i="1"/>
  <c r="J292" i="1"/>
  <c r="P292" i="1"/>
  <c r="Q292" i="1"/>
  <c r="P293" i="1"/>
  <c r="Q293" i="1"/>
  <c r="P294" i="1"/>
  <c r="Q294" i="1"/>
  <c r="F296" i="1"/>
  <c r="G296" i="1"/>
  <c r="I296" i="1"/>
  <c r="J296" i="1"/>
  <c r="F297" i="1"/>
  <c r="G297" i="1"/>
  <c r="I297" i="1"/>
  <c r="J297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F301" i="1"/>
  <c r="G301" i="1"/>
  <c r="F302" i="1"/>
  <c r="G302" i="1"/>
</calcChain>
</file>

<file path=xl/sharedStrings.xml><?xml version="1.0" encoding="utf-8"?>
<sst xmlns="http://schemas.openxmlformats.org/spreadsheetml/2006/main" count="316" uniqueCount="106">
  <si>
    <t>Sales</t>
  </si>
  <si>
    <t>Buys</t>
  </si>
  <si>
    <t>Prior Day</t>
  </si>
  <si>
    <t>Financial Trades</t>
  </si>
  <si>
    <t>Dec</t>
  </si>
  <si>
    <t>Change</t>
  </si>
  <si>
    <t>HSP</t>
  </si>
  <si>
    <t>HH</t>
  </si>
  <si>
    <t>..</t>
  </si>
  <si>
    <t>AD GD</t>
  </si>
  <si>
    <t>HH GD</t>
  </si>
  <si>
    <t>HSC GD</t>
  </si>
  <si>
    <t>Katy GD</t>
  </si>
  <si>
    <t>Waha GD</t>
  </si>
  <si>
    <t>Katy Phy</t>
  </si>
  <si>
    <t>AD Phy</t>
  </si>
  <si>
    <t>Waha Phy</t>
  </si>
  <si>
    <t>EAST</t>
  </si>
  <si>
    <t>Trading</t>
  </si>
  <si>
    <t>Originaltion</t>
  </si>
  <si>
    <t>Total</t>
  </si>
  <si>
    <t>CENTRAL</t>
  </si>
  <si>
    <t>TEXAS</t>
  </si>
  <si>
    <t>WEST</t>
  </si>
  <si>
    <t>DERIV.</t>
  </si>
  <si>
    <t>FINANCIAL</t>
  </si>
  <si>
    <t>SJ GD</t>
  </si>
  <si>
    <t>Perm GD</t>
  </si>
  <si>
    <t>With Lansing</t>
  </si>
  <si>
    <t>W/O Lansing</t>
  </si>
  <si>
    <t>% Full</t>
  </si>
  <si>
    <t>4 Yr Avg</t>
  </si>
  <si>
    <t>Feb</t>
  </si>
  <si>
    <t>March - Oct Inject</t>
  </si>
  <si>
    <t>M - O Inject</t>
  </si>
  <si>
    <t>Avg/Day</t>
  </si>
  <si>
    <t>Texas Storage Activity</t>
  </si>
  <si>
    <t>Capacity</t>
  </si>
  <si>
    <t>2001 Inject to Meet</t>
  </si>
  <si>
    <t>Oct 31, 2000 Level</t>
  </si>
  <si>
    <t>June</t>
  </si>
  <si>
    <t>July</t>
  </si>
  <si>
    <t>Aug</t>
  </si>
  <si>
    <t>Sept</t>
  </si>
  <si>
    <t>Oct</t>
  </si>
  <si>
    <t>Perm</t>
  </si>
  <si>
    <t>Waha</t>
  </si>
  <si>
    <t>Carthage Phy</t>
  </si>
  <si>
    <t>Carthage</t>
  </si>
  <si>
    <t>Nov</t>
  </si>
  <si>
    <t>Jan</t>
  </si>
  <si>
    <t>Mar</t>
  </si>
  <si>
    <t>April</t>
  </si>
  <si>
    <t>May</t>
  </si>
  <si>
    <t>Jan-Mar</t>
  </si>
  <si>
    <t>April-Dec</t>
  </si>
  <si>
    <t>Cal 03 -</t>
  </si>
  <si>
    <t>Cal 03</t>
  </si>
  <si>
    <t>Cal 02</t>
  </si>
  <si>
    <t>Current Cal 02</t>
  </si>
  <si>
    <t>Last night</t>
  </si>
  <si>
    <t>Current</t>
  </si>
  <si>
    <t>days</t>
  </si>
  <si>
    <t xml:space="preserve">Current April-Oct </t>
  </si>
  <si>
    <t>Last Night A-O</t>
  </si>
  <si>
    <t>Nov-Dec</t>
  </si>
  <si>
    <t>April-Oct</t>
  </si>
  <si>
    <t>Nov Forward</t>
  </si>
  <si>
    <t>Last night Oct</t>
  </si>
  <si>
    <t>A-O</t>
  </si>
  <si>
    <t>March</t>
  </si>
  <si>
    <t>Nov 1yr</t>
  </si>
  <si>
    <t>Carth</t>
  </si>
  <si>
    <t>Current Nov- Dec</t>
  </si>
  <si>
    <t>Current Nov 1 yr.</t>
  </si>
  <si>
    <t>Last Night Feb less Dec</t>
  </si>
  <si>
    <t>Current Feb less Dec</t>
  </si>
  <si>
    <t>Last Night A-O less Dec-Mar</t>
  </si>
  <si>
    <t>Current A-O less Dec-Mar</t>
  </si>
  <si>
    <t>Nov GD HH</t>
  </si>
  <si>
    <t>Nov HSC</t>
  </si>
  <si>
    <t>Nov HH GD</t>
  </si>
  <si>
    <t>Nov HSC GD</t>
  </si>
  <si>
    <t>Last Night N/D</t>
  </si>
  <si>
    <t>Current N/D</t>
  </si>
  <si>
    <t>Current D-M</t>
  </si>
  <si>
    <t>Last night D-M</t>
  </si>
  <si>
    <t>Current Dec</t>
  </si>
  <si>
    <t>Last Night A-O less D-M</t>
  </si>
  <si>
    <t>Current A-O less D-M</t>
  </si>
  <si>
    <t>.</t>
  </si>
  <si>
    <t>D-M</t>
  </si>
  <si>
    <t xml:space="preserve"> </t>
  </si>
  <si>
    <t>ORD</t>
  </si>
  <si>
    <t>LGA</t>
  </si>
  <si>
    <t>Curve</t>
  </si>
  <si>
    <t>Trades</t>
  </si>
  <si>
    <t>Accum.</t>
  </si>
  <si>
    <t>Curve Shift</t>
  </si>
  <si>
    <t>Tonights</t>
  </si>
  <si>
    <t>Normal HDD</t>
  </si>
  <si>
    <t>Fcst HDD</t>
  </si>
  <si>
    <t>Act HDD</t>
  </si>
  <si>
    <t>Depart</t>
  </si>
  <si>
    <t>from Normal</t>
  </si>
  <si>
    <t>from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</si>
</sst>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00"/>
    <numFmt numFmtId="167" formatCode="_(&quot;$&quot;* #,##0.0000_);_(&quot;$&quot;* \(#,##0.0000\);_(&quot;$&quot;* &quot;-&quot;??_);_(@_)"/>
    <numFmt numFmtId="170" formatCode="_(* #,##0.000_);_(* \(#,##0.000\);_(* &quot;-&quot;??_);_(@_)"/>
    <numFmt numFmtId="172" formatCode="0.0000"/>
    <numFmt numFmtId="175" formatCode="_(&quot;$&quot;* #,##0_);_(&quot;$&quot;* \(#,##0\);_(&quot;$&quot;* &quot;-&quot;??_);_(@_)"/>
    <numFmt numFmtId="176" formatCode="_(* #,##0_);_(* \(#,##0\);_(* &quot;-&quot;??_);_(@_)"/>
    <numFmt numFmtId="177" formatCode="0.0%"/>
    <numFmt numFmtId="185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2" applyFont="1"/>
    <xf numFmtId="164" fontId="0" fillId="0" borderId="0" xfId="2" applyNumberFormat="1" applyFont="1"/>
    <xf numFmtId="4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70" fontId="0" fillId="0" borderId="0" xfId="0" applyNumberFormat="1"/>
    <xf numFmtId="172" fontId="0" fillId="0" borderId="0" xfId="0" applyNumberFormat="1"/>
    <xf numFmtId="172" fontId="0" fillId="0" borderId="0" xfId="2" applyNumberFormat="1" applyFont="1"/>
    <xf numFmtId="170" fontId="0" fillId="0" borderId="0" xfId="2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75" fontId="0" fillId="0" borderId="0" xfId="2" applyNumberFormat="1" applyFont="1"/>
    <xf numFmtId="176" fontId="0" fillId="0" borderId="0" xfId="1" applyNumberFormat="1" applyFont="1"/>
    <xf numFmtId="0" fontId="6" fillId="0" borderId="0" xfId="0" applyFont="1"/>
    <xf numFmtId="15" fontId="2" fillId="0" borderId="0" xfId="0" applyNumberFormat="1" applyFont="1"/>
    <xf numFmtId="16" fontId="2" fillId="0" borderId="0" xfId="0" applyNumberFormat="1" applyFon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76" fontId="0" fillId="0" borderId="4" xfId="1" applyNumberFormat="1" applyFont="1" applyBorder="1"/>
    <xf numFmtId="177" fontId="0" fillId="0" borderId="1" xfId="3" applyNumberFormat="1" applyFont="1" applyBorder="1"/>
    <xf numFmtId="176" fontId="0" fillId="0" borderId="1" xfId="1" applyNumberFormat="1" applyFont="1" applyBorder="1"/>
    <xf numFmtId="177" fontId="0" fillId="0" borderId="5" xfId="3" applyNumberFormat="1" applyFont="1" applyBorder="1"/>
    <xf numFmtId="176" fontId="0" fillId="0" borderId="6" xfId="1" applyNumberFormat="1" applyFont="1" applyBorder="1"/>
    <xf numFmtId="177" fontId="0" fillId="0" borderId="2" xfId="3" applyNumberFormat="1" applyFont="1" applyBorder="1"/>
    <xf numFmtId="176" fontId="0" fillId="0" borderId="2" xfId="1" applyNumberFormat="1" applyFont="1" applyBorder="1"/>
    <xf numFmtId="177" fontId="0" fillId="0" borderId="3" xfId="3" applyNumberFormat="1" applyFont="1" applyBorder="1"/>
    <xf numFmtId="176" fontId="0" fillId="0" borderId="4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1" fontId="0" fillId="0" borderId="5" xfId="0" applyNumberFormat="1" applyBorder="1"/>
    <xf numFmtId="176" fontId="0" fillId="0" borderId="6" xfId="0" applyNumberForma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2" applyNumberFormat="1" applyFont="1"/>
    <xf numFmtId="185" fontId="0" fillId="0" borderId="0" xfId="0" applyNumberFormat="1"/>
    <xf numFmtId="175" fontId="0" fillId="0" borderId="0" xfId="0" applyNumberFormat="1"/>
    <xf numFmtId="1" fontId="0" fillId="0" borderId="0" xfId="2" applyNumberFormat="1" applyFont="1"/>
    <xf numFmtId="44" fontId="0" fillId="0" borderId="0" xfId="2" applyNumberFormat="1" applyFont="1"/>
    <xf numFmtId="0" fontId="7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Storage/Tx_Desk_Pric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F4">
            <v>3.2480000000000002</v>
          </cell>
          <cell r="G4">
            <v>3.3919999999999999</v>
          </cell>
          <cell r="H4">
            <v>3.3839999999999999</v>
          </cell>
          <cell r="I4">
            <v>3.323</v>
          </cell>
          <cell r="J4">
            <v>3.2210000000000001</v>
          </cell>
          <cell r="K4">
            <v>3.2509999999999999</v>
          </cell>
          <cell r="L4">
            <v>3.2869999999999999</v>
          </cell>
          <cell r="M4">
            <v>3.327</v>
          </cell>
          <cell r="N4">
            <v>3.367</v>
          </cell>
          <cell r="O4">
            <v>3.367</v>
          </cell>
          <cell r="P4">
            <v>3.4020000000000001</v>
          </cell>
          <cell r="Q4">
            <v>3.577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02"/>
  <sheetViews>
    <sheetView tabSelected="1" topLeftCell="A179" workbookViewId="0">
      <selection activeCell="B200" sqref="B200"/>
    </sheetView>
  </sheetViews>
  <sheetFormatPr defaultRowHeight="12.75" x14ac:dyDescent="0.2"/>
  <cols>
    <col min="1" max="1" width="13" customWidth="1"/>
    <col min="2" max="2" width="12.85546875" bestFit="1" customWidth="1"/>
    <col min="3" max="3" width="14" customWidth="1"/>
    <col min="4" max="4" width="12.140625" customWidth="1"/>
    <col min="6" max="6" width="18.140625" customWidth="1"/>
    <col min="7" max="7" width="11" customWidth="1"/>
    <col min="8" max="8" width="16.5703125" customWidth="1"/>
    <col min="9" max="9" width="11.28515625" customWidth="1"/>
    <col min="10" max="10" width="16" bestFit="1" customWidth="1"/>
    <col min="11" max="11" width="12.28515625" bestFit="1" customWidth="1"/>
    <col min="12" max="12" width="14.7109375" customWidth="1"/>
    <col min="13" max="13" width="9.7109375" bestFit="1" customWidth="1"/>
    <col min="14" max="14" width="12.28515625" bestFit="1" customWidth="1"/>
    <col min="16" max="17" width="11.28515625" bestFit="1" customWidth="1"/>
    <col min="19" max="19" width="11.28515625" bestFit="1" customWidth="1"/>
    <col min="22" max="22" width="12.28515625" customWidth="1"/>
  </cols>
  <sheetData>
    <row r="2" spans="1:39" x14ac:dyDescent="0.2">
      <c r="D2" s="6" t="s">
        <v>8</v>
      </c>
      <c r="K2" t="s">
        <v>93</v>
      </c>
      <c r="L2" t="s">
        <v>2</v>
      </c>
      <c r="M2" t="s">
        <v>94</v>
      </c>
      <c r="N2" t="s">
        <v>2</v>
      </c>
      <c r="R2" s="11" t="s">
        <v>93</v>
      </c>
      <c r="U2" s="11"/>
      <c r="V2" s="50" t="s">
        <v>103</v>
      </c>
      <c r="X2" s="50" t="s">
        <v>103</v>
      </c>
      <c r="Y2" s="11"/>
      <c r="Z2" s="11"/>
      <c r="AA2" s="11"/>
    </row>
    <row r="3" spans="1:39" x14ac:dyDescent="0.2">
      <c r="B3" t="s">
        <v>3</v>
      </c>
      <c r="K3" t="s">
        <v>61</v>
      </c>
      <c r="L3" t="s">
        <v>95</v>
      </c>
      <c r="M3" t="s">
        <v>61</v>
      </c>
      <c r="N3" t="s">
        <v>95</v>
      </c>
      <c r="P3" t="s">
        <v>49</v>
      </c>
      <c r="R3" s="11"/>
      <c r="S3" t="s">
        <v>100</v>
      </c>
      <c r="T3" t="s">
        <v>101</v>
      </c>
      <c r="U3" s="50" t="s">
        <v>102</v>
      </c>
      <c r="V3" s="50" t="s">
        <v>104</v>
      </c>
      <c r="X3" s="50" t="s">
        <v>105</v>
      </c>
      <c r="Y3" s="11"/>
      <c r="Z3" s="11"/>
      <c r="AA3" s="11"/>
    </row>
    <row r="4" spans="1:39" x14ac:dyDescent="0.2">
      <c r="C4" t="s">
        <v>7</v>
      </c>
      <c r="D4" s="53">
        <v>3.13</v>
      </c>
      <c r="J4" t="s">
        <v>49</v>
      </c>
      <c r="K4">
        <v>715</v>
      </c>
      <c r="L4">
        <v>726</v>
      </c>
      <c r="M4">
        <v>509</v>
      </c>
      <c r="N4">
        <v>505</v>
      </c>
      <c r="O4">
        <v>509</v>
      </c>
      <c r="P4">
        <v>1</v>
      </c>
      <c r="Q4">
        <v>54</v>
      </c>
      <c r="R4" s="50">
        <v>36</v>
      </c>
      <c r="S4">
        <f>65-((Q4+R4)/2)</f>
        <v>20</v>
      </c>
      <c r="T4">
        <v>6</v>
      </c>
      <c r="U4" s="50">
        <v>3</v>
      </c>
      <c r="V4" s="50">
        <f>U4-S4</f>
        <v>-17</v>
      </c>
      <c r="X4" s="50">
        <f t="shared" ref="X4:X12" si="0">U4-T4</f>
        <v>-3</v>
      </c>
      <c r="Y4" s="12"/>
      <c r="Z4" s="12"/>
      <c r="AA4" s="12"/>
    </row>
    <row r="5" spans="1:39" x14ac:dyDescent="0.2">
      <c r="C5" t="s">
        <v>6</v>
      </c>
      <c r="D5" s="53">
        <f>D4-0.03</f>
        <v>3.1</v>
      </c>
      <c r="J5" t="s">
        <v>4</v>
      </c>
      <c r="K5">
        <v>1219</v>
      </c>
      <c r="L5">
        <v>1219</v>
      </c>
      <c r="M5">
        <v>883</v>
      </c>
      <c r="N5">
        <v>883</v>
      </c>
      <c r="P5">
        <v>2</v>
      </c>
      <c r="Q5">
        <v>53</v>
      </c>
      <c r="R5" s="50">
        <v>36</v>
      </c>
      <c r="S5">
        <f t="shared" ref="S5:S12" si="1">65-((Q5+R5)/2)</f>
        <v>20.5</v>
      </c>
      <c r="T5">
        <v>11</v>
      </c>
      <c r="U5" s="50">
        <v>3</v>
      </c>
      <c r="V5" s="50">
        <f t="shared" ref="V5:V12" si="2">U5-S5</f>
        <v>-17.5</v>
      </c>
      <c r="X5" s="50">
        <f t="shared" si="0"/>
        <v>-8</v>
      </c>
      <c r="AB5" s="12"/>
      <c r="AC5" s="12"/>
      <c r="AD5" s="12"/>
      <c r="AE5" s="12"/>
      <c r="AF5" s="12"/>
      <c r="AG5" s="12"/>
      <c r="AH5" s="12"/>
      <c r="AI5" s="12"/>
      <c r="AJ5" s="12"/>
    </row>
    <row r="6" spans="1:39" x14ac:dyDescent="0.2">
      <c r="B6" t="s">
        <v>0</v>
      </c>
      <c r="J6" t="s">
        <v>50</v>
      </c>
      <c r="K6">
        <v>1283</v>
      </c>
      <c r="L6">
        <v>1283</v>
      </c>
      <c r="M6">
        <v>958</v>
      </c>
      <c r="N6">
        <v>958</v>
      </c>
      <c r="P6">
        <v>3</v>
      </c>
      <c r="Q6" s="13">
        <v>53</v>
      </c>
      <c r="R6" s="50">
        <v>35</v>
      </c>
      <c r="S6">
        <f t="shared" si="1"/>
        <v>21</v>
      </c>
      <c r="T6">
        <v>15</v>
      </c>
      <c r="U6" s="50">
        <v>12</v>
      </c>
      <c r="V6" s="50">
        <f t="shared" si="2"/>
        <v>-9</v>
      </c>
      <c r="X6" s="50">
        <f t="shared" si="0"/>
        <v>-3</v>
      </c>
      <c r="Y6" s="16"/>
      <c r="Z6" s="17"/>
      <c r="AA6" s="14"/>
    </row>
    <row r="7" spans="1:39" x14ac:dyDescent="0.2">
      <c r="A7" t="s">
        <v>79</v>
      </c>
      <c r="B7">
        <v>0</v>
      </c>
      <c r="C7" s="2">
        <v>2.9750000000000001</v>
      </c>
      <c r="D7" s="9">
        <f>D4</f>
        <v>3.13</v>
      </c>
      <c r="E7" s="6">
        <f t="shared" ref="E7:E15" si="3">C7-D7</f>
        <v>-0.1549999999999998</v>
      </c>
      <c r="F7" s="1">
        <f t="shared" ref="F7:F15" si="4">B7*E7*10000</f>
        <v>0</v>
      </c>
      <c r="J7" t="s">
        <v>32</v>
      </c>
      <c r="K7">
        <v>983</v>
      </c>
      <c r="L7">
        <v>983</v>
      </c>
      <c r="M7">
        <v>796</v>
      </c>
      <c r="N7">
        <v>796</v>
      </c>
      <c r="P7">
        <v>4</v>
      </c>
      <c r="Q7" s="13">
        <v>52</v>
      </c>
      <c r="R7" s="50">
        <v>35</v>
      </c>
      <c r="S7">
        <f t="shared" si="1"/>
        <v>21.5</v>
      </c>
      <c r="T7">
        <v>18</v>
      </c>
      <c r="U7" s="50">
        <v>17</v>
      </c>
      <c r="V7" s="50">
        <f t="shared" si="2"/>
        <v>-4.5</v>
      </c>
      <c r="X7" s="50">
        <f t="shared" si="0"/>
        <v>-1</v>
      </c>
      <c r="Y7" s="17"/>
      <c r="Z7" s="17"/>
      <c r="AA7" s="14"/>
    </row>
    <row r="8" spans="1:39" x14ac:dyDescent="0.2">
      <c r="A8" t="s">
        <v>79</v>
      </c>
      <c r="B8">
        <v>0</v>
      </c>
      <c r="C8" s="2">
        <v>3.0350000000000001</v>
      </c>
      <c r="D8" s="9">
        <f>D7</f>
        <v>3.13</v>
      </c>
      <c r="E8" s="6">
        <f t="shared" si="3"/>
        <v>-9.4999999999999751E-2</v>
      </c>
      <c r="F8" s="1">
        <f t="shared" si="4"/>
        <v>0</v>
      </c>
      <c r="J8" t="s">
        <v>51</v>
      </c>
      <c r="K8">
        <v>877</v>
      </c>
      <c r="L8">
        <v>877</v>
      </c>
      <c r="M8">
        <v>742</v>
      </c>
      <c r="N8">
        <v>742</v>
      </c>
      <c r="P8">
        <v>5</v>
      </c>
      <c r="Q8" s="13">
        <v>51</v>
      </c>
      <c r="R8" s="50">
        <v>35</v>
      </c>
      <c r="S8">
        <f t="shared" si="1"/>
        <v>22</v>
      </c>
      <c r="T8">
        <v>17</v>
      </c>
      <c r="U8" s="50">
        <v>21</v>
      </c>
      <c r="V8" s="50">
        <f t="shared" si="2"/>
        <v>-1</v>
      </c>
      <c r="W8" s="57">
        <f>SUM(V4:V8)</f>
        <v>-49</v>
      </c>
      <c r="X8" s="50">
        <f t="shared" si="0"/>
        <v>4</v>
      </c>
      <c r="Y8" s="57">
        <f>SUM(X4:X8)</f>
        <v>-11</v>
      </c>
      <c r="Z8" s="17"/>
      <c r="AA8" s="14"/>
      <c r="AM8" s="13"/>
    </row>
    <row r="9" spans="1:39" x14ac:dyDescent="0.2">
      <c r="A9" t="s">
        <v>79</v>
      </c>
      <c r="B9">
        <v>0</v>
      </c>
      <c r="C9" s="2">
        <v>2.1800000000000002</v>
      </c>
      <c r="D9" s="9">
        <f>D8</f>
        <v>3.13</v>
      </c>
      <c r="E9" s="6">
        <f t="shared" si="3"/>
        <v>-0.94999999999999973</v>
      </c>
      <c r="F9" s="1">
        <f t="shared" si="4"/>
        <v>0</v>
      </c>
      <c r="M9" s="7"/>
      <c r="N9" s="7"/>
      <c r="O9" s="7"/>
      <c r="P9">
        <v>6</v>
      </c>
      <c r="Q9" s="13">
        <v>51</v>
      </c>
      <c r="R9" s="50">
        <v>35</v>
      </c>
      <c r="S9">
        <f t="shared" si="1"/>
        <v>22</v>
      </c>
      <c r="T9">
        <v>18</v>
      </c>
      <c r="U9" s="50">
        <v>15</v>
      </c>
      <c r="V9" s="50">
        <f t="shared" si="2"/>
        <v>-7</v>
      </c>
      <c r="W9" s="13"/>
      <c r="X9" s="17">
        <f t="shared" si="0"/>
        <v>-3</v>
      </c>
      <c r="Y9" s="13"/>
      <c r="Z9" s="17"/>
      <c r="AA9" s="14"/>
      <c r="AM9" s="13"/>
    </row>
    <row r="10" spans="1:39" x14ac:dyDescent="0.2">
      <c r="A10" t="s">
        <v>79</v>
      </c>
      <c r="B10">
        <v>0</v>
      </c>
      <c r="C10" s="2">
        <v>2.02</v>
      </c>
      <c r="D10" s="9">
        <f>D9</f>
        <v>3.13</v>
      </c>
      <c r="E10" s="6">
        <f t="shared" si="3"/>
        <v>-1.1099999999999999</v>
      </c>
      <c r="F10" s="1">
        <f t="shared" si="4"/>
        <v>0</v>
      </c>
      <c r="J10" t="s">
        <v>20</v>
      </c>
      <c r="K10">
        <f>SUM(K4:K8)</f>
        <v>5077</v>
      </c>
      <c r="L10">
        <f>SUM(L4:L8)</f>
        <v>5088</v>
      </c>
      <c r="M10">
        <f>SUM(M4:M8)</f>
        <v>3888</v>
      </c>
      <c r="N10">
        <f>SUM(N4:N8)</f>
        <v>3884</v>
      </c>
      <c r="O10" s="7"/>
      <c r="P10">
        <v>7</v>
      </c>
      <c r="Q10" s="13">
        <v>50</v>
      </c>
      <c r="R10" s="50">
        <v>34</v>
      </c>
      <c r="S10">
        <f t="shared" si="1"/>
        <v>23</v>
      </c>
      <c r="T10">
        <v>19</v>
      </c>
      <c r="U10" s="50">
        <v>17</v>
      </c>
      <c r="V10" s="50">
        <f t="shared" si="2"/>
        <v>-6</v>
      </c>
      <c r="W10" s="13"/>
      <c r="X10" s="17">
        <f t="shared" si="0"/>
        <v>-2</v>
      </c>
      <c r="Y10" s="13"/>
      <c r="Z10" s="17"/>
      <c r="AA10" s="14"/>
      <c r="AM10" s="13"/>
    </row>
    <row r="11" spans="1:39" x14ac:dyDescent="0.2">
      <c r="A11" t="s">
        <v>79</v>
      </c>
      <c r="B11">
        <v>0</v>
      </c>
      <c r="C11" s="2">
        <v>3.1850000000000001</v>
      </c>
      <c r="D11" s="9">
        <f>D10</f>
        <v>3.13</v>
      </c>
      <c r="E11" s="6">
        <f t="shared" si="3"/>
        <v>5.500000000000016E-2</v>
      </c>
      <c r="F11" s="1">
        <f t="shared" si="4"/>
        <v>0</v>
      </c>
      <c r="O11" s="7"/>
      <c r="P11">
        <v>8</v>
      </c>
      <c r="Q11" s="13">
        <v>50</v>
      </c>
      <c r="R11" s="50">
        <v>34</v>
      </c>
      <c r="S11">
        <f t="shared" si="1"/>
        <v>23</v>
      </c>
      <c r="T11">
        <v>15</v>
      </c>
      <c r="U11" s="50">
        <v>21</v>
      </c>
      <c r="V11" s="50">
        <f t="shared" si="2"/>
        <v>-2</v>
      </c>
      <c r="W11" s="13"/>
      <c r="X11" s="17">
        <f t="shared" si="0"/>
        <v>6</v>
      </c>
      <c r="Y11" s="13"/>
      <c r="Z11" s="17"/>
      <c r="AA11" s="14"/>
      <c r="AM11" s="13"/>
    </row>
    <row r="12" spans="1:39" x14ac:dyDescent="0.2">
      <c r="A12" t="s">
        <v>79</v>
      </c>
      <c r="B12">
        <v>0</v>
      </c>
      <c r="C12" s="2">
        <v>3.1850000000000001</v>
      </c>
      <c r="D12" s="9">
        <f>D11</f>
        <v>3.13</v>
      </c>
      <c r="E12" s="6">
        <f t="shared" si="3"/>
        <v>5.500000000000016E-2</v>
      </c>
      <c r="F12" s="1">
        <f t="shared" si="4"/>
        <v>0</v>
      </c>
      <c r="J12" t="s">
        <v>5</v>
      </c>
      <c r="L12">
        <f>K10-L10</f>
        <v>-11</v>
      </c>
      <c r="N12">
        <f>M10-N10</f>
        <v>4</v>
      </c>
      <c r="O12" s="7"/>
      <c r="P12">
        <v>9</v>
      </c>
      <c r="Q12" s="13">
        <v>50</v>
      </c>
      <c r="R12" s="50">
        <v>34</v>
      </c>
      <c r="S12">
        <f t="shared" si="1"/>
        <v>23</v>
      </c>
      <c r="T12">
        <v>24</v>
      </c>
      <c r="U12" s="50">
        <v>24</v>
      </c>
      <c r="V12" s="50">
        <f t="shared" si="2"/>
        <v>1</v>
      </c>
      <c r="W12" s="13">
        <f>SUM(V4:V12)</f>
        <v>-63</v>
      </c>
      <c r="X12" s="17">
        <f t="shared" si="0"/>
        <v>0</v>
      </c>
      <c r="Y12" s="13"/>
      <c r="Z12" s="17"/>
      <c r="AA12" s="14"/>
      <c r="AM12" s="13"/>
    </row>
    <row r="13" spans="1:39" x14ac:dyDescent="0.2">
      <c r="A13" t="s">
        <v>79</v>
      </c>
      <c r="B13">
        <v>0</v>
      </c>
      <c r="C13" s="2">
        <v>2.9649999999999999</v>
      </c>
      <c r="D13" s="2">
        <f>D9</f>
        <v>3.13</v>
      </c>
      <c r="E13" s="6">
        <f t="shared" si="3"/>
        <v>-0.16500000000000004</v>
      </c>
      <c r="F13" s="1">
        <f t="shared" si="4"/>
        <v>0</v>
      </c>
      <c r="I13" s="1"/>
      <c r="M13" s="7"/>
      <c r="N13" s="7"/>
      <c r="O13" s="7"/>
      <c r="Q13" s="10"/>
      <c r="R13" s="50"/>
      <c r="S13" s="11"/>
      <c r="V13" s="15"/>
      <c r="W13" s="13"/>
      <c r="X13" s="17"/>
      <c r="Y13" s="13"/>
      <c r="Z13" s="17"/>
      <c r="AA13" s="14"/>
    </row>
    <row r="14" spans="1:39" x14ac:dyDescent="0.2">
      <c r="A14" t="s">
        <v>80</v>
      </c>
      <c r="B14">
        <v>0</v>
      </c>
      <c r="C14" s="2">
        <v>2.3199999999999998</v>
      </c>
      <c r="D14" s="2">
        <f>D5</f>
        <v>3.1</v>
      </c>
      <c r="E14" s="6">
        <f t="shared" si="3"/>
        <v>-0.78000000000000025</v>
      </c>
      <c r="F14" s="1">
        <f t="shared" si="4"/>
        <v>0</v>
      </c>
      <c r="I14" s="4"/>
      <c r="M14" s="8"/>
      <c r="N14" s="7"/>
      <c r="O14" s="7"/>
      <c r="Q14" s="10"/>
      <c r="R14" s="50"/>
      <c r="S14" s="11"/>
      <c r="V14" s="15"/>
      <c r="W14" s="13"/>
      <c r="X14" s="17"/>
      <c r="Y14" s="13"/>
      <c r="Z14" s="17"/>
      <c r="AA14" s="14"/>
    </row>
    <row r="15" spans="1:39" x14ac:dyDescent="0.2">
      <c r="A15" t="s">
        <v>80</v>
      </c>
      <c r="B15">
        <v>0</v>
      </c>
      <c r="C15" s="2">
        <v>2.2749999999999999</v>
      </c>
      <c r="D15" s="2">
        <f t="shared" ref="D15:D20" si="5">D14</f>
        <v>3.1</v>
      </c>
      <c r="E15" s="6">
        <f t="shared" si="3"/>
        <v>-0.82500000000000018</v>
      </c>
      <c r="F15" s="1">
        <f t="shared" si="4"/>
        <v>0</v>
      </c>
      <c r="I15" s="4"/>
      <c r="J15" t="s">
        <v>96</v>
      </c>
      <c r="K15">
        <v>15</v>
      </c>
      <c r="L15">
        <f>((10*5030)+(5*5060))/15</f>
        <v>5040</v>
      </c>
      <c r="M15" s="55">
        <v>10</v>
      </c>
      <c r="N15" s="13">
        <v>3790</v>
      </c>
      <c r="O15" s="7"/>
      <c r="Q15" s="10"/>
      <c r="R15" s="50"/>
      <c r="V15" s="15"/>
      <c r="W15" s="13"/>
      <c r="X15" s="17"/>
      <c r="Y15" s="13"/>
      <c r="Z15" s="17"/>
      <c r="AA15" s="14"/>
    </row>
    <row r="16" spans="1:39" x14ac:dyDescent="0.2">
      <c r="A16" t="s">
        <v>80</v>
      </c>
      <c r="B16">
        <v>0</v>
      </c>
      <c r="C16" s="2">
        <v>2.2599999999999998</v>
      </c>
      <c r="D16" s="2">
        <f t="shared" si="5"/>
        <v>3.1</v>
      </c>
      <c r="E16" s="6">
        <f t="shared" ref="E16:E23" si="6">C16-D16</f>
        <v>-0.8400000000000003</v>
      </c>
      <c r="F16" s="1">
        <f t="shared" ref="F16:F23" si="7">B16*E16*10000</f>
        <v>0</v>
      </c>
      <c r="I16" s="4"/>
      <c r="M16" s="8"/>
      <c r="N16" s="7"/>
      <c r="O16" s="7"/>
      <c r="Q16" s="10"/>
      <c r="V16" s="15"/>
      <c r="W16" s="13"/>
      <c r="X16" s="17"/>
      <c r="Y16" s="13"/>
      <c r="Z16" s="17"/>
      <c r="AA16" s="14"/>
    </row>
    <row r="17" spans="1:39" x14ac:dyDescent="0.2">
      <c r="A17" t="s">
        <v>80</v>
      </c>
      <c r="B17">
        <v>0</v>
      </c>
      <c r="C17" s="2">
        <v>2.2549999999999999</v>
      </c>
      <c r="D17" s="2">
        <f t="shared" si="5"/>
        <v>3.1</v>
      </c>
      <c r="E17" s="6">
        <f>C17-D17</f>
        <v>-0.8450000000000002</v>
      </c>
      <c r="F17" s="1">
        <f>B17*E17*10000</f>
        <v>0</v>
      </c>
      <c r="I17" s="4"/>
      <c r="J17" t="s">
        <v>97</v>
      </c>
      <c r="M17" s="8"/>
      <c r="N17" s="7"/>
      <c r="O17" s="7"/>
      <c r="Q17" s="10"/>
      <c r="V17" s="15"/>
      <c r="W17" s="13"/>
      <c r="X17" s="17"/>
      <c r="Y17" s="13"/>
      <c r="Z17" s="17"/>
      <c r="AA17" s="14"/>
    </row>
    <row r="18" spans="1:39" x14ac:dyDescent="0.2">
      <c r="A18" t="s">
        <v>80</v>
      </c>
      <c r="B18">
        <v>0</v>
      </c>
      <c r="C18" s="2">
        <v>2.2250000000000001</v>
      </c>
      <c r="D18" s="2">
        <f t="shared" si="5"/>
        <v>3.1</v>
      </c>
      <c r="E18" s="6">
        <f>C18-D18</f>
        <v>-0.875</v>
      </c>
      <c r="F18" s="1">
        <f>B18*E18*10000</f>
        <v>0</v>
      </c>
      <c r="I18" s="4"/>
      <c r="J18" t="s">
        <v>98</v>
      </c>
      <c r="L18" s="22">
        <f>(L10-L15)*K15*1000</f>
        <v>720000</v>
      </c>
      <c r="M18" s="22"/>
      <c r="N18" s="22">
        <f>(N10-N15)*M15*1000</f>
        <v>940000</v>
      </c>
      <c r="O18" s="7"/>
      <c r="Q18" s="10"/>
      <c r="V18" s="15"/>
      <c r="W18" s="13"/>
      <c r="X18" s="17"/>
      <c r="Y18" s="13"/>
      <c r="Z18" s="17"/>
      <c r="AA18" s="14"/>
    </row>
    <row r="19" spans="1:39" x14ac:dyDescent="0.2">
      <c r="A19" t="s">
        <v>80</v>
      </c>
      <c r="B19">
        <v>0</v>
      </c>
      <c r="C19" s="2">
        <v>2.2250000000000001</v>
      </c>
      <c r="D19" s="2">
        <f t="shared" si="5"/>
        <v>3.1</v>
      </c>
      <c r="E19" s="6">
        <f>C19-D19</f>
        <v>-0.875</v>
      </c>
      <c r="F19" s="1">
        <f>B19*E19*10000</f>
        <v>0</v>
      </c>
      <c r="I19" s="4"/>
      <c r="L19" s="22">
        <f>L18*0.6</f>
        <v>432000</v>
      </c>
      <c r="M19" s="8"/>
      <c r="N19" s="22">
        <f>N18*0.6</f>
        <v>564000</v>
      </c>
      <c r="O19" s="7"/>
      <c r="Q19" s="10"/>
      <c r="V19" s="15"/>
      <c r="W19" s="13"/>
      <c r="X19" s="17"/>
      <c r="Y19" s="13"/>
      <c r="Z19" s="17"/>
      <c r="AA19" s="14"/>
    </row>
    <row r="20" spans="1:39" x14ac:dyDescent="0.2">
      <c r="A20" t="s">
        <v>80</v>
      </c>
      <c r="B20">
        <v>0</v>
      </c>
      <c r="C20" s="2">
        <v>2.2450000000000001</v>
      </c>
      <c r="D20" s="2">
        <f t="shared" si="5"/>
        <v>3.1</v>
      </c>
      <c r="E20" s="6">
        <f>C20-D20</f>
        <v>-0.85499999999999998</v>
      </c>
      <c r="F20" s="1">
        <f>B20*E20*10000</f>
        <v>0</v>
      </c>
      <c r="I20" s="4"/>
      <c r="J20" t="s">
        <v>99</v>
      </c>
      <c r="M20" s="8"/>
      <c r="N20" s="7"/>
      <c r="O20" s="7"/>
      <c r="Q20" s="10"/>
      <c r="V20" s="15"/>
      <c r="W20" s="13"/>
      <c r="X20" s="17"/>
      <c r="Y20" s="13"/>
      <c r="Z20" s="17"/>
      <c r="AA20" s="14"/>
    </row>
    <row r="21" spans="1:39" x14ac:dyDescent="0.2">
      <c r="A21" t="s">
        <v>80</v>
      </c>
      <c r="B21">
        <v>0</v>
      </c>
      <c r="C21" s="2">
        <v>2.2050000000000001</v>
      </c>
      <c r="D21" s="2">
        <f>D16</f>
        <v>3.1</v>
      </c>
      <c r="E21" s="6">
        <f t="shared" si="6"/>
        <v>-0.89500000000000002</v>
      </c>
      <c r="F21" s="1">
        <f t="shared" si="7"/>
        <v>0</v>
      </c>
      <c r="I21" s="4"/>
      <c r="J21" t="s">
        <v>98</v>
      </c>
      <c r="L21" s="22">
        <f>L12*1000*K15</f>
        <v>-165000</v>
      </c>
      <c r="M21" s="8"/>
      <c r="N21" s="22">
        <f>N12*1000*M15</f>
        <v>40000</v>
      </c>
      <c r="O21" s="7"/>
      <c r="Q21" s="10"/>
      <c r="V21" s="15"/>
      <c r="W21" s="13"/>
      <c r="X21" s="17"/>
      <c r="Y21" s="13"/>
      <c r="Z21" s="17"/>
      <c r="AA21" s="14"/>
    </row>
    <row r="22" spans="1:39" x14ac:dyDescent="0.2">
      <c r="A22" t="s">
        <v>80</v>
      </c>
      <c r="B22">
        <v>0</v>
      </c>
      <c r="C22" s="2">
        <v>2.2650000000000001</v>
      </c>
      <c r="D22" s="2">
        <f>D21</f>
        <v>3.1</v>
      </c>
      <c r="E22" s="6">
        <f t="shared" si="6"/>
        <v>-0.83499999999999996</v>
      </c>
      <c r="F22" s="1">
        <f t="shared" si="7"/>
        <v>0</v>
      </c>
      <c r="I22" s="4"/>
      <c r="L22" s="22">
        <f>L21*0.6</f>
        <v>-99000</v>
      </c>
      <c r="M22" s="8"/>
      <c r="N22" s="22">
        <f>N21*0.7</f>
        <v>28000</v>
      </c>
      <c r="O22" s="7"/>
      <c r="Q22" s="10"/>
      <c r="V22" s="15"/>
      <c r="W22" s="13"/>
      <c r="X22" s="17"/>
      <c r="Y22" s="13"/>
      <c r="Z22" s="17"/>
      <c r="AA22" s="14"/>
    </row>
    <row r="23" spans="1:39" x14ac:dyDescent="0.2">
      <c r="A23" t="s">
        <v>80</v>
      </c>
      <c r="B23">
        <v>0</v>
      </c>
      <c r="C23" s="2">
        <v>2.2650000000000001</v>
      </c>
      <c r="D23" s="2">
        <f>D22</f>
        <v>3.1</v>
      </c>
      <c r="E23" s="6">
        <f t="shared" si="6"/>
        <v>-0.83499999999999996</v>
      </c>
      <c r="F23" s="1">
        <f t="shared" si="7"/>
        <v>0</v>
      </c>
      <c r="I23" s="4"/>
      <c r="M23" s="8"/>
      <c r="N23" s="7"/>
      <c r="O23" s="7"/>
      <c r="Q23" s="10"/>
      <c r="V23" s="15"/>
      <c r="W23" s="13"/>
      <c r="X23" s="17"/>
      <c r="Y23" s="13"/>
      <c r="Z23" s="17"/>
      <c r="AA23" s="14"/>
    </row>
    <row r="24" spans="1:39" x14ac:dyDescent="0.2">
      <c r="A24" t="s">
        <v>80</v>
      </c>
      <c r="B24">
        <v>0</v>
      </c>
      <c r="C24" s="2">
        <v>2.2450000000000001</v>
      </c>
      <c r="D24" s="2">
        <f>D15</f>
        <v>3.1</v>
      </c>
      <c r="E24" s="6">
        <f t="shared" ref="E24:E43" si="8">C24-D24</f>
        <v>-0.85499999999999998</v>
      </c>
      <c r="F24" s="1">
        <f t="shared" ref="F24:F35" si="9">B24*E24*10000</f>
        <v>0</v>
      </c>
      <c r="I24" s="4"/>
      <c r="M24" s="8"/>
      <c r="N24" s="7"/>
      <c r="O24" s="7"/>
      <c r="Q24" s="10"/>
      <c r="R24">
        <f>R14+S24</f>
        <v>42</v>
      </c>
      <c r="S24" s="11">
        <v>42</v>
      </c>
      <c r="U24">
        <f>AB24</f>
        <v>58</v>
      </c>
      <c r="V24" s="15">
        <f>R24-U24</f>
        <v>-16</v>
      </c>
      <c r="W24" s="13">
        <f>AVERAGE(AB24,AD24,AF24)</f>
        <v>1835</v>
      </c>
      <c r="X24" s="16">
        <f>R24-W24</f>
        <v>-1793</v>
      </c>
      <c r="Y24" s="13">
        <f>AVERAGE(AB24,AD24,AF24,AH24,AJ24)</f>
        <v>2301.1999999999998</v>
      </c>
      <c r="Z24" s="17">
        <f>R24-Y24</f>
        <v>-2259.1999999999998</v>
      </c>
      <c r="AA24" s="14"/>
      <c r="AB24">
        <f>AC24+AB14</f>
        <v>58</v>
      </c>
      <c r="AC24">
        <v>58</v>
      </c>
      <c r="AD24">
        <v>2783</v>
      </c>
      <c r="AE24">
        <v>63</v>
      </c>
      <c r="AF24">
        <v>2664</v>
      </c>
      <c r="AG24">
        <v>57</v>
      </c>
      <c r="AH24">
        <v>2920</v>
      </c>
      <c r="AI24">
        <v>52</v>
      </c>
      <c r="AJ24">
        <v>3081</v>
      </c>
      <c r="AK24">
        <v>60</v>
      </c>
      <c r="AM24">
        <f>AVERAGE(AC24,AE24,AG24,AI24,AK24)</f>
        <v>58</v>
      </c>
    </row>
    <row r="25" spans="1:39" x14ac:dyDescent="0.2">
      <c r="A25" t="s">
        <v>80</v>
      </c>
      <c r="B25">
        <v>0</v>
      </c>
      <c r="C25" s="2">
        <v>2.2524999999999999</v>
      </c>
      <c r="D25" s="2">
        <f>D24</f>
        <v>3.1</v>
      </c>
      <c r="E25" s="6">
        <f t="shared" si="8"/>
        <v>-0.84750000000000014</v>
      </c>
      <c r="F25" s="1">
        <f t="shared" si="9"/>
        <v>0</v>
      </c>
      <c r="H25" t="s">
        <v>4</v>
      </c>
      <c r="I25" s="4">
        <v>0</v>
      </c>
      <c r="J25">
        <v>0</v>
      </c>
      <c r="M25" s="8"/>
      <c r="N25" s="7"/>
      <c r="O25" s="7"/>
      <c r="Q25" s="10"/>
      <c r="R25" s="13" t="e">
        <f>#REF!+S25</f>
        <v>#REF!</v>
      </c>
      <c r="S25" s="18">
        <v>4</v>
      </c>
      <c r="T25" s="13"/>
      <c r="U25" t="e">
        <f>AB25</f>
        <v>#REF!</v>
      </c>
      <c r="V25" s="15" t="e">
        <f>R25-U25</f>
        <v>#REF!</v>
      </c>
      <c r="W25" s="13" t="e">
        <f>AVERAGE(AB25,AD25,AF25)</f>
        <v>#REF!</v>
      </c>
      <c r="X25" s="17" t="e">
        <f>R25-W25</f>
        <v>#REF!</v>
      </c>
      <c r="Y25" s="13" t="e">
        <f>AVERAGE(AB25,AD25,AF25,AH25,AJ25)</f>
        <v>#REF!</v>
      </c>
      <c r="Z25" s="17" t="e">
        <f>R25-Y25</f>
        <v>#REF!</v>
      </c>
      <c r="AA25" s="14"/>
      <c r="AB25" t="e">
        <f>AC25+#REF!</f>
        <v>#REF!</v>
      </c>
      <c r="AC25">
        <v>48</v>
      </c>
      <c r="AD25">
        <v>2807</v>
      </c>
      <c r="AE25">
        <v>-5</v>
      </c>
      <c r="AF25">
        <v>2725</v>
      </c>
      <c r="AG25">
        <v>27</v>
      </c>
      <c r="AH25">
        <v>2958</v>
      </c>
      <c r="AI25">
        <v>4</v>
      </c>
      <c r="AJ25">
        <v>3088</v>
      </c>
      <c r="AK25">
        <v>3</v>
      </c>
      <c r="AM25" s="13">
        <f>AVERAGE(AC25,AE25,AG25,AI25,AK25)</f>
        <v>15.4</v>
      </c>
    </row>
    <row r="26" spans="1:39" x14ac:dyDescent="0.2">
      <c r="A26" t="s">
        <v>80</v>
      </c>
      <c r="B26">
        <v>0</v>
      </c>
      <c r="C26" s="2">
        <v>2.31</v>
      </c>
      <c r="D26" s="2">
        <f>D25</f>
        <v>3.1</v>
      </c>
      <c r="E26" s="6">
        <f t="shared" si="8"/>
        <v>-0.79</v>
      </c>
      <c r="F26" s="1">
        <f t="shared" si="9"/>
        <v>0</v>
      </c>
      <c r="I26" s="4">
        <v>0</v>
      </c>
      <c r="J26">
        <v>0</v>
      </c>
      <c r="M26" s="8"/>
      <c r="N26" s="7"/>
      <c r="O26" s="7"/>
      <c r="Q26" s="10"/>
      <c r="R26" s="13"/>
      <c r="S26" s="13"/>
      <c r="T26" s="13"/>
      <c r="V26" s="15"/>
      <c r="W26" s="13"/>
      <c r="X26" s="17"/>
      <c r="Y26" s="13"/>
      <c r="Z26" s="17"/>
      <c r="AA26" s="14"/>
      <c r="AM26" s="13"/>
    </row>
    <row r="27" spans="1:39" x14ac:dyDescent="0.2">
      <c r="A27" t="s">
        <v>13</v>
      </c>
      <c r="B27">
        <v>0</v>
      </c>
      <c r="C27" s="2">
        <v>1.7849999999999999</v>
      </c>
      <c r="D27" s="9">
        <f>D26-0.22</f>
        <v>2.88</v>
      </c>
      <c r="E27" s="6">
        <f t="shared" si="8"/>
        <v>-1.095</v>
      </c>
      <c r="F27" s="1">
        <f t="shared" si="9"/>
        <v>0</v>
      </c>
      <c r="I27" s="4">
        <v>0</v>
      </c>
      <c r="J27">
        <v>0</v>
      </c>
      <c r="M27" s="8"/>
      <c r="N27" s="7"/>
      <c r="O27" s="7"/>
      <c r="Q27" s="10"/>
      <c r="R27" s="13"/>
      <c r="S27" s="13"/>
      <c r="T27" s="13"/>
      <c r="V27" s="15"/>
      <c r="W27" s="13"/>
      <c r="X27" s="17"/>
      <c r="Y27" s="13"/>
      <c r="Z27" s="17"/>
      <c r="AA27" s="14"/>
      <c r="AM27" s="13"/>
    </row>
    <row r="28" spans="1:39" x14ac:dyDescent="0.2">
      <c r="A28" t="s">
        <v>13</v>
      </c>
      <c r="B28">
        <v>0</v>
      </c>
      <c r="C28" s="2">
        <v>1.875</v>
      </c>
      <c r="D28" s="9">
        <f>D27</f>
        <v>2.88</v>
      </c>
      <c r="E28" s="6">
        <f t="shared" si="8"/>
        <v>-1.0049999999999999</v>
      </c>
      <c r="F28" s="1">
        <f t="shared" si="9"/>
        <v>0</v>
      </c>
      <c r="I28" s="4"/>
      <c r="M28" s="8"/>
      <c r="N28" s="7"/>
      <c r="O28" s="7"/>
      <c r="Q28" s="10"/>
      <c r="R28" s="13"/>
      <c r="S28" s="13"/>
      <c r="T28" s="13"/>
      <c r="V28" s="15"/>
      <c r="W28" s="13"/>
      <c r="X28" s="17"/>
      <c r="Y28" s="13"/>
      <c r="Z28" s="17"/>
      <c r="AA28" s="14"/>
      <c r="AM28" s="13"/>
    </row>
    <row r="29" spans="1:39" x14ac:dyDescent="0.2">
      <c r="A29" t="s">
        <v>13</v>
      </c>
      <c r="B29">
        <v>0</v>
      </c>
      <c r="C29" s="2">
        <v>2.9525000000000001</v>
      </c>
      <c r="D29" s="9">
        <f>D28</f>
        <v>2.88</v>
      </c>
      <c r="E29" s="6">
        <f t="shared" si="8"/>
        <v>7.2500000000000231E-2</v>
      </c>
      <c r="F29" s="1">
        <f t="shared" si="9"/>
        <v>0</v>
      </c>
      <c r="I29" s="4"/>
      <c r="M29" s="8"/>
      <c r="N29" s="7"/>
      <c r="O29" s="7"/>
      <c r="Q29" s="10"/>
      <c r="R29" s="13"/>
      <c r="S29" s="13"/>
      <c r="T29" s="13"/>
      <c r="V29" s="15"/>
      <c r="W29" s="13"/>
      <c r="X29" s="17"/>
      <c r="Y29" s="13"/>
      <c r="Z29" s="17"/>
      <c r="AA29" s="14"/>
      <c r="AM29" s="13"/>
    </row>
    <row r="30" spans="1:39" x14ac:dyDescent="0.2">
      <c r="A30" t="s">
        <v>13</v>
      </c>
      <c r="B30">
        <v>0</v>
      </c>
      <c r="C30" s="2">
        <v>3.16</v>
      </c>
      <c r="D30" s="9">
        <f>D29</f>
        <v>2.88</v>
      </c>
      <c r="E30" s="6">
        <f t="shared" si="8"/>
        <v>0.28000000000000025</v>
      </c>
      <c r="F30" s="1">
        <f t="shared" si="9"/>
        <v>0</v>
      </c>
      <c r="I30" s="4"/>
      <c r="M30" s="8"/>
      <c r="N30" s="7"/>
      <c r="O30" s="7"/>
      <c r="Q30" s="10"/>
      <c r="R30" s="13"/>
      <c r="S30" s="13"/>
      <c r="T30" s="13"/>
      <c r="V30" s="15"/>
      <c r="W30" s="13"/>
      <c r="X30" s="17"/>
      <c r="Y30" s="13"/>
      <c r="Z30" s="17"/>
      <c r="AA30" s="14"/>
      <c r="AM30" s="13"/>
    </row>
    <row r="31" spans="1:39" x14ac:dyDescent="0.2">
      <c r="A31" t="s">
        <v>13</v>
      </c>
      <c r="B31">
        <v>0</v>
      </c>
      <c r="C31" s="2">
        <v>3.1949999999999998</v>
      </c>
      <c r="D31" s="9">
        <f>D30</f>
        <v>2.88</v>
      </c>
      <c r="E31" s="6">
        <f t="shared" si="8"/>
        <v>0.31499999999999995</v>
      </c>
      <c r="F31" s="1">
        <f t="shared" si="9"/>
        <v>0</v>
      </c>
      <c r="I31" s="4"/>
      <c r="M31" s="8"/>
      <c r="N31" s="7"/>
      <c r="O31" s="7"/>
      <c r="Q31" s="10"/>
      <c r="R31" s="13"/>
      <c r="S31" s="13"/>
      <c r="T31" s="13"/>
      <c r="V31" s="15"/>
      <c r="W31" s="13"/>
      <c r="X31" s="17"/>
      <c r="Y31" s="13"/>
      <c r="Z31" s="17"/>
      <c r="AA31" s="14"/>
      <c r="AM31" s="13"/>
    </row>
    <row r="32" spans="1:39" x14ac:dyDescent="0.2">
      <c r="A32" t="s">
        <v>13</v>
      </c>
      <c r="B32">
        <v>0</v>
      </c>
      <c r="C32" s="2">
        <v>3.1850000000000001</v>
      </c>
      <c r="D32" s="9">
        <f>D31</f>
        <v>2.88</v>
      </c>
      <c r="E32" s="6">
        <f t="shared" si="8"/>
        <v>0.30500000000000016</v>
      </c>
      <c r="F32" s="1">
        <f t="shared" si="9"/>
        <v>0</v>
      </c>
      <c r="I32" s="4"/>
      <c r="M32" s="8"/>
      <c r="N32" s="7"/>
      <c r="O32" s="7"/>
      <c r="Q32" s="10"/>
      <c r="R32" s="13"/>
      <c r="S32" s="13"/>
      <c r="T32" s="13"/>
      <c r="V32" s="15"/>
      <c r="W32" s="13"/>
      <c r="X32" s="17"/>
      <c r="Y32" s="13"/>
      <c r="Z32" s="17"/>
      <c r="AA32" s="14"/>
      <c r="AM32" s="13"/>
    </row>
    <row r="33" spans="1:39" x14ac:dyDescent="0.2">
      <c r="A33" t="s">
        <v>13</v>
      </c>
      <c r="B33">
        <v>0</v>
      </c>
      <c r="C33" s="2">
        <v>3.5895000000000001</v>
      </c>
      <c r="D33" s="2">
        <f>D27</f>
        <v>2.88</v>
      </c>
      <c r="E33" s="6">
        <f t="shared" si="8"/>
        <v>0.70950000000000024</v>
      </c>
      <c r="F33" s="1">
        <f t="shared" si="9"/>
        <v>0</v>
      </c>
      <c r="I33" s="4">
        <v>0</v>
      </c>
      <c r="J33">
        <v>0</v>
      </c>
      <c r="M33" s="8"/>
      <c r="N33" s="7"/>
      <c r="O33" s="7"/>
      <c r="Q33" s="10"/>
      <c r="R33" s="13"/>
      <c r="S33" s="13"/>
      <c r="T33" s="13"/>
      <c r="V33" s="15"/>
      <c r="W33" s="13"/>
      <c r="X33" s="17"/>
      <c r="Y33" s="13"/>
      <c r="Z33" s="17"/>
      <c r="AA33" s="14"/>
      <c r="AM33" s="13"/>
    </row>
    <row r="34" spans="1:39" x14ac:dyDescent="0.2">
      <c r="A34" t="s">
        <v>12</v>
      </c>
      <c r="B34">
        <v>0</v>
      </c>
      <c r="C34" s="2">
        <v>6.18</v>
      </c>
      <c r="D34" s="2">
        <f>D26-0.05</f>
        <v>3.0500000000000003</v>
      </c>
      <c r="E34" s="6">
        <f t="shared" si="8"/>
        <v>3.1299999999999994</v>
      </c>
      <c r="F34" s="1">
        <f t="shared" si="9"/>
        <v>0</v>
      </c>
      <c r="I34" s="4">
        <v>0</v>
      </c>
      <c r="J34">
        <v>0</v>
      </c>
      <c r="M34" s="8"/>
      <c r="N34" s="7"/>
      <c r="O34" s="7"/>
      <c r="Q34" s="10"/>
      <c r="R34" s="13"/>
      <c r="S34" s="13"/>
      <c r="T34" s="13"/>
      <c r="V34" s="15"/>
      <c r="W34" s="13"/>
      <c r="X34" s="17"/>
      <c r="Y34" s="13"/>
      <c r="Z34" s="17"/>
      <c r="AA34" s="14"/>
      <c r="AM34" s="13"/>
    </row>
    <row r="35" spans="1:39" x14ac:dyDescent="0.2">
      <c r="A35" t="s">
        <v>12</v>
      </c>
      <c r="B35">
        <v>0</v>
      </c>
      <c r="C35" s="2">
        <v>6.2649999999999997</v>
      </c>
      <c r="D35" s="2">
        <f>D34</f>
        <v>3.0500000000000003</v>
      </c>
      <c r="E35" s="6">
        <f t="shared" si="8"/>
        <v>3.2149999999999994</v>
      </c>
      <c r="F35" s="1">
        <f t="shared" si="9"/>
        <v>0</v>
      </c>
      <c r="I35" s="4">
        <v>6.31</v>
      </c>
      <c r="J35">
        <v>26</v>
      </c>
      <c r="M35" s="8"/>
      <c r="N35" s="7"/>
      <c r="O35" s="7"/>
      <c r="Q35" s="10"/>
      <c r="R35" s="13"/>
      <c r="S35" s="13"/>
      <c r="T35" s="13"/>
      <c r="V35" s="15"/>
      <c r="W35" s="13"/>
      <c r="X35" s="17"/>
      <c r="Y35" s="13"/>
      <c r="Z35" s="17"/>
      <c r="AA35" s="14"/>
      <c r="AM35" s="13"/>
    </row>
    <row r="36" spans="1:39" x14ac:dyDescent="0.2">
      <c r="A36" t="s">
        <v>47</v>
      </c>
      <c r="B36">
        <v>0</v>
      </c>
      <c r="C36" s="2">
        <v>3.105</v>
      </c>
      <c r="D36" s="9">
        <f>D4-0.09</f>
        <v>3.04</v>
      </c>
      <c r="E36" s="6">
        <f t="shared" si="8"/>
        <v>6.4999999999999947E-2</v>
      </c>
      <c r="F36" s="1">
        <f t="shared" ref="F36:F47" si="10">B36*E36*10000</f>
        <v>0</v>
      </c>
      <c r="I36" s="4">
        <v>6.31</v>
      </c>
      <c r="J36">
        <v>26</v>
      </c>
      <c r="M36" s="8"/>
      <c r="N36" s="7"/>
      <c r="O36" s="7"/>
      <c r="Q36" s="10"/>
      <c r="R36" s="13"/>
      <c r="S36" s="13"/>
      <c r="T36" s="13"/>
      <c r="V36" s="15"/>
      <c r="W36" s="13"/>
      <c r="X36" s="17"/>
      <c r="Y36" s="13"/>
      <c r="Z36" s="17"/>
      <c r="AA36" s="14"/>
      <c r="AM36" s="13"/>
    </row>
    <row r="37" spans="1:39" x14ac:dyDescent="0.2">
      <c r="A37" t="s">
        <v>47</v>
      </c>
      <c r="B37">
        <v>0</v>
      </c>
      <c r="C37" s="2">
        <v>3.01</v>
      </c>
      <c r="D37" s="9">
        <f>D36</f>
        <v>3.04</v>
      </c>
      <c r="E37" s="6">
        <f t="shared" si="8"/>
        <v>-3.0000000000000249E-2</v>
      </c>
      <c r="F37" s="1">
        <f>B37*E37*10000</f>
        <v>0</v>
      </c>
      <c r="I37" s="4"/>
      <c r="M37" s="8"/>
      <c r="N37" s="7"/>
      <c r="O37" s="7"/>
      <c r="Q37" s="10"/>
      <c r="R37" s="13"/>
      <c r="S37" s="13"/>
      <c r="T37" s="13"/>
      <c r="V37" s="15"/>
      <c r="W37" s="13"/>
      <c r="X37" s="17"/>
      <c r="Y37" s="13"/>
      <c r="Z37" s="17"/>
      <c r="AA37" s="14"/>
      <c r="AM37" s="13"/>
    </row>
    <row r="38" spans="1:39" x14ac:dyDescent="0.2">
      <c r="A38" t="s">
        <v>47</v>
      </c>
      <c r="B38">
        <v>0</v>
      </c>
      <c r="C38" s="2">
        <v>3.01</v>
      </c>
      <c r="D38" s="9">
        <f>D37</f>
        <v>3.04</v>
      </c>
      <c r="E38" s="6">
        <f t="shared" si="8"/>
        <v>-3.0000000000000249E-2</v>
      </c>
      <c r="F38" s="1">
        <f>B38*E38*10000</f>
        <v>0</v>
      </c>
      <c r="I38" s="4"/>
      <c r="M38" s="8"/>
      <c r="N38" s="7"/>
      <c r="O38" s="7"/>
      <c r="Q38" s="10"/>
      <c r="R38" s="13"/>
      <c r="S38" s="13"/>
      <c r="T38" s="13"/>
      <c r="V38" s="15"/>
      <c r="W38" s="13"/>
      <c r="X38" s="17"/>
      <c r="Y38" s="13"/>
      <c r="Z38" s="17"/>
      <c r="AA38" s="14"/>
      <c r="AM38" s="13"/>
    </row>
    <row r="39" spans="1:39" x14ac:dyDescent="0.2">
      <c r="A39" t="s">
        <v>47</v>
      </c>
      <c r="B39">
        <v>0</v>
      </c>
      <c r="C39" s="2">
        <v>3.02</v>
      </c>
      <c r="D39" s="9">
        <f>D38</f>
        <v>3.04</v>
      </c>
      <c r="E39" s="6">
        <f t="shared" si="8"/>
        <v>-2.0000000000000018E-2</v>
      </c>
      <c r="F39" s="1">
        <f>B39*E39*10000</f>
        <v>0</v>
      </c>
      <c r="I39" s="4"/>
      <c r="M39" s="8"/>
      <c r="N39" s="7"/>
      <c r="O39" s="7"/>
      <c r="Q39" s="10"/>
      <c r="R39" s="13"/>
      <c r="S39" s="13"/>
      <c r="T39" s="13"/>
      <c r="V39" s="15"/>
      <c r="W39" s="13"/>
      <c r="X39" s="17"/>
      <c r="Y39" s="13"/>
      <c r="Z39" s="17"/>
      <c r="AA39" s="14"/>
      <c r="AM39" s="13"/>
    </row>
    <row r="40" spans="1:39" x14ac:dyDescent="0.2">
      <c r="A40" t="s">
        <v>27</v>
      </c>
      <c r="B40">
        <v>0</v>
      </c>
      <c r="C40" s="2">
        <v>2.9830000000000001</v>
      </c>
      <c r="D40" s="2">
        <f>D4-0.26</f>
        <v>2.87</v>
      </c>
      <c r="E40" s="6">
        <f t="shared" si="8"/>
        <v>0.11299999999999999</v>
      </c>
      <c r="F40" s="1">
        <f t="shared" si="10"/>
        <v>0</v>
      </c>
      <c r="I40" s="4">
        <v>6.1550000000000002</v>
      </c>
      <c r="J40">
        <v>26</v>
      </c>
      <c r="M40" s="8"/>
      <c r="N40" s="7"/>
      <c r="O40" s="7"/>
      <c r="Q40" s="10"/>
      <c r="R40" s="13"/>
      <c r="S40" s="13"/>
      <c r="T40" s="13"/>
      <c r="V40" s="15"/>
      <c r="W40" s="13"/>
      <c r="X40" s="17"/>
      <c r="Y40" s="13"/>
      <c r="Z40" s="17"/>
      <c r="AA40" s="14"/>
      <c r="AM40" s="13"/>
    </row>
    <row r="41" spans="1:39" x14ac:dyDescent="0.2">
      <c r="A41" t="s">
        <v>4</v>
      </c>
      <c r="B41">
        <v>0</v>
      </c>
      <c r="C41" s="2">
        <v>3.23</v>
      </c>
      <c r="D41" s="2">
        <f>H42</f>
        <v>3.2480000000000002</v>
      </c>
      <c r="E41" s="6">
        <f t="shared" si="8"/>
        <v>-1.8000000000000238E-2</v>
      </c>
      <c r="F41" s="1">
        <f t="shared" si="10"/>
        <v>0</v>
      </c>
      <c r="I41" s="4">
        <v>6.14</v>
      </c>
      <c r="J41" s="23">
        <v>26</v>
      </c>
      <c r="K41" s="4"/>
      <c r="M41" s="8">
        <f>I41-$M$9+$N$9</f>
        <v>6.14</v>
      </c>
      <c r="N41" s="7"/>
      <c r="O41" s="7">
        <f>M41-I41</f>
        <v>0</v>
      </c>
      <c r="Q41" s="10">
        <f>Q25+7</f>
        <v>7</v>
      </c>
      <c r="R41" s="13" t="e">
        <f>R25+S41</f>
        <v>#REF!</v>
      </c>
      <c r="S41" s="18">
        <v>12</v>
      </c>
      <c r="T41" s="13"/>
      <c r="U41">
        <f>AB41</f>
        <v>3127</v>
      </c>
      <c r="V41" s="15" t="e">
        <f>R41-U41</f>
        <v>#REF!</v>
      </c>
      <c r="W41" s="13">
        <f>AVERAGE(AB41,AD41,AF41)</f>
        <v>2881.3333333333335</v>
      </c>
      <c r="X41" s="17" t="e">
        <f>R41-W41</f>
        <v>#REF!</v>
      </c>
      <c r="Y41" s="13">
        <f>AVERAGE(AB41,AD41,AF41,AH41,AJ41)</f>
        <v>2923.2</v>
      </c>
      <c r="Z41" s="17" t="e">
        <f>R41-Y41</f>
        <v>#REF!</v>
      </c>
      <c r="AB41">
        <v>3127</v>
      </c>
      <c r="AC41">
        <v>-24</v>
      </c>
      <c r="AD41">
        <v>2814</v>
      </c>
      <c r="AE41">
        <v>7</v>
      </c>
      <c r="AF41">
        <v>2703</v>
      </c>
      <c r="AG41">
        <v>-22</v>
      </c>
      <c r="AH41">
        <v>2873</v>
      </c>
      <c r="AI41">
        <v>-85</v>
      </c>
      <c r="AJ41">
        <v>3099</v>
      </c>
      <c r="AK41">
        <v>11</v>
      </c>
      <c r="AM41" s="13">
        <f>AVERAGE(AC41,AE41,AG41,AI41,AK41)</f>
        <v>-22.6</v>
      </c>
    </row>
    <row r="42" spans="1:39" x14ac:dyDescent="0.2">
      <c r="A42" t="str">
        <f>A41</f>
        <v>Dec</v>
      </c>
      <c r="B42">
        <v>0</v>
      </c>
      <c r="C42" s="2">
        <v>3.16</v>
      </c>
      <c r="D42" s="2">
        <f>D41</f>
        <v>3.2480000000000002</v>
      </c>
      <c r="E42" s="6">
        <f t="shared" si="8"/>
        <v>-8.8000000000000078E-2</v>
      </c>
      <c r="F42" s="1">
        <f t="shared" si="10"/>
        <v>0</v>
      </c>
      <c r="G42" t="s">
        <v>4</v>
      </c>
      <c r="H42" s="4">
        <f>[1]Sheet1!$F$4</f>
        <v>3.2480000000000002</v>
      </c>
      <c r="I42" s="4">
        <f>AVERAGE(I35:I41)</f>
        <v>6.2287499999999998</v>
      </c>
      <c r="J42" s="23">
        <f>SUM(J25:J41)</f>
        <v>104</v>
      </c>
      <c r="K42" s="4"/>
      <c r="M42" s="8"/>
      <c r="N42" s="7"/>
      <c r="O42" s="7"/>
      <c r="Q42" s="10">
        <f>Q41+7</f>
        <v>14</v>
      </c>
      <c r="R42" s="13" t="e">
        <f>R41+S42</f>
        <v>#REF!</v>
      </c>
      <c r="S42" s="18">
        <v>9</v>
      </c>
      <c r="T42" s="13"/>
      <c r="U42">
        <f>AB42</f>
        <v>3082</v>
      </c>
      <c r="V42" s="15" t="e">
        <f>R42-U42</f>
        <v>#REF!</v>
      </c>
      <c r="W42" s="13">
        <f>AVERAGE(AB42,AD42,AF42)</f>
        <v>2816.3333333333335</v>
      </c>
      <c r="X42" s="17" t="e">
        <f>R42-W42</f>
        <v>#REF!</v>
      </c>
      <c r="Y42" s="13">
        <f>AVERAGE(AB42,AD42,AF42,AH42,AJ42)</f>
        <v>2866.2</v>
      </c>
      <c r="Z42" s="17" t="e">
        <f>R42-Y42</f>
        <v>#REF!</v>
      </c>
      <c r="AB42">
        <v>3082</v>
      </c>
      <c r="AC42">
        <v>-45</v>
      </c>
      <c r="AD42">
        <v>2750</v>
      </c>
      <c r="AE42">
        <v>-64</v>
      </c>
      <c r="AF42">
        <v>2617</v>
      </c>
      <c r="AG42">
        <v>-86</v>
      </c>
      <c r="AH42">
        <v>2798</v>
      </c>
      <c r="AI42">
        <v>-75</v>
      </c>
      <c r="AJ42">
        <v>3084</v>
      </c>
      <c r="AK42">
        <v>-15</v>
      </c>
      <c r="AM42" s="13">
        <f>AVERAGE(AC42,AE42,AG42,AI42,AK42)</f>
        <v>-57</v>
      </c>
    </row>
    <row r="43" spans="1:39" x14ac:dyDescent="0.2">
      <c r="A43" t="str">
        <f t="shared" ref="A43:A50" si="11">A42</f>
        <v>Dec</v>
      </c>
      <c r="B43">
        <v>0</v>
      </c>
      <c r="C43" s="2">
        <v>2.8050000000000002</v>
      </c>
      <c r="D43" s="2">
        <f>D42</f>
        <v>3.2480000000000002</v>
      </c>
      <c r="E43" s="6">
        <f t="shared" si="8"/>
        <v>-0.44300000000000006</v>
      </c>
      <c r="F43" s="1">
        <f t="shared" si="10"/>
        <v>0</v>
      </c>
      <c r="G43" t="s">
        <v>50</v>
      </c>
      <c r="H43" s="4">
        <f>[1]Sheet1!$G$4</f>
        <v>3.3919999999999999</v>
      </c>
      <c r="I43" s="4"/>
      <c r="J43" s="4">
        <v>46</v>
      </c>
      <c r="K43" s="4">
        <v>5.7649999999999997</v>
      </c>
      <c r="L43">
        <f>J43*K43</f>
        <v>265.19</v>
      </c>
      <c r="M43" s="8"/>
      <c r="N43" s="7"/>
      <c r="O43" s="7"/>
      <c r="Q43" s="10"/>
      <c r="R43" s="13"/>
      <c r="S43" s="18"/>
      <c r="T43" s="13"/>
      <c r="V43" s="15"/>
      <c r="W43" s="13"/>
      <c r="X43" s="17"/>
      <c r="Y43" s="13"/>
      <c r="Z43" s="17"/>
      <c r="AM43" s="13"/>
    </row>
    <row r="44" spans="1:39" x14ac:dyDescent="0.2">
      <c r="A44" t="str">
        <f t="shared" si="11"/>
        <v>Dec</v>
      </c>
      <c r="B44" s="50">
        <v>0</v>
      </c>
      <c r="C44" s="2">
        <v>2.48</v>
      </c>
      <c r="D44" s="2">
        <f>D43</f>
        <v>3.2480000000000002</v>
      </c>
      <c r="E44" s="6">
        <f t="shared" ref="E44:E50" si="12">C44-D44</f>
        <v>-0.76800000000000024</v>
      </c>
      <c r="F44" s="1">
        <f>B44*E44*10000</f>
        <v>0</v>
      </c>
      <c r="G44" t="s">
        <v>32</v>
      </c>
      <c r="H44" s="4">
        <f>[1]Sheet1!$H$4</f>
        <v>3.3839999999999999</v>
      </c>
      <c r="I44" s="4"/>
      <c r="J44" s="4">
        <v>46</v>
      </c>
      <c r="K44" s="4">
        <v>5.6749999999999998</v>
      </c>
      <c r="L44">
        <f>J44*K44</f>
        <v>261.05</v>
      </c>
      <c r="M44" s="8"/>
      <c r="N44" s="7"/>
      <c r="O44" s="7"/>
      <c r="Q44" s="10"/>
      <c r="R44" s="13"/>
      <c r="S44" s="18"/>
      <c r="T44" s="13"/>
      <c r="V44" s="15"/>
      <c r="W44" s="13"/>
      <c r="X44" s="17"/>
      <c r="Y44" s="13"/>
      <c r="Z44" s="17"/>
      <c r="AM44" s="13"/>
    </row>
    <row r="45" spans="1:39" x14ac:dyDescent="0.2">
      <c r="A45" t="str">
        <f t="shared" si="11"/>
        <v>Dec</v>
      </c>
      <c r="B45" s="50">
        <v>0</v>
      </c>
      <c r="C45" s="2">
        <v>2.35</v>
      </c>
      <c r="D45" s="2">
        <f>D44</f>
        <v>3.2480000000000002</v>
      </c>
      <c r="E45" s="6">
        <f t="shared" si="12"/>
        <v>-0.89800000000000013</v>
      </c>
      <c r="F45" s="1">
        <f>B45*E45*10000</f>
        <v>0</v>
      </c>
      <c r="G45" t="s">
        <v>70</v>
      </c>
      <c r="H45" s="4">
        <f>[1]Sheet1!$I$4</f>
        <v>3.323</v>
      </c>
      <c r="I45" s="4"/>
      <c r="J45" s="4">
        <f>SUM(J43:J44)</f>
        <v>92</v>
      </c>
      <c r="K45" s="4"/>
      <c r="L45">
        <f>SUM(L43:L44)</f>
        <v>526.24</v>
      </c>
      <c r="M45" s="8"/>
      <c r="N45" s="7"/>
      <c r="O45" s="7"/>
      <c r="Q45" s="10"/>
      <c r="R45" s="13"/>
      <c r="S45" s="18"/>
      <c r="T45" s="13"/>
      <c r="V45" s="15"/>
      <c r="W45" s="13"/>
      <c r="X45" s="17"/>
      <c r="Y45" s="13"/>
      <c r="Z45" s="17"/>
      <c r="AM45" s="13"/>
    </row>
    <row r="46" spans="1:39" x14ac:dyDescent="0.2">
      <c r="A46" t="str">
        <f t="shared" si="11"/>
        <v>Dec</v>
      </c>
      <c r="B46" s="50">
        <v>0</v>
      </c>
      <c r="C46" s="2">
        <v>2.3650000000000002</v>
      </c>
      <c r="D46" s="2">
        <f t="shared" ref="D46:D53" si="13">D45</f>
        <v>3.2480000000000002</v>
      </c>
      <c r="E46" s="6">
        <f t="shared" si="12"/>
        <v>-0.88300000000000001</v>
      </c>
      <c r="F46" s="1">
        <f t="shared" si="10"/>
        <v>0</v>
      </c>
      <c r="H46" s="4"/>
      <c r="I46" s="4"/>
      <c r="J46" s="4"/>
      <c r="K46" s="4"/>
      <c r="L46">
        <f>L45/(J43+J44)</f>
        <v>5.72</v>
      </c>
      <c r="M46" s="8"/>
      <c r="N46" s="7"/>
      <c r="O46" s="7"/>
      <c r="Q46" s="10"/>
      <c r="R46" s="13"/>
      <c r="S46" s="18"/>
      <c r="T46" s="13"/>
      <c r="V46" s="15"/>
      <c r="W46" s="13"/>
      <c r="X46" s="17"/>
      <c r="Y46" s="13"/>
      <c r="Z46" s="17"/>
      <c r="AM46" s="13"/>
    </row>
    <row r="47" spans="1:39" x14ac:dyDescent="0.2">
      <c r="A47" t="str">
        <f t="shared" si="11"/>
        <v>Dec</v>
      </c>
      <c r="B47">
        <v>0</v>
      </c>
      <c r="C47" s="2">
        <v>2.77</v>
      </c>
      <c r="D47" s="2">
        <f t="shared" si="13"/>
        <v>3.2480000000000002</v>
      </c>
      <c r="E47" s="6">
        <f t="shared" si="12"/>
        <v>-0.4780000000000002</v>
      </c>
      <c r="F47" s="1">
        <f t="shared" si="10"/>
        <v>0</v>
      </c>
      <c r="I47" s="4"/>
      <c r="J47" s="4"/>
      <c r="K47" s="4"/>
      <c r="M47" s="8"/>
      <c r="N47" s="7"/>
      <c r="O47" s="7"/>
      <c r="Q47" s="10">
        <f>Q42+7</f>
        <v>21</v>
      </c>
      <c r="R47" s="13" t="e">
        <f>R42+S47</f>
        <v>#REF!</v>
      </c>
      <c r="S47" s="13">
        <v>-20</v>
      </c>
      <c r="T47" s="13">
        <f>AC47</f>
        <v>-13</v>
      </c>
      <c r="U47">
        <f>AB47</f>
        <v>3069</v>
      </c>
      <c r="V47" s="15" t="e">
        <f>R47-U47</f>
        <v>#REF!</v>
      </c>
      <c r="W47" s="13">
        <f>AVERAGE(AB47,AD47,AF47)</f>
        <v>2754</v>
      </c>
      <c r="X47" s="17" t="e">
        <f>R47-W47</f>
        <v>#REF!</v>
      </c>
      <c r="Y47" s="13">
        <f>AVERAGE(AB47,AD47,AF47,AH47,AJ47)</f>
        <v>2805.2</v>
      </c>
      <c r="Z47" s="17" t="e">
        <f>R47-Y47</f>
        <v>#REF!</v>
      </c>
      <c r="AB47">
        <v>3069</v>
      </c>
      <c r="AC47">
        <v>-13</v>
      </c>
      <c r="AD47">
        <v>2642</v>
      </c>
      <c r="AE47">
        <v>-108</v>
      </c>
      <c r="AF47">
        <v>2551</v>
      </c>
      <c r="AG47">
        <v>-66</v>
      </c>
      <c r="AH47">
        <v>2737</v>
      </c>
      <c r="AI47">
        <v>-61</v>
      </c>
      <c r="AJ47">
        <v>3027</v>
      </c>
      <c r="AK47">
        <v>-57</v>
      </c>
      <c r="AM47" s="13">
        <f>AVERAGE(AC47,AE47,AG47,AI47,AK47)</f>
        <v>-61</v>
      </c>
    </row>
    <row r="48" spans="1:39" x14ac:dyDescent="0.2">
      <c r="A48" t="str">
        <f t="shared" si="11"/>
        <v>Dec</v>
      </c>
      <c r="B48">
        <v>0</v>
      </c>
      <c r="C48" s="2">
        <v>2.7</v>
      </c>
      <c r="D48" s="2">
        <f t="shared" si="13"/>
        <v>3.2480000000000002</v>
      </c>
      <c r="E48" s="6">
        <f t="shared" si="12"/>
        <v>-0.54800000000000004</v>
      </c>
      <c r="F48" s="1">
        <f t="shared" ref="F48:F58" si="14">B48*E48*10000</f>
        <v>0</v>
      </c>
      <c r="H48" s="5">
        <f>AVERAGE(H42:H45)</f>
        <v>3.3367500000000003</v>
      </c>
      <c r="I48" s="4"/>
      <c r="J48" s="4"/>
      <c r="K48" s="4"/>
      <c r="M48" s="8">
        <f>I48-$M$9+$N$9</f>
        <v>0</v>
      </c>
      <c r="N48" s="7"/>
      <c r="O48" s="7">
        <f>M48-I48</f>
        <v>0</v>
      </c>
      <c r="Q48" s="10">
        <f>Q47+7</f>
        <v>28</v>
      </c>
      <c r="R48" s="13" t="e">
        <f>R47+S48</f>
        <v>#REF!</v>
      </c>
      <c r="S48" s="13">
        <v>5</v>
      </c>
      <c r="T48" s="13">
        <f>AC48</f>
        <v>8</v>
      </c>
      <c r="U48">
        <f>AB48</f>
        <v>3077</v>
      </c>
      <c r="V48" s="15" t="e">
        <f>R48-U48</f>
        <v>#REF!</v>
      </c>
      <c r="W48" s="13">
        <f>AVERAGE(AB48,AD48,AF48)</f>
        <v>2710</v>
      </c>
      <c r="X48" s="17" t="e">
        <f>R48-W48</f>
        <v>#REF!</v>
      </c>
      <c r="Y48" s="13">
        <f>AVERAGE(AB48,AD48,AF48,AH48,AJ48)</f>
        <v>2747.2</v>
      </c>
      <c r="Z48" s="17" t="e">
        <f>R48-Y48</f>
        <v>#REF!</v>
      </c>
      <c r="AB48">
        <v>3077</v>
      </c>
      <c r="AC48">
        <v>8</v>
      </c>
      <c r="AD48">
        <v>2606</v>
      </c>
      <c r="AE48">
        <v>-36</v>
      </c>
      <c r="AF48">
        <v>2447</v>
      </c>
      <c r="AG48">
        <v>-104</v>
      </c>
      <c r="AH48">
        <v>2664</v>
      </c>
      <c r="AI48">
        <v>-73</v>
      </c>
      <c r="AJ48">
        <v>2942</v>
      </c>
      <c r="AK48">
        <v>-85</v>
      </c>
      <c r="AM48" s="13">
        <f>AVERAGE(AC48,AE48,AG48,AI48,AK48)</f>
        <v>-58</v>
      </c>
    </row>
    <row r="49" spans="1:39" x14ac:dyDescent="0.2">
      <c r="A49" t="str">
        <f t="shared" si="11"/>
        <v>Dec</v>
      </c>
      <c r="B49">
        <v>0</v>
      </c>
      <c r="C49" s="2">
        <v>2.7075</v>
      </c>
      <c r="D49" s="2">
        <f>D48</f>
        <v>3.2480000000000002</v>
      </c>
      <c r="E49" s="6">
        <f t="shared" si="12"/>
        <v>-0.5405000000000002</v>
      </c>
      <c r="F49" s="1">
        <f t="shared" si="14"/>
        <v>0</v>
      </c>
      <c r="I49" s="4"/>
      <c r="J49" s="4"/>
      <c r="K49" s="4"/>
      <c r="M49" s="8">
        <f>I49-$M$9+$N$9</f>
        <v>0</v>
      </c>
      <c r="N49" s="7"/>
      <c r="O49" s="7">
        <f>M49-I49</f>
        <v>0</v>
      </c>
      <c r="Q49" s="10">
        <f>Q48+7</f>
        <v>35</v>
      </c>
      <c r="R49" s="13" t="e">
        <f>R48+S49</f>
        <v>#REF!</v>
      </c>
      <c r="S49" s="13">
        <v>-69</v>
      </c>
      <c r="T49" s="13">
        <f>AC49</f>
        <v>27</v>
      </c>
      <c r="U49">
        <f>AB49</f>
        <v>3104</v>
      </c>
      <c r="V49" s="15" t="e">
        <f>R49-U49</f>
        <v>#REF!</v>
      </c>
      <c r="W49" s="13">
        <f>AVERAGE(AB49,AD49,AF49)</f>
        <v>2672</v>
      </c>
      <c r="X49" s="17" t="e">
        <f>R49-W49</f>
        <v>#REF!</v>
      </c>
      <c r="Y49" s="13">
        <f>AVERAGE(AB49,AD49,AF49,AH49,AJ49)</f>
        <v>2698.2</v>
      </c>
      <c r="Z49" s="17" t="e">
        <f>R49-Y49</f>
        <v>#REF!</v>
      </c>
      <c r="AB49">
        <v>3104</v>
      </c>
      <c r="AC49">
        <v>27</v>
      </c>
      <c r="AD49">
        <v>2537</v>
      </c>
      <c r="AE49">
        <v>-69</v>
      </c>
      <c r="AF49">
        <v>2375</v>
      </c>
      <c r="AG49">
        <v>-72</v>
      </c>
      <c r="AH49">
        <v>2589</v>
      </c>
      <c r="AI49">
        <v>-75</v>
      </c>
      <c r="AJ49">
        <v>2886</v>
      </c>
      <c r="AK49">
        <v>-56</v>
      </c>
      <c r="AM49" s="13">
        <f>AVERAGE(AC49,AE49,AG49,AI49,AK49)</f>
        <v>-49</v>
      </c>
    </row>
    <row r="50" spans="1:39" x14ac:dyDescent="0.2">
      <c r="A50" t="str">
        <f t="shared" si="11"/>
        <v>Dec</v>
      </c>
      <c r="B50">
        <v>0</v>
      </c>
      <c r="C50" s="2">
        <v>3.01</v>
      </c>
      <c r="D50" s="2">
        <f t="shared" si="13"/>
        <v>3.2480000000000002</v>
      </c>
      <c r="E50" s="6">
        <f t="shared" si="12"/>
        <v>-0.23800000000000043</v>
      </c>
      <c r="F50" s="1">
        <f t="shared" si="14"/>
        <v>0</v>
      </c>
      <c r="I50" s="4"/>
      <c r="J50" s="4"/>
      <c r="K50" s="4"/>
      <c r="M50" s="1"/>
    </row>
    <row r="51" spans="1:39" x14ac:dyDescent="0.2">
      <c r="A51" t="s">
        <v>50</v>
      </c>
      <c r="B51">
        <v>0</v>
      </c>
      <c r="C51" s="2">
        <v>3.32</v>
      </c>
      <c r="D51" s="2">
        <f>H43</f>
        <v>3.3919999999999999</v>
      </c>
      <c r="E51" s="6">
        <f t="shared" ref="E51:E58" si="15">C51-D51</f>
        <v>-7.2000000000000064E-2</v>
      </c>
      <c r="F51" s="1">
        <f t="shared" si="14"/>
        <v>0</v>
      </c>
      <c r="I51" s="4"/>
      <c r="J51" s="4"/>
      <c r="K51" s="4"/>
      <c r="M51" s="1"/>
    </row>
    <row r="52" spans="1:39" x14ac:dyDescent="0.2">
      <c r="A52" t="s">
        <v>50</v>
      </c>
      <c r="B52">
        <v>0</v>
      </c>
      <c r="C52" s="2">
        <v>3.22</v>
      </c>
      <c r="D52" s="2">
        <f>D51</f>
        <v>3.3919999999999999</v>
      </c>
      <c r="E52" s="6">
        <f t="shared" si="15"/>
        <v>-0.17199999999999971</v>
      </c>
      <c r="F52" s="1">
        <f t="shared" si="14"/>
        <v>0</v>
      </c>
      <c r="I52" s="4"/>
      <c r="J52" s="4" t="s">
        <v>45</v>
      </c>
      <c r="K52" s="4"/>
      <c r="L52" t="s">
        <v>46</v>
      </c>
      <c r="M52" s="1"/>
      <c r="N52" t="s">
        <v>6</v>
      </c>
      <c r="P52" t="s">
        <v>72</v>
      </c>
    </row>
    <row r="53" spans="1:39" x14ac:dyDescent="0.2">
      <c r="A53" t="s">
        <v>50</v>
      </c>
      <c r="B53">
        <v>0</v>
      </c>
      <c r="C53" s="2">
        <v>3.2324999999999999</v>
      </c>
      <c r="D53" s="2">
        <f t="shared" si="13"/>
        <v>3.3919999999999999</v>
      </c>
      <c r="E53" s="6">
        <f t="shared" si="15"/>
        <v>-0.15949999999999998</v>
      </c>
      <c r="F53" s="1">
        <f t="shared" si="14"/>
        <v>0</v>
      </c>
      <c r="J53" s="4"/>
      <c r="K53" s="4"/>
      <c r="M53" s="1"/>
    </row>
    <row r="54" spans="1:39" x14ac:dyDescent="0.2">
      <c r="A54" t="s">
        <v>50</v>
      </c>
      <c r="B54">
        <v>0</v>
      </c>
      <c r="C54" s="2">
        <v>3</v>
      </c>
      <c r="D54" s="2">
        <f>D53</f>
        <v>3.3919999999999999</v>
      </c>
      <c r="E54" s="6">
        <f t="shared" si="15"/>
        <v>-0.3919999999999999</v>
      </c>
      <c r="F54" s="1">
        <f t="shared" si="14"/>
        <v>0</v>
      </c>
      <c r="I54" s="4" t="s">
        <v>49</v>
      </c>
      <c r="J54" s="4">
        <v>-0.12</v>
      </c>
      <c r="K54" s="4"/>
      <c r="M54" s="1"/>
      <c r="N54" s="7">
        <v>-7.4999999999999997E-3</v>
      </c>
      <c r="O54">
        <v>-7.4999999999999997E-3</v>
      </c>
      <c r="P54" s="49">
        <v>-7.4999999999999997E-2</v>
      </c>
      <c r="Q54">
        <v>-8.5000000000000006E-2</v>
      </c>
    </row>
    <row r="55" spans="1:39" x14ac:dyDescent="0.2">
      <c r="A55" t="s">
        <v>50</v>
      </c>
      <c r="B55">
        <v>0</v>
      </c>
      <c r="C55" s="2">
        <v>3.0525000000000002</v>
      </c>
      <c r="D55" s="2">
        <f>D54</f>
        <v>3.3919999999999999</v>
      </c>
      <c r="E55" s="6">
        <f t="shared" si="15"/>
        <v>-0.33949999999999969</v>
      </c>
      <c r="F55" s="1">
        <f t="shared" si="14"/>
        <v>0</v>
      </c>
      <c r="I55" s="4" t="s">
        <v>4</v>
      </c>
      <c r="J55" s="4">
        <f>J54</f>
        <v>-0.12</v>
      </c>
      <c r="K55" s="4"/>
      <c r="M55" s="1"/>
      <c r="N55" s="7">
        <v>-2.75E-2</v>
      </c>
      <c r="O55">
        <v>-3.7499999999999999E-2</v>
      </c>
      <c r="P55" s="49">
        <v>-7.2499999999999995E-2</v>
      </c>
      <c r="Q55">
        <v>-6.7500000000000004E-2</v>
      </c>
    </row>
    <row r="56" spans="1:39" x14ac:dyDescent="0.2">
      <c r="A56" t="s">
        <v>50</v>
      </c>
      <c r="B56">
        <v>0</v>
      </c>
      <c r="C56" s="2">
        <v>3.4</v>
      </c>
      <c r="D56" s="2">
        <f>D55</f>
        <v>3.3919999999999999</v>
      </c>
      <c r="E56" s="6">
        <f t="shared" si="15"/>
        <v>8.0000000000000071E-3</v>
      </c>
      <c r="F56" s="1">
        <f t="shared" si="14"/>
        <v>0</v>
      </c>
      <c r="I56" s="4" t="s">
        <v>50</v>
      </c>
      <c r="J56" s="4">
        <v>-0.16</v>
      </c>
      <c r="K56" s="4"/>
      <c r="L56">
        <v>0</v>
      </c>
      <c r="M56" s="1"/>
      <c r="N56" s="7">
        <v>-3.5000000000000003E-2</v>
      </c>
      <c r="O56">
        <v>-4.7500000000000001E-2</v>
      </c>
      <c r="P56" s="49">
        <f>P55</f>
        <v>-7.2499999999999995E-2</v>
      </c>
      <c r="Q56">
        <f>Q55</f>
        <v>-6.7500000000000004E-2</v>
      </c>
    </row>
    <row r="57" spans="1:39" x14ac:dyDescent="0.2">
      <c r="A57" t="s">
        <v>32</v>
      </c>
      <c r="B57">
        <v>0</v>
      </c>
      <c r="C57" s="2">
        <v>3.395</v>
      </c>
      <c r="D57" s="2">
        <f>H44</f>
        <v>3.3839999999999999</v>
      </c>
      <c r="E57" s="6">
        <f t="shared" si="15"/>
        <v>1.1000000000000121E-2</v>
      </c>
      <c r="F57" s="1">
        <f t="shared" si="14"/>
        <v>0</v>
      </c>
      <c r="I57" s="4" t="s">
        <v>32</v>
      </c>
      <c r="J57" s="4">
        <f>J56</f>
        <v>-0.16</v>
      </c>
      <c r="K57" s="4"/>
      <c r="L57">
        <v>0</v>
      </c>
      <c r="M57" s="1"/>
      <c r="N57" s="7">
        <v>-0.03</v>
      </c>
      <c r="O57">
        <v>-4.2500000000000003E-2</v>
      </c>
      <c r="P57" s="49">
        <f>P56</f>
        <v>-7.2499999999999995E-2</v>
      </c>
      <c r="Q57">
        <f>Q56</f>
        <v>-6.7500000000000004E-2</v>
      </c>
    </row>
    <row r="58" spans="1:39" x14ac:dyDescent="0.2">
      <c r="A58" t="s">
        <v>32</v>
      </c>
      <c r="B58">
        <v>0</v>
      </c>
      <c r="C58" s="2">
        <v>3.3450000000000002</v>
      </c>
      <c r="D58" s="2">
        <f>D57</f>
        <v>3.3839999999999999</v>
      </c>
      <c r="E58" s="6">
        <f t="shared" si="15"/>
        <v>-3.8999999999999702E-2</v>
      </c>
      <c r="F58" s="1">
        <f t="shared" si="14"/>
        <v>0</v>
      </c>
      <c r="I58" s="4" t="s">
        <v>70</v>
      </c>
      <c r="J58" s="4">
        <f>J57</f>
        <v>-0.16</v>
      </c>
      <c r="K58" s="4"/>
      <c r="L58">
        <v>0</v>
      </c>
      <c r="M58" s="1"/>
      <c r="N58" s="7">
        <v>-2.5000000000000001E-2</v>
      </c>
      <c r="O58">
        <v>-2.75E-2</v>
      </c>
      <c r="P58" s="49">
        <f>P57</f>
        <v>-7.2499999999999995E-2</v>
      </c>
      <c r="Q58">
        <v>-6.7500000000000004E-2</v>
      </c>
    </row>
    <row r="59" spans="1:39" x14ac:dyDescent="0.2">
      <c r="A59" t="s">
        <v>32</v>
      </c>
      <c r="B59">
        <v>0</v>
      </c>
      <c r="C59" s="2">
        <v>3.04</v>
      </c>
      <c r="D59" s="2">
        <f>D58</f>
        <v>3.3839999999999999</v>
      </c>
      <c r="E59" s="6">
        <f t="shared" ref="E59:E65" si="16">C59-D59</f>
        <v>-0.34399999999999986</v>
      </c>
      <c r="F59" s="1">
        <f t="shared" ref="F59:F65" si="17">B59*E59*10000</f>
        <v>0</v>
      </c>
      <c r="I59" s="4" t="s">
        <v>52</v>
      </c>
      <c r="J59" s="4">
        <v>-0.13</v>
      </c>
      <c r="K59" s="4"/>
      <c r="L59">
        <v>0</v>
      </c>
      <c r="M59" s="1"/>
      <c r="N59" s="7">
        <v>0.01</v>
      </c>
      <c r="P59" s="49">
        <v>-7.0000000000000007E-2</v>
      </c>
    </row>
    <row r="60" spans="1:39" x14ac:dyDescent="0.2">
      <c r="A60" t="s">
        <v>32</v>
      </c>
      <c r="B60">
        <v>0</v>
      </c>
      <c r="C60" s="2">
        <v>2.99</v>
      </c>
      <c r="D60" s="2">
        <f>D59</f>
        <v>3.3839999999999999</v>
      </c>
      <c r="E60" s="6">
        <f t="shared" si="16"/>
        <v>-0.39399999999999968</v>
      </c>
      <c r="F60" s="1">
        <f t="shared" si="17"/>
        <v>0</v>
      </c>
      <c r="I60" s="4" t="s">
        <v>53</v>
      </c>
      <c r="J60" s="4">
        <v>-0.13</v>
      </c>
      <c r="K60" s="4"/>
      <c r="L60">
        <v>0</v>
      </c>
      <c r="M60" s="1"/>
      <c r="N60" s="7">
        <v>1.4999999999999999E-2</v>
      </c>
      <c r="P60" s="49">
        <v>-7.4999999999999997E-2</v>
      </c>
    </row>
    <row r="61" spans="1:39" x14ac:dyDescent="0.2">
      <c r="A61" t="s">
        <v>32</v>
      </c>
      <c r="B61">
        <v>0</v>
      </c>
      <c r="C61" s="2">
        <v>3.59</v>
      </c>
      <c r="D61" s="2">
        <f>D60</f>
        <v>3.3839999999999999</v>
      </c>
      <c r="E61" s="6">
        <f t="shared" si="16"/>
        <v>0.20599999999999996</v>
      </c>
      <c r="F61" s="1">
        <f t="shared" si="17"/>
        <v>0</v>
      </c>
      <c r="I61" s="4" t="s">
        <v>40</v>
      </c>
      <c r="J61" s="4">
        <v>-0.13</v>
      </c>
      <c r="K61" s="4"/>
      <c r="L61">
        <v>0</v>
      </c>
      <c r="M61" s="1"/>
      <c r="N61" s="7">
        <v>3.5000000000000003E-2</v>
      </c>
      <c r="O61" s="7">
        <f>AVERAGE(N59:N61)</f>
        <v>0.02</v>
      </c>
      <c r="P61" s="49">
        <v>-8.5000000000000006E-2</v>
      </c>
    </row>
    <row r="62" spans="1:39" x14ac:dyDescent="0.2">
      <c r="A62" t="s">
        <v>32</v>
      </c>
      <c r="B62">
        <v>0</v>
      </c>
      <c r="C62" s="2">
        <v>3.94</v>
      </c>
      <c r="D62" s="2">
        <f t="shared" ref="D62:D68" si="18">D61</f>
        <v>3.3839999999999999</v>
      </c>
      <c r="E62" s="6">
        <f t="shared" si="16"/>
        <v>0.55600000000000005</v>
      </c>
      <c r="F62" s="1">
        <f t="shared" si="17"/>
        <v>0</v>
      </c>
      <c r="I62" s="4" t="s">
        <v>41</v>
      </c>
      <c r="J62" s="4">
        <v>-0.13</v>
      </c>
      <c r="K62" s="4"/>
      <c r="L62">
        <v>0</v>
      </c>
      <c r="M62" s="1"/>
      <c r="N62" s="7">
        <v>4.7500000000000001E-2</v>
      </c>
      <c r="P62" s="49">
        <v>-0.09</v>
      </c>
    </row>
    <row r="63" spans="1:39" x14ac:dyDescent="0.2">
      <c r="A63" t="s">
        <v>32</v>
      </c>
      <c r="B63">
        <v>0</v>
      </c>
      <c r="C63" s="2">
        <v>4.16</v>
      </c>
      <c r="D63" s="2">
        <f t="shared" si="18"/>
        <v>3.3839999999999999</v>
      </c>
      <c r="E63" s="6">
        <f t="shared" si="16"/>
        <v>0.77600000000000025</v>
      </c>
      <c r="F63" s="1">
        <f t="shared" si="17"/>
        <v>0</v>
      </c>
      <c r="I63" s="4" t="s">
        <v>42</v>
      </c>
      <c r="J63" s="4">
        <v>-0.13</v>
      </c>
      <c r="K63" s="4"/>
      <c r="L63">
        <v>0</v>
      </c>
      <c r="M63" s="1"/>
      <c r="N63" s="7">
        <v>0.05</v>
      </c>
      <c r="P63" s="49">
        <f>P62</f>
        <v>-0.09</v>
      </c>
    </row>
    <row r="64" spans="1:39" x14ac:dyDescent="0.2">
      <c r="A64" t="s">
        <v>32</v>
      </c>
      <c r="B64">
        <v>0</v>
      </c>
      <c r="C64" s="2">
        <v>3.92</v>
      </c>
      <c r="D64" s="2">
        <f t="shared" si="18"/>
        <v>3.3839999999999999</v>
      </c>
      <c r="E64" s="6">
        <f t="shared" si="16"/>
        <v>0.53600000000000003</v>
      </c>
      <c r="F64" s="1">
        <f t="shared" si="17"/>
        <v>0</v>
      </c>
      <c r="I64" s="4" t="s">
        <v>43</v>
      </c>
      <c r="J64" s="4">
        <v>-0.13</v>
      </c>
      <c r="K64" s="4"/>
      <c r="L64">
        <v>0</v>
      </c>
      <c r="M64" s="1"/>
      <c r="N64" s="7">
        <v>4.4999999999999998E-2</v>
      </c>
      <c r="O64" s="7">
        <f>AVERAGE(N62:N64)</f>
        <v>4.7500000000000007E-2</v>
      </c>
      <c r="P64" s="49">
        <f>P63</f>
        <v>-0.09</v>
      </c>
    </row>
    <row r="65" spans="1:17" x14ac:dyDescent="0.2">
      <c r="A65" t="s">
        <v>32</v>
      </c>
      <c r="B65">
        <v>0</v>
      </c>
      <c r="C65" s="2">
        <v>3.93</v>
      </c>
      <c r="D65" s="2">
        <f t="shared" si="18"/>
        <v>3.3839999999999999</v>
      </c>
      <c r="E65" s="6">
        <f t="shared" si="16"/>
        <v>0.54600000000000026</v>
      </c>
      <c r="F65" s="1">
        <f t="shared" si="17"/>
        <v>0</v>
      </c>
      <c r="I65" s="4" t="s">
        <v>44</v>
      </c>
      <c r="J65" s="4">
        <v>-0.13</v>
      </c>
      <c r="K65" s="4"/>
      <c r="L65">
        <v>0</v>
      </c>
      <c r="M65" s="1"/>
      <c r="N65" s="7">
        <v>0.01</v>
      </c>
      <c r="P65" s="49">
        <v>-0.08</v>
      </c>
    </row>
    <row r="66" spans="1:17" x14ac:dyDescent="0.2">
      <c r="A66" t="s">
        <v>32</v>
      </c>
      <c r="B66">
        <v>0</v>
      </c>
      <c r="C66" s="2">
        <v>3.94</v>
      </c>
      <c r="D66" s="2">
        <f t="shared" si="18"/>
        <v>3.3839999999999999</v>
      </c>
      <c r="E66" s="6">
        <f t="shared" ref="E66:E74" si="19">C66-D66</f>
        <v>0.55600000000000005</v>
      </c>
      <c r="F66" s="1">
        <f t="shared" ref="F66:F74" si="20">B66*E66*10000</f>
        <v>0</v>
      </c>
      <c r="I66" s="4"/>
      <c r="J66" s="4"/>
      <c r="K66" s="4"/>
      <c r="M66" s="1"/>
    </row>
    <row r="67" spans="1:17" x14ac:dyDescent="0.2">
      <c r="A67" t="s">
        <v>32</v>
      </c>
      <c r="B67">
        <v>0</v>
      </c>
      <c r="C67" s="2">
        <v>4.78</v>
      </c>
      <c r="D67" s="2">
        <f t="shared" si="18"/>
        <v>3.3839999999999999</v>
      </c>
      <c r="E67" s="6">
        <f t="shared" si="19"/>
        <v>1.3960000000000004</v>
      </c>
      <c r="F67" s="1">
        <f t="shared" si="20"/>
        <v>0</v>
      </c>
      <c r="I67" s="4" t="s">
        <v>69</v>
      </c>
      <c r="J67" s="4">
        <f>AVERAGE(J61:J65)</f>
        <v>-0.13</v>
      </c>
      <c r="K67" s="4"/>
      <c r="L67" s="4">
        <f>AVERAGE(L61:L65)</f>
        <v>0</v>
      </c>
      <c r="M67" s="1"/>
      <c r="N67" s="4">
        <f>AVERAGE(N59:N65)</f>
        <v>3.035714285714286E-2</v>
      </c>
      <c r="P67" s="4">
        <f>AVERAGE(P59:P65)</f>
        <v>-8.2857142857142851E-2</v>
      </c>
    </row>
    <row r="68" spans="1:17" x14ac:dyDescent="0.2">
      <c r="A68" t="s">
        <v>32</v>
      </c>
      <c r="B68">
        <v>0</v>
      </c>
      <c r="C68" s="2"/>
      <c r="D68" s="2">
        <f t="shared" si="18"/>
        <v>3.3839999999999999</v>
      </c>
      <c r="E68" s="6">
        <f t="shared" si="19"/>
        <v>-3.3839999999999999</v>
      </c>
      <c r="F68" s="1">
        <f t="shared" si="20"/>
        <v>0</v>
      </c>
      <c r="I68" s="4" t="s">
        <v>91</v>
      </c>
      <c r="J68" s="4"/>
      <c r="K68" s="4"/>
      <c r="M68" s="1"/>
      <c r="N68" s="4">
        <f>AVERAGE(N55:N58)</f>
        <v>-2.9374999999999998E-2</v>
      </c>
      <c r="O68" s="4">
        <f>AVERAGE(O54:O58)</f>
        <v>-3.2500000000000001E-2</v>
      </c>
      <c r="P68" s="4">
        <f>AVERAGE(P54:P58)</f>
        <v>-7.2999999999999995E-2</v>
      </c>
      <c r="Q68" s="4">
        <f>AVERAGE(Q54:Q58)</f>
        <v>-7.1000000000000008E-2</v>
      </c>
    </row>
    <row r="69" spans="1:17" x14ac:dyDescent="0.2">
      <c r="A69" t="s">
        <v>51</v>
      </c>
      <c r="B69">
        <v>0</v>
      </c>
      <c r="C69" s="2">
        <v>3.3450000000000002</v>
      </c>
      <c r="D69" s="2">
        <f>H45</f>
        <v>3.323</v>
      </c>
      <c r="E69" s="6">
        <f t="shared" si="19"/>
        <v>2.2000000000000242E-2</v>
      </c>
      <c r="F69" s="1">
        <f t="shared" si="20"/>
        <v>0</v>
      </c>
      <c r="H69">
        <v>3.5049999999999999</v>
      </c>
      <c r="I69" s="4" t="s">
        <v>71</v>
      </c>
      <c r="J69" s="4">
        <f>AVERAGE(J54:J65)</f>
        <v>-0.13583333333333333</v>
      </c>
      <c r="K69" s="4"/>
      <c r="M69" s="1"/>
      <c r="N69" s="4">
        <f>AVERAGE(N54:N65)</f>
        <v>7.2916666666666659E-3</v>
      </c>
      <c r="P69" s="4">
        <f>AVERAGE(P54:P65)</f>
        <v>-7.8749999999999987E-2</v>
      </c>
    </row>
    <row r="70" spans="1:17" x14ac:dyDescent="0.2">
      <c r="A70" t="s">
        <v>51</v>
      </c>
      <c r="B70">
        <v>0</v>
      </c>
      <c r="C70" s="2">
        <v>2.9975000000000001</v>
      </c>
      <c r="D70" s="2">
        <f>D69</f>
        <v>3.323</v>
      </c>
      <c r="E70" s="6">
        <f t="shared" si="19"/>
        <v>-0.3254999999999999</v>
      </c>
      <c r="F70" s="1">
        <f t="shared" si="20"/>
        <v>0</v>
      </c>
      <c r="I70" s="4"/>
      <c r="J70" s="4"/>
      <c r="K70" s="4"/>
      <c r="M70" s="1"/>
      <c r="N70" s="4"/>
      <c r="P70" s="4"/>
    </row>
    <row r="71" spans="1:17" x14ac:dyDescent="0.2">
      <c r="A71" t="s">
        <v>51</v>
      </c>
      <c r="B71">
        <v>0</v>
      </c>
      <c r="C71" s="2">
        <v>3.3450000000000002</v>
      </c>
      <c r="D71" s="2">
        <f>D70</f>
        <v>3.323</v>
      </c>
      <c r="E71" s="6">
        <f>C71-D71</f>
        <v>2.2000000000000242E-2</v>
      </c>
      <c r="F71" s="1">
        <f>B71*E71*10000</f>
        <v>0</v>
      </c>
      <c r="I71" s="4"/>
      <c r="J71" s="4"/>
      <c r="K71" s="4"/>
      <c r="M71" s="1"/>
      <c r="N71" s="4"/>
      <c r="P71" s="4"/>
    </row>
    <row r="72" spans="1:17" x14ac:dyDescent="0.2">
      <c r="A72" t="s">
        <v>51</v>
      </c>
      <c r="B72">
        <v>0</v>
      </c>
      <c r="C72" s="2">
        <v>3.04</v>
      </c>
      <c r="D72" s="2">
        <f>D71</f>
        <v>3.323</v>
      </c>
      <c r="E72" s="6">
        <f t="shared" si="19"/>
        <v>-0.28299999999999992</v>
      </c>
      <c r="F72" s="1">
        <f t="shared" si="20"/>
        <v>0</v>
      </c>
      <c r="H72">
        <v>3.4750000000000001</v>
      </c>
      <c r="I72" s="4"/>
      <c r="J72" s="4"/>
      <c r="K72" s="4"/>
      <c r="M72" s="1"/>
    </row>
    <row r="73" spans="1:17" x14ac:dyDescent="0.2">
      <c r="A73" t="s">
        <v>66</v>
      </c>
      <c r="B73">
        <v>0</v>
      </c>
      <c r="C73" s="2">
        <v>3.3450000000000002</v>
      </c>
      <c r="D73" s="2">
        <f>D72-0.005</f>
        <v>3.3180000000000001</v>
      </c>
      <c r="E73" s="6">
        <f t="shared" si="19"/>
        <v>2.7000000000000135E-2</v>
      </c>
      <c r="F73" s="1">
        <f t="shared" si="20"/>
        <v>0</v>
      </c>
      <c r="H73">
        <v>3.4049999999999998</v>
      </c>
      <c r="I73" s="4"/>
      <c r="J73" s="4"/>
      <c r="K73" s="4"/>
      <c r="M73" s="1"/>
    </row>
    <row r="74" spans="1:17" x14ac:dyDescent="0.2">
      <c r="A74" t="s">
        <v>66</v>
      </c>
      <c r="B74">
        <v>0</v>
      </c>
      <c r="C74" s="2">
        <v>3.04</v>
      </c>
      <c r="D74" s="2">
        <f>D73</f>
        <v>3.3180000000000001</v>
      </c>
      <c r="E74" s="6">
        <f t="shared" si="19"/>
        <v>-0.27800000000000002</v>
      </c>
      <c r="F74" s="1">
        <f t="shared" si="20"/>
        <v>0</v>
      </c>
      <c r="H74">
        <f>AVERAGE(H69:H73)</f>
        <v>3.4616666666666664</v>
      </c>
      <c r="I74" s="4"/>
      <c r="J74" s="4"/>
      <c r="K74" s="4"/>
      <c r="M74" s="1"/>
      <c r="N74" s="7">
        <f>AVERAGE(N61:N65)</f>
        <v>3.7499999999999999E-2</v>
      </c>
    </row>
    <row r="75" spans="1:17" x14ac:dyDescent="0.2">
      <c r="A75" t="s">
        <v>65</v>
      </c>
      <c r="B75">
        <v>0</v>
      </c>
      <c r="C75" s="2">
        <v>3.3450000000000002</v>
      </c>
      <c r="D75" s="2">
        <f>D74+0.355</f>
        <v>3.673</v>
      </c>
      <c r="E75" s="6">
        <f>C75-D75</f>
        <v>-0.32799999999999985</v>
      </c>
      <c r="F75" s="1">
        <f>B75*E75*10000</f>
        <v>0</v>
      </c>
      <c r="I75" s="4"/>
      <c r="J75" s="4"/>
      <c r="K75" s="4"/>
      <c r="M75" s="1"/>
      <c r="N75" s="7">
        <f>AVERAGE(N62:N64)</f>
        <v>4.7500000000000007E-2</v>
      </c>
    </row>
    <row r="76" spans="1:17" x14ac:dyDescent="0.2">
      <c r="A76" t="s">
        <v>65</v>
      </c>
      <c r="B76">
        <v>0</v>
      </c>
      <c r="C76" s="2">
        <v>3.04</v>
      </c>
      <c r="D76" s="2">
        <f>D75</f>
        <v>3.673</v>
      </c>
      <c r="E76" s="6">
        <f>C76-D76</f>
        <v>-0.63300000000000001</v>
      </c>
      <c r="F76" s="1">
        <f>B76*E76*10000</f>
        <v>0</v>
      </c>
      <c r="I76" s="4"/>
      <c r="J76" s="4"/>
      <c r="K76" s="4"/>
      <c r="M76" s="1"/>
    </row>
    <row r="77" spans="1:17" x14ac:dyDescent="0.2">
      <c r="A77" t="s">
        <v>56</v>
      </c>
      <c r="B77">
        <v>0</v>
      </c>
      <c r="C77" s="2">
        <v>3.95</v>
      </c>
      <c r="D77" s="2">
        <f>D76+0.105</f>
        <v>3.778</v>
      </c>
      <c r="E77" s="6">
        <f>C77-D77</f>
        <v>0.17200000000000015</v>
      </c>
      <c r="F77" s="1">
        <f>B77*E77*10000</f>
        <v>0</v>
      </c>
      <c r="I77" s="4"/>
      <c r="J77" s="4"/>
      <c r="K77" s="4"/>
      <c r="M77" s="1"/>
    </row>
    <row r="78" spans="1:17" ht="38.25" customHeight="1" x14ac:dyDescent="0.2">
      <c r="B78" t="s">
        <v>2</v>
      </c>
      <c r="C78" s="2"/>
      <c r="D78" s="2"/>
      <c r="I78" s="4"/>
      <c r="J78" s="4"/>
      <c r="K78" s="4"/>
      <c r="M78" s="1"/>
    </row>
    <row r="79" spans="1:17" x14ac:dyDescent="0.2">
      <c r="A79" t="s">
        <v>13</v>
      </c>
      <c r="B79">
        <v>0</v>
      </c>
      <c r="C79" s="2">
        <v>2.88</v>
      </c>
      <c r="D79" s="2">
        <f>D33</f>
        <v>2.88</v>
      </c>
      <c r="E79" s="2">
        <f t="shared" ref="E79:E94" si="21">D79-C79</f>
        <v>0</v>
      </c>
      <c r="F79" s="1">
        <f t="shared" ref="F79:F89" si="22">B79*E79*10000</f>
        <v>0</v>
      </c>
      <c r="I79" s="4"/>
      <c r="J79" s="4"/>
      <c r="K79" s="4"/>
      <c r="M79" s="1"/>
    </row>
    <row r="80" spans="1:17" x14ac:dyDescent="0.2">
      <c r="A80" t="s">
        <v>9</v>
      </c>
      <c r="B80">
        <v>0</v>
      </c>
      <c r="C80" s="2">
        <v>3.79</v>
      </c>
      <c r="D80" s="2">
        <f>D26-0.12</f>
        <v>2.98</v>
      </c>
      <c r="E80" s="2">
        <f t="shared" si="21"/>
        <v>-0.81</v>
      </c>
      <c r="F80" s="1">
        <f>B80*E80*10000</f>
        <v>0</v>
      </c>
      <c r="I80" s="4"/>
      <c r="J80" s="4"/>
      <c r="K80" s="4"/>
      <c r="M80" s="1"/>
    </row>
    <row r="81" spans="1:13" x14ac:dyDescent="0.2">
      <c r="A81" t="s">
        <v>10</v>
      </c>
      <c r="B81">
        <v>44</v>
      </c>
      <c r="C81" s="2">
        <v>3.13</v>
      </c>
      <c r="D81" s="2">
        <f>D13</f>
        <v>3.13</v>
      </c>
      <c r="E81" s="2">
        <f t="shared" si="21"/>
        <v>0</v>
      </c>
      <c r="F81" s="1">
        <f t="shared" si="22"/>
        <v>0</v>
      </c>
      <c r="I81" s="4"/>
      <c r="J81" s="4"/>
      <c r="K81" s="4">
        <f>C97-AVERAGE(C91:C92,C95:C96)</f>
        <v>-1.8499999999999961E-2</v>
      </c>
      <c r="L81" t="s">
        <v>77</v>
      </c>
      <c r="M81" s="1"/>
    </row>
    <row r="82" spans="1:13" x14ac:dyDescent="0.2">
      <c r="A82" t="s">
        <v>27</v>
      </c>
      <c r="B82">
        <v>0</v>
      </c>
      <c r="C82" s="2">
        <v>2.82</v>
      </c>
      <c r="D82" s="2">
        <f>D40</f>
        <v>2.87</v>
      </c>
      <c r="E82" s="2">
        <f t="shared" si="21"/>
        <v>5.0000000000000266E-2</v>
      </c>
      <c r="F82" s="1">
        <f t="shared" si="22"/>
        <v>0</v>
      </c>
      <c r="I82" s="4"/>
      <c r="J82" s="4"/>
      <c r="K82" s="4">
        <f>D97-AVERAGE(D91:D92,D95:D96)</f>
        <v>-3.7500000000000089E-2</v>
      </c>
      <c r="L82" t="s">
        <v>78</v>
      </c>
      <c r="M82" s="1"/>
    </row>
    <row r="83" spans="1:13" x14ac:dyDescent="0.2">
      <c r="A83" t="s">
        <v>11</v>
      </c>
      <c r="B83">
        <v>-75</v>
      </c>
      <c r="C83" s="2">
        <v>3.1</v>
      </c>
      <c r="D83" s="2">
        <f>D14</f>
        <v>3.1</v>
      </c>
      <c r="E83" s="2">
        <f t="shared" si="21"/>
        <v>0</v>
      </c>
      <c r="F83" s="1">
        <f>B83*E83*10000</f>
        <v>0</v>
      </c>
      <c r="I83" s="4"/>
      <c r="J83" s="4"/>
      <c r="K83" s="4"/>
      <c r="M83" s="1"/>
    </row>
    <row r="84" spans="1:13" x14ac:dyDescent="0.2">
      <c r="A84" t="s">
        <v>12</v>
      </c>
      <c r="B84">
        <v>0</v>
      </c>
      <c r="C84" s="2">
        <f>C83-0.05</f>
        <v>3.0500000000000003</v>
      </c>
      <c r="D84" s="2">
        <f>D35</f>
        <v>3.0500000000000003</v>
      </c>
      <c r="E84" s="2">
        <f t="shared" si="21"/>
        <v>0</v>
      </c>
      <c r="F84" s="1">
        <f t="shared" si="22"/>
        <v>0</v>
      </c>
      <c r="G84">
        <f>SUM(B79:B84)</f>
        <v>-31</v>
      </c>
      <c r="H84" s="3">
        <f>SUM(F79:F84)</f>
        <v>0</v>
      </c>
      <c r="I84" s="4"/>
      <c r="J84" s="4"/>
      <c r="M84" s="2"/>
    </row>
    <row r="85" spans="1:13" x14ac:dyDescent="0.2">
      <c r="A85" t="s">
        <v>47</v>
      </c>
      <c r="B85">
        <v>31</v>
      </c>
      <c r="C85" s="2">
        <f>C83-0.06</f>
        <v>3.04</v>
      </c>
      <c r="D85" s="2">
        <f>D36</f>
        <v>3.04</v>
      </c>
      <c r="E85" s="2">
        <f t="shared" si="21"/>
        <v>0</v>
      </c>
      <c r="F85" s="1">
        <f>B85*E85*10000</f>
        <v>0</v>
      </c>
      <c r="I85" s="4"/>
      <c r="J85" s="4"/>
      <c r="K85" s="21">
        <f>C95-C91</f>
        <v>-6.899999999999995E-2</v>
      </c>
      <c r="L85" t="s">
        <v>75</v>
      </c>
      <c r="M85" s="2"/>
    </row>
    <row r="86" spans="1:13" x14ac:dyDescent="0.2">
      <c r="A86" t="s">
        <v>14</v>
      </c>
      <c r="B86">
        <v>0</v>
      </c>
      <c r="C86" s="2">
        <f>C84</f>
        <v>3.0500000000000003</v>
      </c>
      <c r="D86" s="2">
        <f>D84</f>
        <v>3.0500000000000003</v>
      </c>
      <c r="E86" s="2">
        <f t="shared" si="21"/>
        <v>0</v>
      </c>
      <c r="F86" s="1">
        <f t="shared" si="22"/>
        <v>0</v>
      </c>
      <c r="I86" s="4"/>
      <c r="J86" s="4"/>
      <c r="K86" s="21">
        <f>D95-D91</f>
        <v>-6.899999999999995E-2</v>
      </c>
      <c r="L86" t="s">
        <v>76</v>
      </c>
      <c r="M86" s="2"/>
    </row>
    <row r="87" spans="1:13" x14ac:dyDescent="0.2">
      <c r="A87" t="s">
        <v>15</v>
      </c>
      <c r="B87">
        <v>0</v>
      </c>
      <c r="C87" s="2">
        <f>C80</f>
        <v>3.79</v>
      </c>
      <c r="D87" s="2">
        <f>D80</f>
        <v>2.98</v>
      </c>
      <c r="E87" s="2">
        <f t="shared" si="21"/>
        <v>-0.81</v>
      </c>
      <c r="F87" s="1">
        <f>B87*E87*10000</f>
        <v>0</v>
      </c>
      <c r="I87" s="4"/>
      <c r="J87" s="4"/>
      <c r="M87" s="2"/>
    </row>
    <row r="88" spans="1:13" x14ac:dyDescent="0.2">
      <c r="A88" t="s">
        <v>16</v>
      </c>
      <c r="B88">
        <v>0</v>
      </c>
      <c r="C88" s="2">
        <f>C79</f>
        <v>2.88</v>
      </c>
      <c r="D88" s="2">
        <f>D79</f>
        <v>2.88</v>
      </c>
      <c r="E88" s="2">
        <f t="shared" si="21"/>
        <v>0</v>
      </c>
      <c r="F88" s="1">
        <f>B88*E88*10000</f>
        <v>0</v>
      </c>
      <c r="G88">
        <f>SUM(B85:B88)</f>
        <v>31</v>
      </c>
      <c r="H88" s="3">
        <f>SUM(F85:F88)</f>
        <v>0</v>
      </c>
      <c r="I88" s="4"/>
      <c r="J88" s="4"/>
      <c r="K88" s="21" t="s">
        <v>92</v>
      </c>
      <c r="L88" t="s">
        <v>88</v>
      </c>
      <c r="M88" s="2"/>
    </row>
    <row r="89" spans="1:13" x14ac:dyDescent="0.2">
      <c r="A89" t="s">
        <v>90</v>
      </c>
      <c r="B89">
        <v>0</v>
      </c>
      <c r="C89" s="2">
        <v>14.14</v>
      </c>
      <c r="D89" s="2">
        <v>14</v>
      </c>
      <c r="E89" s="2">
        <f t="shared" si="21"/>
        <v>-0.14000000000000057</v>
      </c>
      <c r="F89" s="1">
        <f t="shared" si="22"/>
        <v>0</v>
      </c>
      <c r="H89" t="s">
        <v>83</v>
      </c>
      <c r="I89" s="4">
        <f>C81-C90</f>
        <v>-0.11800000000000033</v>
      </c>
      <c r="J89" s="4"/>
      <c r="K89" s="21">
        <f>D97-I96</f>
        <v>-1.8750000000000266E-2</v>
      </c>
      <c r="L89" t="s">
        <v>89</v>
      </c>
      <c r="M89" s="2"/>
    </row>
    <row r="90" spans="1:13" x14ac:dyDescent="0.2">
      <c r="A90" t="s">
        <v>4</v>
      </c>
      <c r="B90">
        <v>881</v>
      </c>
      <c r="C90" s="2">
        <v>3.2480000000000002</v>
      </c>
      <c r="D90" s="2">
        <f>D41</f>
        <v>3.2480000000000002</v>
      </c>
      <c r="E90" s="2">
        <f t="shared" si="21"/>
        <v>0</v>
      </c>
      <c r="F90" s="1">
        <f t="shared" ref="F90:F99" si="23">B90*E90*10000</f>
        <v>0</v>
      </c>
      <c r="H90" t="s">
        <v>84</v>
      </c>
      <c r="I90" s="4">
        <f>D81-D90</f>
        <v>-0.11800000000000033</v>
      </c>
      <c r="J90" s="4"/>
      <c r="M90" s="2"/>
    </row>
    <row r="91" spans="1:13" x14ac:dyDescent="0.2">
      <c r="A91" t="s">
        <v>50</v>
      </c>
      <c r="B91">
        <v>-508</v>
      </c>
      <c r="C91" s="2">
        <v>3.3919999999999999</v>
      </c>
      <c r="D91" s="2">
        <f>D51</f>
        <v>3.3919999999999999</v>
      </c>
      <c r="E91" s="2">
        <f t="shared" si="21"/>
        <v>0</v>
      </c>
      <c r="F91" s="1">
        <f t="shared" si="23"/>
        <v>0</v>
      </c>
      <c r="H91" t="s">
        <v>64</v>
      </c>
      <c r="I91" s="4">
        <f>C97</f>
        <v>3.3170000000000002</v>
      </c>
      <c r="J91" s="4"/>
      <c r="M91" s="2"/>
    </row>
    <row r="92" spans="1:13" x14ac:dyDescent="0.2">
      <c r="A92" t="s">
        <v>32</v>
      </c>
      <c r="B92">
        <v>-112</v>
      </c>
      <c r="C92" s="2">
        <v>3.3839999999999999</v>
      </c>
      <c r="D92" s="2">
        <f>D57</f>
        <v>3.3839999999999999</v>
      </c>
      <c r="E92" s="2">
        <f t="shared" si="21"/>
        <v>0</v>
      </c>
      <c r="F92" s="1">
        <f t="shared" si="23"/>
        <v>0</v>
      </c>
      <c r="H92" t="s">
        <v>63</v>
      </c>
      <c r="I92" s="4">
        <f>D97</f>
        <v>3.3180000000000001</v>
      </c>
      <c r="J92" s="4">
        <f>C96</f>
        <v>3.2429999999999999</v>
      </c>
      <c r="M92" s="2"/>
    </row>
    <row r="93" spans="1:13" x14ac:dyDescent="0.2">
      <c r="B93">
        <v>0</v>
      </c>
      <c r="C93" s="2">
        <v>3.3029999999999999</v>
      </c>
      <c r="D93" s="2">
        <f>D61</f>
        <v>3.3839999999999999</v>
      </c>
      <c r="E93" s="2">
        <f t="shared" si="21"/>
        <v>8.0999999999999961E-2</v>
      </c>
      <c r="F93" s="1">
        <f t="shared" si="23"/>
        <v>0</v>
      </c>
      <c r="G93" s="21">
        <f>AVERAGE(D91:D92,D95:D96)</f>
        <v>3.3555000000000001</v>
      </c>
      <c r="H93" t="s">
        <v>55</v>
      </c>
      <c r="I93" s="4">
        <f>((C97*7)+(C98*2))/9</f>
        <v>3.395888888888889</v>
      </c>
      <c r="J93" s="4">
        <f>C96</f>
        <v>3.2429999999999999</v>
      </c>
      <c r="K93" t="s">
        <v>54</v>
      </c>
      <c r="M93" s="2"/>
    </row>
    <row r="94" spans="1:13" x14ac:dyDescent="0.2">
      <c r="A94" s="20"/>
      <c r="B94">
        <v>0</v>
      </c>
      <c r="C94" s="2">
        <v>3.72</v>
      </c>
      <c r="D94" s="2">
        <f>D65</f>
        <v>3.3839999999999999</v>
      </c>
      <c r="E94" s="2">
        <f t="shared" si="21"/>
        <v>-0.3360000000000003</v>
      </c>
      <c r="F94" s="1">
        <f t="shared" si="23"/>
        <v>0</v>
      </c>
      <c r="H94" t="s">
        <v>58</v>
      </c>
      <c r="I94" s="4">
        <f>((J93*3)+(I93*9))/12</f>
        <v>3.3576666666666668</v>
      </c>
      <c r="J94" s="4"/>
    </row>
    <row r="95" spans="1:13" x14ac:dyDescent="0.2">
      <c r="A95" s="20" t="s">
        <v>51</v>
      </c>
      <c r="B95">
        <v>53</v>
      </c>
      <c r="C95" s="2">
        <v>3.323</v>
      </c>
      <c r="D95" s="2">
        <f>D69</f>
        <v>3.323</v>
      </c>
      <c r="E95" s="2">
        <f>D95-C95</f>
        <v>0</v>
      </c>
      <c r="F95" s="1">
        <f t="shared" si="23"/>
        <v>0</v>
      </c>
      <c r="H95" t="s">
        <v>59</v>
      </c>
      <c r="I95" s="4">
        <f>((D92+D95+D96)+(D97*7)+(D98*2))/12</f>
        <v>3.3835000000000002</v>
      </c>
      <c r="J95" s="4"/>
    </row>
    <row r="96" spans="1:13" x14ac:dyDescent="0.2">
      <c r="B96">
        <v>0</v>
      </c>
      <c r="C96" s="2">
        <v>3.2429999999999999</v>
      </c>
      <c r="D96" s="2">
        <f>D71</f>
        <v>3.323</v>
      </c>
      <c r="E96" s="2">
        <f>D96-C96</f>
        <v>8.0000000000000071E-2</v>
      </c>
      <c r="F96" s="1">
        <f t="shared" si="23"/>
        <v>0</v>
      </c>
      <c r="H96" t="s">
        <v>85</v>
      </c>
      <c r="I96" s="4">
        <f>AVERAGE(D90:D92,D95)</f>
        <v>3.3367500000000003</v>
      </c>
      <c r="J96" s="4">
        <f>AVERAGE(C90)</f>
        <v>3.2480000000000002</v>
      </c>
      <c r="K96" t="s">
        <v>68</v>
      </c>
    </row>
    <row r="97" spans="1:12" x14ac:dyDescent="0.2">
      <c r="A97" t="s">
        <v>66</v>
      </c>
      <c r="B97">
        <v>-103</v>
      </c>
      <c r="C97" s="2">
        <v>3.3170000000000002</v>
      </c>
      <c r="D97" s="2">
        <f>D74</f>
        <v>3.3180000000000001</v>
      </c>
      <c r="E97" s="2">
        <f>D97-C97</f>
        <v>9.9999999999988987E-4</v>
      </c>
      <c r="F97" s="1">
        <f>B97*E97*10000</f>
        <v>-1029.9999999998865</v>
      </c>
      <c r="H97" t="s">
        <v>86</v>
      </c>
      <c r="I97" s="4">
        <f>AVERAGE(C90:C92,C95)</f>
        <v>3.3367500000000003</v>
      </c>
      <c r="J97" s="4"/>
    </row>
    <row r="98" spans="1:12" x14ac:dyDescent="0.2">
      <c r="A98" s="20" t="s">
        <v>65</v>
      </c>
      <c r="B98">
        <v>-55</v>
      </c>
      <c r="C98" s="2">
        <v>3.6720000000000002</v>
      </c>
      <c r="D98" s="2">
        <f>D76</f>
        <v>3.673</v>
      </c>
      <c r="E98" s="2">
        <f>D98-C98</f>
        <v>9.9999999999988987E-4</v>
      </c>
      <c r="F98" s="1">
        <f>B98*E98*10000</f>
        <v>-549.9999999999394</v>
      </c>
      <c r="I98" s="4"/>
      <c r="J98" s="4"/>
    </row>
    <row r="99" spans="1:12" x14ac:dyDescent="0.2">
      <c r="A99" s="20" t="s">
        <v>56</v>
      </c>
      <c r="B99">
        <v>-2</v>
      </c>
      <c r="C99" s="2">
        <v>3.7770000000000001</v>
      </c>
      <c r="D99" s="2">
        <f>D77</f>
        <v>3.778</v>
      </c>
      <c r="E99" s="2">
        <f>D99-C99</f>
        <v>9.9999999999988987E-4</v>
      </c>
      <c r="F99" s="1">
        <f t="shared" si="23"/>
        <v>-19.999999999997797</v>
      </c>
      <c r="H99" s="3">
        <f>SUM(F90:F99)</f>
        <v>-1599.9999999998236</v>
      </c>
      <c r="I99" s="4"/>
      <c r="J99" s="4">
        <f>D90</f>
        <v>3.2480000000000002</v>
      </c>
      <c r="K99" t="s">
        <v>87</v>
      </c>
    </row>
    <row r="100" spans="1:12" x14ac:dyDescent="0.2">
      <c r="A100" s="20"/>
      <c r="B100">
        <f>SUM(B79:B99)</f>
        <v>154</v>
      </c>
      <c r="C100" s="2">
        <f>C99-C95</f>
        <v>0.45400000000000018</v>
      </c>
      <c r="D100" s="2"/>
      <c r="E100" s="2"/>
      <c r="F100" s="1"/>
      <c r="H100" s="3">
        <f>H88+H99+H84</f>
        <v>-1599.9999999998236</v>
      </c>
      <c r="I100" s="4"/>
      <c r="J100" s="4">
        <f>AVERAGE(D90:D91)</f>
        <v>3.3200000000000003</v>
      </c>
      <c r="K100" t="s">
        <v>73</v>
      </c>
    </row>
    <row r="101" spans="1:12" x14ac:dyDescent="0.2">
      <c r="B101" t="s">
        <v>1</v>
      </c>
      <c r="C101" s="2"/>
      <c r="D101" s="2"/>
      <c r="I101" s="4"/>
      <c r="J101" s="4">
        <f>AVERAGE([1]Sheet1!$F$4:$Q$4)</f>
        <v>3.3454999999999999</v>
      </c>
      <c r="K101" t="s">
        <v>74</v>
      </c>
    </row>
    <row r="102" spans="1:12" x14ac:dyDescent="0.2">
      <c r="A102" t="s">
        <v>81</v>
      </c>
      <c r="B102">
        <v>0</v>
      </c>
      <c r="C102" s="2">
        <v>2.9950000000000001</v>
      </c>
      <c r="D102" s="2">
        <f>D13</f>
        <v>3.13</v>
      </c>
      <c r="E102" s="2">
        <f t="shared" ref="E102:E123" si="24">D102-C102</f>
        <v>0.13499999999999979</v>
      </c>
      <c r="F102" s="1">
        <f t="shared" ref="F102:F123" si="25">B102*E102*10000</f>
        <v>0</v>
      </c>
      <c r="I102" s="4" t="s">
        <v>60</v>
      </c>
      <c r="J102" s="4" t="s">
        <v>61</v>
      </c>
    </row>
    <row r="103" spans="1:12" x14ac:dyDescent="0.2">
      <c r="A103" t="s">
        <v>81</v>
      </c>
      <c r="B103">
        <v>0</v>
      </c>
      <c r="C103" s="2">
        <v>1.895</v>
      </c>
      <c r="D103" s="2">
        <f>D102</f>
        <v>3.13</v>
      </c>
      <c r="E103" s="2">
        <f t="shared" si="24"/>
        <v>1.2349999999999999</v>
      </c>
      <c r="F103" s="1">
        <f t="shared" si="25"/>
        <v>0</v>
      </c>
      <c r="I103" s="4">
        <f>I97-J96</f>
        <v>8.8750000000000107E-2</v>
      </c>
      <c r="J103" s="4">
        <f>I96-J99</f>
        <v>8.8750000000000107E-2</v>
      </c>
    </row>
    <row r="104" spans="1:12" x14ac:dyDescent="0.2">
      <c r="A104" t="s">
        <v>81</v>
      </c>
      <c r="B104">
        <v>0</v>
      </c>
      <c r="C104" s="2">
        <v>1.9025000000000001</v>
      </c>
      <c r="D104" s="2">
        <f>D103</f>
        <v>3.13</v>
      </c>
      <c r="E104" s="2">
        <f t="shared" si="24"/>
        <v>1.2274999999999998</v>
      </c>
      <c r="F104" s="1">
        <f t="shared" si="25"/>
        <v>0</v>
      </c>
      <c r="I104" s="4"/>
      <c r="J104" s="56">
        <f>L104+K104</f>
        <v>285548.56</v>
      </c>
      <c r="K104" s="1">
        <v>138185.53</v>
      </c>
      <c r="L104" s="1">
        <v>147363.03</v>
      </c>
    </row>
    <row r="105" spans="1:12" x14ac:dyDescent="0.2">
      <c r="A105" t="s">
        <v>81</v>
      </c>
      <c r="B105">
        <v>0</v>
      </c>
      <c r="C105" s="2">
        <v>1.9075</v>
      </c>
      <c r="D105" s="2">
        <f>D104</f>
        <v>3.13</v>
      </c>
      <c r="E105" s="2">
        <f t="shared" si="24"/>
        <v>1.2224999999999999</v>
      </c>
      <c r="F105" s="1">
        <f t="shared" si="25"/>
        <v>0</v>
      </c>
      <c r="H105" s="3"/>
      <c r="I105" s="4"/>
      <c r="J105" s="56">
        <f>L105-K105</f>
        <v>1324968.6100000001</v>
      </c>
      <c r="K105" s="1">
        <v>5681</v>
      </c>
      <c r="L105" s="1">
        <v>1330649.6100000001</v>
      </c>
    </row>
    <row r="106" spans="1:12" x14ac:dyDescent="0.2">
      <c r="A106" t="s">
        <v>81</v>
      </c>
      <c r="B106">
        <v>0</v>
      </c>
      <c r="C106" s="2">
        <v>3.0950000000000002</v>
      </c>
      <c r="D106" s="2">
        <f>D105</f>
        <v>3.13</v>
      </c>
      <c r="E106" s="2">
        <f t="shared" si="24"/>
        <v>3.4999999999999698E-2</v>
      </c>
      <c r="F106" s="1">
        <f t="shared" si="25"/>
        <v>0</v>
      </c>
      <c r="I106" s="4"/>
      <c r="J106" s="1">
        <f>J104+J105</f>
        <v>1610517.1700000002</v>
      </c>
      <c r="L106" s="1">
        <f>L104+L105</f>
        <v>1478012.6400000001</v>
      </c>
    </row>
    <row r="107" spans="1:12" x14ac:dyDescent="0.2">
      <c r="A107" t="s">
        <v>81</v>
      </c>
      <c r="B107">
        <v>0</v>
      </c>
      <c r="C107" s="2">
        <v>3.0950000000000002</v>
      </c>
      <c r="D107" s="2">
        <f>D106</f>
        <v>3.13</v>
      </c>
      <c r="E107" s="2">
        <f t="shared" si="24"/>
        <v>3.4999999999999698E-2</v>
      </c>
      <c r="F107" s="1">
        <f t="shared" si="25"/>
        <v>0</v>
      </c>
      <c r="H107">
        <v>416053.84</v>
      </c>
      <c r="I107" s="4"/>
      <c r="J107" s="4"/>
    </row>
    <row r="108" spans="1:12" x14ac:dyDescent="0.2">
      <c r="A108" t="s">
        <v>81</v>
      </c>
      <c r="B108">
        <v>0</v>
      </c>
      <c r="C108" s="2">
        <v>5.1849999999999996</v>
      </c>
      <c r="D108" s="2">
        <f>D103</f>
        <v>3.13</v>
      </c>
      <c r="E108" s="2">
        <f t="shared" si="24"/>
        <v>-2.0549999999999997</v>
      </c>
      <c r="F108" s="1">
        <f t="shared" si="25"/>
        <v>0</v>
      </c>
      <c r="H108">
        <v>322103.36</v>
      </c>
      <c r="I108" s="4"/>
      <c r="J108" s="4">
        <f>J106*0.9</f>
        <v>1449465.4530000002</v>
      </c>
    </row>
    <row r="109" spans="1:12" x14ac:dyDescent="0.2">
      <c r="A109" t="s">
        <v>81</v>
      </c>
      <c r="B109">
        <v>0</v>
      </c>
      <c r="C109" s="2">
        <v>5.13</v>
      </c>
      <c r="D109" s="2">
        <f>D108</f>
        <v>3.13</v>
      </c>
      <c r="E109" s="2">
        <f t="shared" si="24"/>
        <v>-2</v>
      </c>
      <c r="F109" s="1">
        <f t="shared" si="25"/>
        <v>0</v>
      </c>
      <c r="I109" s="4"/>
      <c r="J109" s="4"/>
    </row>
    <row r="110" spans="1:12" x14ac:dyDescent="0.2">
      <c r="A110" t="s">
        <v>81</v>
      </c>
      <c r="B110">
        <v>0</v>
      </c>
      <c r="C110" s="2">
        <v>5.085</v>
      </c>
      <c r="D110" s="2">
        <f>D102</f>
        <v>3.13</v>
      </c>
      <c r="E110" s="2">
        <f t="shared" si="24"/>
        <v>-1.9550000000000001</v>
      </c>
      <c r="F110" s="1">
        <f t="shared" si="25"/>
        <v>0</v>
      </c>
      <c r="I110" s="4"/>
      <c r="J110" s="4"/>
    </row>
    <row r="111" spans="1:12" x14ac:dyDescent="0.2">
      <c r="A111" t="s">
        <v>82</v>
      </c>
      <c r="B111">
        <v>0</v>
      </c>
      <c r="C111" s="2">
        <v>3.02</v>
      </c>
      <c r="D111" s="2">
        <f>D14</f>
        <v>3.1</v>
      </c>
      <c r="E111" s="2">
        <f t="shared" si="24"/>
        <v>8.0000000000000071E-2</v>
      </c>
      <c r="F111" s="1">
        <f t="shared" si="25"/>
        <v>0</v>
      </c>
      <c r="I111" s="4"/>
      <c r="J111" s="4"/>
    </row>
    <row r="112" spans="1:12" x14ac:dyDescent="0.2">
      <c r="A112" t="s">
        <v>82</v>
      </c>
      <c r="B112">
        <v>0</v>
      </c>
      <c r="C112" s="2">
        <v>2.2599999999999998</v>
      </c>
      <c r="D112" s="2">
        <f>D15</f>
        <v>3.1</v>
      </c>
      <c r="E112" s="2">
        <f t="shared" si="24"/>
        <v>0.8400000000000003</v>
      </c>
      <c r="F112" s="1">
        <f t="shared" si="25"/>
        <v>0</v>
      </c>
      <c r="I112" s="4"/>
      <c r="J112" s="4"/>
    </row>
    <row r="113" spans="1:10" x14ac:dyDescent="0.2">
      <c r="A113" t="s">
        <v>82</v>
      </c>
      <c r="B113">
        <v>0</v>
      </c>
      <c r="C113" s="2">
        <v>2.105</v>
      </c>
      <c r="D113" s="2">
        <f>D16</f>
        <v>3.1</v>
      </c>
      <c r="E113" s="2">
        <f t="shared" si="24"/>
        <v>0.99500000000000011</v>
      </c>
      <c r="F113" s="1">
        <f t="shared" si="25"/>
        <v>0</v>
      </c>
      <c r="I113" s="4"/>
      <c r="J113" s="4"/>
    </row>
    <row r="114" spans="1:10" x14ac:dyDescent="0.2">
      <c r="A114" t="s">
        <v>82</v>
      </c>
      <c r="B114">
        <v>0</v>
      </c>
      <c r="C114" s="2">
        <v>2.105</v>
      </c>
      <c r="D114" s="2">
        <f>D17</f>
        <v>3.1</v>
      </c>
      <c r="E114" s="2">
        <f t="shared" si="24"/>
        <v>0.99500000000000011</v>
      </c>
      <c r="F114" s="1">
        <f t="shared" si="25"/>
        <v>0</v>
      </c>
      <c r="I114" s="4"/>
      <c r="J114" s="4"/>
    </row>
    <row r="115" spans="1:10" x14ac:dyDescent="0.2">
      <c r="A115" t="s">
        <v>82</v>
      </c>
      <c r="B115">
        <v>0</v>
      </c>
      <c r="C115" s="2">
        <v>2.11</v>
      </c>
      <c r="D115" s="2">
        <f>D18</f>
        <v>3.1</v>
      </c>
      <c r="E115" s="2">
        <f t="shared" si="24"/>
        <v>0.99000000000000021</v>
      </c>
      <c r="F115" s="1">
        <f t="shared" si="25"/>
        <v>0</v>
      </c>
      <c r="I115" s="4"/>
      <c r="J115" s="4"/>
    </row>
    <row r="116" spans="1:10" x14ac:dyDescent="0.2">
      <c r="A116" t="s">
        <v>82</v>
      </c>
      <c r="B116">
        <v>0</v>
      </c>
      <c r="C116" s="2">
        <v>2.2400000000000002</v>
      </c>
      <c r="D116" s="2">
        <f>D15</f>
        <v>3.1</v>
      </c>
      <c r="E116" s="2">
        <f t="shared" si="24"/>
        <v>0.85999999999999988</v>
      </c>
      <c r="F116" s="1">
        <f t="shared" si="25"/>
        <v>0</v>
      </c>
      <c r="I116" s="4"/>
      <c r="J116" s="4"/>
    </row>
    <row r="117" spans="1:10" x14ac:dyDescent="0.2">
      <c r="A117" t="s">
        <v>82</v>
      </c>
      <c r="B117">
        <v>0</v>
      </c>
      <c r="C117" s="2">
        <v>2.15</v>
      </c>
      <c r="D117" s="2">
        <f>D16</f>
        <v>3.1</v>
      </c>
      <c r="E117" s="2">
        <f t="shared" si="24"/>
        <v>0.95000000000000018</v>
      </c>
      <c r="F117" s="1">
        <f t="shared" si="25"/>
        <v>0</v>
      </c>
      <c r="I117" s="4"/>
      <c r="J117" s="4"/>
    </row>
    <row r="118" spans="1:10" x14ac:dyDescent="0.2">
      <c r="A118" t="s">
        <v>82</v>
      </c>
      <c r="B118">
        <v>0</v>
      </c>
      <c r="C118" s="2">
        <v>3.12</v>
      </c>
      <c r="D118" s="2">
        <f>D21</f>
        <v>3.1</v>
      </c>
      <c r="E118" s="2">
        <f t="shared" si="24"/>
        <v>-2.0000000000000018E-2</v>
      </c>
      <c r="F118" s="1">
        <f t="shared" si="25"/>
        <v>0</v>
      </c>
      <c r="I118" s="4"/>
      <c r="J118" s="4"/>
    </row>
    <row r="119" spans="1:10" x14ac:dyDescent="0.2">
      <c r="A119" t="s">
        <v>82</v>
      </c>
      <c r="B119">
        <v>0</v>
      </c>
      <c r="C119" s="2">
        <v>3.1124999999999998</v>
      </c>
      <c r="D119" s="2">
        <f>D22</f>
        <v>3.1</v>
      </c>
      <c r="E119" s="2">
        <f t="shared" si="24"/>
        <v>-1.2499999999999734E-2</v>
      </c>
      <c r="F119" s="1">
        <f t="shared" si="25"/>
        <v>0</v>
      </c>
      <c r="I119" s="4"/>
      <c r="J119" s="4"/>
    </row>
    <row r="120" spans="1:10" x14ac:dyDescent="0.2">
      <c r="A120" t="s">
        <v>82</v>
      </c>
      <c r="B120">
        <v>0</v>
      </c>
      <c r="C120" s="2">
        <v>3.1375000000000002</v>
      </c>
      <c r="D120" s="2">
        <f>D111</f>
        <v>3.1</v>
      </c>
      <c r="E120" s="2">
        <f t="shared" si="24"/>
        <v>-3.7500000000000089E-2</v>
      </c>
      <c r="F120" s="1">
        <f t="shared" si="25"/>
        <v>0</v>
      </c>
      <c r="I120" s="4"/>
      <c r="J120" s="4"/>
    </row>
    <row r="121" spans="1:10" x14ac:dyDescent="0.2">
      <c r="A121" t="s">
        <v>82</v>
      </c>
      <c r="B121">
        <v>0</v>
      </c>
      <c r="C121" s="2">
        <v>3.24</v>
      </c>
      <c r="D121" s="2">
        <f>D120</f>
        <v>3.1</v>
      </c>
      <c r="E121" s="2">
        <f t="shared" si="24"/>
        <v>-0.14000000000000012</v>
      </c>
      <c r="F121" s="1">
        <f t="shared" si="25"/>
        <v>0</v>
      </c>
      <c r="I121" s="4"/>
      <c r="J121" s="4"/>
    </row>
    <row r="122" spans="1:10" x14ac:dyDescent="0.2">
      <c r="A122" t="s">
        <v>82</v>
      </c>
      <c r="B122">
        <v>0</v>
      </c>
      <c r="C122" s="2">
        <v>3.2475000000000001</v>
      </c>
      <c r="D122" s="2">
        <f>D121</f>
        <v>3.1</v>
      </c>
      <c r="E122" s="2">
        <f t="shared" si="24"/>
        <v>-0.14749999999999996</v>
      </c>
      <c r="F122" s="1">
        <f t="shared" si="25"/>
        <v>0</v>
      </c>
      <c r="I122" s="4"/>
      <c r="J122" s="4"/>
    </row>
    <row r="123" spans="1:10" x14ac:dyDescent="0.2">
      <c r="A123" t="s">
        <v>13</v>
      </c>
      <c r="B123">
        <v>0</v>
      </c>
      <c r="C123" s="2">
        <v>2.12</v>
      </c>
      <c r="D123" s="2">
        <f>D88</f>
        <v>2.88</v>
      </c>
      <c r="E123" s="2">
        <f t="shared" si="24"/>
        <v>0.75999999999999979</v>
      </c>
      <c r="F123" s="1">
        <f t="shared" si="25"/>
        <v>0</v>
      </c>
      <c r="I123" s="4"/>
      <c r="J123" s="4"/>
    </row>
    <row r="124" spans="1:10" x14ac:dyDescent="0.2">
      <c r="A124" t="s">
        <v>13</v>
      </c>
      <c r="B124">
        <v>0</v>
      </c>
      <c r="C124" s="2">
        <v>2.0699999999999998</v>
      </c>
      <c r="D124" s="2">
        <f t="shared" ref="D124:D129" si="26">D123</f>
        <v>2.88</v>
      </c>
      <c r="E124" s="2">
        <f t="shared" ref="E124:E129" si="27">D124-C124</f>
        <v>0.81</v>
      </c>
      <c r="F124" s="1">
        <f t="shared" ref="F124:F129" si="28">B124*E124*10000</f>
        <v>0</v>
      </c>
      <c r="I124" s="4"/>
      <c r="J124" s="4"/>
    </row>
    <row r="125" spans="1:10" x14ac:dyDescent="0.2">
      <c r="A125" t="s">
        <v>13</v>
      </c>
      <c r="B125">
        <v>0</v>
      </c>
      <c r="C125" s="2">
        <v>2.9175</v>
      </c>
      <c r="D125" s="2">
        <f t="shared" si="26"/>
        <v>2.88</v>
      </c>
      <c r="E125" s="2">
        <f t="shared" si="27"/>
        <v>-3.7500000000000089E-2</v>
      </c>
      <c r="F125" s="1">
        <f t="shared" si="28"/>
        <v>0</v>
      </c>
      <c r="I125" s="4"/>
      <c r="J125" s="4"/>
    </row>
    <row r="126" spans="1:10" x14ac:dyDescent="0.2">
      <c r="A126" t="s">
        <v>13</v>
      </c>
      <c r="B126">
        <v>0</v>
      </c>
      <c r="C126" s="2">
        <v>3.0225</v>
      </c>
      <c r="D126" s="2">
        <f t="shared" si="26"/>
        <v>2.88</v>
      </c>
      <c r="E126" s="2">
        <f t="shared" si="27"/>
        <v>-0.14250000000000007</v>
      </c>
      <c r="F126" s="1">
        <f t="shared" si="28"/>
        <v>0</v>
      </c>
      <c r="I126" s="4"/>
      <c r="J126" s="4"/>
    </row>
    <row r="127" spans="1:10" x14ac:dyDescent="0.2">
      <c r="A127" t="s">
        <v>13</v>
      </c>
      <c r="B127">
        <v>0</v>
      </c>
      <c r="C127" s="2">
        <v>3.04</v>
      </c>
      <c r="D127" s="2">
        <f t="shared" si="26"/>
        <v>2.88</v>
      </c>
      <c r="E127" s="2">
        <f t="shared" si="27"/>
        <v>-0.16000000000000014</v>
      </c>
      <c r="F127" s="1">
        <f t="shared" si="28"/>
        <v>0</v>
      </c>
      <c r="I127" s="4"/>
      <c r="J127" s="4"/>
    </row>
    <row r="128" spans="1:10" x14ac:dyDescent="0.2">
      <c r="A128" t="s">
        <v>13</v>
      </c>
      <c r="B128">
        <v>0</v>
      </c>
      <c r="C128" s="2">
        <v>3.04</v>
      </c>
      <c r="D128" s="2">
        <f t="shared" si="26"/>
        <v>2.88</v>
      </c>
      <c r="E128" s="2">
        <f t="shared" si="27"/>
        <v>-0.16000000000000014</v>
      </c>
      <c r="F128" s="1">
        <f t="shared" si="28"/>
        <v>0</v>
      </c>
      <c r="I128" s="4"/>
      <c r="J128" s="4"/>
    </row>
    <row r="129" spans="1:13" x14ac:dyDescent="0.2">
      <c r="A129" t="s">
        <v>13</v>
      </c>
      <c r="B129">
        <v>0</v>
      </c>
      <c r="C129" s="2">
        <v>3.04</v>
      </c>
      <c r="D129" s="2">
        <f t="shared" si="26"/>
        <v>2.88</v>
      </c>
      <c r="E129" s="2">
        <f t="shared" si="27"/>
        <v>-0.16000000000000014</v>
      </c>
      <c r="F129" s="1">
        <f t="shared" si="28"/>
        <v>0</v>
      </c>
      <c r="I129" s="4"/>
      <c r="J129" s="4"/>
    </row>
    <row r="130" spans="1:13" x14ac:dyDescent="0.2">
      <c r="A130" t="s">
        <v>13</v>
      </c>
      <c r="B130">
        <v>0</v>
      </c>
      <c r="C130" s="2">
        <v>3.5625</v>
      </c>
      <c r="D130" s="2">
        <f>D123</f>
        <v>2.88</v>
      </c>
      <c r="E130" s="2">
        <f t="shared" ref="E130:E145" si="29">D130-C130</f>
        <v>-0.68250000000000011</v>
      </c>
      <c r="F130" s="1">
        <f t="shared" ref="F130:F145" si="30">B130*E130*10000</f>
        <v>0</v>
      </c>
      <c r="I130" s="4"/>
      <c r="J130" s="4"/>
    </row>
    <row r="131" spans="1:13" x14ac:dyDescent="0.2">
      <c r="A131" t="s">
        <v>12</v>
      </c>
      <c r="B131">
        <v>0</v>
      </c>
      <c r="C131" s="2">
        <v>3.65</v>
      </c>
      <c r="D131" s="2">
        <f>D86</f>
        <v>3.0500000000000003</v>
      </c>
      <c r="E131" s="2">
        <f t="shared" si="29"/>
        <v>-0.59999999999999964</v>
      </c>
      <c r="F131" s="1">
        <f t="shared" si="30"/>
        <v>0</v>
      </c>
      <c r="I131" s="4"/>
      <c r="J131" s="4"/>
    </row>
    <row r="132" spans="1:13" x14ac:dyDescent="0.2">
      <c r="A132" t="s">
        <v>12</v>
      </c>
      <c r="B132">
        <v>0</v>
      </c>
      <c r="C132" s="2">
        <v>4.4349999999999996</v>
      </c>
      <c r="D132" s="2">
        <f>D131</f>
        <v>3.0500000000000003</v>
      </c>
      <c r="E132" s="2">
        <f t="shared" si="29"/>
        <v>-1.3849999999999993</v>
      </c>
      <c r="F132" s="1">
        <f t="shared" si="30"/>
        <v>0</v>
      </c>
      <c r="I132" s="4"/>
      <c r="J132" s="4"/>
    </row>
    <row r="133" spans="1:13" x14ac:dyDescent="0.2">
      <c r="A133" t="s">
        <v>47</v>
      </c>
      <c r="B133">
        <v>0</v>
      </c>
      <c r="C133" s="2">
        <v>2.96</v>
      </c>
      <c r="D133" s="2">
        <f>D85</f>
        <v>3.04</v>
      </c>
      <c r="E133" s="2">
        <f t="shared" si="29"/>
        <v>8.0000000000000071E-2</v>
      </c>
      <c r="F133" s="1">
        <f t="shared" si="30"/>
        <v>0</v>
      </c>
      <c r="I133" s="5"/>
      <c r="J133" s="5"/>
    </row>
    <row r="134" spans="1:13" x14ac:dyDescent="0.2">
      <c r="A134" t="s">
        <v>47</v>
      </c>
      <c r="B134">
        <v>0</v>
      </c>
      <c r="C134" s="2">
        <v>3.125</v>
      </c>
      <c r="D134" s="2">
        <f>D133</f>
        <v>3.04</v>
      </c>
      <c r="E134" s="2">
        <f t="shared" si="29"/>
        <v>-8.4999999999999964E-2</v>
      </c>
      <c r="F134" s="1">
        <f t="shared" si="30"/>
        <v>0</v>
      </c>
      <c r="I134" s="5"/>
      <c r="J134" s="5"/>
    </row>
    <row r="135" spans="1:13" x14ac:dyDescent="0.2">
      <c r="A135" t="s">
        <v>47</v>
      </c>
      <c r="B135">
        <v>0</v>
      </c>
      <c r="C135" s="2">
        <v>3.05</v>
      </c>
      <c r="D135" s="2">
        <f>D134</f>
        <v>3.04</v>
      </c>
      <c r="E135" s="2">
        <f t="shared" si="29"/>
        <v>-9.9999999999997868E-3</v>
      </c>
      <c r="F135" s="1">
        <f t="shared" si="30"/>
        <v>0</v>
      </c>
      <c r="I135" s="5"/>
      <c r="J135" s="5"/>
    </row>
    <row r="136" spans="1:13" x14ac:dyDescent="0.2">
      <c r="A136" t="s">
        <v>27</v>
      </c>
      <c r="B136">
        <v>0</v>
      </c>
      <c r="C136" s="2">
        <v>2.89</v>
      </c>
      <c r="D136" s="2">
        <f>D82</f>
        <v>2.87</v>
      </c>
      <c r="E136" s="2">
        <f t="shared" si="29"/>
        <v>-2.0000000000000018E-2</v>
      </c>
      <c r="F136" s="1">
        <f t="shared" si="30"/>
        <v>0</v>
      </c>
      <c r="H136" s="3">
        <f>H100+F136</f>
        <v>-1599.9999999998236</v>
      </c>
      <c r="I136" s="5"/>
      <c r="J136" s="5"/>
    </row>
    <row r="137" spans="1:13" x14ac:dyDescent="0.2">
      <c r="A137" t="s">
        <v>4</v>
      </c>
      <c r="B137">
        <v>0</v>
      </c>
      <c r="C137" s="2">
        <v>3.23</v>
      </c>
      <c r="D137" s="2">
        <f>D90</f>
        <v>3.2480000000000002</v>
      </c>
      <c r="E137" s="2">
        <f t="shared" si="29"/>
        <v>1.8000000000000238E-2</v>
      </c>
      <c r="F137" s="1">
        <f t="shared" si="30"/>
        <v>0</v>
      </c>
      <c r="I137" s="5"/>
      <c r="J137" s="5"/>
    </row>
    <row r="138" spans="1:13" x14ac:dyDescent="0.2">
      <c r="A138" t="s">
        <v>4</v>
      </c>
      <c r="B138">
        <v>0</v>
      </c>
      <c r="C138" s="2">
        <v>3.2349999999999999</v>
      </c>
      <c r="D138" s="2">
        <f>D137</f>
        <v>3.2480000000000002</v>
      </c>
      <c r="E138" s="2">
        <f t="shared" si="29"/>
        <v>1.3000000000000345E-2</v>
      </c>
      <c r="F138" s="1">
        <f t="shared" si="30"/>
        <v>0</v>
      </c>
      <c r="I138" s="5"/>
      <c r="J138" s="5"/>
    </row>
    <row r="139" spans="1:13" x14ac:dyDescent="0.2">
      <c r="A139" t="s">
        <v>4</v>
      </c>
      <c r="B139">
        <v>0</v>
      </c>
      <c r="C139" s="2">
        <v>3.2149999999999999</v>
      </c>
      <c r="D139" s="2">
        <f>D137</f>
        <v>3.2480000000000002</v>
      </c>
      <c r="E139" s="2">
        <f t="shared" si="29"/>
        <v>3.3000000000000362E-2</v>
      </c>
      <c r="F139" s="1">
        <f t="shared" si="30"/>
        <v>0</v>
      </c>
      <c r="H139" s="3">
        <f>SUM(F137:F141)</f>
        <v>0</v>
      </c>
      <c r="I139" s="5"/>
      <c r="J139" s="5"/>
    </row>
    <row r="140" spans="1:13" x14ac:dyDescent="0.2">
      <c r="A140" t="s">
        <v>4</v>
      </c>
      <c r="B140">
        <v>0</v>
      </c>
      <c r="C140" s="2">
        <v>3.24</v>
      </c>
      <c r="D140" s="2">
        <f>D139</f>
        <v>3.2480000000000002</v>
      </c>
      <c r="E140" s="2">
        <f t="shared" si="29"/>
        <v>8.0000000000000071E-3</v>
      </c>
      <c r="F140" s="1">
        <f t="shared" si="30"/>
        <v>0</v>
      </c>
      <c r="I140" s="5"/>
      <c r="J140" s="5"/>
      <c r="K140" s="5"/>
      <c r="M140" s="5">
        <f>AVERAGE(M14:M49)</f>
        <v>4.0350000000000001</v>
      </c>
    </row>
    <row r="141" spans="1:13" x14ac:dyDescent="0.2">
      <c r="A141" t="s">
        <v>4</v>
      </c>
      <c r="B141">
        <v>0</v>
      </c>
      <c r="C141" s="2">
        <v>3.05</v>
      </c>
      <c r="D141" s="2">
        <f>D140</f>
        <v>3.2480000000000002</v>
      </c>
      <c r="E141" s="2">
        <f t="shared" si="29"/>
        <v>0.1980000000000004</v>
      </c>
      <c r="F141" s="1">
        <f t="shared" si="30"/>
        <v>0</v>
      </c>
      <c r="I141" s="5"/>
      <c r="J141" s="5"/>
      <c r="K141" s="5"/>
      <c r="M141" s="5"/>
    </row>
    <row r="142" spans="1:13" x14ac:dyDescent="0.2">
      <c r="A142" t="s">
        <v>4</v>
      </c>
      <c r="B142">
        <v>0</v>
      </c>
      <c r="C142" s="2">
        <v>1.8149999999999999</v>
      </c>
      <c r="D142" s="2">
        <f>D140</f>
        <v>3.2480000000000002</v>
      </c>
      <c r="E142" s="2">
        <f t="shared" si="29"/>
        <v>1.4330000000000003</v>
      </c>
      <c r="F142" s="1">
        <f t="shared" si="30"/>
        <v>0</v>
      </c>
    </row>
    <row r="143" spans="1:13" x14ac:dyDescent="0.2">
      <c r="A143" t="s">
        <v>4</v>
      </c>
      <c r="B143">
        <v>0</v>
      </c>
      <c r="C143" s="2">
        <v>3.07</v>
      </c>
      <c r="D143" s="2">
        <f>D142</f>
        <v>3.2480000000000002</v>
      </c>
      <c r="E143" s="2">
        <f t="shared" si="29"/>
        <v>0.17800000000000038</v>
      </c>
      <c r="F143" s="1">
        <f t="shared" si="30"/>
        <v>0</v>
      </c>
    </row>
    <row r="144" spans="1:13" x14ac:dyDescent="0.2">
      <c r="A144" t="s">
        <v>4</v>
      </c>
      <c r="B144">
        <v>0</v>
      </c>
      <c r="C144" s="2">
        <v>3.08</v>
      </c>
      <c r="D144" s="2">
        <f>D143</f>
        <v>3.2480000000000002</v>
      </c>
      <c r="E144" s="2">
        <f t="shared" si="29"/>
        <v>0.16800000000000015</v>
      </c>
      <c r="F144" s="1">
        <f t="shared" si="30"/>
        <v>0</v>
      </c>
    </row>
    <row r="145" spans="1:6" x14ac:dyDescent="0.2">
      <c r="A145" t="s">
        <v>4</v>
      </c>
      <c r="B145">
        <v>0</v>
      </c>
      <c r="C145" s="2">
        <v>3.08</v>
      </c>
      <c r="D145" s="2">
        <f>D142</f>
        <v>3.2480000000000002</v>
      </c>
      <c r="E145" s="2">
        <f t="shared" si="29"/>
        <v>0.16800000000000015</v>
      </c>
      <c r="F145" s="1">
        <f t="shared" si="30"/>
        <v>0</v>
      </c>
    </row>
    <row r="146" spans="1:6" x14ac:dyDescent="0.2">
      <c r="A146" t="s">
        <v>4</v>
      </c>
      <c r="B146">
        <v>0</v>
      </c>
      <c r="C146" s="2">
        <v>3.1749999999999998</v>
      </c>
      <c r="D146" s="2">
        <f>D145</f>
        <v>3.2480000000000002</v>
      </c>
      <c r="E146" s="2">
        <f t="shared" ref="E146:E154" si="31">D146-C146</f>
        <v>7.3000000000000398E-2</v>
      </c>
      <c r="F146" s="1">
        <f t="shared" ref="F146:F177" si="32">B146*E146*10000</f>
        <v>0</v>
      </c>
    </row>
    <row r="147" spans="1:6" x14ac:dyDescent="0.2">
      <c r="A147" t="s">
        <v>4</v>
      </c>
      <c r="B147">
        <v>0</v>
      </c>
      <c r="C147" s="2">
        <v>3.1850000000000001</v>
      </c>
      <c r="D147" s="2">
        <f t="shared" ref="D147:D154" si="33">D146</f>
        <v>3.2480000000000002</v>
      </c>
      <c r="E147" s="2">
        <f t="shared" si="31"/>
        <v>6.3000000000000167E-2</v>
      </c>
      <c r="F147" s="1">
        <f t="shared" si="32"/>
        <v>0</v>
      </c>
    </row>
    <row r="148" spans="1:6" x14ac:dyDescent="0.2">
      <c r="A148" t="s">
        <v>4</v>
      </c>
      <c r="B148">
        <v>0</v>
      </c>
      <c r="C148" s="2">
        <v>3.12</v>
      </c>
      <c r="D148" s="2">
        <f t="shared" si="33"/>
        <v>3.2480000000000002</v>
      </c>
      <c r="E148" s="2">
        <f t="shared" si="31"/>
        <v>0.12800000000000011</v>
      </c>
      <c r="F148" s="1">
        <f t="shared" si="32"/>
        <v>0</v>
      </c>
    </row>
    <row r="149" spans="1:6" x14ac:dyDescent="0.2">
      <c r="A149" t="s">
        <v>4</v>
      </c>
      <c r="B149">
        <v>0</v>
      </c>
      <c r="C149" s="2">
        <v>3.1549999999999998</v>
      </c>
      <c r="D149" s="2">
        <f t="shared" si="33"/>
        <v>3.2480000000000002</v>
      </c>
      <c r="E149" s="2">
        <f t="shared" si="31"/>
        <v>9.3000000000000416E-2</v>
      </c>
      <c r="F149" s="1">
        <f t="shared" si="32"/>
        <v>0</v>
      </c>
    </row>
    <row r="150" spans="1:6" x14ac:dyDescent="0.2">
      <c r="A150" t="s">
        <v>4</v>
      </c>
      <c r="B150">
        <v>0</v>
      </c>
      <c r="C150" s="2">
        <v>3.1549999999999998</v>
      </c>
      <c r="D150" s="2">
        <f t="shared" si="33"/>
        <v>3.2480000000000002</v>
      </c>
      <c r="E150" s="2">
        <f t="shared" si="31"/>
        <v>9.3000000000000416E-2</v>
      </c>
      <c r="F150" s="1">
        <f t="shared" si="32"/>
        <v>0</v>
      </c>
    </row>
    <row r="151" spans="1:6" x14ac:dyDescent="0.2">
      <c r="A151" t="s">
        <v>4</v>
      </c>
      <c r="B151">
        <v>0</v>
      </c>
      <c r="C151" s="2">
        <v>0</v>
      </c>
      <c r="D151" s="2">
        <f t="shared" si="33"/>
        <v>3.2480000000000002</v>
      </c>
      <c r="E151" s="2">
        <f t="shared" si="31"/>
        <v>3.2480000000000002</v>
      </c>
      <c r="F151" s="1">
        <f t="shared" si="32"/>
        <v>0</v>
      </c>
    </row>
    <row r="152" spans="1:6" x14ac:dyDescent="0.2">
      <c r="A152" t="s">
        <v>4</v>
      </c>
      <c r="B152">
        <v>0</v>
      </c>
      <c r="C152" s="2">
        <v>0</v>
      </c>
      <c r="D152" s="2">
        <f t="shared" si="33"/>
        <v>3.2480000000000002</v>
      </c>
      <c r="E152" s="2">
        <f t="shared" si="31"/>
        <v>3.2480000000000002</v>
      </c>
      <c r="F152" s="1">
        <f t="shared" si="32"/>
        <v>0</v>
      </c>
    </row>
    <row r="153" spans="1:6" x14ac:dyDescent="0.2">
      <c r="A153" t="s">
        <v>50</v>
      </c>
      <c r="B153">
        <v>0</v>
      </c>
      <c r="C153" s="2">
        <v>3.2850000000000001</v>
      </c>
      <c r="D153" s="2">
        <f>D91</f>
        <v>3.3919999999999999</v>
      </c>
      <c r="E153" s="2">
        <f t="shared" si="31"/>
        <v>0.10699999999999976</v>
      </c>
      <c r="F153" s="1">
        <f t="shared" si="32"/>
        <v>0</v>
      </c>
    </row>
    <row r="154" spans="1:6" x14ac:dyDescent="0.2">
      <c r="A154" t="s">
        <v>50</v>
      </c>
      <c r="B154">
        <v>0</v>
      </c>
      <c r="C154" s="2">
        <v>3.1875</v>
      </c>
      <c r="D154" s="2">
        <f t="shared" si="33"/>
        <v>3.3919999999999999</v>
      </c>
      <c r="E154" s="2">
        <f t="shared" si="31"/>
        <v>0.2044999999999999</v>
      </c>
      <c r="F154" s="1">
        <f t="shared" si="32"/>
        <v>0</v>
      </c>
    </row>
    <row r="155" spans="1:6" x14ac:dyDescent="0.2">
      <c r="A155" t="s">
        <v>50</v>
      </c>
      <c r="B155">
        <v>0</v>
      </c>
      <c r="C155" s="2">
        <v>2.8675000000000002</v>
      </c>
      <c r="D155" s="2">
        <f>D154</f>
        <v>3.3919999999999999</v>
      </c>
      <c r="E155" s="2">
        <f>D155-C155</f>
        <v>0.52449999999999974</v>
      </c>
      <c r="F155" s="1">
        <f t="shared" si="32"/>
        <v>0</v>
      </c>
    </row>
    <row r="156" spans="1:6" x14ac:dyDescent="0.2">
      <c r="A156" t="s">
        <v>50</v>
      </c>
      <c r="B156">
        <v>0</v>
      </c>
      <c r="C156" s="2">
        <v>2.77</v>
      </c>
      <c r="D156" s="2">
        <f>D155</f>
        <v>3.3919999999999999</v>
      </c>
      <c r="E156" s="2">
        <f>D156-C156</f>
        <v>0.62199999999999989</v>
      </c>
      <c r="F156" s="1">
        <f t="shared" si="32"/>
        <v>0</v>
      </c>
    </row>
    <row r="157" spans="1:6" x14ac:dyDescent="0.2">
      <c r="A157" t="s">
        <v>50</v>
      </c>
      <c r="B157">
        <v>0</v>
      </c>
      <c r="C157" s="2">
        <v>2.8174999999999999</v>
      </c>
      <c r="D157" s="2">
        <f>D156</f>
        <v>3.3919999999999999</v>
      </c>
      <c r="E157" s="2">
        <f>D157-C157</f>
        <v>0.57450000000000001</v>
      </c>
      <c r="F157" s="1">
        <f t="shared" si="32"/>
        <v>0</v>
      </c>
    </row>
    <row r="158" spans="1:6" x14ac:dyDescent="0.2">
      <c r="A158" t="s">
        <v>50</v>
      </c>
      <c r="B158">
        <v>0</v>
      </c>
      <c r="C158" s="2">
        <v>2.8149999999999999</v>
      </c>
      <c r="D158" s="2">
        <f>D157</f>
        <v>3.3919999999999999</v>
      </c>
      <c r="E158" s="2">
        <f>D158-C158</f>
        <v>0.57699999999999996</v>
      </c>
      <c r="F158" s="1">
        <f t="shared" si="32"/>
        <v>0</v>
      </c>
    </row>
    <row r="159" spans="1:6" x14ac:dyDescent="0.2">
      <c r="A159" t="s">
        <v>32</v>
      </c>
      <c r="B159">
        <v>0</v>
      </c>
      <c r="C159" s="2">
        <v>3.2850000000000001</v>
      </c>
      <c r="D159" s="2">
        <f>D92</f>
        <v>3.3839999999999999</v>
      </c>
      <c r="E159" s="2">
        <f t="shared" ref="E159:E166" si="34">D159-C159</f>
        <v>9.8999999999999755E-2</v>
      </c>
      <c r="F159" s="1">
        <f t="shared" si="32"/>
        <v>0</v>
      </c>
    </row>
    <row r="160" spans="1:6" x14ac:dyDescent="0.2">
      <c r="A160" t="s">
        <v>32</v>
      </c>
      <c r="B160">
        <v>0</v>
      </c>
      <c r="C160" s="2">
        <v>2.9474999999999998</v>
      </c>
      <c r="D160" s="2">
        <f t="shared" ref="D160:D167" si="35">D159</f>
        <v>3.3839999999999999</v>
      </c>
      <c r="E160" s="2">
        <f t="shared" si="34"/>
        <v>0.43650000000000011</v>
      </c>
      <c r="F160" s="1">
        <f t="shared" si="32"/>
        <v>0</v>
      </c>
    </row>
    <row r="161" spans="1:10" x14ac:dyDescent="0.2">
      <c r="A161" t="s">
        <v>32</v>
      </c>
      <c r="B161">
        <v>0</v>
      </c>
      <c r="C161" s="2">
        <v>3.03125</v>
      </c>
      <c r="D161" s="2">
        <f t="shared" si="35"/>
        <v>3.3839999999999999</v>
      </c>
      <c r="E161" s="2">
        <f t="shared" si="34"/>
        <v>0.3527499999999999</v>
      </c>
      <c r="F161" s="1">
        <f t="shared" si="32"/>
        <v>0</v>
      </c>
    </row>
    <row r="162" spans="1:10" x14ac:dyDescent="0.2">
      <c r="A162" t="s">
        <v>32</v>
      </c>
      <c r="B162">
        <v>0</v>
      </c>
      <c r="C162" s="2">
        <v>3.03125</v>
      </c>
      <c r="D162" s="2">
        <f t="shared" si="35"/>
        <v>3.3839999999999999</v>
      </c>
      <c r="E162" s="2">
        <f t="shared" si="34"/>
        <v>0.3527499999999999</v>
      </c>
      <c r="F162" s="1">
        <f t="shared" si="32"/>
        <v>0</v>
      </c>
    </row>
    <row r="163" spans="1:10" x14ac:dyDescent="0.2">
      <c r="A163" t="s">
        <v>32</v>
      </c>
      <c r="B163">
        <v>0</v>
      </c>
      <c r="C163" s="2">
        <v>3.3875000000000002</v>
      </c>
      <c r="D163" s="2">
        <f t="shared" si="35"/>
        <v>3.3839999999999999</v>
      </c>
      <c r="E163" s="2">
        <f t="shared" si="34"/>
        <v>-3.5000000000002807E-3</v>
      </c>
      <c r="F163" s="1">
        <f t="shared" si="32"/>
        <v>0</v>
      </c>
    </row>
    <row r="164" spans="1:10" x14ac:dyDescent="0.2">
      <c r="A164" t="s">
        <v>32</v>
      </c>
      <c r="B164">
        <v>0</v>
      </c>
      <c r="C164" s="2">
        <v>3.8149999999999999</v>
      </c>
      <c r="D164" s="2">
        <f t="shared" si="35"/>
        <v>3.3839999999999999</v>
      </c>
      <c r="E164" s="2">
        <f t="shared" si="34"/>
        <v>-0.43100000000000005</v>
      </c>
      <c r="F164" s="1">
        <f t="shared" si="32"/>
        <v>0</v>
      </c>
    </row>
    <row r="165" spans="1:10" x14ac:dyDescent="0.2">
      <c r="A165" t="s">
        <v>32</v>
      </c>
      <c r="B165">
        <v>0</v>
      </c>
      <c r="C165" s="2">
        <v>3.855</v>
      </c>
      <c r="D165" s="2">
        <f t="shared" si="35"/>
        <v>3.3839999999999999</v>
      </c>
      <c r="E165" s="2">
        <f t="shared" si="34"/>
        <v>-0.47100000000000009</v>
      </c>
      <c r="F165" s="1">
        <f t="shared" si="32"/>
        <v>0</v>
      </c>
      <c r="J165">
        <f>J164/13.9</f>
        <v>0</v>
      </c>
    </row>
    <row r="166" spans="1:10" x14ac:dyDescent="0.2">
      <c r="A166" t="s">
        <v>32</v>
      </c>
      <c r="B166">
        <v>0</v>
      </c>
      <c r="C166" s="2">
        <v>3.5</v>
      </c>
      <c r="D166" s="2">
        <f t="shared" si="35"/>
        <v>3.3839999999999999</v>
      </c>
      <c r="E166" s="2">
        <f t="shared" si="34"/>
        <v>-0.1160000000000001</v>
      </c>
      <c r="F166" s="1">
        <f t="shared" si="32"/>
        <v>0</v>
      </c>
    </row>
    <row r="167" spans="1:10" x14ac:dyDescent="0.2">
      <c r="A167" t="s">
        <v>32</v>
      </c>
      <c r="B167">
        <v>0</v>
      </c>
      <c r="C167" s="2">
        <v>4.7350000000000003</v>
      </c>
      <c r="D167" s="2">
        <f t="shared" si="35"/>
        <v>3.3839999999999999</v>
      </c>
      <c r="E167" s="2">
        <f t="shared" ref="E167:E177" si="36">D167-C167</f>
        <v>-1.3510000000000004</v>
      </c>
      <c r="F167" s="1">
        <f t="shared" si="32"/>
        <v>0</v>
      </c>
    </row>
    <row r="168" spans="1:10" x14ac:dyDescent="0.2">
      <c r="A168" t="s">
        <v>32</v>
      </c>
      <c r="B168">
        <v>0</v>
      </c>
      <c r="C168" s="2">
        <v>4.63</v>
      </c>
      <c r="D168" s="2">
        <f t="shared" ref="D168:D174" si="37">D167</f>
        <v>3.3839999999999999</v>
      </c>
      <c r="E168" s="2">
        <f t="shared" si="36"/>
        <v>-1.246</v>
      </c>
      <c r="F168" s="1">
        <f t="shared" si="32"/>
        <v>0</v>
      </c>
    </row>
    <row r="169" spans="1:10" x14ac:dyDescent="0.2">
      <c r="A169" t="s">
        <v>51</v>
      </c>
      <c r="B169">
        <v>0</v>
      </c>
      <c r="C169" s="2">
        <v>3.2850000000000001</v>
      </c>
      <c r="D169" s="2">
        <f>D95</f>
        <v>3.323</v>
      </c>
      <c r="E169" s="2">
        <f t="shared" si="36"/>
        <v>3.7999999999999812E-2</v>
      </c>
      <c r="F169" s="1">
        <f t="shared" si="32"/>
        <v>0</v>
      </c>
    </row>
    <row r="170" spans="1:10" x14ac:dyDescent="0.2">
      <c r="A170" t="s">
        <v>51</v>
      </c>
      <c r="B170">
        <v>0</v>
      </c>
      <c r="C170" s="2">
        <v>2.9474999999999998</v>
      </c>
      <c r="D170" s="2">
        <f>D169</f>
        <v>3.323</v>
      </c>
      <c r="E170" s="2">
        <f t="shared" si="36"/>
        <v>0.37550000000000017</v>
      </c>
      <c r="F170" s="1">
        <f t="shared" si="32"/>
        <v>0</v>
      </c>
    </row>
    <row r="171" spans="1:10" x14ac:dyDescent="0.2">
      <c r="A171" t="s">
        <v>51</v>
      </c>
      <c r="B171">
        <v>0</v>
      </c>
      <c r="C171" s="2">
        <v>3.17</v>
      </c>
      <c r="D171" s="2">
        <f>D170</f>
        <v>3.323</v>
      </c>
      <c r="E171" s="2">
        <f t="shared" si="36"/>
        <v>0.15300000000000002</v>
      </c>
      <c r="F171" s="1">
        <f t="shared" si="32"/>
        <v>0</v>
      </c>
    </row>
    <row r="172" spans="1:10" x14ac:dyDescent="0.2">
      <c r="A172" t="s">
        <v>51</v>
      </c>
      <c r="B172">
        <v>0</v>
      </c>
      <c r="C172" s="2">
        <v>2.9474999999999998</v>
      </c>
      <c r="D172" s="2">
        <f t="shared" si="37"/>
        <v>3.323</v>
      </c>
      <c r="E172" s="2">
        <f t="shared" si="36"/>
        <v>0.37550000000000017</v>
      </c>
      <c r="F172" s="1">
        <f t="shared" si="32"/>
        <v>0</v>
      </c>
    </row>
    <row r="173" spans="1:10" x14ac:dyDescent="0.2">
      <c r="A173" t="s">
        <v>66</v>
      </c>
      <c r="B173">
        <v>0</v>
      </c>
      <c r="C173" s="2">
        <v>3.2850000000000001</v>
      </c>
      <c r="D173" s="2">
        <f>D97</f>
        <v>3.3180000000000001</v>
      </c>
      <c r="E173" s="2">
        <f t="shared" si="36"/>
        <v>3.2999999999999918E-2</v>
      </c>
      <c r="F173" s="1">
        <f t="shared" si="32"/>
        <v>0</v>
      </c>
    </row>
    <row r="174" spans="1:10" x14ac:dyDescent="0.2">
      <c r="A174" t="s">
        <v>66</v>
      </c>
      <c r="B174">
        <v>0</v>
      </c>
      <c r="C174" s="2">
        <v>4.7350000000000003</v>
      </c>
      <c r="D174" s="2">
        <f t="shared" si="37"/>
        <v>3.3180000000000001</v>
      </c>
      <c r="E174" s="2">
        <f t="shared" si="36"/>
        <v>-1.4170000000000003</v>
      </c>
      <c r="F174" s="1">
        <f t="shared" si="32"/>
        <v>0</v>
      </c>
    </row>
    <row r="175" spans="1:10" x14ac:dyDescent="0.2">
      <c r="A175" t="s">
        <v>65</v>
      </c>
      <c r="B175">
        <v>0</v>
      </c>
      <c r="C175" s="2">
        <v>3.2850000000000001</v>
      </c>
      <c r="D175" s="2">
        <f>D98</f>
        <v>3.673</v>
      </c>
      <c r="E175" s="2">
        <f>D175-C175</f>
        <v>0.3879999999999999</v>
      </c>
      <c r="F175" s="1">
        <f>B175*E175*10000</f>
        <v>0</v>
      </c>
    </row>
    <row r="176" spans="1:10" x14ac:dyDescent="0.2">
      <c r="A176" t="s">
        <v>65</v>
      </c>
      <c r="C176" s="2"/>
      <c r="D176" s="2">
        <f>D175</f>
        <v>3.673</v>
      </c>
      <c r="E176" s="2">
        <f>D176-C176</f>
        <v>3.673</v>
      </c>
      <c r="F176" s="1">
        <f>B176*E176*10000</f>
        <v>0</v>
      </c>
    </row>
    <row r="177" spans="1:13" x14ac:dyDescent="0.2">
      <c r="A177" t="s">
        <v>56</v>
      </c>
      <c r="B177">
        <v>0</v>
      </c>
      <c r="C177" s="2">
        <v>3.49</v>
      </c>
      <c r="D177" s="2">
        <f>D99</f>
        <v>3.778</v>
      </c>
      <c r="E177" s="2">
        <f t="shared" si="36"/>
        <v>0.28799999999999981</v>
      </c>
      <c r="F177" s="1">
        <f t="shared" si="32"/>
        <v>0</v>
      </c>
      <c r="I177" s="3">
        <f>AVERAGE(I13:I79)</f>
        <v>3.1143749999999999</v>
      </c>
    </row>
    <row r="178" spans="1:13" x14ac:dyDescent="0.2">
      <c r="C178" s="7"/>
      <c r="D178" s="21"/>
      <c r="E178" s="2"/>
      <c r="F178" s="1"/>
      <c r="I178" s="3"/>
    </row>
    <row r="179" spans="1:13" x14ac:dyDescent="0.2">
      <c r="A179" t="s">
        <v>5</v>
      </c>
      <c r="B179">
        <f>SUM(B102:B177)-SUM(B7:B77)</f>
        <v>0</v>
      </c>
      <c r="F179" s="3">
        <f>SUM(F7:F77,F102:F177)</f>
        <v>0</v>
      </c>
    </row>
    <row r="180" spans="1:13" x14ac:dyDescent="0.2">
      <c r="F180" s="1">
        <f>SUM(F79:F99)+F179</f>
        <v>-1599.9999999998236</v>
      </c>
    </row>
    <row r="181" spans="1:13" x14ac:dyDescent="0.2">
      <c r="A181" t="s">
        <v>13</v>
      </c>
      <c r="B181">
        <f>B79+SUM(B123:B130)-SUM(B27:B33)</f>
        <v>0</v>
      </c>
      <c r="C181" s="7">
        <f>B181/19</f>
        <v>0</v>
      </c>
      <c r="D181" s="13">
        <f>C181*3</f>
        <v>0</v>
      </c>
      <c r="F181" s="1"/>
    </row>
    <row r="182" spans="1:13" x14ac:dyDescent="0.2">
      <c r="A182" t="s">
        <v>9</v>
      </c>
      <c r="B182">
        <f>B80</f>
        <v>0</v>
      </c>
      <c r="C182" s="51"/>
      <c r="D182" s="13"/>
      <c r="F182" s="3"/>
      <c r="J182" t="s">
        <v>18</v>
      </c>
      <c r="K182" t="s">
        <v>19</v>
      </c>
      <c r="L182" t="s">
        <v>20</v>
      </c>
    </row>
    <row r="183" spans="1:13" x14ac:dyDescent="0.2">
      <c r="A183" t="s">
        <v>10</v>
      </c>
      <c r="B183">
        <f>B81+SUM(B102:B110)-SUM(B7:B13)</f>
        <v>44</v>
      </c>
      <c r="C183" s="7">
        <f>B183/19</f>
        <v>2.3157894736842106</v>
      </c>
      <c r="D183" s="13">
        <f>C183*3</f>
        <v>6.9473684210526319</v>
      </c>
      <c r="F183" s="1"/>
      <c r="G183" s="4"/>
      <c r="I183" t="s">
        <v>17</v>
      </c>
      <c r="J183" s="22">
        <v>60000</v>
      </c>
      <c r="K183" s="22">
        <v>20000</v>
      </c>
      <c r="L183" s="22">
        <f t="shared" ref="L183:L188" si="38">J183+K183</f>
        <v>80000</v>
      </c>
      <c r="M183" s="54">
        <f t="shared" ref="M183:M188" si="39">L183/4</f>
        <v>20000</v>
      </c>
    </row>
    <row r="184" spans="1:13" x14ac:dyDescent="0.2">
      <c r="A184" t="s">
        <v>26</v>
      </c>
      <c r="B184">
        <v>0</v>
      </c>
      <c r="C184" s="51"/>
      <c r="D184" s="13"/>
      <c r="E184" s="19"/>
      <c r="F184" s="1"/>
      <c r="G184" s="4"/>
      <c r="I184" t="s">
        <v>21</v>
      </c>
      <c r="J184" s="22">
        <v>60000</v>
      </c>
      <c r="K184" s="22">
        <v>20000</v>
      </c>
      <c r="L184" s="22">
        <f t="shared" si="38"/>
        <v>80000</v>
      </c>
      <c r="M184" s="54">
        <f t="shared" si="39"/>
        <v>20000</v>
      </c>
    </row>
    <row r="185" spans="1:13" x14ac:dyDescent="0.2">
      <c r="A185" t="s">
        <v>11</v>
      </c>
      <c r="B185">
        <f>B83+SUM(B111:B122)-SUM(B14:B26)</f>
        <v>-75</v>
      </c>
      <c r="C185" s="7">
        <f>B185/19</f>
        <v>-3.9473684210526314</v>
      </c>
      <c r="D185" s="13">
        <f>C185*3</f>
        <v>-11.842105263157894</v>
      </c>
      <c r="I185" t="s">
        <v>22</v>
      </c>
      <c r="J185" s="22">
        <v>40000</v>
      </c>
      <c r="K185" s="22">
        <v>0</v>
      </c>
      <c r="L185" s="22">
        <f t="shared" si="38"/>
        <v>40000</v>
      </c>
      <c r="M185" s="54">
        <f t="shared" si="39"/>
        <v>10000</v>
      </c>
    </row>
    <row r="186" spans="1:13" x14ac:dyDescent="0.2">
      <c r="A186" t="s">
        <v>12</v>
      </c>
      <c r="B186">
        <f>B84+SUM(B131:B132)-SUM(B34:B35)</f>
        <v>0</v>
      </c>
      <c r="C186" s="51"/>
      <c r="D186" s="13"/>
      <c r="I186" t="s">
        <v>23</v>
      </c>
      <c r="J186" s="22">
        <v>105000</v>
      </c>
      <c r="K186" s="22">
        <v>20000</v>
      </c>
      <c r="L186" s="22">
        <f t="shared" si="38"/>
        <v>125000</v>
      </c>
      <c r="M186" s="54">
        <f t="shared" si="39"/>
        <v>31250</v>
      </c>
    </row>
    <row r="187" spans="1:13" x14ac:dyDescent="0.2">
      <c r="A187" t="s">
        <v>48</v>
      </c>
      <c r="B187">
        <f>B85+SUM(B133:B135)-SUM(B36:B39)</f>
        <v>31</v>
      </c>
      <c r="C187" s="7">
        <f>B187/19</f>
        <v>1.631578947368421</v>
      </c>
      <c r="D187" s="13">
        <f>C187*3</f>
        <v>4.8947368421052628</v>
      </c>
      <c r="I187" t="s">
        <v>24</v>
      </c>
      <c r="J187" s="22">
        <v>0</v>
      </c>
      <c r="K187" s="22">
        <v>25000</v>
      </c>
      <c r="L187" s="22">
        <f t="shared" si="38"/>
        <v>25000</v>
      </c>
      <c r="M187" s="54">
        <f t="shared" si="39"/>
        <v>6250</v>
      </c>
    </row>
    <row r="188" spans="1:13" x14ac:dyDescent="0.2">
      <c r="A188" t="s">
        <v>14</v>
      </c>
      <c r="B188">
        <f>B86</f>
        <v>0</v>
      </c>
      <c r="C188" s="51"/>
      <c r="D188" s="13">
        <f>D181+D183+D185+D187</f>
        <v>0</v>
      </c>
      <c r="I188" t="s">
        <v>25</v>
      </c>
      <c r="J188" s="22">
        <v>125000</v>
      </c>
      <c r="K188" s="22">
        <v>0</v>
      </c>
      <c r="L188" s="22">
        <f t="shared" si="38"/>
        <v>125000</v>
      </c>
      <c r="M188" s="54">
        <f t="shared" si="39"/>
        <v>31250</v>
      </c>
    </row>
    <row r="189" spans="1:13" x14ac:dyDescent="0.2">
      <c r="A189" t="s">
        <v>15</v>
      </c>
      <c r="B189">
        <f>B87</f>
        <v>0</v>
      </c>
      <c r="C189" s="51"/>
      <c r="J189" s="22"/>
      <c r="K189" s="22"/>
      <c r="L189" s="22">
        <f>SUM(L183:L188)</f>
        <v>475000</v>
      </c>
      <c r="M189" s="54">
        <f>L189/4</f>
        <v>118750</v>
      </c>
    </row>
    <row r="190" spans="1:13" x14ac:dyDescent="0.2">
      <c r="A190" t="s">
        <v>16</v>
      </c>
      <c r="B190">
        <f>B88</f>
        <v>0</v>
      </c>
      <c r="C190" s="51"/>
      <c r="D190" s="13">
        <v>30</v>
      </c>
      <c r="E190" t="s">
        <v>62</v>
      </c>
      <c r="J190" s="22"/>
      <c r="K190" s="22"/>
      <c r="L190" s="22"/>
    </row>
    <row r="191" spans="1:13" x14ac:dyDescent="0.2">
      <c r="A191" t="s">
        <v>27</v>
      </c>
      <c r="B191">
        <f>B82+B136-B40</f>
        <v>0</v>
      </c>
      <c r="C191" s="51">
        <f>SUM(B181:B191)</f>
        <v>0</v>
      </c>
      <c r="D191" s="49">
        <f>C191/D190</f>
        <v>0</v>
      </c>
      <c r="G191" s="51"/>
      <c r="J191" s="22"/>
      <c r="K191" s="22"/>
      <c r="L191" s="22"/>
    </row>
    <row r="192" spans="1:13" x14ac:dyDescent="0.2">
      <c r="A192" t="s">
        <v>4</v>
      </c>
      <c r="B192">
        <f>B90+SUM(B137:B152)-SUM(B41:B50)</f>
        <v>881</v>
      </c>
      <c r="C192" s="51"/>
      <c r="D192" s="13"/>
      <c r="E192" s="13"/>
      <c r="F192">
        <v>-8</v>
      </c>
      <c r="J192" s="4">
        <v>0.01</v>
      </c>
      <c r="K192" s="4"/>
      <c r="L192" s="22"/>
    </row>
    <row r="193" spans="1:11" x14ac:dyDescent="0.2">
      <c r="A193" t="s">
        <v>50</v>
      </c>
      <c r="B193">
        <f>B91+SUM(B153:B158)-SUM(B51:B56)</f>
        <v>-508</v>
      </c>
      <c r="C193" s="51"/>
      <c r="J193" s="4">
        <v>2.5000000000000001E-2</v>
      </c>
      <c r="K193" s="4"/>
    </row>
    <row r="194" spans="1:11" x14ac:dyDescent="0.2">
      <c r="A194" s="20" t="s">
        <v>32</v>
      </c>
      <c r="B194">
        <f>B92+SUM(B159:B168)-SUM(B57:B68)</f>
        <v>-112</v>
      </c>
      <c r="C194" s="51"/>
      <c r="J194" s="4">
        <v>0.03</v>
      </c>
      <c r="K194" s="4"/>
    </row>
    <row r="195" spans="1:11" x14ac:dyDescent="0.2">
      <c r="A195" s="20"/>
      <c r="B195">
        <v>0</v>
      </c>
      <c r="C195" s="52"/>
      <c r="D195" s="13"/>
      <c r="J195" s="4">
        <v>3.5000000000000003E-2</v>
      </c>
      <c r="K195" s="4"/>
    </row>
    <row r="196" spans="1:11" x14ac:dyDescent="0.2">
      <c r="A196" s="20"/>
      <c r="B196">
        <v>0</v>
      </c>
      <c r="C196" s="52"/>
      <c r="J196" s="4"/>
      <c r="K196" s="4"/>
    </row>
    <row r="197" spans="1:11" x14ac:dyDescent="0.2">
      <c r="A197" s="20" t="s">
        <v>51</v>
      </c>
      <c r="B197">
        <f>B95+SUM(B169:B170)-SUM(B69:B70)</f>
        <v>53</v>
      </c>
      <c r="C197" s="52"/>
      <c r="J197" s="4"/>
      <c r="K197" s="4"/>
    </row>
    <row r="198" spans="1:11" x14ac:dyDescent="0.2">
      <c r="A198" t="s">
        <v>51</v>
      </c>
      <c r="B198">
        <f>B96+SUM(B171:B172)-SUM(B71:B72)</f>
        <v>0</v>
      </c>
      <c r="C198" s="52">
        <f>SUM(B192:B198)</f>
        <v>314</v>
      </c>
      <c r="J198" s="4">
        <v>3.7499999999999999E-2</v>
      </c>
      <c r="K198" s="4"/>
    </row>
    <row r="199" spans="1:11" x14ac:dyDescent="0.2">
      <c r="A199" s="20" t="s">
        <v>66</v>
      </c>
      <c r="B199">
        <f>B97+SUM(B173:B174)-SUM(B73:B74)</f>
        <v>-103</v>
      </c>
      <c r="C199" s="52"/>
      <c r="J199" s="4">
        <v>2.75E-2</v>
      </c>
      <c r="K199" s="4"/>
    </row>
    <row r="200" spans="1:11" x14ac:dyDescent="0.2">
      <c r="A200" s="20" t="s">
        <v>65</v>
      </c>
      <c r="B200">
        <f>B98-SUM(B75:B76)+SUM(B175:B176)</f>
        <v>-55</v>
      </c>
      <c r="C200" s="52"/>
      <c r="J200" s="4"/>
      <c r="K200" s="4"/>
    </row>
    <row r="201" spans="1:11" x14ac:dyDescent="0.2">
      <c r="A201" s="20" t="s">
        <v>57</v>
      </c>
      <c r="B201">
        <f>B99+SUM(B177)-SUM(B77)</f>
        <v>-2</v>
      </c>
      <c r="C201" s="52">
        <f>SUM(B198:B201)</f>
        <v>-160</v>
      </c>
      <c r="D201">
        <f>SUM(B192:B201)</f>
        <v>154</v>
      </c>
      <c r="J201" s="4"/>
      <c r="K201" s="4"/>
    </row>
    <row r="202" spans="1:11" x14ac:dyDescent="0.2">
      <c r="C202" s="51"/>
      <c r="J202" s="4">
        <v>1.4999999999999999E-2</v>
      </c>
      <c r="K202" s="4">
        <f>AVERAGE(J192:J202)</f>
        <v>2.5714285714285714E-2</v>
      </c>
    </row>
    <row r="203" spans="1:11" x14ac:dyDescent="0.2">
      <c r="A203" s="20"/>
      <c r="B203">
        <f>SUM(B181:B201)</f>
        <v>154</v>
      </c>
      <c r="C203" s="51">
        <v>45</v>
      </c>
    </row>
    <row r="206" spans="1:11" x14ac:dyDescent="0.2">
      <c r="B206" s="48"/>
    </row>
    <row r="208" spans="1:11" x14ac:dyDescent="0.2">
      <c r="A208" t="s">
        <v>67</v>
      </c>
      <c r="B208">
        <f>SUM(B193:B201)</f>
        <v>-727</v>
      </c>
    </row>
    <row r="210" spans="2:6" x14ac:dyDescent="0.2">
      <c r="B210">
        <v>-29</v>
      </c>
      <c r="C210">
        <v>1.79</v>
      </c>
    </row>
    <row r="217" spans="2:6" x14ac:dyDescent="0.2">
      <c r="C217" t="s">
        <v>41</v>
      </c>
      <c r="D217">
        <v>-8.7499999999999994E-2</v>
      </c>
    </row>
    <row r="218" spans="2:6" x14ac:dyDescent="0.2">
      <c r="C218" t="s">
        <v>42</v>
      </c>
      <c r="D218">
        <v>-8.7499999999999994E-2</v>
      </c>
    </row>
    <row r="219" spans="2:6" x14ac:dyDescent="0.2">
      <c r="C219" t="s">
        <v>43</v>
      </c>
      <c r="D219">
        <v>-8.5000000000000006E-2</v>
      </c>
    </row>
    <row r="220" spans="2:6" x14ac:dyDescent="0.2">
      <c r="C220" t="s">
        <v>44</v>
      </c>
      <c r="D220">
        <v>-0.08</v>
      </c>
      <c r="F220">
        <f>AVERAGE(D217:D220)</f>
        <v>-8.5000000000000006E-2</v>
      </c>
    </row>
    <row r="221" spans="2:6" x14ac:dyDescent="0.2">
      <c r="C221" t="s">
        <v>49</v>
      </c>
      <c r="D221">
        <v>-0.06</v>
      </c>
    </row>
    <row r="222" spans="2:6" x14ac:dyDescent="0.2">
      <c r="C222" t="s">
        <v>4</v>
      </c>
      <c r="D222">
        <v>-0.06</v>
      </c>
    </row>
    <row r="223" spans="2:6" x14ac:dyDescent="0.2">
      <c r="C223" t="s">
        <v>50</v>
      </c>
      <c r="D223">
        <v>-0.06</v>
      </c>
    </row>
    <row r="224" spans="2:6" x14ac:dyDescent="0.2">
      <c r="C224" t="s">
        <v>32</v>
      </c>
      <c r="D224">
        <v>-0.06</v>
      </c>
    </row>
    <row r="225" spans="3:6" x14ac:dyDescent="0.2">
      <c r="C225" t="s">
        <v>51</v>
      </c>
      <c r="D225">
        <v>-0.06</v>
      </c>
      <c r="F225" s="49">
        <f>AVERAGE(D217:D225)</f>
        <v>-7.1111111111111125E-2</v>
      </c>
    </row>
    <row r="226" spans="3:6" x14ac:dyDescent="0.2">
      <c r="C226" t="s">
        <v>52</v>
      </c>
      <c r="D226">
        <v>-7.0000000000000007E-2</v>
      </c>
    </row>
    <row r="227" spans="3:6" x14ac:dyDescent="0.2">
      <c r="C227" t="s">
        <v>53</v>
      </c>
      <c r="D227">
        <v>-7.4999999999999997E-2</v>
      </c>
    </row>
    <row r="228" spans="3:6" x14ac:dyDescent="0.2">
      <c r="C228" t="s">
        <v>40</v>
      </c>
      <c r="D228">
        <v>-0.08</v>
      </c>
      <c r="F228" s="7">
        <f>AVERAGE(D217:D228)</f>
        <v>-7.2083333333333346E-2</v>
      </c>
    </row>
    <row r="229" spans="3:6" x14ac:dyDescent="0.2">
      <c r="C229" t="s">
        <v>41</v>
      </c>
      <c r="D229">
        <v>-7.7499999999999999E-2</v>
      </c>
    </row>
    <row r="230" spans="3:6" x14ac:dyDescent="0.2">
      <c r="C230" t="s">
        <v>42</v>
      </c>
      <c r="D230">
        <v>-7.7499999999999999E-2</v>
      </c>
    </row>
    <row r="231" spans="3:6" x14ac:dyDescent="0.2">
      <c r="C231" t="s">
        <v>43</v>
      </c>
      <c r="D231">
        <v>-7.4999999999999997E-2</v>
      </c>
    </row>
    <row r="232" spans="3:6" x14ac:dyDescent="0.2">
      <c r="C232" t="s">
        <v>44</v>
      </c>
      <c r="D232">
        <v>-7.0000000000000007E-2</v>
      </c>
      <c r="F232">
        <f>AVERAGE(D217:D232)</f>
        <v>-7.2812500000000002E-2</v>
      </c>
    </row>
    <row r="280" spans="1:20" ht="15.75" x14ac:dyDescent="0.25">
      <c r="B280" s="24" t="s">
        <v>36</v>
      </c>
    </row>
    <row r="282" spans="1:20" x14ac:dyDescent="0.2">
      <c r="C282" s="11" t="s">
        <v>37</v>
      </c>
    </row>
    <row r="283" spans="1:20" x14ac:dyDescent="0.2">
      <c r="A283" s="11" t="s">
        <v>28</v>
      </c>
      <c r="C283" s="23">
        <f>296098+66648</f>
        <v>362746</v>
      </c>
      <c r="P283" t="s">
        <v>32</v>
      </c>
    </row>
    <row r="284" spans="1:20" x14ac:dyDescent="0.2">
      <c r="A284" s="11" t="s">
        <v>29</v>
      </c>
      <c r="C284" s="23">
        <f>C283-69000</f>
        <v>293746</v>
      </c>
      <c r="O284">
        <v>1997</v>
      </c>
      <c r="P284" s="23">
        <f>74150+19492</f>
        <v>93642</v>
      </c>
      <c r="Q284" s="23">
        <f>P284-10692</f>
        <v>82950</v>
      </c>
      <c r="R284" s="23"/>
      <c r="S284" s="23"/>
      <c r="T284" s="23"/>
    </row>
    <row r="285" spans="1:20" x14ac:dyDescent="0.2">
      <c r="C285" s="11"/>
      <c r="D285" s="11"/>
      <c r="E285" s="11"/>
      <c r="F285" s="11"/>
      <c r="G285" s="11"/>
      <c r="H285" s="11"/>
      <c r="I285" s="47" t="s">
        <v>32</v>
      </c>
      <c r="J285" s="11"/>
      <c r="O285">
        <v>1998</v>
      </c>
      <c r="P285" s="23">
        <f>105987+33318</f>
        <v>139305</v>
      </c>
      <c r="Q285" s="23">
        <f>P285-22214</f>
        <v>117091</v>
      </c>
      <c r="R285" s="23"/>
      <c r="S285" s="23"/>
      <c r="T285" s="23"/>
    </row>
    <row r="286" spans="1:20" ht="13.5" thickBot="1" x14ac:dyDescent="0.25">
      <c r="C286" s="25">
        <v>36937</v>
      </c>
      <c r="D286" s="47" t="s">
        <v>30</v>
      </c>
      <c r="E286" s="11"/>
      <c r="F286" s="46">
        <v>36571</v>
      </c>
      <c r="G286" s="47" t="s">
        <v>30</v>
      </c>
      <c r="H286" s="11"/>
      <c r="I286" s="47" t="s">
        <v>31</v>
      </c>
      <c r="J286" s="47" t="s">
        <v>30</v>
      </c>
      <c r="O286">
        <v>1999</v>
      </c>
      <c r="P286" s="23">
        <f>(202460+45856)</f>
        <v>248316</v>
      </c>
      <c r="Q286" s="23">
        <f>P286-58726</f>
        <v>189590</v>
      </c>
      <c r="R286" s="23"/>
      <c r="S286" s="23"/>
      <c r="T286" s="23"/>
    </row>
    <row r="287" spans="1:20" x14ac:dyDescent="0.2">
      <c r="A287" s="11" t="s">
        <v>28</v>
      </c>
      <c r="C287" s="32">
        <v>103001</v>
      </c>
      <c r="D287" s="33">
        <f>C287/C283</f>
        <v>0.2839479966698461</v>
      </c>
      <c r="E287" s="27"/>
      <c r="F287" s="34">
        <f>155652+33514</f>
        <v>189166</v>
      </c>
      <c r="G287" s="33">
        <f>F287/$C$283</f>
        <v>0.52148335198734097</v>
      </c>
      <c r="H287" s="27"/>
      <c r="I287" s="34">
        <f>AVERAGE(P284:P287)</f>
        <v>167607.25</v>
      </c>
      <c r="J287" s="35">
        <f>I287/$C$283</f>
        <v>0.46205127003467994</v>
      </c>
      <c r="O287">
        <v>2000</v>
      </c>
      <c r="P287" s="23">
        <v>189166</v>
      </c>
      <c r="Q287" s="23">
        <v>164468</v>
      </c>
      <c r="R287" s="23"/>
      <c r="S287" s="23"/>
      <c r="T287" s="23"/>
    </row>
    <row r="288" spans="1:20" ht="13.5" thickBot="1" x14ac:dyDescent="0.25">
      <c r="A288" s="11" t="s">
        <v>29</v>
      </c>
      <c r="C288" s="36">
        <v>92020</v>
      </c>
      <c r="D288" s="37">
        <f>C288/C284</f>
        <v>0.31326384018846215</v>
      </c>
      <c r="E288" s="28"/>
      <c r="F288" s="38">
        <f>F287-24698</f>
        <v>164468</v>
      </c>
      <c r="G288" s="37">
        <f>F288/$C$284</f>
        <v>0.55989868798213427</v>
      </c>
      <c r="H288" s="28"/>
      <c r="I288" s="38">
        <f>AVERAGE(Q284:Q287)</f>
        <v>138524.75</v>
      </c>
      <c r="J288" s="39">
        <f>I288/$C$284</f>
        <v>0.47158003853669495</v>
      </c>
      <c r="P288" s="23"/>
      <c r="Q288" s="23"/>
      <c r="R288" s="23"/>
      <c r="S288" s="23"/>
      <c r="T288" s="23"/>
    </row>
    <row r="289" spans="1:20" x14ac:dyDescent="0.2">
      <c r="A289" s="11"/>
      <c r="B289" s="11"/>
      <c r="C289" s="11"/>
      <c r="D289" s="11"/>
      <c r="E289" s="11"/>
      <c r="F289" s="11"/>
      <c r="G289" s="11"/>
      <c r="H289" s="11"/>
      <c r="I289" s="26">
        <v>37195</v>
      </c>
      <c r="J289" s="11"/>
      <c r="P289" s="23"/>
      <c r="Q289" s="23"/>
      <c r="R289" s="23"/>
      <c r="S289" s="23"/>
      <c r="T289" s="23"/>
    </row>
    <row r="290" spans="1:20" ht="13.5" thickBot="1" x14ac:dyDescent="0.25">
      <c r="A290" s="11"/>
      <c r="B290" s="11"/>
      <c r="C290" s="25">
        <v>36616</v>
      </c>
      <c r="D290" s="47" t="s">
        <v>30</v>
      </c>
      <c r="E290" s="11"/>
      <c r="F290" s="25">
        <v>36830</v>
      </c>
      <c r="G290" s="47" t="s">
        <v>30</v>
      </c>
      <c r="H290" s="11"/>
      <c r="I290" s="47" t="s">
        <v>31</v>
      </c>
      <c r="J290" s="47" t="s">
        <v>30</v>
      </c>
      <c r="P290" s="23">
        <v>37195</v>
      </c>
      <c r="Q290" s="23"/>
      <c r="R290" s="23"/>
      <c r="S290" s="23"/>
      <c r="T290" s="23"/>
    </row>
    <row r="291" spans="1:20" x14ac:dyDescent="0.2">
      <c r="A291" s="11" t="s">
        <v>28</v>
      </c>
      <c r="C291" s="32">
        <f>153076+33709</f>
        <v>186785</v>
      </c>
      <c r="D291" s="33">
        <f>C291/$C$283</f>
        <v>0.51491953047035666</v>
      </c>
      <c r="E291" s="27"/>
      <c r="F291" s="34">
        <f>172728+49692</f>
        <v>222420</v>
      </c>
      <c r="G291" s="33">
        <f>F291/$C$283</f>
        <v>0.61315631323295083</v>
      </c>
      <c r="H291" s="27"/>
      <c r="I291" s="34">
        <f>AVERAGE(P291:P294)</f>
        <v>283081.25</v>
      </c>
      <c r="J291" s="35">
        <f>I291/$C$283</f>
        <v>0.78038420823386057</v>
      </c>
      <c r="O291">
        <v>1997</v>
      </c>
      <c r="P291" s="23">
        <f>204211+47624</f>
        <v>251835</v>
      </c>
      <c r="Q291" s="23">
        <f>P291-47502</f>
        <v>204333</v>
      </c>
      <c r="R291" s="23"/>
      <c r="S291" s="23"/>
      <c r="T291" s="23"/>
    </row>
    <row r="292" spans="1:20" ht="13.5" thickBot="1" x14ac:dyDescent="0.25">
      <c r="A292" s="11" t="s">
        <v>29</v>
      </c>
      <c r="C292" s="36">
        <f>C291-12234</f>
        <v>174551</v>
      </c>
      <c r="D292" s="37">
        <f>C292/$C$284</f>
        <v>0.59422426177718168</v>
      </c>
      <c r="E292" s="28"/>
      <c r="F292" s="29">
        <f>F291-42274</f>
        <v>180146</v>
      </c>
      <c r="G292" s="37">
        <f>F292/$C$284</f>
        <v>0.61327132965214848</v>
      </c>
      <c r="H292" s="28"/>
      <c r="I292" s="38">
        <f>AVERAGE(Q291:Q294)</f>
        <v>223551.75</v>
      </c>
      <c r="J292" s="39">
        <f>I292/$C$284</f>
        <v>0.76103759710770524</v>
      </c>
      <c r="O292">
        <v>1998</v>
      </c>
      <c r="P292" s="23">
        <f>268254+61311</f>
        <v>329565</v>
      </c>
      <c r="Q292" s="23">
        <f>P292-76491</f>
        <v>253074</v>
      </c>
      <c r="R292" s="23"/>
      <c r="S292" s="23"/>
      <c r="T292" s="23"/>
    </row>
    <row r="293" spans="1:20" x14ac:dyDescent="0.2">
      <c r="A293" t="b">
        <v>0</v>
      </c>
      <c r="O293">
        <v>1999</v>
      </c>
      <c r="P293" s="23">
        <f>265121+63384</f>
        <v>328505</v>
      </c>
      <c r="Q293" s="23">
        <f>P293-71851</f>
        <v>256654</v>
      </c>
      <c r="R293" s="23"/>
      <c r="S293" s="23"/>
      <c r="T293" s="23"/>
    </row>
    <row r="294" spans="1:20" x14ac:dyDescent="0.2">
      <c r="A294" s="11"/>
      <c r="D294" s="11"/>
      <c r="E294" s="11"/>
      <c r="F294" s="47" t="s">
        <v>33</v>
      </c>
      <c r="G294" s="11"/>
      <c r="H294" s="11"/>
      <c r="I294" s="11" t="s">
        <v>34</v>
      </c>
      <c r="J294" s="11"/>
      <c r="O294">
        <v>2000</v>
      </c>
      <c r="P294" s="23">
        <f>172728+49692</f>
        <v>222420</v>
      </c>
      <c r="Q294" s="23">
        <f>P294-42274</f>
        <v>180146</v>
      </c>
      <c r="R294" s="23"/>
      <c r="S294" s="23"/>
      <c r="T294" s="23"/>
    </row>
    <row r="295" spans="1:20" ht="13.5" thickBot="1" x14ac:dyDescent="0.25">
      <c r="A295" s="11"/>
      <c r="D295" s="11"/>
      <c r="E295" s="11"/>
      <c r="F295" s="45">
        <v>2000</v>
      </c>
      <c r="G295" s="47" t="s">
        <v>35</v>
      </c>
      <c r="H295" s="11"/>
      <c r="I295" s="47" t="s">
        <v>31</v>
      </c>
      <c r="J295" s="47" t="s">
        <v>35</v>
      </c>
      <c r="P295" s="23"/>
      <c r="Q295" s="23"/>
      <c r="R295" s="23"/>
      <c r="S295" s="23"/>
      <c r="T295" s="23"/>
    </row>
    <row r="296" spans="1:20" x14ac:dyDescent="0.2">
      <c r="A296" s="11" t="s">
        <v>28</v>
      </c>
      <c r="F296" s="40">
        <f>F291-C291</f>
        <v>35635</v>
      </c>
      <c r="G296" s="41">
        <f>F296/245</f>
        <v>145.44897959183675</v>
      </c>
      <c r="H296" s="27"/>
      <c r="I296" s="42">
        <f>AVERAGE(S297:S300)</f>
        <v>111269</v>
      </c>
      <c r="J296" s="43">
        <f>I296/245</f>
        <v>454.15918367346939</v>
      </c>
      <c r="P296" s="23">
        <v>36981</v>
      </c>
      <c r="Q296" s="23"/>
      <c r="R296" s="23"/>
      <c r="S296" s="23"/>
      <c r="T296" s="23"/>
    </row>
    <row r="297" spans="1:20" ht="13.5" thickBot="1" x14ac:dyDescent="0.25">
      <c r="A297" s="11" t="s">
        <v>29</v>
      </c>
      <c r="F297" s="44">
        <f>F292-C292</f>
        <v>5595</v>
      </c>
      <c r="G297" s="30">
        <f>F297/245</f>
        <v>22.836734693877553</v>
      </c>
      <c r="H297" s="28"/>
      <c r="I297" s="29">
        <f>AVERAGE(T297:T300)</f>
        <v>76298.75</v>
      </c>
      <c r="J297" s="31">
        <f>I297/245</f>
        <v>311.42346938775512</v>
      </c>
      <c r="O297">
        <v>1997</v>
      </c>
      <c r="P297" s="23">
        <f>94858+29020</f>
        <v>123878</v>
      </c>
      <c r="Q297" s="23">
        <f>P297-15027</f>
        <v>108851</v>
      </c>
      <c r="R297" s="23"/>
      <c r="S297" s="23">
        <f t="shared" ref="S297:T300" si="40">P291-P297</f>
        <v>127957</v>
      </c>
      <c r="T297" s="23">
        <f t="shared" si="40"/>
        <v>95482</v>
      </c>
    </row>
    <row r="298" spans="1:20" x14ac:dyDescent="0.2">
      <c r="O298">
        <v>1998</v>
      </c>
      <c r="P298" s="23">
        <f>123880+29032</f>
        <v>152912</v>
      </c>
      <c r="Q298" s="23">
        <f>P298-26642</f>
        <v>126270</v>
      </c>
      <c r="R298" s="23"/>
      <c r="S298" s="23">
        <f t="shared" si="40"/>
        <v>176653</v>
      </c>
      <c r="T298" s="23">
        <f t="shared" si="40"/>
        <v>126804</v>
      </c>
    </row>
    <row r="299" spans="1:20" x14ac:dyDescent="0.2">
      <c r="F299" s="11" t="s">
        <v>38</v>
      </c>
      <c r="O299">
        <v>1999</v>
      </c>
      <c r="P299" s="23">
        <f>186403+37271</f>
        <v>223674</v>
      </c>
      <c r="Q299" s="23">
        <f>P299-44334</f>
        <v>179340</v>
      </c>
      <c r="R299" s="23"/>
      <c r="S299" s="23">
        <f t="shared" si="40"/>
        <v>104831</v>
      </c>
      <c r="T299" s="23">
        <f t="shared" si="40"/>
        <v>77314</v>
      </c>
    </row>
    <row r="300" spans="1:20" ht="13.5" thickBot="1" x14ac:dyDescent="0.25">
      <c r="F300" s="11" t="s">
        <v>39</v>
      </c>
      <c r="G300" s="47" t="s">
        <v>35</v>
      </c>
      <c r="O300">
        <v>2000</v>
      </c>
      <c r="P300" s="23">
        <f>C291</f>
        <v>186785</v>
      </c>
      <c r="Q300" s="23">
        <f>C292</f>
        <v>174551</v>
      </c>
      <c r="R300" s="23"/>
      <c r="S300" s="23">
        <f t="shared" si="40"/>
        <v>35635</v>
      </c>
      <c r="T300" s="23">
        <f t="shared" si="40"/>
        <v>5595</v>
      </c>
    </row>
    <row r="301" spans="1:20" x14ac:dyDescent="0.2">
      <c r="A301" s="11" t="s">
        <v>28</v>
      </c>
      <c r="F301" s="40">
        <f>F291-C287</f>
        <v>119419</v>
      </c>
      <c r="G301" s="43">
        <f>F301/245</f>
        <v>487.42448979591836</v>
      </c>
    </row>
    <row r="302" spans="1:20" ht="13.5" thickBot="1" x14ac:dyDescent="0.25">
      <c r="A302" s="11" t="s">
        <v>29</v>
      </c>
      <c r="F302" s="44">
        <f>F292-C288</f>
        <v>88126</v>
      </c>
      <c r="G302" s="31">
        <f>F302/245</f>
        <v>359.69795918367345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tmartin</dc:creator>
  <cp:lastModifiedBy>Jan Havlíček</cp:lastModifiedBy>
  <cp:lastPrinted>2001-03-02T01:55:18Z</cp:lastPrinted>
  <dcterms:created xsi:type="dcterms:W3CDTF">1999-07-30T18:05:15Z</dcterms:created>
  <dcterms:modified xsi:type="dcterms:W3CDTF">2023-09-13T17:01:38Z</dcterms:modified>
</cp:coreProperties>
</file>