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6C705F-905C-446A-B05C-5424E29D0B3C}" xr6:coauthVersionLast="47" xr6:coauthVersionMax="47" xr10:uidLastSave="{00000000-0000-0000-0000-000000000000}"/>
  <bookViews>
    <workbookView xWindow="-120" yWindow="-120" windowWidth="38640" windowHeight="15720" firstSheet="1" activeTab="2"/>
  </bookViews>
  <sheets>
    <sheet name="Natural Gas" sheetId="1" r:id="rId1"/>
    <sheet name="Natural Gas Trading" sheetId="2" r:id="rId2"/>
    <sheet name="Natural Gas Orig-Texas" sheetId="3" r:id="rId3"/>
    <sheet name="Natural Gas A&amp;A" sheetId="4" r:id="rId4"/>
    <sheet name="Natural Gas Admin" sheetId="5" r:id="rId5"/>
  </sheets>
  <externalReferences>
    <externalReference r:id="rId6"/>
    <externalReference r:id="rId7"/>
  </externalReferences>
  <definedNames>
    <definedName name="_xlnm.Print_Area" localSheetId="0">'Natural Gas'!$B$1:$L$34</definedName>
    <definedName name="_xlnm.Print_Area" localSheetId="3">'Natural Gas A&amp;A'!$B$1:$L$34</definedName>
    <definedName name="_xlnm.Print_Area" localSheetId="4">'Natural Gas Admin'!$B$1:$L$34</definedName>
    <definedName name="_xlnm.Print_Area" localSheetId="2">'Natural Gas Orig-Texas'!$B$1:$V$53</definedName>
    <definedName name="_xlnm.Print_Area" localSheetId="1">'Natural Gas Trading'!$B$1:$L$34</definedName>
    <definedName name="SAPFuncF4Help" localSheetId="3" hidden="1">Main.SAPF4Help()</definedName>
    <definedName name="SAPFuncF4Help" localSheetId="4" hidden="1">Main.SAPF4Help()</definedName>
    <definedName name="SAPFuncF4Help" localSheetId="2" hidden="1">Main.SAPF4Help()</definedName>
    <definedName name="SAPFuncF4Help" localSheetId="1" hidden="1">Main.SAPF4Help()</definedName>
    <definedName name="SAPFuncF4Help" hidden="1">Main.SAPF4Help()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8" i="1"/>
  <c r="E8" i="1"/>
  <c r="G8" i="1"/>
  <c r="H8" i="1"/>
  <c r="L8" i="1"/>
  <c r="C9" i="1"/>
  <c r="G9" i="1"/>
  <c r="C10" i="1"/>
  <c r="E10" i="1"/>
  <c r="G10" i="1"/>
  <c r="H10" i="1"/>
  <c r="C11" i="1"/>
  <c r="E11" i="1"/>
  <c r="G11" i="1"/>
  <c r="H11" i="1"/>
  <c r="J11" i="1"/>
  <c r="K11" i="1"/>
  <c r="L11" i="1"/>
  <c r="C12" i="1"/>
  <c r="E12" i="1"/>
  <c r="G12" i="1"/>
  <c r="H12" i="1"/>
  <c r="C13" i="1"/>
  <c r="E13" i="1"/>
  <c r="G13" i="1"/>
  <c r="H13" i="1"/>
  <c r="L13" i="1"/>
  <c r="C14" i="1"/>
  <c r="E14" i="1"/>
  <c r="G14" i="1"/>
  <c r="H14" i="1"/>
  <c r="C15" i="1"/>
  <c r="E15" i="1"/>
  <c r="G15" i="1"/>
  <c r="H15" i="1"/>
  <c r="C16" i="1"/>
  <c r="E16" i="1"/>
  <c r="G16" i="1"/>
  <c r="H16" i="1"/>
  <c r="K16" i="1"/>
  <c r="L16" i="1"/>
  <c r="C17" i="1"/>
  <c r="E17" i="1"/>
  <c r="G17" i="1"/>
  <c r="H17" i="1"/>
  <c r="K17" i="1"/>
  <c r="L17" i="1"/>
  <c r="C18" i="1"/>
  <c r="E18" i="1"/>
  <c r="G18" i="1"/>
  <c r="H18" i="1"/>
  <c r="L18" i="1"/>
  <c r="C19" i="1"/>
  <c r="E19" i="1"/>
  <c r="G19" i="1"/>
  <c r="H19" i="1"/>
  <c r="K19" i="1"/>
  <c r="L19" i="1"/>
  <c r="C20" i="1"/>
  <c r="E20" i="1"/>
  <c r="G20" i="1"/>
  <c r="H20" i="1"/>
  <c r="K20" i="1"/>
  <c r="L20" i="1"/>
  <c r="C21" i="1"/>
  <c r="E21" i="1"/>
  <c r="G21" i="1"/>
  <c r="H21" i="1"/>
  <c r="K21" i="1"/>
  <c r="L21" i="1"/>
  <c r="C22" i="1"/>
  <c r="E22" i="1"/>
  <c r="G22" i="1"/>
  <c r="H22" i="1"/>
  <c r="K22" i="1"/>
  <c r="L22" i="1"/>
  <c r="C23" i="1"/>
  <c r="E23" i="1"/>
  <c r="G23" i="1"/>
  <c r="H23" i="1"/>
  <c r="K23" i="1"/>
  <c r="L23" i="1"/>
  <c r="K24" i="1"/>
  <c r="L24" i="1"/>
  <c r="E25" i="1"/>
  <c r="H25" i="1"/>
  <c r="L25" i="1"/>
  <c r="K26" i="1"/>
  <c r="L26" i="1"/>
  <c r="E27" i="1"/>
  <c r="H27" i="1"/>
  <c r="K27" i="1"/>
  <c r="L27" i="1"/>
  <c r="K28" i="1"/>
  <c r="L28" i="1"/>
  <c r="E29" i="1"/>
  <c r="H29" i="1"/>
  <c r="L30" i="1"/>
  <c r="H34" i="1"/>
  <c r="I34" i="1"/>
  <c r="J34" i="1"/>
  <c r="K34" i="1"/>
  <c r="L34" i="1"/>
  <c r="B1" i="4"/>
  <c r="C8" i="4"/>
  <c r="E8" i="4"/>
  <c r="G8" i="4"/>
  <c r="H8" i="4"/>
  <c r="L8" i="4"/>
  <c r="C9" i="4"/>
  <c r="G9" i="4"/>
  <c r="C10" i="4"/>
  <c r="E10" i="4"/>
  <c r="G10" i="4"/>
  <c r="H10" i="4"/>
  <c r="C11" i="4"/>
  <c r="E11" i="4"/>
  <c r="G11" i="4"/>
  <c r="H11" i="4"/>
  <c r="J11" i="4"/>
  <c r="K11" i="4"/>
  <c r="L11" i="4"/>
  <c r="C12" i="4"/>
  <c r="E12" i="4"/>
  <c r="G12" i="4"/>
  <c r="H12" i="4"/>
  <c r="C13" i="4"/>
  <c r="E13" i="4"/>
  <c r="G13" i="4"/>
  <c r="H13" i="4"/>
  <c r="L13" i="4"/>
  <c r="C14" i="4"/>
  <c r="E14" i="4"/>
  <c r="G14" i="4"/>
  <c r="H14" i="4"/>
  <c r="C15" i="4"/>
  <c r="E15" i="4"/>
  <c r="G15" i="4"/>
  <c r="H15" i="4"/>
  <c r="C16" i="4"/>
  <c r="E16" i="4"/>
  <c r="G16" i="4"/>
  <c r="H16" i="4"/>
  <c r="K16" i="4"/>
  <c r="L16" i="4"/>
  <c r="C17" i="4"/>
  <c r="E17" i="4"/>
  <c r="G17" i="4"/>
  <c r="H17" i="4"/>
  <c r="L17" i="4"/>
  <c r="C18" i="4"/>
  <c r="E18" i="4"/>
  <c r="G18" i="4"/>
  <c r="H18" i="4"/>
  <c r="L18" i="4"/>
  <c r="C19" i="4"/>
  <c r="E19" i="4"/>
  <c r="G19" i="4"/>
  <c r="H19" i="4"/>
  <c r="L19" i="4"/>
  <c r="C20" i="4"/>
  <c r="E20" i="4"/>
  <c r="G20" i="4"/>
  <c r="H20" i="4"/>
  <c r="L20" i="4"/>
  <c r="C21" i="4"/>
  <c r="E21" i="4"/>
  <c r="G21" i="4"/>
  <c r="H21" i="4"/>
  <c r="K21" i="4"/>
  <c r="L21" i="4"/>
  <c r="C22" i="4"/>
  <c r="E22" i="4"/>
  <c r="G22" i="4"/>
  <c r="H22" i="4"/>
  <c r="K22" i="4"/>
  <c r="L22" i="4"/>
  <c r="C23" i="4"/>
  <c r="E23" i="4"/>
  <c r="G23" i="4"/>
  <c r="H23" i="4"/>
  <c r="L23" i="4"/>
  <c r="L24" i="4"/>
  <c r="E25" i="4"/>
  <c r="H25" i="4"/>
  <c r="L25" i="4"/>
  <c r="L26" i="4"/>
  <c r="E27" i="4"/>
  <c r="H27" i="4"/>
  <c r="L27" i="4"/>
  <c r="K28" i="4"/>
  <c r="L28" i="4"/>
  <c r="E29" i="4"/>
  <c r="H29" i="4"/>
  <c r="L30" i="4"/>
  <c r="H34" i="4"/>
  <c r="I34" i="4"/>
  <c r="J34" i="4"/>
  <c r="K34" i="4"/>
  <c r="L34" i="4"/>
  <c r="B1" i="5"/>
  <c r="C8" i="5"/>
  <c r="E8" i="5"/>
  <c r="G8" i="5"/>
  <c r="H8" i="5"/>
  <c r="L8" i="5"/>
  <c r="C9" i="5"/>
  <c r="G9" i="5"/>
  <c r="C10" i="5"/>
  <c r="E10" i="5"/>
  <c r="G10" i="5"/>
  <c r="H10" i="5"/>
  <c r="C11" i="5"/>
  <c r="E11" i="5"/>
  <c r="G11" i="5"/>
  <c r="H11" i="5"/>
  <c r="J11" i="5"/>
  <c r="K11" i="5"/>
  <c r="L11" i="5"/>
  <c r="C12" i="5"/>
  <c r="E12" i="5"/>
  <c r="G12" i="5"/>
  <c r="H12" i="5"/>
  <c r="C13" i="5"/>
  <c r="E13" i="5"/>
  <c r="G13" i="5"/>
  <c r="H13" i="5"/>
  <c r="L13" i="5"/>
  <c r="C14" i="5"/>
  <c r="E14" i="5"/>
  <c r="G14" i="5"/>
  <c r="H14" i="5"/>
  <c r="C15" i="5"/>
  <c r="E15" i="5"/>
  <c r="G15" i="5"/>
  <c r="H15" i="5"/>
  <c r="C16" i="5"/>
  <c r="E16" i="5"/>
  <c r="G16" i="5"/>
  <c r="H16" i="5"/>
  <c r="K16" i="5"/>
  <c r="L16" i="5"/>
  <c r="C17" i="5"/>
  <c r="E17" i="5"/>
  <c r="G17" i="5"/>
  <c r="H17" i="5"/>
  <c r="K17" i="5"/>
  <c r="L17" i="5"/>
  <c r="C18" i="5"/>
  <c r="E18" i="5"/>
  <c r="G18" i="5"/>
  <c r="H18" i="5"/>
  <c r="L18" i="5"/>
  <c r="C19" i="5"/>
  <c r="E19" i="5"/>
  <c r="G19" i="5"/>
  <c r="H19" i="5"/>
  <c r="L19" i="5"/>
  <c r="C20" i="5"/>
  <c r="E20" i="5"/>
  <c r="G20" i="5"/>
  <c r="H20" i="5"/>
  <c r="L20" i="5"/>
  <c r="C21" i="5"/>
  <c r="E21" i="5"/>
  <c r="G21" i="5"/>
  <c r="H21" i="5"/>
  <c r="L21" i="5"/>
  <c r="C22" i="5"/>
  <c r="E22" i="5"/>
  <c r="G22" i="5"/>
  <c r="H22" i="5"/>
  <c r="L22" i="5"/>
  <c r="C23" i="5"/>
  <c r="E23" i="5"/>
  <c r="G23" i="5"/>
  <c r="H23" i="5"/>
  <c r="L23" i="5"/>
  <c r="L24" i="5"/>
  <c r="E25" i="5"/>
  <c r="H25" i="5"/>
  <c r="L25" i="5"/>
  <c r="L26" i="5"/>
  <c r="E27" i="5"/>
  <c r="H27" i="5"/>
  <c r="L27" i="5"/>
  <c r="K28" i="5"/>
  <c r="L28" i="5"/>
  <c r="E29" i="5"/>
  <c r="H29" i="5"/>
  <c r="L30" i="5"/>
  <c r="H34" i="5"/>
  <c r="I34" i="5"/>
  <c r="J34" i="5"/>
  <c r="K34" i="5"/>
  <c r="L34" i="5"/>
  <c r="B1" i="3"/>
  <c r="C8" i="3"/>
  <c r="E8" i="3"/>
  <c r="G8" i="3"/>
  <c r="H8" i="3"/>
  <c r="L8" i="3"/>
  <c r="O8" i="3"/>
  <c r="S8" i="3"/>
  <c r="U8" i="3"/>
  <c r="C9" i="3"/>
  <c r="G9" i="3"/>
  <c r="O9" i="3"/>
  <c r="Q9" i="3"/>
  <c r="S9" i="3"/>
  <c r="U9" i="3"/>
  <c r="C11" i="3"/>
  <c r="E11" i="3"/>
  <c r="G11" i="3"/>
  <c r="H11" i="3"/>
  <c r="O11" i="3"/>
  <c r="S11" i="3"/>
  <c r="U11" i="3"/>
  <c r="C12" i="3"/>
  <c r="E12" i="3"/>
  <c r="G12" i="3"/>
  <c r="H12" i="3"/>
  <c r="J12" i="3"/>
  <c r="K12" i="3"/>
  <c r="L12" i="3"/>
  <c r="O12" i="3"/>
  <c r="S12" i="3"/>
  <c r="U12" i="3"/>
  <c r="C13" i="3"/>
  <c r="E13" i="3"/>
  <c r="G13" i="3"/>
  <c r="H13" i="3"/>
  <c r="O13" i="3"/>
  <c r="S13" i="3"/>
  <c r="U13" i="3"/>
  <c r="C14" i="3"/>
  <c r="E14" i="3"/>
  <c r="G14" i="3"/>
  <c r="H14" i="3"/>
  <c r="L14" i="3"/>
  <c r="O14" i="3"/>
  <c r="S14" i="3"/>
  <c r="U14" i="3"/>
  <c r="C15" i="3"/>
  <c r="E15" i="3"/>
  <c r="G15" i="3"/>
  <c r="H15" i="3"/>
  <c r="O15" i="3"/>
  <c r="S15" i="3"/>
  <c r="U15" i="3"/>
  <c r="C16" i="3"/>
  <c r="E16" i="3"/>
  <c r="G16" i="3"/>
  <c r="H16" i="3"/>
  <c r="O16" i="3"/>
  <c r="S16" i="3"/>
  <c r="U16" i="3"/>
  <c r="C17" i="3"/>
  <c r="E17" i="3"/>
  <c r="G17" i="3"/>
  <c r="H17" i="3"/>
  <c r="K17" i="3"/>
  <c r="L17" i="3"/>
  <c r="O17" i="3"/>
  <c r="S17" i="3"/>
  <c r="U17" i="3"/>
  <c r="C18" i="3"/>
  <c r="E18" i="3"/>
  <c r="G18" i="3"/>
  <c r="H18" i="3"/>
  <c r="L18" i="3"/>
  <c r="O18" i="3"/>
  <c r="S18" i="3"/>
  <c r="U18" i="3"/>
  <c r="C19" i="3"/>
  <c r="E19" i="3"/>
  <c r="G19" i="3"/>
  <c r="H19" i="3"/>
  <c r="L19" i="3"/>
  <c r="O19" i="3"/>
  <c r="S19" i="3"/>
  <c r="U19" i="3"/>
  <c r="C20" i="3"/>
  <c r="E20" i="3"/>
  <c r="G20" i="3"/>
  <c r="H20" i="3"/>
  <c r="L20" i="3"/>
  <c r="O20" i="3"/>
  <c r="S20" i="3"/>
  <c r="U20" i="3"/>
  <c r="C21" i="3"/>
  <c r="E21" i="3"/>
  <c r="G21" i="3"/>
  <c r="H21" i="3"/>
  <c r="L21" i="3"/>
  <c r="O21" i="3"/>
  <c r="S21" i="3"/>
  <c r="U21" i="3"/>
  <c r="C22" i="3"/>
  <c r="E22" i="3"/>
  <c r="G22" i="3"/>
  <c r="H22" i="3"/>
  <c r="L22" i="3"/>
  <c r="O22" i="3"/>
  <c r="S22" i="3"/>
  <c r="U22" i="3"/>
  <c r="C23" i="3"/>
  <c r="E23" i="3"/>
  <c r="G23" i="3"/>
  <c r="H23" i="3"/>
  <c r="L23" i="3"/>
  <c r="O23" i="3"/>
  <c r="S23" i="3"/>
  <c r="U23" i="3"/>
  <c r="C24" i="3"/>
  <c r="E24" i="3"/>
  <c r="G24" i="3"/>
  <c r="H24" i="3"/>
  <c r="L24" i="3"/>
  <c r="O24" i="3"/>
  <c r="Q24" i="3"/>
  <c r="S24" i="3"/>
  <c r="U24" i="3"/>
  <c r="L25" i="3"/>
  <c r="E26" i="3"/>
  <c r="H26" i="3"/>
  <c r="L26" i="3"/>
  <c r="O26" i="3"/>
  <c r="Q26" i="3"/>
  <c r="S26" i="3"/>
  <c r="U26" i="3"/>
  <c r="L27" i="3"/>
  <c r="E28" i="3"/>
  <c r="H28" i="3"/>
  <c r="L28" i="3"/>
  <c r="O28" i="3"/>
  <c r="Q28" i="3"/>
  <c r="S28" i="3"/>
  <c r="U28" i="3"/>
  <c r="K29" i="3"/>
  <c r="L29" i="3"/>
  <c r="E30" i="3"/>
  <c r="H30" i="3"/>
  <c r="O30" i="3"/>
  <c r="Q30" i="3"/>
  <c r="S30" i="3"/>
  <c r="U30" i="3"/>
  <c r="L31" i="3"/>
  <c r="H35" i="3"/>
  <c r="I35" i="3"/>
  <c r="J35" i="3"/>
  <c r="K35" i="3"/>
  <c r="L35" i="3"/>
  <c r="C47" i="3"/>
  <c r="E47" i="3"/>
  <c r="G47" i="3"/>
  <c r="C48" i="3"/>
  <c r="G48" i="3"/>
  <c r="C50" i="3"/>
  <c r="E50" i="3"/>
  <c r="G50" i="3"/>
  <c r="C51" i="3"/>
  <c r="E51" i="3"/>
  <c r="G51" i="3"/>
  <c r="C52" i="3"/>
  <c r="E52" i="3"/>
  <c r="G52" i="3"/>
  <c r="O53" i="3"/>
  <c r="Q53" i="3"/>
  <c r="S53" i="3"/>
  <c r="B1" i="2"/>
  <c r="C8" i="2"/>
  <c r="E8" i="2"/>
  <c r="G8" i="2"/>
  <c r="H8" i="2"/>
  <c r="L8" i="2"/>
  <c r="C9" i="2"/>
  <c r="G9" i="2"/>
  <c r="C10" i="2"/>
  <c r="E10" i="2"/>
  <c r="G10" i="2"/>
  <c r="H10" i="2"/>
  <c r="C11" i="2"/>
  <c r="E11" i="2"/>
  <c r="G11" i="2"/>
  <c r="H11" i="2"/>
  <c r="J11" i="2"/>
  <c r="K11" i="2"/>
  <c r="L11" i="2"/>
  <c r="C12" i="2"/>
  <c r="E12" i="2"/>
  <c r="G12" i="2"/>
  <c r="H12" i="2"/>
  <c r="C13" i="2"/>
  <c r="E13" i="2"/>
  <c r="G13" i="2"/>
  <c r="H13" i="2"/>
  <c r="L13" i="2"/>
  <c r="C14" i="2"/>
  <c r="E14" i="2"/>
  <c r="G14" i="2"/>
  <c r="H14" i="2"/>
  <c r="C15" i="2"/>
  <c r="E15" i="2"/>
  <c r="G15" i="2"/>
  <c r="H15" i="2"/>
  <c r="C16" i="2"/>
  <c r="E16" i="2"/>
  <c r="G16" i="2"/>
  <c r="H16" i="2"/>
  <c r="K16" i="2"/>
  <c r="L16" i="2"/>
  <c r="C17" i="2"/>
  <c r="E17" i="2"/>
  <c r="G17" i="2"/>
  <c r="H17" i="2"/>
  <c r="L17" i="2"/>
  <c r="C18" i="2"/>
  <c r="E18" i="2"/>
  <c r="G18" i="2"/>
  <c r="H18" i="2"/>
  <c r="L18" i="2"/>
  <c r="C19" i="2"/>
  <c r="E19" i="2"/>
  <c r="G19" i="2"/>
  <c r="H19" i="2"/>
  <c r="K19" i="2"/>
  <c r="L19" i="2"/>
  <c r="C20" i="2"/>
  <c r="E20" i="2"/>
  <c r="G20" i="2"/>
  <c r="H20" i="2"/>
  <c r="K20" i="2"/>
  <c r="L20" i="2"/>
  <c r="C21" i="2"/>
  <c r="E21" i="2"/>
  <c r="G21" i="2"/>
  <c r="H21" i="2"/>
  <c r="L21" i="2"/>
  <c r="C22" i="2"/>
  <c r="E22" i="2"/>
  <c r="G22" i="2"/>
  <c r="H22" i="2"/>
  <c r="L22" i="2"/>
  <c r="C23" i="2"/>
  <c r="E23" i="2"/>
  <c r="G23" i="2"/>
  <c r="H23" i="2"/>
  <c r="K23" i="2"/>
  <c r="L23" i="2"/>
  <c r="K24" i="2"/>
  <c r="L24" i="2"/>
  <c r="E25" i="2"/>
  <c r="H25" i="2"/>
  <c r="L25" i="2"/>
  <c r="K26" i="2"/>
  <c r="L26" i="2"/>
  <c r="E27" i="2"/>
  <c r="H27" i="2"/>
  <c r="K27" i="2"/>
  <c r="L27" i="2"/>
  <c r="K28" i="2"/>
  <c r="L28" i="2"/>
  <c r="E29" i="2"/>
  <c r="H29" i="2"/>
  <c r="L30" i="2"/>
  <c r="H34" i="2"/>
  <c r="I34" i="2"/>
  <c r="J34" i="2"/>
  <c r="K34" i="2"/>
  <c r="L34" i="2"/>
</calcChain>
</file>

<file path=xl/sharedStrings.xml><?xml version="1.0" encoding="utf-8"?>
<sst xmlns="http://schemas.openxmlformats.org/spreadsheetml/2006/main" count="371" uniqueCount="91">
  <si>
    <t>Natural Gas</t>
  </si>
  <si>
    <t>2002 Plan</t>
  </si>
  <si>
    <t>Per HC</t>
  </si>
  <si>
    <t>New HC</t>
  </si>
  <si>
    <t>Adjust Comp</t>
  </si>
  <si>
    <t>2001</t>
  </si>
  <si>
    <t>%</t>
  </si>
  <si>
    <t>2002</t>
  </si>
  <si>
    <t>YTD Actual</t>
  </si>
  <si>
    <t>Forecast</t>
  </si>
  <si>
    <t>of Total</t>
  </si>
  <si>
    <t>Plan</t>
  </si>
  <si>
    <t>ENACOMP</t>
  </si>
  <si>
    <t>Compensation</t>
  </si>
  <si>
    <t>Special Pays</t>
  </si>
  <si>
    <t>Analyst &amp; Associates</t>
  </si>
  <si>
    <t>ENABENTX</t>
  </si>
  <si>
    <t>Benefits &amp; Payroll Taxes</t>
  </si>
  <si>
    <t>Other</t>
  </si>
  <si>
    <t>ENAEMPEX</t>
  </si>
  <si>
    <t>Employee Expense</t>
  </si>
  <si>
    <t>ENAT&amp;EEX</t>
  </si>
  <si>
    <t>Travel &amp; Entertainment Expense</t>
  </si>
  <si>
    <t>Total</t>
  </si>
  <si>
    <t>ENAOUTSV</t>
  </si>
  <si>
    <t>Outside Services</t>
  </si>
  <si>
    <t>ENASUPP</t>
  </si>
  <si>
    <t>Supplies Expense</t>
  </si>
  <si>
    <t>ENAMKTEX</t>
  </si>
  <si>
    <t>Marketing</t>
  </si>
  <si>
    <t>Intern</t>
  </si>
  <si>
    <t>ENACONTR</t>
  </si>
  <si>
    <t>Charitable Contributions</t>
  </si>
  <si>
    <t>Admin</t>
  </si>
  <si>
    <t>ENARENT</t>
  </si>
  <si>
    <t>Rent</t>
  </si>
  <si>
    <t>Staff</t>
  </si>
  <si>
    <t>ENATECH</t>
  </si>
  <si>
    <t>Technology</t>
  </si>
  <si>
    <t>Specialist</t>
  </si>
  <si>
    <t>ENATRANS</t>
  </si>
  <si>
    <t>Transportation</t>
  </si>
  <si>
    <t>Sr. Specialist</t>
  </si>
  <si>
    <t>ENAOTHEX</t>
  </si>
  <si>
    <t>Other Expenses</t>
  </si>
  <si>
    <t>Analyst</t>
  </si>
  <si>
    <t>ENATAXES</t>
  </si>
  <si>
    <t>Taxes Other than Income</t>
  </si>
  <si>
    <t>Associate</t>
  </si>
  <si>
    <t>ENATOTDR</t>
  </si>
  <si>
    <t>Total Direct Expenses</t>
  </si>
  <si>
    <t>Manager</t>
  </si>
  <si>
    <t>Director</t>
  </si>
  <si>
    <t>Headcount</t>
  </si>
  <si>
    <t>Sr. Director</t>
  </si>
  <si>
    <t>VP</t>
  </si>
  <si>
    <t>A&amp;A Headcount</t>
  </si>
  <si>
    <t>MD</t>
  </si>
  <si>
    <t>Total Headcount</t>
  </si>
  <si>
    <t>Other Expense Calculation</t>
  </si>
  <si>
    <t>Total Misc Exp</t>
  </si>
  <si>
    <t>Old HC</t>
  </si>
  <si>
    <t>Exp/Old HC</t>
  </si>
  <si>
    <t>Exp/New HC</t>
  </si>
  <si>
    <t>Natural Gas Trading</t>
  </si>
  <si>
    <t>Natural Gas Origination</t>
  </si>
  <si>
    <t>Natural Gas Analyst &amp; Associate</t>
  </si>
  <si>
    <t>Natural Gas Admins</t>
  </si>
  <si>
    <t>Total Orig Plan</t>
  </si>
  <si>
    <t>Texas Orig Headcount</t>
  </si>
  <si>
    <t xml:space="preserve"> </t>
  </si>
  <si>
    <t>TX Alloc Plan</t>
  </si>
  <si>
    <t>incl</t>
  </si>
  <si>
    <t>TX Plan 09/01</t>
  </si>
  <si>
    <t>TX Plan 09/01 Adj</t>
  </si>
  <si>
    <t>MD/VP</t>
  </si>
  <si>
    <t>Variance Analysis</t>
  </si>
  <si>
    <t>Notes</t>
  </si>
  <si>
    <t>Total Gas Orig Budget</t>
  </si>
  <si>
    <t>Per Office of the Chair</t>
  </si>
  <si>
    <t>Use headcount to calc</t>
  </si>
  <si>
    <t>allocation to TX Orig</t>
  </si>
  <si>
    <t>TX Orig Budget submitted</t>
  </si>
  <si>
    <t>to Office of Chair 9/01</t>
  </si>
  <si>
    <t>TX Orig Budget of 9/01</t>
  </si>
  <si>
    <t>adj. for new headcount</t>
  </si>
  <si>
    <t>Seems low as significant customer contact will be required</t>
  </si>
  <si>
    <t>NetCo will need to pay for outside engineering services</t>
  </si>
  <si>
    <t>NetCo Plan number seems low</t>
  </si>
  <si>
    <t>NetCo will require access to pipeline/mapping databases</t>
  </si>
  <si>
    <t>NetCo Plan for TX Orig vs. 09/01 TX Orig Plan Adj.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</si>
</sst>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  <numFmt numFmtId="169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sz val="10"/>
      <name val="Arial"/>
      <family val="2"/>
    </font>
    <font>
      <u val="singleAccounting"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 applyProtection="1">
      <alignment horizontal="center"/>
    </xf>
    <xf numFmtId="165" fontId="3" fillId="0" borderId="0" xfId="3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165" fontId="1" fillId="0" borderId="1" xfId="3" applyNumberFormat="1" applyBorder="1"/>
    <xf numFmtId="165" fontId="1" fillId="0" borderId="2" xfId="3" applyNumberFormat="1" applyBorder="1"/>
    <xf numFmtId="165" fontId="1" fillId="0" borderId="3" xfId="3" applyNumberFormat="1" applyBorder="1"/>
    <xf numFmtId="165" fontId="1" fillId="0" borderId="4" xfId="3" applyNumberFormat="1" applyBorder="1"/>
    <xf numFmtId="165" fontId="1" fillId="0" borderId="0" xfId="3" applyNumberFormat="1" applyBorder="1"/>
    <xf numFmtId="165" fontId="1" fillId="0" borderId="5" xfId="3" applyNumberFormat="1" applyBorder="1"/>
    <xf numFmtId="17" fontId="4" fillId="0" borderId="0" xfId="0" applyNumberFormat="1" applyFont="1" applyFill="1" applyBorder="1" applyAlignment="1" applyProtection="1">
      <alignment horizontal="center"/>
    </xf>
    <xf numFmtId="17" fontId="4" fillId="0" borderId="0" xfId="0" quotePrefix="1" applyNumberFormat="1" applyFont="1" applyFill="1" applyBorder="1" applyAlignment="1" applyProtection="1">
      <alignment horizontal="center"/>
    </xf>
    <xf numFmtId="17" fontId="5" fillId="0" borderId="0" xfId="0" applyNumberFormat="1" applyFont="1" applyFill="1" applyBorder="1" applyAlignment="1" applyProtection="1">
      <alignment horizontal="center"/>
    </xf>
    <xf numFmtId="49" fontId="6" fillId="0" borderId="0" xfId="2" applyNumberFormat="1" applyFont="1" applyProtection="1"/>
    <xf numFmtId="0" fontId="7" fillId="0" borderId="0" xfId="2" applyNumberFormat="1" applyFont="1" applyProtection="1"/>
    <xf numFmtId="165" fontId="7" fillId="0" borderId="0" xfId="3" applyNumberFormat="1" applyFont="1" applyProtection="1"/>
    <xf numFmtId="169" fontId="7" fillId="0" borderId="0" xfId="5" applyNumberFormat="1" applyFont="1" applyProtection="1"/>
    <xf numFmtId="165" fontId="7" fillId="2" borderId="0" xfId="3" applyNumberFormat="1" applyFont="1" applyFill="1" applyProtection="1"/>
    <xf numFmtId="165" fontId="7" fillId="0" borderId="0" xfId="3" applyNumberFormat="1" applyFont="1" applyFill="1" applyProtection="1"/>
    <xf numFmtId="165" fontId="1" fillId="0" borderId="6" xfId="3" applyNumberFormat="1" applyBorder="1"/>
    <xf numFmtId="165" fontId="1" fillId="0" borderId="7" xfId="3" applyNumberFormat="1" applyBorder="1"/>
    <xf numFmtId="165" fontId="1" fillId="0" borderId="8" xfId="3" applyNumberFormat="1" applyBorder="1"/>
    <xf numFmtId="165" fontId="1" fillId="0" borderId="0" xfId="3" applyNumberFormat="1"/>
    <xf numFmtId="165" fontId="0" fillId="0" borderId="0" xfId="0" applyNumberFormat="1"/>
    <xf numFmtId="165" fontId="1" fillId="0" borderId="0" xfId="3" applyNumberFormat="1" applyFont="1"/>
    <xf numFmtId="0" fontId="0" fillId="0" borderId="0" xfId="0" applyBorder="1"/>
    <xf numFmtId="165" fontId="7" fillId="0" borderId="0" xfId="3" applyNumberFormat="1" applyFont="1" applyBorder="1" applyProtection="1"/>
    <xf numFmtId="49" fontId="6" fillId="0" borderId="0" xfId="1" applyNumberFormat="1" applyFont="1" applyProtection="1"/>
    <xf numFmtId="0" fontId="4" fillId="0" borderId="0" xfId="1" applyNumberFormat="1" applyFont="1" applyProtection="1"/>
    <xf numFmtId="166" fontId="7" fillId="0" borderId="9" xfId="4" applyNumberFormat="1" applyFont="1" applyBorder="1"/>
    <xf numFmtId="169" fontId="7" fillId="0" borderId="9" xfId="5" applyNumberFormat="1" applyFont="1" applyBorder="1"/>
    <xf numFmtId="166" fontId="7" fillId="0" borderId="0" xfId="4" applyNumberFormat="1" applyFont="1" applyBorder="1"/>
    <xf numFmtId="165" fontId="7" fillId="0" borderId="9" xfId="3" applyNumberFormat="1" applyFont="1" applyBorder="1" applyProtection="1"/>
    <xf numFmtId="9" fontId="1" fillId="0" borderId="0" xfId="5"/>
    <xf numFmtId="0" fontId="8" fillId="0" borderId="0" xfId="0" applyFont="1"/>
    <xf numFmtId="0" fontId="0" fillId="0" borderId="0" xfId="0" applyAlignment="1">
      <alignment horizontal="left"/>
    </xf>
    <xf numFmtId="165" fontId="1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3" applyNumberFormat="1" applyAlignment="1">
      <alignment horizontal="center"/>
    </xf>
    <xf numFmtId="0" fontId="4" fillId="0" borderId="0" xfId="2" applyNumberFormat="1" applyFont="1" applyAlignment="1" applyProtection="1">
      <alignment horizontal="right"/>
    </xf>
    <xf numFmtId="0" fontId="2" fillId="0" borderId="0" xfId="0" applyFont="1"/>
    <xf numFmtId="17" fontId="4" fillId="0" borderId="1" xfId="0" quotePrefix="1" applyNumberFormat="1" applyFont="1" applyFill="1" applyBorder="1" applyAlignment="1" applyProtection="1">
      <alignment horizontal="center"/>
    </xf>
    <xf numFmtId="0" fontId="0" fillId="0" borderId="2" xfId="0" applyBorder="1"/>
    <xf numFmtId="17" fontId="4" fillId="0" borderId="3" xfId="0" quotePrefix="1" applyNumberFormat="1" applyFont="1" applyFill="1" applyBorder="1" applyAlignment="1" applyProtection="1">
      <alignment horizontal="center"/>
    </xf>
    <xf numFmtId="17" fontId="5" fillId="0" borderId="4" xfId="0" applyNumberFormat="1" applyFont="1" applyFill="1" applyBorder="1" applyAlignment="1" applyProtection="1">
      <alignment horizontal="center"/>
    </xf>
    <xf numFmtId="17" fontId="5" fillId="0" borderId="5" xfId="0" applyNumberFormat="1" applyFont="1" applyFill="1" applyBorder="1" applyAlignment="1" applyProtection="1">
      <alignment horizontal="center"/>
    </xf>
    <xf numFmtId="165" fontId="7" fillId="0" borderId="4" xfId="3" applyNumberFormat="1" applyFont="1" applyBorder="1" applyProtection="1"/>
    <xf numFmtId="165" fontId="7" fillId="0" borderId="5" xfId="3" applyNumberFormat="1" applyFont="1" applyBorder="1" applyProtection="1"/>
    <xf numFmtId="165" fontId="7" fillId="0" borderId="4" xfId="3" applyNumberFormat="1" applyFont="1" applyFill="1" applyBorder="1" applyProtection="1"/>
    <xf numFmtId="165" fontId="1" fillId="0" borderId="0" xfId="3" applyNumberFormat="1" applyFont="1" applyBorder="1"/>
    <xf numFmtId="166" fontId="7" fillId="0" borderId="10" xfId="4" applyNumberFormat="1" applyFont="1" applyBorder="1"/>
    <xf numFmtId="166" fontId="7" fillId="0" borderId="11" xfId="4" applyNumberFormat="1" applyFont="1" applyBorder="1"/>
    <xf numFmtId="0" fontId="0" fillId="0" borderId="4" xfId="0" applyBorder="1"/>
    <xf numFmtId="0" fontId="0" fillId="0" borderId="5" xfId="0" applyBorder="1"/>
    <xf numFmtId="165" fontId="7" fillId="0" borderId="10" xfId="3" applyNumberFormat="1" applyFont="1" applyBorder="1" applyProtection="1"/>
    <xf numFmtId="165" fontId="7" fillId="0" borderId="11" xfId="3" applyNumberFormat="1" applyFont="1" applyBorder="1" applyProtection="1"/>
    <xf numFmtId="9" fontId="1" fillId="0" borderId="0" xfId="5" applyBorder="1"/>
    <xf numFmtId="0" fontId="8" fillId="0" borderId="4" xfId="0" applyFont="1" applyBorder="1"/>
    <xf numFmtId="0" fontId="0" fillId="0" borderId="4" xfId="0" applyBorder="1" applyAlignment="1">
      <alignment horizontal="left"/>
    </xf>
    <xf numFmtId="165" fontId="1" fillId="0" borderId="0" xfId="3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1" fillId="0" borderId="0" xfId="3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7" fillId="0" borderId="4" xfId="3" applyNumberFormat="1" applyFont="1" applyBorder="1" applyAlignment="1" applyProtection="1">
      <alignment horizontal="right"/>
    </xf>
    <xf numFmtId="165" fontId="7" fillId="0" borderId="5" xfId="3" applyNumberFormat="1" applyFont="1" applyBorder="1" applyAlignment="1" applyProtection="1">
      <alignment horizontal="right"/>
    </xf>
    <xf numFmtId="0" fontId="0" fillId="0" borderId="3" xfId="0" applyBorder="1"/>
    <xf numFmtId="0" fontId="7" fillId="0" borderId="4" xfId="2" applyNumberFormat="1" applyFont="1" applyBorder="1" applyProtection="1"/>
    <xf numFmtId="0" fontId="0" fillId="0" borderId="1" xfId="0" applyBorder="1"/>
    <xf numFmtId="165" fontId="9" fillId="0" borderId="5" xfId="3" applyNumberFormat="1" applyFont="1" applyBorder="1" applyAlignment="1" applyProtection="1">
      <alignment horizontal="right"/>
    </xf>
    <xf numFmtId="165" fontId="2" fillId="0" borderId="8" xfId="0" applyNumberFormat="1" applyFont="1" applyBorder="1"/>
    <xf numFmtId="165" fontId="9" fillId="0" borderId="4" xfId="3" applyNumberFormat="1" applyFont="1" applyBorder="1" applyAlignment="1" applyProtection="1">
      <alignment horizontal="right"/>
    </xf>
    <xf numFmtId="165" fontId="2" fillId="0" borderId="6" xfId="0" applyNumberFormat="1" applyFont="1" applyBorder="1"/>
    <xf numFmtId="0" fontId="7" fillId="0" borderId="1" xfId="2" applyNumberFormat="1" applyFont="1" applyBorder="1" applyProtection="1"/>
    <xf numFmtId="0" fontId="7" fillId="0" borderId="2" xfId="2" applyNumberFormat="1" applyFont="1" applyBorder="1" applyProtection="1"/>
    <xf numFmtId="0" fontId="7" fillId="0" borderId="3" xfId="2" applyNumberFormat="1" applyFont="1" applyBorder="1" applyProtection="1"/>
    <xf numFmtId="0" fontId="7" fillId="0" borderId="0" xfId="2" applyNumberFormat="1" applyFont="1" applyBorder="1" applyProtection="1"/>
    <xf numFmtId="0" fontId="7" fillId="0" borderId="5" xfId="2" applyNumberFormat="1" applyFont="1" applyBorder="1" applyProtection="1"/>
    <xf numFmtId="0" fontId="7" fillId="0" borderId="6" xfId="2" applyNumberFormat="1" applyFont="1" applyBorder="1" applyProtection="1"/>
    <xf numFmtId="0" fontId="7" fillId="0" borderId="7" xfId="2" applyNumberFormat="1" applyFont="1" applyBorder="1" applyProtection="1"/>
    <xf numFmtId="0" fontId="7" fillId="0" borderId="8" xfId="2" applyNumberFormat="1" applyFont="1" applyBorder="1" applyProtection="1"/>
    <xf numFmtId="0" fontId="7" fillId="0" borderId="5" xfId="0" applyFont="1" applyBorder="1"/>
    <xf numFmtId="0" fontId="7" fillId="0" borderId="8" xfId="0" applyFont="1" applyBorder="1"/>
    <xf numFmtId="0" fontId="3" fillId="0" borderId="0" xfId="0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edmon/Local%20Settings/Temporary%20Internet%20Files/OLKB3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redmon/Local%20Settings/Temporary%20Internet%20Files/OLKB3/Natural%20Gas%20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tural Gas Consolidated"/>
      <sheetName val="Fund-Struct"/>
      <sheetName val="Central Trading"/>
      <sheetName val="Central Origination"/>
      <sheetName val="Derivatives"/>
      <sheetName val="East Trading"/>
      <sheetName val="East Origination"/>
      <sheetName val="Financial Gas"/>
      <sheetName val="Structuring"/>
      <sheetName val="Texas Trading"/>
      <sheetName val="Texas Origination"/>
      <sheetName val="West Trading"/>
      <sheetName val="West Origination"/>
      <sheetName val="Fundamentals"/>
    </sheetNames>
    <sheetDataSet>
      <sheetData sheetId="0" refreshError="1"/>
      <sheetData sheetId="1" refreshError="1"/>
      <sheetData sheetId="2" refreshError="1">
        <row r="8">
          <cell r="C8">
            <v>777723.49</v>
          </cell>
        </row>
        <row r="9">
          <cell r="C9">
            <v>174000</v>
          </cell>
          <cell r="E9">
            <v>174000</v>
          </cell>
        </row>
        <row r="10">
          <cell r="C10">
            <v>163937.00999999998</v>
          </cell>
        </row>
        <row r="11">
          <cell r="C11">
            <v>29600</v>
          </cell>
        </row>
        <row r="12">
          <cell r="C12">
            <v>51468.14</v>
          </cell>
        </row>
        <row r="13">
          <cell r="C13">
            <v>7835.4100000000008</v>
          </cell>
        </row>
        <row r="14">
          <cell r="C14">
            <v>37546.840000000004</v>
          </cell>
        </row>
        <row r="15">
          <cell r="C15">
            <v>4744.2900000000009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146.13999999999999</v>
          </cell>
        </row>
        <row r="19">
          <cell r="C19">
            <v>11962.85</v>
          </cell>
        </row>
        <row r="20">
          <cell r="C20">
            <v>0</v>
          </cell>
        </row>
        <row r="21">
          <cell r="C21">
            <v>5426.98</v>
          </cell>
        </row>
        <row r="22">
          <cell r="C22">
            <v>114.16000000000001</v>
          </cell>
        </row>
        <row r="25">
          <cell r="E25">
            <v>18</v>
          </cell>
        </row>
        <row r="27">
          <cell r="E27">
            <v>1</v>
          </cell>
        </row>
      </sheetData>
      <sheetData sheetId="3" refreshError="1">
        <row r="8">
          <cell r="C8">
            <v>1344104.9300000002</v>
          </cell>
        </row>
        <row r="9">
          <cell r="C9">
            <v>74000</v>
          </cell>
        </row>
        <row r="10">
          <cell r="C10">
            <v>111300</v>
          </cell>
          <cell r="E10">
            <v>148400</v>
          </cell>
        </row>
        <row r="11">
          <cell r="C11">
            <v>267708.64</v>
          </cell>
        </row>
        <row r="12">
          <cell r="C12">
            <v>170477.61</v>
          </cell>
        </row>
        <row r="13">
          <cell r="C13">
            <v>279179.57</v>
          </cell>
        </row>
        <row r="14">
          <cell r="C14">
            <v>17672.23</v>
          </cell>
        </row>
        <row r="15">
          <cell r="C15">
            <v>52652.04</v>
          </cell>
        </row>
        <row r="16">
          <cell r="C16">
            <v>0</v>
          </cell>
        </row>
        <row r="17">
          <cell r="C17">
            <v>5000</v>
          </cell>
        </row>
        <row r="18">
          <cell r="C18">
            <v>141041.83000000002</v>
          </cell>
        </row>
        <row r="19">
          <cell r="C19">
            <v>20599.13</v>
          </cell>
        </row>
        <row r="20">
          <cell r="C20">
            <v>16</v>
          </cell>
        </row>
        <row r="21">
          <cell r="C21">
            <v>4014.8300000000017</v>
          </cell>
        </row>
        <row r="22">
          <cell r="C22">
            <v>68.72</v>
          </cell>
        </row>
        <row r="25">
          <cell r="E25">
            <v>6</v>
          </cell>
        </row>
        <row r="27">
          <cell r="E27">
            <v>1</v>
          </cell>
        </row>
      </sheetData>
      <sheetData sheetId="4" refreshError="1">
        <row r="8">
          <cell r="C8">
            <v>864765.79999999981</v>
          </cell>
        </row>
        <row r="9">
          <cell r="C9">
            <v>160000</v>
          </cell>
        </row>
        <row r="10">
          <cell r="C10">
            <v>414608.66</v>
          </cell>
          <cell r="E10">
            <v>552811.54666666663</v>
          </cell>
        </row>
        <row r="11">
          <cell r="C11">
            <v>256071.80999999994</v>
          </cell>
        </row>
        <row r="12">
          <cell r="C12">
            <v>250026.99</v>
          </cell>
        </row>
        <row r="13">
          <cell r="C13">
            <v>437712.95000000007</v>
          </cell>
        </row>
        <row r="14">
          <cell r="C14">
            <v>41472.9</v>
          </cell>
        </row>
        <row r="15">
          <cell r="C15">
            <v>29288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-26755.31</v>
          </cell>
        </row>
        <row r="19">
          <cell r="C19">
            <v>62246.39</v>
          </cell>
        </row>
        <row r="20">
          <cell r="C20">
            <v>0</v>
          </cell>
        </row>
        <row r="21">
          <cell r="C21">
            <v>39994.139999999985</v>
          </cell>
        </row>
        <row r="22">
          <cell r="C22">
            <v>133.55999999999997</v>
          </cell>
        </row>
        <row r="25">
          <cell r="E25">
            <v>12</v>
          </cell>
        </row>
        <row r="27">
          <cell r="E27">
            <v>4</v>
          </cell>
        </row>
      </sheetData>
      <sheetData sheetId="5" refreshError="1">
        <row r="8">
          <cell r="C8">
            <v>1053710.72</v>
          </cell>
        </row>
        <row r="9">
          <cell r="C9">
            <v>150000</v>
          </cell>
        </row>
        <row r="10">
          <cell r="C10">
            <v>158500</v>
          </cell>
          <cell r="E10">
            <v>211333.33333333331</v>
          </cell>
        </row>
        <row r="11">
          <cell r="C11">
            <v>304894.01999999996</v>
          </cell>
        </row>
        <row r="12">
          <cell r="C12">
            <v>67830.09</v>
          </cell>
        </row>
        <row r="13">
          <cell r="C13">
            <v>-1702.6700000000019</v>
          </cell>
        </row>
        <row r="14">
          <cell r="C14">
            <v>13065.630000000001</v>
          </cell>
        </row>
        <row r="15">
          <cell r="C15">
            <v>22785.42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589.8599999999999</v>
          </cell>
        </row>
        <row r="19">
          <cell r="C19">
            <v>12122.89</v>
          </cell>
        </row>
        <row r="20">
          <cell r="C20">
            <v>0</v>
          </cell>
        </row>
        <row r="21">
          <cell r="C21">
            <v>11668.959999999992</v>
          </cell>
        </row>
        <row r="22">
          <cell r="C22">
            <v>4755620.6100000003</v>
          </cell>
        </row>
        <row r="25">
          <cell r="E25">
            <v>15</v>
          </cell>
        </row>
        <row r="27">
          <cell r="E27">
            <v>4</v>
          </cell>
        </row>
      </sheetData>
      <sheetData sheetId="6" refreshError="1">
        <row r="8">
          <cell r="C8">
            <v>1112475.8099999998</v>
          </cell>
        </row>
        <row r="9">
          <cell r="C9">
            <v>198750</v>
          </cell>
        </row>
        <row r="10">
          <cell r="C10">
            <v>85600</v>
          </cell>
          <cell r="E10">
            <v>114133.33333333334</v>
          </cell>
        </row>
        <row r="11">
          <cell r="C11">
            <v>247943.73</v>
          </cell>
        </row>
        <row r="12">
          <cell r="C12">
            <v>71177.97</v>
          </cell>
        </row>
        <row r="13">
          <cell r="C13">
            <v>286730.48000000004</v>
          </cell>
        </row>
        <row r="14">
          <cell r="C14">
            <v>852.11</v>
          </cell>
        </row>
        <row r="15">
          <cell r="C15">
            <v>4190.84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1502.8600000000001</v>
          </cell>
        </row>
        <row r="19">
          <cell r="C19">
            <v>21322.510000000002</v>
          </cell>
        </row>
        <row r="20">
          <cell r="C20">
            <v>0</v>
          </cell>
        </row>
        <row r="21">
          <cell r="C21">
            <v>7848.5999999999913</v>
          </cell>
        </row>
        <row r="22">
          <cell r="C22">
            <v>161.74</v>
          </cell>
        </row>
        <row r="25">
          <cell r="E25">
            <v>13</v>
          </cell>
        </row>
        <row r="27">
          <cell r="E27">
            <v>2</v>
          </cell>
        </row>
      </sheetData>
      <sheetData sheetId="7" refreshError="1">
        <row r="8">
          <cell r="C8">
            <v>475540.27</v>
          </cell>
        </row>
        <row r="9">
          <cell r="C9">
            <v>102000</v>
          </cell>
        </row>
        <row r="10">
          <cell r="C10">
            <v>148878.09</v>
          </cell>
          <cell r="E10">
            <v>198504.12</v>
          </cell>
        </row>
        <row r="11">
          <cell r="C11">
            <v>105886.18999999999</v>
          </cell>
        </row>
        <row r="12">
          <cell r="C12">
            <v>78488.709999999992</v>
          </cell>
        </row>
        <row r="13">
          <cell r="C13">
            <v>30418.36</v>
          </cell>
        </row>
        <row r="14">
          <cell r="C14">
            <v>40980.630000000005</v>
          </cell>
        </row>
        <row r="15">
          <cell r="C15">
            <v>11361.58</v>
          </cell>
        </row>
        <row r="16">
          <cell r="C16">
            <v>0</v>
          </cell>
        </row>
        <row r="17">
          <cell r="C17">
            <v>400</v>
          </cell>
        </row>
        <row r="18">
          <cell r="C18">
            <v>308.51</v>
          </cell>
        </row>
        <row r="19">
          <cell r="C19">
            <v>4585.34</v>
          </cell>
        </row>
        <row r="20">
          <cell r="C20">
            <v>0</v>
          </cell>
        </row>
        <row r="21">
          <cell r="C21">
            <v>21855.62999999999</v>
          </cell>
        </row>
        <row r="22">
          <cell r="C22">
            <v>69.66</v>
          </cell>
        </row>
        <row r="25">
          <cell r="E25">
            <v>10</v>
          </cell>
        </row>
        <row r="27">
          <cell r="E27">
            <v>0</v>
          </cell>
        </row>
      </sheetData>
      <sheetData sheetId="8" refreshError="1">
        <row r="8">
          <cell r="C8">
            <v>650833.97000000009</v>
          </cell>
        </row>
        <row r="10">
          <cell r="C10">
            <v>380700</v>
          </cell>
          <cell r="E10">
            <v>507600</v>
          </cell>
        </row>
        <row r="11">
          <cell r="C11">
            <v>142756.44</v>
          </cell>
        </row>
        <row r="12">
          <cell r="C12">
            <v>43481.47</v>
          </cell>
        </row>
        <row r="13">
          <cell r="C13">
            <v>50057.399999999994</v>
          </cell>
        </row>
        <row r="14">
          <cell r="C14">
            <v>27468.620000000003</v>
          </cell>
        </row>
        <row r="15">
          <cell r="C15">
            <v>8233.32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867.87</v>
          </cell>
        </row>
        <row r="19">
          <cell r="C19">
            <v>57072.299999999996</v>
          </cell>
        </row>
        <row r="20">
          <cell r="C20">
            <v>0</v>
          </cell>
        </row>
        <row r="21">
          <cell r="C21">
            <v>-6139.070000000007</v>
          </cell>
        </row>
        <row r="22">
          <cell r="C22">
            <v>134.17999999999998</v>
          </cell>
        </row>
        <row r="25">
          <cell r="E25">
            <v>10</v>
          </cell>
        </row>
        <row r="27">
          <cell r="E27">
            <v>8</v>
          </cell>
        </row>
      </sheetData>
      <sheetData sheetId="9" refreshError="1">
        <row r="8">
          <cell r="C8">
            <v>775180.66999999993</v>
          </cell>
        </row>
        <row r="9">
          <cell r="C9">
            <v>228500</v>
          </cell>
        </row>
        <row r="10">
          <cell r="C10">
            <v>161299</v>
          </cell>
          <cell r="E10">
            <v>215065.33333333331</v>
          </cell>
        </row>
        <row r="11">
          <cell r="C11">
            <v>153216.99000000002</v>
          </cell>
        </row>
        <row r="12">
          <cell r="C12">
            <v>70914.559999999998</v>
          </cell>
        </row>
        <row r="13">
          <cell r="C13">
            <v>21515.25</v>
          </cell>
        </row>
        <row r="14">
          <cell r="C14">
            <v>1599.1900000000023</v>
          </cell>
        </row>
        <row r="15">
          <cell r="C15">
            <v>4958.8200000000006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65</v>
          </cell>
        </row>
        <row r="19">
          <cell r="C19">
            <v>470.88999999999942</v>
          </cell>
        </row>
        <row r="20">
          <cell r="C20">
            <v>0</v>
          </cell>
        </row>
        <row r="21">
          <cell r="C21">
            <v>1198.3000000000029</v>
          </cell>
        </row>
        <row r="22">
          <cell r="C22">
            <v>182.87</v>
          </cell>
        </row>
        <row r="25">
          <cell r="E25">
            <v>5</v>
          </cell>
        </row>
        <row r="27">
          <cell r="E27">
            <v>3</v>
          </cell>
        </row>
      </sheetData>
      <sheetData sheetId="10" refreshError="1">
        <row r="8">
          <cell r="C8">
            <v>25370.239999999998</v>
          </cell>
        </row>
        <row r="10">
          <cell r="C10">
            <v>24000</v>
          </cell>
          <cell r="E10">
            <v>32000</v>
          </cell>
        </row>
        <row r="11">
          <cell r="C11">
            <v>8505.8700000000008</v>
          </cell>
        </row>
        <row r="12">
          <cell r="C12">
            <v>82552.23000000001</v>
          </cell>
        </row>
        <row r="13">
          <cell r="C13">
            <v>8819.61</v>
          </cell>
        </row>
        <row r="14">
          <cell r="C14">
            <v>34855.839999999997</v>
          </cell>
        </row>
        <row r="15">
          <cell r="C15">
            <v>1111.1300000000001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66586.09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24000</v>
          </cell>
        </row>
        <row r="22">
          <cell r="C22">
            <v>3.23</v>
          </cell>
        </row>
        <row r="25">
          <cell r="E25">
            <v>1</v>
          </cell>
        </row>
        <row r="27">
          <cell r="E27">
            <v>1</v>
          </cell>
        </row>
      </sheetData>
      <sheetData sheetId="11" refreshError="1">
        <row r="8">
          <cell r="C8">
            <v>656118.41</v>
          </cell>
        </row>
        <row r="9">
          <cell r="C9">
            <v>225000</v>
          </cell>
        </row>
        <row r="10">
          <cell r="C10">
            <v>405755</v>
          </cell>
          <cell r="E10">
            <v>541006.66666666674</v>
          </cell>
        </row>
        <row r="11">
          <cell r="C11">
            <v>168993.76</v>
          </cell>
        </row>
        <row r="12">
          <cell r="C12">
            <v>81330.490000000005</v>
          </cell>
        </row>
        <row r="13">
          <cell r="C13">
            <v>110485.16</v>
          </cell>
        </row>
        <row r="14">
          <cell r="C14">
            <v>16096.18</v>
          </cell>
        </row>
        <row r="15">
          <cell r="C15">
            <v>4515.9299999999994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29587.79</v>
          </cell>
        </row>
        <row r="20">
          <cell r="C20">
            <v>0</v>
          </cell>
        </row>
        <row r="21">
          <cell r="C21">
            <v>12423.150000000023</v>
          </cell>
        </row>
        <row r="22">
          <cell r="C22">
            <v>82.009999999999991</v>
          </cell>
        </row>
        <row r="25">
          <cell r="E25">
            <v>6</v>
          </cell>
        </row>
        <row r="27">
          <cell r="E27">
            <v>8</v>
          </cell>
        </row>
      </sheetData>
      <sheetData sheetId="12" refreshError="1">
        <row r="8">
          <cell r="C8">
            <v>648785.23999999987</v>
          </cell>
        </row>
        <row r="9">
          <cell r="C9">
            <v>173000</v>
          </cell>
        </row>
        <row r="10">
          <cell r="C10">
            <v>159800</v>
          </cell>
          <cell r="E10">
            <v>213066.66666666666</v>
          </cell>
        </row>
        <row r="11">
          <cell r="C11">
            <v>124394.44999999998</v>
          </cell>
        </row>
        <row r="12">
          <cell r="C12">
            <v>98627.9</v>
          </cell>
        </row>
        <row r="13">
          <cell r="C13">
            <v>152797.79999999999</v>
          </cell>
        </row>
        <row r="14">
          <cell r="C14">
            <v>4804.26</v>
          </cell>
        </row>
        <row r="15">
          <cell r="C15">
            <v>8317.7200000000012</v>
          </cell>
        </row>
        <row r="16">
          <cell r="C16">
            <v>0</v>
          </cell>
        </row>
        <row r="17">
          <cell r="C17">
            <v>500</v>
          </cell>
        </row>
        <row r="18">
          <cell r="C18">
            <v>166552.07</v>
          </cell>
        </row>
        <row r="19">
          <cell r="C19">
            <v>24751.93</v>
          </cell>
        </row>
        <row r="20">
          <cell r="C20">
            <v>0</v>
          </cell>
        </row>
        <row r="21">
          <cell r="C21">
            <v>21610.599999999977</v>
          </cell>
        </row>
        <row r="22">
          <cell r="C22">
            <v>490.75</v>
          </cell>
        </row>
        <row r="25">
          <cell r="E25">
            <v>9</v>
          </cell>
        </row>
        <row r="27">
          <cell r="E27">
            <v>3</v>
          </cell>
        </row>
      </sheetData>
      <sheetData sheetId="13" refreshError="1">
        <row r="8">
          <cell r="C8">
            <v>263248.11</v>
          </cell>
        </row>
        <row r="10">
          <cell r="C10">
            <v>880875</v>
          </cell>
          <cell r="E10">
            <v>1174500</v>
          </cell>
        </row>
        <row r="11">
          <cell r="C11">
            <v>42336.049999999988</v>
          </cell>
        </row>
        <row r="12">
          <cell r="C12">
            <v>48120.69</v>
          </cell>
        </row>
        <row r="13">
          <cell r="C13">
            <v>24345.510000000002</v>
          </cell>
        </row>
        <row r="14">
          <cell r="C14">
            <v>18097.810000000001</v>
          </cell>
        </row>
        <row r="15">
          <cell r="C15">
            <v>8653.91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33238.300000000003</v>
          </cell>
        </row>
        <row r="20">
          <cell r="C20">
            <v>0</v>
          </cell>
        </row>
        <row r="21">
          <cell r="C21">
            <v>48136.789999999921</v>
          </cell>
        </row>
        <row r="22">
          <cell r="C22">
            <v>35.190000000000005</v>
          </cell>
        </row>
        <row r="25">
          <cell r="E25">
            <v>3</v>
          </cell>
        </row>
        <row r="27">
          <cell r="E2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0" hidden="1" customWidth="1"/>
    <col min="14" max="14" width="14" hidden="1" customWidth="1"/>
    <col min="15" max="15" width="0" hidden="1" customWidth="1"/>
    <col min="16" max="16" width="10.28515625" hidden="1" customWidth="1"/>
    <col min="17" max="17" width="10.7109375" hidden="1" customWidth="1"/>
    <col min="18" max="39" width="0" hidden="1" customWidth="1"/>
  </cols>
  <sheetData>
    <row r="1" spans="1:44" ht="18" x14ac:dyDescent="0.2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84" t="s">
        <v>0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12159180</v>
      </c>
      <c r="I8" s="7" t="s">
        <v>13</v>
      </c>
      <c r="J8" s="8">
        <v>0</v>
      </c>
      <c r="K8" s="8"/>
      <c r="L8" s="9">
        <f>L30</f>
        <v>15668136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2611356</v>
      </c>
      <c r="I11" s="7" t="s">
        <v>18</v>
      </c>
      <c r="J11" s="8">
        <f>(E12+E13+E14+E15+E16+E17+E18+E19+E20+E21+E22)/E29</f>
        <v>48270.181250000009</v>
      </c>
      <c r="K11" s="8">
        <f>K28</f>
        <v>90</v>
      </c>
      <c r="L11" s="9">
        <f>J11*K11</f>
        <v>4344316.3125000009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554622.63749999972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493646.12250000011</v>
      </c>
      <c r="I13" s="19" t="s">
        <v>23</v>
      </c>
      <c r="J13" s="20"/>
      <c r="K13" s="20"/>
      <c r="L13" s="21">
        <f>L8+L11</f>
        <v>20012452.3125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0.18000000001484293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78422.249999999985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4425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80366.190000000017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81907.740000000005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12</v>
      </c>
      <c r="I20" s="22" t="s">
        <v>42</v>
      </c>
      <c r="J20" s="22">
        <v>71500</v>
      </c>
      <c r="K20" s="22">
        <f>2+1</f>
        <v>3</v>
      </c>
      <c r="L20" s="22">
        <f t="shared" si="2"/>
        <v>214500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101841.68249999991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</f>
        <v>3571654.5100000016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20635034.3125</v>
      </c>
      <c r="I23" s="22" t="s">
        <v>51</v>
      </c>
      <c r="J23" s="22">
        <v>110000</v>
      </c>
      <c r="K23" s="22">
        <f>1+8+11</f>
        <v>20</v>
      </c>
      <c r="L23" s="22">
        <f t="shared" si="2"/>
        <v>2200000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1+11+14</f>
        <v>26</v>
      </c>
      <c r="L24" s="22">
        <f t="shared" si="2"/>
        <v>3718000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78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f>8+6</f>
        <v>14</v>
      </c>
      <c r="L26" s="22">
        <f t="shared" si="2"/>
        <v>2772000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f>1+1</f>
        <v>2</v>
      </c>
      <c r="L27" s="22">
        <f t="shared" si="2"/>
        <v>440000</v>
      </c>
      <c r="P27" s="25"/>
      <c r="Q27" s="26"/>
    </row>
    <row r="28" spans="1:17" x14ac:dyDescent="0.2">
      <c r="K28" s="22">
        <f>SUM(K16:K27)</f>
        <v>90</v>
      </c>
      <c r="L28" s="22">
        <f>SUM(L16:L27)*1.2</f>
        <v>13056780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90</v>
      </c>
      <c r="L29" s="33">
        <v>0.2</v>
      </c>
      <c r="P29" s="25"/>
      <c r="Q29" s="26"/>
    </row>
    <row r="30" spans="1:17" hidden="1" x14ac:dyDescent="0.2">
      <c r="L30" s="22">
        <f>L28*1.2</f>
        <v>15668136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90</v>
      </c>
      <c r="L34" s="38">
        <f>+J34*K34</f>
        <v>4344316.3125000009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84" t="s">
        <v>64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5652900</v>
      </c>
      <c r="I8" s="7" t="s">
        <v>13</v>
      </c>
      <c r="J8" s="8">
        <v>0</v>
      </c>
      <c r="K8" s="8"/>
      <c r="L8" s="9">
        <f>L30</f>
        <v>6783480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1130580</v>
      </c>
      <c r="I11" s="7" t="s">
        <v>18</v>
      </c>
      <c r="J11" s="8">
        <f>(E12+E13+E14+E15+E16+E17+E18+E19+E20+E21+E22)/E29</f>
        <v>48270.181250000009</v>
      </c>
      <c r="K11" s="8">
        <f>K28</f>
        <v>33</v>
      </c>
      <c r="L11" s="9">
        <f>J11*K11</f>
        <v>1592915.9812500002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203361.63374999992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181003.57825000005</v>
      </c>
      <c r="I13" s="19" t="s">
        <v>23</v>
      </c>
      <c r="J13" s="20"/>
      <c r="K13" s="20"/>
      <c r="L13" s="21">
        <f>L8+L11</f>
        <v>8376395.9812500002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6.6000000005442414E-2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28754.824999999997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1622.5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29467.603000000003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30032.838</v>
      </c>
      <c r="I19" s="22" t="s">
        <v>39</v>
      </c>
      <c r="J19" s="22">
        <v>57750</v>
      </c>
      <c r="K19" s="22">
        <f>1</f>
        <v>1</v>
      </c>
      <c r="L19" s="22">
        <f t="shared" si="2"/>
        <v>57750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4.4000000000000004</v>
      </c>
      <c r="I20" s="22" t="s">
        <v>42</v>
      </c>
      <c r="J20" s="22">
        <v>71500</v>
      </c>
      <c r="K20" s="22">
        <f>2+1-1</f>
        <v>2</v>
      </c>
      <c r="L20" s="22">
        <f t="shared" si="2"/>
        <v>143000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37341.950249999965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(E22/$E$29)*$K$11+557047+65535+393210+393210+1081327</f>
        <v>3571655.5870000003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10866724.981250001</v>
      </c>
      <c r="I23" s="22" t="s">
        <v>51</v>
      </c>
      <c r="J23" s="22">
        <v>110000</v>
      </c>
      <c r="K23" s="22">
        <f>1+8+11-11</f>
        <v>9</v>
      </c>
      <c r="L23" s="22">
        <f t="shared" si="2"/>
        <v>990000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f>1+11+14-14</f>
        <v>12</v>
      </c>
      <c r="L24" s="22">
        <f t="shared" si="2"/>
        <v>1716000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33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f>8+6-6</f>
        <v>8</v>
      </c>
      <c r="L26" s="22">
        <f t="shared" si="2"/>
        <v>1584000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f>1+1-1</f>
        <v>1</v>
      </c>
      <c r="L27" s="22">
        <f t="shared" si="2"/>
        <v>220000</v>
      </c>
      <c r="P27" s="25"/>
      <c r="Q27" s="26"/>
    </row>
    <row r="28" spans="1:17" x14ac:dyDescent="0.2">
      <c r="K28" s="22">
        <f>SUM(K16:K27)</f>
        <v>33</v>
      </c>
      <c r="L28" s="22">
        <f>SUM(L16:L27)*1.2</f>
        <v>5652900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33</v>
      </c>
      <c r="L29" s="33">
        <v>0.2</v>
      </c>
      <c r="P29" s="25"/>
      <c r="Q29" s="26"/>
    </row>
    <row r="30" spans="1:17" hidden="1" x14ac:dyDescent="0.2">
      <c r="L30" s="22">
        <f>L28*1.2</f>
        <v>6783480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33</v>
      </c>
      <c r="L34" s="38">
        <f>+J34*K34</f>
        <v>1592915.9812500002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R53"/>
  <sheetViews>
    <sheetView tabSelected="1" topLeftCell="D1" zoomScaleNormal="100" workbookViewId="0">
      <selection activeCell="V2" sqref="V2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6.710937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2" customWidth="1"/>
    <col min="15" max="15" width="15.5703125" customWidth="1"/>
    <col min="16" max="16" width="2.7109375" customWidth="1"/>
    <col min="17" max="17" width="19" customWidth="1"/>
    <col min="18" max="18" width="2" customWidth="1"/>
    <col min="19" max="19" width="17.140625" customWidth="1"/>
    <col min="20" max="20" width="2.28515625" customWidth="1"/>
    <col min="21" max="21" width="17.140625" customWidth="1"/>
    <col min="22" max="22" width="39.7109375" customWidth="1"/>
  </cols>
  <sheetData>
    <row r="1" spans="1:44" ht="18" x14ac:dyDescent="0.2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84" t="s">
        <v>65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ht="13.5" thickBot="1" x14ac:dyDescent="0.25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41" t="s">
        <v>7</v>
      </c>
      <c r="I6" s="4"/>
      <c r="J6" s="5"/>
      <c r="K6" s="5"/>
      <c r="L6" s="6"/>
      <c r="M6" s="42"/>
      <c r="N6" s="42"/>
      <c r="O6" s="43" t="s">
        <v>7</v>
      </c>
      <c r="Q6" s="41" t="s">
        <v>7</v>
      </c>
      <c r="R6" s="42"/>
      <c r="S6" s="43" t="s">
        <v>7</v>
      </c>
      <c r="U6" s="41" t="s">
        <v>70</v>
      </c>
      <c r="V6" s="43"/>
    </row>
    <row r="7" spans="1:44" x14ac:dyDescent="0.2">
      <c r="C7" s="12" t="s">
        <v>8</v>
      </c>
      <c r="E7" s="12" t="s">
        <v>9</v>
      </c>
      <c r="G7" s="12" t="s">
        <v>10</v>
      </c>
      <c r="H7" s="44" t="s">
        <v>68</v>
      </c>
      <c r="I7" s="7"/>
      <c r="J7" s="8"/>
      <c r="K7" s="8"/>
      <c r="L7" s="9"/>
      <c r="M7" s="25"/>
      <c r="N7" s="25"/>
      <c r="O7" s="45" t="s">
        <v>71</v>
      </c>
      <c r="Q7" s="44" t="s">
        <v>73</v>
      </c>
      <c r="R7" s="25"/>
      <c r="S7" s="45" t="s">
        <v>74</v>
      </c>
      <c r="U7" s="44" t="s">
        <v>76</v>
      </c>
      <c r="V7" s="45" t="s">
        <v>90</v>
      </c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4" si="0">E8/$E$24</f>
        <v>0.5287785559542808</v>
      </c>
      <c r="H8" s="46">
        <f>L29-H11</f>
        <v>5629800</v>
      </c>
      <c r="I8" s="7" t="s">
        <v>13</v>
      </c>
      <c r="J8" s="8">
        <v>0</v>
      </c>
      <c r="K8" s="8"/>
      <c r="L8" s="9">
        <f>L31</f>
        <v>6755760</v>
      </c>
      <c r="M8" s="25"/>
      <c r="N8" s="25"/>
      <c r="O8" s="47">
        <f>$O$30/$H$30*H8</f>
        <v>682400</v>
      </c>
      <c r="Q8" s="46">
        <v>1003004</v>
      </c>
      <c r="R8" s="25"/>
      <c r="S8" s="47">
        <f>$S$26/$Q$26*Q8</f>
        <v>573145.14285714284</v>
      </c>
      <c r="U8" s="46">
        <f>O8-IF(S8="incl",0,S8)</f>
        <v>109254.85714285716</v>
      </c>
      <c r="V8" s="82"/>
    </row>
    <row r="9" spans="1:44" hidden="1" x14ac:dyDescent="0.2">
      <c r="A9" s="13"/>
      <c r="B9" s="14" t="s">
        <v>14</v>
      </c>
      <c r="C9" s="15" t="e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#REF!</v>
      </c>
      <c r="E9" s="15">
        <v>0</v>
      </c>
      <c r="G9" s="16">
        <f t="shared" si="0"/>
        <v>0</v>
      </c>
      <c r="H9" s="46">
        <v>0</v>
      </c>
      <c r="I9" s="7"/>
      <c r="J9" s="8"/>
      <c r="K9" s="8"/>
      <c r="L9" s="9"/>
      <c r="M9" s="25"/>
      <c r="N9" s="25"/>
      <c r="O9" s="47">
        <f>$O$30/$H$30*H9</f>
        <v>0</v>
      </c>
      <c r="Q9" s="46">
        <f>$O$30/$H$30*H9</f>
        <v>0</v>
      </c>
      <c r="R9" s="25"/>
      <c r="S9" s="47">
        <f>$O$30/$H$30*J9</f>
        <v>0</v>
      </c>
      <c r="U9" s="46">
        <f>O9-IF(S9="incl",0,S9)</f>
        <v>0</v>
      </c>
      <c r="V9" s="82"/>
    </row>
    <row r="10" spans="1:44" x14ac:dyDescent="0.2">
      <c r="A10" s="13"/>
      <c r="B10" s="14" t="s">
        <v>33</v>
      </c>
      <c r="C10" s="15"/>
      <c r="E10" s="15"/>
      <c r="G10" s="16"/>
      <c r="H10" s="46">
        <v>0</v>
      </c>
      <c r="I10" s="7"/>
      <c r="J10" s="8"/>
      <c r="K10" s="8"/>
      <c r="L10" s="9"/>
      <c r="M10" s="25"/>
      <c r="N10" s="25"/>
      <c r="O10" s="47">
        <v>0</v>
      </c>
      <c r="Q10" s="46">
        <v>30000</v>
      </c>
      <c r="R10" s="25"/>
      <c r="S10" s="47">
        <v>0</v>
      </c>
      <c r="U10" s="46"/>
      <c r="V10" s="82"/>
    </row>
    <row r="11" spans="1:44" x14ac:dyDescent="0.2">
      <c r="A11" s="13"/>
      <c r="B11" s="14" t="s">
        <v>15</v>
      </c>
      <c r="C11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1" s="15"/>
      <c r="E11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1" s="16">
        <f t="shared" si="0"/>
        <v>3.7797619139155266E-3</v>
      </c>
      <c r="H11" s="46">
        <f>L22+L23</f>
        <v>0</v>
      </c>
      <c r="I11" s="7"/>
      <c r="J11" s="8"/>
      <c r="K11" s="8"/>
      <c r="L11" s="9"/>
      <c r="M11" s="25"/>
      <c r="N11" s="25"/>
      <c r="O11" s="47">
        <f t="shared" ref="O11:O23" si="1">$O$30/$H$30*H11</f>
        <v>0</v>
      </c>
      <c r="Q11" s="46">
        <v>237600</v>
      </c>
      <c r="R11" s="25"/>
      <c r="S11" s="47">
        <f>S28/Q28*Q11</f>
        <v>0</v>
      </c>
      <c r="U11" s="46">
        <f t="shared" ref="U11:U23" si="2">O11-IF(S11="incl",0,S11)</f>
        <v>0</v>
      </c>
      <c r="V11" s="82"/>
    </row>
    <row r="12" spans="1:44" x14ac:dyDescent="0.2">
      <c r="A12" s="13" t="s">
        <v>16</v>
      </c>
      <c r="B12" s="14" t="s">
        <v>17</v>
      </c>
      <c r="C12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2" s="15">
        <f>((C12/9)*12)</f>
        <v>2469743.9333333331</v>
      </c>
      <c r="G12" s="16">
        <f t="shared" si="0"/>
        <v>0.11326050468129861</v>
      </c>
      <c r="H12" s="46">
        <f>L31-L29</f>
        <v>1125960</v>
      </c>
      <c r="I12" s="7" t="s">
        <v>18</v>
      </c>
      <c r="J12" s="8">
        <f>(E13+E14+E15+E16+E17+E18+E19+E20+E21+E22+E23)/E30</f>
        <v>48270.181250000009</v>
      </c>
      <c r="K12" s="8">
        <f>K29</f>
        <v>33</v>
      </c>
      <c r="L12" s="9">
        <f>J12*K12</f>
        <v>1592915.9812500002</v>
      </c>
      <c r="M12" s="25"/>
      <c r="N12" s="25"/>
      <c r="O12" s="47">
        <f t="shared" si="1"/>
        <v>136480</v>
      </c>
      <c r="Q12" s="46">
        <v>160129</v>
      </c>
      <c r="R12" s="25"/>
      <c r="S12" s="47">
        <f t="shared" ref="S12:S17" si="3">$S$26/$Q$26*(IF(Q12="incl",0,Q12))</f>
        <v>91502.28571428571</v>
      </c>
      <c r="U12" s="46">
        <f t="shared" si="2"/>
        <v>44977.71428571429</v>
      </c>
      <c r="V12" s="82"/>
    </row>
    <row r="13" spans="1:44" x14ac:dyDescent="0.2">
      <c r="A13" s="13" t="s">
        <v>19</v>
      </c>
      <c r="B13" s="14" t="s">
        <v>20</v>
      </c>
      <c r="C13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3" s="17">
        <f>((C13/9)*12)-500000</f>
        <v>985995.79999999958</v>
      </c>
      <c r="G13" s="16">
        <f t="shared" si="0"/>
        <v>4.5216988050626544E-2</v>
      </c>
      <c r="H13" s="48">
        <f t="shared" ref="H13:H22" si="4">(E13/$E$30)*$K$12</f>
        <v>203361.63374999992</v>
      </c>
      <c r="I13" s="7"/>
      <c r="J13" s="8"/>
      <c r="K13" s="8"/>
      <c r="L13" s="9"/>
      <c r="M13" s="25"/>
      <c r="N13" s="25"/>
      <c r="O13" s="47">
        <f t="shared" si="1"/>
        <v>24649.89499999999</v>
      </c>
      <c r="Q13" s="46">
        <v>118700</v>
      </c>
      <c r="R13" s="25"/>
      <c r="S13" s="47">
        <f t="shared" si="3"/>
        <v>67828.57142857142</v>
      </c>
      <c r="U13" s="46">
        <f t="shared" si="2"/>
        <v>-43178.676428571431</v>
      </c>
      <c r="V13" s="82"/>
    </row>
    <row r="14" spans="1:44" ht="13.5" thickBot="1" x14ac:dyDescent="0.25">
      <c r="A14" s="13" t="s">
        <v>21</v>
      </c>
      <c r="B14" s="14" t="s">
        <v>22</v>
      </c>
      <c r="C14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4" s="17">
        <f>((C14/9)*12)-500000-500000</f>
        <v>877593.10666666692</v>
      </c>
      <c r="G14" s="16">
        <f t="shared" si="0"/>
        <v>4.02457262165406E-2</v>
      </c>
      <c r="H14" s="48">
        <f t="shared" si="4"/>
        <v>181003.57825000005</v>
      </c>
      <c r="I14" s="19" t="s">
        <v>23</v>
      </c>
      <c r="J14" s="20"/>
      <c r="K14" s="20"/>
      <c r="L14" s="21">
        <f>L8+L12</f>
        <v>8348675.9812500002</v>
      </c>
      <c r="M14" s="25"/>
      <c r="N14" s="8"/>
      <c r="O14" s="47">
        <f t="shared" si="1"/>
        <v>21939.827666666672</v>
      </c>
      <c r="P14" s="23"/>
      <c r="Q14" s="46">
        <v>680000</v>
      </c>
      <c r="R14" s="25"/>
      <c r="S14" s="47">
        <f t="shared" si="3"/>
        <v>388571.42857142852</v>
      </c>
      <c r="U14" s="46">
        <f t="shared" si="2"/>
        <v>-366631.60090476187</v>
      </c>
      <c r="V14" s="82" t="s">
        <v>86</v>
      </c>
    </row>
    <row r="15" spans="1:44" x14ac:dyDescent="0.2">
      <c r="A15" s="13" t="s">
        <v>24</v>
      </c>
      <c r="B15" s="14" t="s">
        <v>25</v>
      </c>
      <c r="C15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Origination'!C14+[2]Fundamentals!C14-C33</f>
        <v>0.2400000000197906</v>
      </c>
      <c r="E15" s="17">
        <f>(C15/9)*12</f>
        <v>0.32000000002638745</v>
      </c>
      <c r="G15" s="16">
        <f t="shared" si="0"/>
        <v>1.4674947071167709E-8</v>
      </c>
      <c r="H15" s="48">
        <f t="shared" si="4"/>
        <v>6.6000000005442414E-2</v>
      </c>
      <c r="I15" s="8"/>
      <c r="J15" s="8"/>
      <c r="K15" s="8"/>
      <c r="L15" s="8"/>
      <c r="M15" s="25"/>
      <c r="N15" s="25"/>
      <c r="O15" s="47">
        <f t="shared" si="1"/>
        <v>8.000000000659686E-3</v>
      </c>
      <c r="Q15" s="46">
        <v>70000</v>
      </c>
      <c r="R15" s="25"/>
      <c r="S15" s="47">
        <f t="shared" si="3"/>
        <v>40000</v>
      </c>
      <c r="U15" s="46">
        <f t="shared" si="2"/>
        <v>-39999.991999999998</v>
      </c>
      <c r="V15" s="82" t="s">
        <v>87</v>
      </c>
    </row>
    <row r="16" spans="1:44" x14ac:dyDescent="0.2">
      <c r="A16" s="13" t="s">
        <v>26</v>
      </c>
      <c r="B16" s="14" t="s">
        <v>27</v>
      </c>
      <c r="C16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6" s="17">
        <f>((C16/9)*12)-75000</f>
        <v>139417.33333333331</v>
      </c>
      <c r="G16" s="16">
        <f t="shared" si="0"/>
        <v>6.3935687103165682E-3</v>
      </c>
      <c r="H16" s="48">
        <f t="shared" si="4"/>
        <v>28754.824999999997</v>
      </c>
      <c r="I16" s="8"/>
      <c r="J16" s="8"/>
      <c r="K16" s="8"/>
      <c r="L16" s="8"/>
      <c r="M16" s="25"/>
      <c r="N16" s="25"/>
      <c r="O16" s="47">
        <f t="shared" si="1"/>
        <v>3485.4333333333329</v>
      </c>
      <c r="Q16" s="46">
        <v>192200</v>
      </c>
      <c r="R16" s="25"/>
      <c r="S16" s="47">
        <f t="shared" si="3"/>
        <v>109828.57142857142</v>
      </c>
      <c r="U16" s="46">
        <f t="shared" si="2"/>
        <v>-106343.13809523809</v>
      </c>
      <c r="V16" s="82" t="s">
        <v>88</v>
      </c>
    </row>
    <row r="17" spans="1:22" x14ac:dyDescent="0.2">
      <c r="A17" s="13" t="s">
        <v>28</v>
      </c>
      <c r="B17" s="14" t="s">
        <v>29</v>
      </c>
      <c r="C17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7" s="17">
        <f>(C17/9)*12</f>
        <v>0</v>
      </c>
      <c r="G17" s="16">
        <f t="shared" si="0"/>
        <v>0</v>
      </c>
      <c r="H17" s="48">
        <f t="shared" si="4"/>
        <v>0</v>
      </c>
      <c r="I17" s="49" t="s">
        <v>30</v>
      </c>
      <c r="J17" s="8">
        <v>33000</v>
      </c>
      <c r="K17" s="8">
        <f>1-1</f>
        <v>0</v>
      </c>
      <c r="L17" s="8">
        <f t="shared" ref="L17:L28" si="5">J17*K17</f>
        <v>0</v>
      </c>
      <c r="M17" s="25"/>
      <c r="N17" s="25"/>
      <c r="O17" s="47">
        <f t="shared" si="1"/>
        <v>0</v>
      </c>
      <c r="Q17" s="46">
        <v>15000</v>
      </c>
      <c r="R17" s="25"/>
      <c r="S17" s="47">
        <f t="shared" si="3"/>
        <v>8571.4285714285706</v>
      </c>
      <c r="U17" s="46">
        <f t="shared" si="2"/>
        <v>-8571.4285714285706</v>
      </c>
      <c r="V17" s="82"/>
    </row>
    <row r="18" spans="1:22" x14ac:dyDescent="0.2">
      <c r="A18" s="13" t="s">
        <v>31</v>
      </c>
      <c r="B18" s="14" t="s">
        <v>32</v>
      </c>
      <c r="C18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8" s="17">
        <f>((C18/9)*12)</f>
        <v>7866.6666666666661</v>
      </c>
      <c r="G18" s="16">
        <f t="shared" si="0"/>
        <v>3.60759115469791E-4</v>
      </c>
      <c r="H18" s="48">
        <f t="shared" si="4"/>
        <v>1622.5</v>
      </c>
      <c r="I18" s="8" t="s">
        <v>33</v>
      </c>
      <c r="J18" s="8">
        <v>48400</v>
      </c>
      <c r="K18" s="8">
        <v>0</v>
      </c>
      <c r="L18" s="8">
        <f t="shared" si="5"/>
        <v>0</v>
      </c>
      <c r="M18" s="25"/>
      <c r="N18" s="25"/>
      <c r="O18" s="47">
        <f t="shared" si="1"/>
        <v>196.66666666666669</v>
      </c>
      <c r="Q18" s="65" t="s">
        <v>72</v>
      </c>
      <c r="R18" s="25"/>
      <c r="S18" s="47">
        <f t="shared" ref="S18:S23" si="6">$S$26/$Q$26*(IF(Q18="incl",0,Q18))</f>
        <v>0</v>
      </c>
      <c r="U18" s="46">
        <f t="shared" si="2"/>
        <v>196.66666666666669</v>
      </c>
      <c r="V18" s="82"/>
    </row>
    <row r="19" spans="1:22" x14ac:dyDescent="0.2">
      <c r="A19" s="13" t="s">
        <v>34</v>
      </c>
      <c r="B19" s="14" t="s">
        <v>35</v>
      </c>
      <c r="C19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9" s="17">
        <f>((C19/9)*12)-250000-75000</f>
        <v>142873.22666666668</v>
      </c>
      <c r="G19" s="16">
        <f t="shared" si="0"/>
        <v>6.552053247023089E-3</v>
      </c>
      <c r="H19" s="48">
        <f t="shared" si="4"/>
        <v>29467.603000000003</v>
      </c>
      <c r="I19" s="8" t="s">
        <v>36</v>
      </c>
      <c r="J19" s="8">
        <v>49500</v>
      </c>
      <c r="K19" s="8">
        <v>0</v>
      </c>
      <c r="L19" s="8">
        <f t="shared" si="5"/>
        <v>0</v>
      </c>
      <c r="M19" s="25"/>
      <c r="N19" s="25"/>
      <c r="O19" s="47">
        <f t="shared" si="1"/>
        <v>3571.8306666666672</v>
      </c>
      <c r="Q19" s="65" t="s">
        <v>72</v>
      </c>
      <c r="R19" s="25"/>
      <c r="S19" s="47">
        <f t="shared" si="6"/>
        <v>0</v>
      </c>
      <c r="U19" s="46">
        <f t="shared" si="2"/>
        <v>3571.8306666666672</v>
      </c>
      <c r="V19" s="82"/>
    </row>
    <row r="20" spans="1:22" x14ac:dyDescent="0.2">
      <c r="A20" s="13" t="s">
        <v>37</v>
      </c>
      <c r="B20" s="14" t="s">
        <v>38</v>
      </c>
      <c r="C20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20" s="17">
        <f>((C20/9)*12)-75000-75000-50000-25000</f>
        <v>145613.76000000001</v>
      </c>
      <c r="G20" s="16">
        <f t="shared" si="0"/>
        <v>6.6777319395547171E-3</v>
      </c>
      <c r="H20" s="48">
        <f t="shared" si="4"/>
        <v>30032.838</v>
      </c>
      <c r="I20" s="8" t="s">
        <v>39</v>
      </c>
      <c r="J20" s="8">
        <v>57750</v>
      </c>
      <c r="K20" s="8">
        <v>0</v>
      </c>
      <c r="L20" s="8">
        <f t="shared" si="5"/>
        <v>0</v>
      </c>
      <c r="M20" s="25"/>
      <c r="N20" s="25"/>
      <c r="O20" s="47">
        <f t="shared" si="1"/>
        <v>3640.3440000000001</v>
      </c>
      <c r="Q20" s="46">
        <v>80000</v>
      </c>
      <c r="R20" s="25"/>
      <c r="S20" s="47">
        <f t="shared" si="6"/>
        <v>45714.28571428571</v>
      </c>
      <c r="U20" s="46">
        <f t="shared" si="2"/>
        <v>-42073.941714285713</v>
      </c>
      <c r="V20" s="82" t="s">
        <v>89</v>
      </c>
    </row>
    <row r="21" spans="1:22" x14ac:dyDescent="0.2">
      <c r="A21" s="13" t="s">
        <v>40</v>
      </c>
      <c r="B21" s="14" t="s">
        <v>41</v>
      </c>
      <c r="C21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1" s="17">
        <f>((C21/9)*12)</f>
        <v>21.333333333333332</v>
      </c>
      <c r="G21" s="16">
        <f t="shared" si="0"/>
        <v>9.7832980466383997E-7</v>
      </c>
      <c r="H21" s="48">
        <f t="shared" si="4"/>
        <v>4.4000000000000004</v>
      </c>
      <c r="I21" s="8" t="s">
        <v>42</v>
      </c>
      <c r="J21" s="8">
        <v>71500</v>
      </c>
      <c r="K21" s="8">
        <v>1</v>
      </c>
      <c r="L21" s="8">
        <f t="shared" si="5"/>
        <v>71500</v>
      </c>
      <c r="M21" s="25"/>
      <c r="N21" s="25"/>
      <c r="O21" s="47">
        <f t="shared" si="1"/>
        <v>0.53333333333333344</v>
      </c>
      <c r="Q21" s="65" t="s">
        <v>72</v>
      </c>
      <c r="R21" s="25"/>
      <c r="S21" s="47">
        <f t="shared" si="6"/>
        <v>0</v>
      </c>
      <c r="U21" s="46">
        <f t="shared" si="2"/>
        <v>0.53333333333333344</v>
      </c>
      <c r="V21" s="82"/>
    </row>
    <row r="22" spans="1:22" x14ac:dyDescent="0.2">
      <c r="A22" s="13" t="s">
        <v>43</v>
      </c>
      <c r="B22" s="14" t="s">
        <v>44</v>
      </c>
      <c r="C22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2" s="17">
        <f>((C22/9)*12)-75000</f>
        <v>181051.87999999983</v>
      </c>
      <c r="G22" s="16">
        <f t="shared" si="0"/>
        <v>8.302896112238476E-3</v>
      </c>
      <c r="H22" s="48">
        <f t="shared" si="4"/>
        <v>37341.950249999965</v>
      </c>
      <c r="I22" s="8" t="s">
        <v>45</v>
      </c>
      <c r="J22" s="8">
        <v>60500</v>
      </c>
      <c r="K22" s="8">
        <v>0</v>
      </c>
      <c r="L22" s="8">
        <f t="shared" si="5"/>
        <v>0</v>
      </c>
      <c r="M22" s="25"/>
      <c r="N22" s="25"/>
      <c r="O22" s="47">
        <f t="shared" si="1"/>
        <v>4526.2969999999959</v>
      </c>
      <c r="P22" s="25"/>
      <c r="Q22" s="46">
        <v>20000</v>
      </c>
      <c r="R22" s="25"/>
      <c r="S22" s="47">
        <f t="shared" si="6"/>
        <v>11428.571428571428</v>
      </c>
      <c r="U22" s="46">
        <f t="shared" si="2"/>
        <v>-6902.2744285714316</v>
      </c>
      <c r="V22" s="82"/>
    </row>
    <row r="23" spans="1:22" x14ac:dyDescent="0.2">
      <c r="A23" s="13" t="s">
        <v>46</v>
      </c>
      <c r="B23" s="14" t="s">
        <v>47</v>
      </c>
      <c r="C23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3" s="17">
        <f>((C23/9)*12)-1000000-100000</f>
        <v>5242795.573333336</v>
      </c>
      <c r="G23" s="16">
        <f t="shared" si="0"/>
        <v>0.2404304610539835</v>
      </c>
      <c r="H23" s="48">
        <f>(E23/$E$30)*$K$12-1081327</f>
        <v>-0.41299999947659671</v>
      </c>
      <c r="I23" s="8" t="s">
        <v>48</v>
      </c>
      <c r="J23" s="8">
        <v>89100</v>
      </c>
      <c r="K23" s="8">
        <v>0</v>
      </c>
      <c r="L23" s="8">
        <f t="shared" si="5"/>
        <v>0</v>
      </c>
      <c r="M23" s="25"/>
      <c r="N23" s="25"/>
      <c r="O23" s="47">
        <f t="shared" si="1"/>
        <v>-5.0060605997163242E-2</v>
      </c>
      <c r="P23" s="25"/>
      <c r="Q23" s="46">
        <v>0</v>
      </c>
      <c r="R23" s="25"/>
      <c r="S23" s="47">
        <f t="shared" si="6"/>
        <v>0</v>
      </c>
      <c r="U23" s="46">
        <f t="shared" si="2"/>
        <v>-5.0060605997163242E-2</v>
      </c>
      <c r="V23" s="82"/>
    </row>
    <row r="24" spans="1:22" x14ac:dyDescent="0.2">
      <c r="A24" s="27" t="s">
        <v>49</v>
      </c>
      <c r="B24" s="28" t="s">
        <v>50</v>
      </c>
      <c r="C24" s="29" t="e">
        <f>SUM(C8:C23)</f>
        <v>#REF!</v>
      </c>
      <c r="E24" s="29">
        <f>SUM(E8:E23)</f>
        <v>21805870.813333336</v>
      </c>
      <c r="G24" s="30">
        <f t="shared" si="0"/>
        <v>1</v>
      </c>
      <c r="H24" s="50">
        <f>SUM(H8:H23)</f>
        <v>7267348.9812500011</v>
      </c>
      <c r="I24" s="8" t="s">
        <v>51</v>
      </c>
      <c r="J24" s="8">
        <v>110000</v>
      </c>
      <c r="K24" s="8">
        <v>11</v>
      </c>
      <c r="L24" s="8">
        <f t="shared" si="5"/>
        <v>1210000</v>
      </c>
      <c r="M24" s="25"/>
      <c r="N24" s="25"/>
      <c r="O24" s="51">
        <f>SUM(O8:O23)</f>
        <v>880890.78560606076</v>
      </c>
      <c r="P24" s="25"/>
      <c r="Q24" s="50">
        <f>SUM(Q8:Q23)</f>
        <v>2606633</v>
      </c>
      <c r="R24" s="25"/>
      <c r="S24" s="51">
        <f>SUM(S8:S23)</f>
        <v>1336590.2857142857</v>
      </c>
      <c r="U24" s="50">
        <f>SUM(U8:U23)</f>
        <v>-455699.50010822498</v>
      </c>
      <c r="V24" s="51"/>
    </row>
    <row r="25" spans="1:22" x14ac:dyDescent="0.2">
      <c r="H25" s="52"/>
      <c r="I25" s="8" t="s">
        <v>52</v>
      </c>
      <c r="J25" s="8">
        <v>143000</v>
      </c>
      <c r="K25" s="8">
        <v>14</v>
      </c>
      <c r="L25" s="8">
        <f t="shared" si="5"/>
        <v>2002000</v>
      </c>
      <c r="M25" s="25"/>
      <c r="N25" s="25"/>
      <c r="O25" s="53"/>
      <c r="P25" s="25"/>
      <c r="Q25" s="52"/>
      <c r="R25" s="25"/>
      <c r="S25" s="53"/>
      <c r="U25" s="52"/>
      <c r="V25" s="53"/>
    </row>
    <row r="26" spans="1:22" x14ac:dyDescent="0.2">
      <c r="B26" s="28" t="s">
        <v>53</v>
      </c>
      <c r="C26" s="15"/>
      <c r="E26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6" s="54">
        <f>+K17+K18+K19+K20+K21+K24+K25+K26+K27+K28</f>
        <v>33</v>
      </c>
      <c r="I26" s="8" t="s">
        <v>54</v>
      </c>
      <c r="J26" s="8">
        <v>165000</v>
      </c>
      <c r="K26" s="8">
        <v>0</v>
      </c>
      <c r="L26" s="8">
        <f t="shared" si="5"/>
        <v>0</v>
      </c>
      <c r="M26" s="25"/>
      <c r="N26" s="25"/>
      <c r="O26" s="55">
        <f>O47+O48+O49+O52</f>
        <v>4</v>
      </c>
      <c r="P26" s="25"/>
      <c r="Q26" s="54">
        <f>Q47+Q48+Q49+Q52</f>
        <v>7</v>
      </c>
      <c r="R26" s="25"/>
      <c r="S26" s="55">
        <f>S47+S48+S49+S52</f>
        <v>4</v>
      </c>
      <c r="U26" s="54">
        <f>O26-S26</f>
        <v>0</v>
      </c>
      <c r="V26" s="55"/>
    </row>
    <row r="27" spans="1:22" x14ac:dyDescent="0.2">
      <c r="C27" s="15"/>
      <c r="E27" s="15"/>
      <c r="H27" s="46"/>
      <c r="I27" s="8" t="s">
        <v>55</v>
      </c>
      <c r="J27" s="8">
        <v>198000</v>
      </c>
      <c r="K27" s="8">
        <v>6</v>
      </c>
      <c r="L27" s="8">
        <f t="shared" si="5"/>
        <v>1188000</v>
      </c>
      <c r="M27" s="25"/>
      <c r="N27" s="25"/>
      <c r="O27" s="47"/>
      <c r="P27" s="25"/>
      <c r="Q27" s="46"/>
      <c r="R27" s="25"/>
      <c r="S27" s="47"/>
      <c r="U27" s="46"/>
      <c r="V27" s="47"/>
    </row>
    <row r="28" spans="1:22" x14ac:dyDescent="0.2">
      <c r="B28" s="28" t="s">
        <v>56</v>
      </c>
      <c r="C28" s="15"/>
      <c r="E28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8" s="54">
        <f>+K22+K23</f>
        <v>0</v>
      </c>
      <c r="I28" s="8" t="s">
        <v>57</v>
      </c>
      <c r="J28" s="8">
        <v>220000</v>
      </c>
      <c r="K28" s="8">
        <v>1</v>
      </c>
      <c r="L28" s="8">
        <f t="shared" si="5"/>
        <v>220000</v>
      </c>
      <c r="M28" s="25"/>
      <c r="N28" s="25"/>
      <c r="O28" s="55">
        <f>O50+O51</f>
        <v>0</v>
      </c>
      <c r="P28" s="25"/>
      <c r="Q28" s="54">
        <f>Q50+Q51</f>
        <v>2</v>
      </c>
      <c r="R28" s="25"/>
      <c r="S28" s="55">
        <f>S50+S51</f>
        <v>0</v>
      </c>
      <c r="U28" s="54">
        <f>O28-S28</f>
        <v>0</v>
      </c>
      <c r="V28" s="55"/>
    </row>
    <row r="29" spans="1:22" x14ac:dyDescent="0.2">
      <c r="H29" s="52"/>
      <c r="I29" s="8"/>
      <c r="J29" s="8"/>
      <c r="K29" s="8">
        <f>SUM(K17:K28)</f>
        <v>33</v>
      </c>
      <c r="L29" s="8">
        <f>SUM(L17:L28)*1.2</f>
        <v>5629800</v>
      </c>
      <c r="M29" s="25"/>
      <c r="N29" s="25"/>
      <c r="O29" s="53"/>
      <c r="P29" s="25"/>
      <c r="Q29" s="52"/>
      <c r="R29" s="25"/>
      <c r="S29" s="53"/>
      <c r="U29" s="52"/>
      <c r="V29" s="53"/>
    </row>
    <row r="30" spans="1:22" x14ac:dyDescent="0.2">
      <c r="B30" s="28" t="s">
        <v>58</v>
      </c>
      <c r="C30" s="15"/>
      <c r="E30" s="32">
        <f>SUM(E26:E28)</f>
        <v>160</v>
      </c>
      <c r="G30" s="22"/>
      <c r="H30" s="54">
        <f>SUM(H26:H28)</f>
        <v>33</v>
      </c>
      <c r="I30" s="8"/>
      <c r="J30" s="8"/>
      <c r="K30" s="8"/>
      <c r="L30" s="56">
        <v>0.2</v>
      </c>
      <c r="M30" s="25"/>
      <c r="N30" s="25"/>
      <c r="O30" s="55">
        <f>O26+O28</f>
        <v>4</v>
      </c>
      <c r="P30" s="25"/>
      <c r="Q30" s="54">
        <f>Q26+Q28</f>
        <v>9</v>
      </c>
      <c r="R30" s="25"/>
      <c r="S30" s="55">
        <f>S26+S28</f>
        <v>4</v>
      </c>
      <c r="U30" s="54">
        <f>O30-S30</f>
        <v>0</v>
      </c>
      <c r="V30" s="55"/>
    </row>
    <row r="31" spans="1:22" hidden="1" x14ac:dyDescent="0.2">
      <c r="H31" s="52"/>
      <c r="I31" s="8"/>
      <c r="J31" s="8"/>
      <c r="K31" s="8"/>
      <c r="L31" s="8">
        <f>L29*1.2</f>
        <v>6755760</v>
      </c>
      <c r="M31" s="25"/>
      <c r="N31" s="25"/>
      <c r="O31" s="53"/>
      <c r="P31" s="25"/>
      <c r="Q31" s="52"/>
      <c r="R31" s="25"/>
      <c r="S31" s="53"/>
      <c r="U31" s="52"/>
      <c r="V31" s="82"/>
    </row>
    <row r="32" spans="1:22" hidden="1" x14ac:dyDescent="0.2">
      <c r="H32" s="57" t="s">
        <v>59</v>
      </c>
      <c r="I32" s="8"/>
      <c r="J32" s="8"/>
      <c r="K32" s="8"/>
      <c r="L32" s="25"/>
      <c r="M32" s="25"/>
      <c r="N32" s="25"/>
      <c r="O32" s="53"/>
      <c r="P32" s="25"/>
      <c r="Q32" s="52"/>
      <c r="R32" s="25"/>
      <c r="S32" s="53"/>
      <c r="U32" s="52"/>
      <c r="V32" s="82"/>
    </row>
    <row r="33" spans="2:24" hidden="1" x14ac:dyDescent="0.2">
      <c r="B33" s="14" t="s">
        <v>25</v>
      </c>
      <c r="C33" s="15">
        <v>254512</v>
      </c>
      <c r="H33" s="52"/>
      <c r="I33" s="8"/>
      <c r="J33" s="8"/>
      <c r="K33" s="8"/>
      <c r="L33" s="25"/>
      <c r="M33" s="25"/>
      <c r="N33" s="25"/>
      <c r="O33" s="53"/>
      <c r="P33" s="25"/>
      <c r="Q33" s="52"/>
      <c r="R33" s="25"/>
      <c r="S33" s="53"/>
      <c r="U33" s="52"/>
      <c r="V33" s="82"/>
    </row>
    <row r="34" spans="2:24" hidden="1" x14ac:dyDescent="0.2">
      <c r="H34" s="58" t="s">
        <v>60</v>
      </c>
      <c r="I34" s="59" t="s">
        <v>61</v>
      </c>
      <c r="J34" s="59" t="s">
        <v>62</v>
      </c>
      <c r="K34" s="59" t="s">
        <v>3</v>
      </c>
      <c r="L34" s="59" t="s">
        <v>63</v>
      </c>
      <c r="M34" s="25"/>
      <c r="N34" s="25"/>
      <c r="O34" s="53"/>
      <c r="P34" s="25"/>
      <c r="Q34" s="52"/>
      <c r="R34" s="25"/>
      <c r="S34" s="53"/>
      <c r="U34" s="52"/>
      <c r="V34" s="82"/>
    </row>
    <row r="35" spans="2:24" hidden="1" x14ac:dyDescent="0.2">
      <c r="H35" s="60">
        <f>SUM(E13:E23)</f>
        <v>7723229.0000000019</v>
      </c>
      <c r="I35" s="61">
        <f>+E30</f>
        <v>160</v>
      </c>
      <c r="J35" s="61">
        <f>+H35/I35</f>
        <v>48270.181250000009</v>
      </c>
      <c r="K35" s="61">
        <f>+K12</f>
        <v>33</v>
      </c>
      <c r="L35" s="61">
        <f>+J35*K35</f>
        <v>1592915.9812500002</v>
      </c>
      <c r="M35" s="25"/>
      <c r="N35" s="25"/>
      <c r="O35" s="53"/>
      <c r="P35" s="25"/>
      <c r="Q35" s="52"/>
      <c r="R35" s="25"/>
      <c r="S35" s="53"/>
      <c r="U35" s="52"/>
      <c r="V35" s="82"/>
    </row>
    <row r="36" spans="2:24" hidden="1" x14ac:dyDescent="0.2">
      <c r="H36" s="52"/>
      <c r="I36" s="8"/>
      <c r="J36" s="8"/>
      <c r="K36" s="8"/>
      <c r="L36" s="8"/>
      <c r="M36" s="25"/>
      <c r="N36" s="25"/>
      <c r="O36" s="53"/>
      <c r="P36" s="25"/>
      <c r="Q36" s="52"/>
      <c r="R36" s="25"/>
      <c r="S36" s="53"/>
      <c r="U36" s="52"/>
      <c r="V36" s="82"/>
    </row>
    <row r="37" spans="2:24" hidden="1" x14ac:dyDescent="0.2">
      <c r="H37" s="52"/>
      <c r="I37" s="8"/>
      <c r="J37" s="8"/>
      <c r="K37" s="8"/>
      <c r="L37" s="8"/>
      <c r="M37" s="25"/>
      <c r="N37" s="25"/>
      <c r="O37" s="53"/>
      <c r="P37" s="25"/>
      <c r="Q37" s="52"/>
      <c r="R37" s="25"/>
      <c r="S37" s="53"/>
      <c r="U37" s="52"/>
      <c r="V37" s="82"/>
    </row>
    <row r="38" spans="2:24" hidden="1" x14ac:dyDescent="0.2">
      <c r="H38" s="52"/>
      <c r="I38" s="8"/>
      <c r="J38" s="8"/>
      <c r="K38" s="8"/>
      <c r="L38" s="8"/>
      <c r="M38" s="25"/>
      <c r="N38" s="25"/>
      <c r="O38" s="53"/>
      <c r="P38" s="25"/>
      <c r="Q38" s="52"/>
      <c r="R38" s="25"/>
      <c r="S38" s="53"/>
      <c r="U38" s="52"/>
      <c r="V38" s="82"/>
    </row>
    <row r="39" spans="2:24" hidden="1" x14ac:dyDescent="0.2">
      <c r="H39" s="52"/>
      <c r="I39" s="8"/>
      <c r="J39" s="8"/>
      <c r="K39" s="8"/>
      <c r="L39" s="8"/>
      <c r="M39" s="25"/>
      <c r="N39" s="25"/>
      <c r="O39" s="53"/>
      <c r="P39" s="25"/>
      <c r="Q39" s="52"/>
      <c r="R39" s="25"/>
      <c r="S39" s="53"/>
      <c r="U39" s="52"/>
      <c r="V39" s="82"/>
    </row>
    <row r="40" spans="2:24" ht="13.5" thickBot="1" x14ac:dyDescent="0.25">
      <c r="H40" s="62"/>
      <c r="I40" s="20"/>
      <c r="J40" s="20"/>
      <c r="K40" s="20"/>
      <c r="L40" s="20"/>
      <c r="M40" s="63"/>
      <c r="N40" s="63"/>
      <c r="O40" s="64"/>
      <c r="P40" s="25"/>
      <c r="Q40" s="62"/>
      <c r="R40" s="63"/>
      <c r="S40" s="64"/>
      <c r="U40" s="62"/>
      <c r="V40" s="83"/>
    </row>
    <row r="41" spans="2:24" ht="13.5" thickBot="1" x14ac:dyDescent="0.25">
      <c r="H41" s="25"/>
      <c r="I41" s="8"/>
      <c r="J41" s="8"/>
      <c r="K41" s="8"/>
      <c r="L41" s="8"/>
      <c r="M41" s="25"/>
      <c r="N41" s="25"/>
      <c r="O41" s="25"/>
      <c r="P41" s="25"/>
      <c r="Q41" s="25"/>
      <c r="R41" s="25"/>
      <c r="S41" s="25"/>
      <c r="U41" s="25"/>
    </row>
    <row r="42" spans="2:24" x14ac:dyDescent="0.2">
      <c r="B42" s="28" t="s">
        <v>77</v>
      </c>
      <c r="H42" s="74" t="s">
        <v>78</v>
      </c>
      <c r="I42" s="75"/>
      <c r="J42" s="75"/>
      <c r="K42" s="75"/>
      <c r="L42" s="75"/>
      <c r="M42" s="75"/>
      <c r="N42" s="75"/>
      <c r="O42" s="76" t="s">
        <v>80</v>
      </c>
      <c r="P42" s="14"/>
      <c r="Q42" s="74" t="s">
        <v>82</v>
      </c>
      <c r="R42" s="75"/>
      <c r="S42" s="76" t="s">
        <v>84</v>
      </c>
      <c r="T42" s="14"/>
      <c r="U42" s="14"/>
      <c r="V42" s="14"/>
      <c r="W42" s="14"/>
      <c r="X42" s="14" t="s">
        <v>80</v>
      </c>
    </row>
    <row r="43" spans="2:24" x14ac:dyDescent="0.2">
      <c r="H43" s="68" t="s">
        <v>79</v>
      </c>
      <c r="I43" s="77"/>
      <c r="J43" s="77"/>
      <c r="K43" s="77"/>
      <c r="L43" s="77"/>
      <c r="M43" s="77"/>
      <c r="N43" s="77"/>
      <c r="O43" s="78" t="s">
        <v>81</v>
      </c>
      <c r="P43" s="14"/>
      <c r="Q43" s="68" t="s">
        <v>83</v>
      </c>
      <c r="R43" s="77"/>
      <c r="S43" s="78" t="s">
        <v>85</v>
      </c>
      <c r="T43" s="14"/>
      <c r="U43" s="14"/>
      <c r="V43" s="14"/>
      <c r="W43" s="14"/>
      <c r="X43" s="14" t="s">
        <v>81</v>
      </c>
    </row>
    <row r="44" spans="2:24" ht="13.5" thickBot="1" x14ac:dyDescent="0.25">
      <c r="H44" s="79"/>
      <c r="I44" s="80"/>
      <c r="J44" s="80"/>
      <c r="K44" s="80"/>
      <c r="L44" s="80"/>
      <c r="M44" s="80"/>
      <c r="N44" s="80"/>
      <c r="O44" s="81"/>
      <c r="P44" s="14"/>
      <c r="Q44" s="79"/>
      <c r="R44" s="80"/>
      <c r="S44" s="81"/>
      <c r="T44" s="14"/>
      <c r="U44" s="14"/>
    </row>
    <row r="45" spans="2:24" ht="13.5" thickBot="1" x14ac:dyDescent="0.25"/>
    <row r="46" spans="2:24" x14ac:dyDescent="0.2">
      <c r="B46" s="12" t="s">
        <v>69</v>
      </c>
      <c r="H46" s="69"/>
      <c r="I46" s="5"/>
      <c r="J46" s="5"/>
      <c r="K46" s="5"/>
      <c r="L46" s="5"/>
      <c r="M46" s="42"/>
      <c r="N46" s="42"/>
      <c r="O46" s="67"/>
      <c r="Q46" s="69"/>
      <c r="R46" s="42"/>
      <c r="S46" s="67"/>
    </row>
    <row r="47" spans="2:24" x14ac:dyDescent="0.2">
      <c r="B47" s="14" t="s">
        <v>75</v>
      </c>
      <c r="C47" s="15" t="e">
        <f>'[2]Central Trading'!C42+'[2]Central Origination'!C42+[2]Derivatives!C42+'[2]East Trading'!C42+'[2]East Origination'!C42+'[2]Financial Gas'!C42+[2]Structuring!C42+'[2]Texas Trading'!C42+'[2]Texas Origination'!C42+'[2]West Trading'!C42+'[2]West Origination'!C42+[2]Fundamentals!C42</f>
        <v>#REF!</v>
      </c>
      <c r="E47" s="15" t="e">
        <f>((C47/9)*12)</f>
        <v>#REF!</v>
      </c>
      <c r="G47" s="16" t="e">
        <f t="shared" ref="G47:G52" si="7">E47/$E$24</f>
        <v>#REF!</v>
      </c>
      <c r="H47" s="52"/>
      <c r="I47" s="8"/>
      <c r="J47" s="8"/>
      <c r="K47" s="8"/>
      <c r="L47" s="8"/>
      <c r="M47" s="25"/>
      <c r="N47" s="25"/>
      <c r="O47" s="66">
        <v>1</v>
      </c>
      <c r="Q47" s="65">
        <v>1</v>
      </c>
      <c r="R47" s="25"/>
      <c r="S47" s="66">
        <v>1</v>
      </c>
    </row>
    <row r="48" spans="2:24" x14ac:dyDescent="0.2">
      <c r="B48" s="14" t="s">
        <v>52</v>
      </c>
      <c r="C48" s="15" t="e">
        <f>'[2]Central Trading'!C43+'[2]Central Origination'!C43+[2]Derivatives!C43+'[2]East Trading'!C43+'[2]East Origination'!C43+'[2]Financial Gas'!C43+[2]Structuring!C43+'[2]Texas Trading'!C43+'[2]Texas Origination'!C43+'[2]West Trading'!C43+'[2]West Origination'!C43+[2]Fundamentals!C43</f>
        <v>#REF!</v>
      </c>
      <c r="E48" s="15">
        <v>0</v>
      </c>
      <c r="G48" s="16">
        <f t="shared" si="7"/>
        <v>0</v>
      </c>
      <c r="H48" s="52"/>
      <c r="I48" s="8"/>
      <c r="J48" s="8"/>
      <c r="K48" s="8"/>
      <c r="L48" s="8"/>
      <c r="M48" s="25"/>
      <c r="N48" s="25"/>
      <c r="O48" s="66">
        <v>1</v>
      </c>
      <c r="Q48" s="65">
        <v>4</v>
      </c>
      <c r="R48" s="25"/>
      <c r="S48" s="66">
        <v>1</v>
      </c>
    </row>
    <row r="49" spans="2:19" x14ac:dyDescent="0.2">
      <c r="B49" s="14" t="s">
        <v>51</v>
      </c>
      <c r="C49" s="15"/>
      <c r="E49" s="15"/>
      <c r="G49" s="16"/>
      <c r="H49" s="52"/>
      <c r="I49" s="8"/>
      <c r="J49" s="8"/>
      <c r="K49" s="8"/>
      <c r="L49" s="8"/>
      <c r="M49" s="25"/>
      <c r="N49" s="25"/>
      <c r="O49" s="66">
        <v>2</v>
      </c>
      <c r="Q49" s="65">
        <v>1</v>
      </c>
      <c r="R49" s="25"/>
      <c r="S49" s="66">
        <v>2</v>
      </c>
    </row>
    <row r="50" spans="2:19" x14ac:dyDescent="0.2">
      <c r="B50" s="14" t="s">
        <v>48</v>
      </c>
      <c r="C50" s="15" t="e">
        <f>'[2]Central Trading'!C44+'[2]Central Origination'!C44+[2]Derivatives!C44+'[2]East Trading'!C44+'[2]East Origination'!C44+'[2]Financial Gas'!C44+[2]Structuring!C44+'[2]Texas Trading'!C44+'[2]Texas Origination'!C44+'[2]West Trading'!C44+'[2]West Origination'!C44+[2]Fundamentals!C44</f>
        <v>#REF!</v>
      </c>
      <c r="D50" s="15"/>
      <c r="E50" s="15" t="e">
        <f>('[2]Central Trading'!E43+'[2]Central Origination'!E44+[2]Derivatives!E44+'[2]East Trading'!E44+'[2]East Origination'!E44+'[2]Financial Gas'!E44+[2]Structuring!E44+'[2]Texas Trading'!E44+'[2]Texas Origination'!E44+'[2]West Trading'!E44+'[2]West Origination'!E44+[2]Fundamentals!E44)-4000000</f>
        <v>#REF!</v>
      </c>
      <c r="G50" s="16" t="e">
        <f t="shared" si="7"/>
        <v>#REF!</v>
      </c>
      <c r="H50" s="52"/>
      <c r="I50" s="8"/>
      <c r="J50" s="8"/>
      <c r="K50" s="8"/>
      <c r="L50" s="8"/>
      <c r="M50" s="25"/>
      <c r="N50" s="25"/>
      <c r="O50" s="66">
        <v>0</v>
      </c>
      <c r="Q50" s="65">
        <v>1</v>
      </c>
      <c r="R50" s="25"/>
      <c r="S50" s="66">
        <v>0</v>
      </c>
    </row>
    <row r="51" spans="2:19" x14ac:dyDescent="0.2">
      <c r="B51" s="14" t="s">
        <v>45</v>
      </c>
      <c r="C51" s="15" t="e">
        <f>'[2]Central Trading'!C45+'[2]Central Origination'!C45+[2]Derivatives!C45+'[2]East Trading'!C45+'[2]East Origination'!C45+'[2]Financial Gas'!C45+[2]Structuring!C45+'[2]Texas Trading'!C45+'[2]Texas Origination'!C45+'[2]West Trading'!C45+'[2]West Origination'!C45+[2]Fundamentals!C45</f>
        <v>#REF!</v>
      </c>
      <c r="E51" s="15" t="e">
        <f>((C51/9)*12)</f>
        <v>#REF!</v>
      </c>
      <c r="G51" s="16" t="e">
        <f t="shared" si="7"/>
        <v>#REF!</v>
      </c>
      <c r="H51" s="52"/>
      <c r="I51" s="8"/>
      <c r="J51" s="8"/>
      <c r="K51" s="8"/>
      <c r="L51" s="8"/>
      <c r="M51" s="25"/>
      <c r="N51" s="25"/>
      <c r="O51" s="66">
        <v>0</v>
      </c>
      <c r="Q51" s="65">
        <v>1</v>
      </c>
      <c r="R51" s="25"/>
      <c r="S51" s="66">
        <v>0</v>
      </c>
    </row>
    <row r="52" spans="2:19" ht="15" x14ac:dyDescent="0.35">
      <c r="B52" s="14" t="s">
        <v>33</v>
      </c>
      <c r="C52" s="15" t="e">
        <f>'[2]Central Trading'!C46+'[2]Central Origination'!C46+[2]Derivatives!C46+'[2]East Trading'!C46+'[2]East Origination'!C46+'[2]Financial Gas'!C46+[2]Structuring!C46+'[2]Texas Trading'!C46+'[2]Texas Origination'!C46+'[2]West Trading'!C46+'[2]West Origination'!C46+[2]Fundamentals!C46</f>
        <v>#REF!</v>
      </c>
      <c r="E52" s="17" t="e">
        <f>((C52/9)*12)-500000</f>
        <v>#REF!</v>
      </c>
      <c r="G52" s="16" t="e">
        <f t="shared" si="7"/>
        <v>#REF!</v>
      </c>
      <c r="H52" s="52"/>
      <c r="I52" s="8"/>
      <c r="J52" s="8"/>
      <c r="K52" s="8"/>
      <c r="L52" s="8"/>
      <c r="M52" s="25"/>
      <c r="N52" s="25"/>
      <c r="O52" s="70">
        <v>0</v>
      </c>
      <c r="Q52" s="72">
        <v>1</v>
      </c>
      <c r="R52" s="25"/>
      <c r="S52" s="70">
        <v>0</v>
      </c>
    </row>
    <row r="53" spans="2:19" ht="13.5" thickBot="1" x14ac:dyDescent="0.25">
      <c r="B53" s="39" t="s">
        <v>23</v>
      </c>
      <c r="C53" s="40"/>
      <c r="D53" s="40"/>
      <c r="E53" s="40"/>
      <c r="F53" s="40"/>
      <c r="G53" s="40"/>
      <c r="H53" s="62"/>
      <c r="I53" s="20"/>
      <c r="J53" s="20"/>
      <c r="K53" s="20"/>
      <c r="L53" s="20"/>
      <c r="M53" s="63"/>
      <c r="N53" s="63"/>
      <c r="O53" s="71">
        <f>SUM(O47:O52)</f>
        <v>4</v>
      </c>
      <c r="Q53" s="73">
        <f>SUM(Q47:Q52)</f>
        <v>9</v>
      </c>
      <c r="R53" s="63"/>
      <c r="S53" s="71">
        <f>SUM(S47:S52)</f>
        <v>4</v>
      </c>
    </row>
  </sheetData>
  <mergeCells count="3">
    <mergeCell ref="B1:H1"/>
    <mergeCell ref="B2:H2"/>
    <mergeCell ref="B3:H3"/>
  </mergeCells>
  <phoneticPr fontId="0" type="noConversion"/>
  <printOptions horizontalCentered="1"/>
  <pageMargins left="0.33" right="0.36" top="0.49" bottom="1" header="0.22" footer="0.5"/>
  <pageSetup scale="8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84" t="s">
        <v>66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179520</v>
      </c>
      <c r="I8" s="7" t="s">
        <v>13</v>
      </c>
      <c r="J8" s="8">
        <v>0</v>
      </c>
      <c r="K8" s="8"/>
      <c r="L8" s="9">
        <f>L30</f>
        <v>1292544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897600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215424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1871786.175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v>0</v>
      </c>
      <c r="L17" s="22">
        <f t="shared" si="2"/>
        <v>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f>5+1</f>
        <v>6</v>
      </c>
      <c r="L21" s="22">
        <f t="shared" si="2"/>
        <v>363000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f>1+5</f>
        <v>6</v>
      </c>
      <c r="L22" s="22">
        <f t="shared" si="2"/>
        <v>534600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1478576.1750000003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0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12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12</v>
      </c>
      <c r="L28" s="22">
        <f>SUM(L16:L27)*1.2</f>
        <v>1077120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">
      <c r="L30" s="22">
        <f>L28*1.2</f>
        <v>1292544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R39"/>
  <sheetViews>
    <sheetView zoomScaleNormal="100" workbookViewId="0">
      <selection activeCell="T83" sqref="T83"/>
    </sheetView>
  </sheetViews>
  <sheetFormatPr defaultRowHeight="12.75" x14ac:dyDescent="0.2"/>
  <cols>
    <col min="2" max="2" width="23.42578125" bestFit="1" customWidth="1"/>
    <col min="3" max="3" width="19.140625" hidden="1" customWidth="1"/>
    <col min="4" max="4" width="2.5703125" customWidth="1"/>
    <col min="5" max="5" width="13.85546875" hidden="1" customWidth="1"/>
    <col min="6" max="6" width="2.42578125" hidden="1" customWidth="1"/>
    <col min="7" max="7" width="14" hidden="1" customWidth="1"/>
    <col min="8" max="8" width="13.5703125" customWidth="1"/>
    <col min="9" max="9" width="12.85546875" style="22" hidden="1" customWidth="1"/>
    <col min="10" max="10" width="11.28515625" style="22" hidden="1" customWidth="1"/>
    <col min="11" max="11" width="9.28515625" style="22" hidden="1" customWidth="1"/>
    <col min="12" max="12" width="13.140625" style="22" hidden="1" customWidth="1"/>
    <col min="13" max="13" width="9.140625" hidden="1" customWidth="1"/>
    <col min="14" max="14" width="14" hidden="1" customWidth="1"/>
    <col min="16" max="16" width="10.28515625" customWidth="1"/>
    <col min="17" max="17" width="10.7109375" customWidth="1"/>
  </cols>
  <sheetData>
    <row r="1" spans="1:44" ht="18" x14ac:dyDescent="0.25">
      <c r="B1" s="84" t="str">
        <f>'[1]Team Report'!B1</f>
        <v>Enron North America</v>
      </c>
      <c r="C1" s="84"/>
      <c r="D1" s="84"/>
      <c r="E1" s="84"/>
      <c r="F1" s="84"/>
      <c r="G1" s="84"/>
      <c r="H1" s="84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25">
      <c r="B2" s="84" t="s">
        <v>67</v>
      </c>
      <c r="C2" s="84"/>
      <c r="D2" s="84"/>
      <c r="E2" s="84"/>
      <c r="F2" s="84"/>
      <c r="G2" s="84"/>
      <c r="H2" s="84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.75" thickBot="1" x14ac:dyDescent="0.3">
      <c r="B3" s="85" t="s">
        <v>1</v>
      </c>
      <c r="C3" s="85"/>
      <c r="D3" s="85"/>
      <c r="E3" s="85"/>
      <c r="F3" s="85"/>
      <c r="G3" s="85"/>
      <c r="H3" s="85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I4" s="4"/>
      <c r="J4" s="5"/>
      <c r="K4" s="5"/>
      <c r="L4" s="6"/>
    </row>
    <row r="5" spans="1:44" x14ac:dyDescent="0.2">
      <c r="I5" s="7"/>
      <c r="J5" s="8" t="s">
        <v>2</v>
      </c>
      <c r="K5" s="8" t="s">
        <v>3</v>
      </c>
      <c r="L5" s="9" t="s">
        <v>4</v>
      </c>
    </row>
    <row r="6" spans="1:44" x14ac:dyDescent="0.2">
      <c r="C6" s="10">
        <v>37135</v>
      </c>
      <c r="E6" s="11" t="s">
        <v>5</v>
      </c>
      <c r="G6" s="10" t="s">
        <v>6</v>
      </c>
      <c r="H6" s="11" t="s">
        <v>7</v>
      </c>
      <c r="I6" s="7"/>
      <c r="J6" s="8"/>
      <c r="K6" s="8"/>
      <c r="L6" s="9"/>
      <c r="Q6" s="11"/>
    </row>
    <row r="7" spans="1:44" x14ac:dyDescent="0.2">
      <c r="C7" s="12" t="s">
        <v>8</v>
      </c>
      <c r="E7" s="12" t="s">
        <v>9</v>
      </c>
      <c r="G7" s="12" t="s">
        <v>10</v>
      </c>
      <c r="H7" s="12" t="s">
        <v>11</v>
      </c>
      <c r="I7" s="7"/>
      <c r="J7" s="8"/>
      <c r="K7" s="8"/>
      <c r="L7" s="9"/>
      <c r="Q7" s="12"/>
    </row>
    <row r="8" spans="1:44" x14ac:dyDescent="0.2">
      <c r="A8" s="13" t="s">
        <v>12</v>
      </c>
      <c r="B8" s="14" t="s">
        <v>13</v>
      </c>
      <c r="C8" s="15">
        <f>'[2]Central Trading'!C8+'[2]Central Origination'!C8+[2]Derivatives!C8+'[2]East Trading'!C8+'[2]East Origination'!C8+'[2]Financial Gas'!C8+[2]Structuring!C8+'[2]Texas Trading'!C8+'[2]Texas Origination'!C8+'[2]West Trading'!C8+'[2]West Origination'!C8+[2]Fundamentals!C8</f>
        <v>8647857.6600000001</v>
      </c>
      <c r="E8" s="15">
        <f>((C8/9)*12)</f>
        <v>11530476.880000001</v>
      </c>
      <c r="G8" s="16">
        <f t="shared" ref="G8:G23" si="0">E8/$E$23</f>
        <v>0.5287785559542808</v>
      </c>
      <c r="H8" s="15">
        <f>L28-H10</f>
        <v>696960</v>
      </c>
      <c r="I8" s="7" t="s">
        <v>13</v>
      </c>
      <c r="J8" s="8">
        <v>0</v>
      </c>
      <c r="K8" s="8"/>
      <c r="L8" s="9">
        <f>L30</f>
        <v>836352</v>
      </c>
      <c r="Q8" s="15"/>
    </row>
    <row r="9" spans="1:44" hidden="1" x14ac:dyDescent="0.2">
      <c r="A9" s="13"/>
      <c r="B9" s="14" t="s">
        <v>14</v>
      </c>
      <c r="C9" s="15">
        <f>'[2]Central Trading'!C9+'[2]Central Origination'!C9+[2]Derivatives!C9+'[2]East Trading'!C9+'[2]East Origination'!C9+'[2]Financial Gas'!C9+[2]Structuring!C9+'[2]Texas Trading'!C9+'[2]Texas Origination'!C9+'[2]West Trading'!C9+'[2]West Origination'!C9+[2]Fundamentals!C9</f>
        <v>1485250</v>
      </c>
      <c r="E9" s="15">
        <v>0</v>
      </c>
      <c r="G9" s="16">
        <f t="shared" si="0"/>
        <v>0</v>
      </c>
      <c r="H9" s="15">
        <v>0</v>
      </c>
      <c r="I9" s="7"/>
      <c r="J9" s="8"/>
      <c r="K9" s="8"/>
      <c r="L9" s="9"/>
      <c r="Q9" s="15"/>
    </row>
    <row r="10" spans="1:44" x14ac:dyDescent="0.2">
      <c r="A10" s="13"/>
      <c r="B10" s="14" t="s">
        <v>15</v>
      </c>
      <c r="C10" s="15">
        <f>'[2]Central Trading'!C10+'[2]Central Origination'!C10+[2]Derivatives!C10+'[2]East Trading'!C10+'[2]East Origination'!C10+'[2]Financial Gas'!C10+[2]Structuring!C10+'[2]Texas Trading'!C10+'[2]Texas Origination'!C10+'[2]West Trading'!C10+'[2]West Origination'!C10+[2]Fundamentals!C10</f>
        <v>3095252.76</v>
      </c>
      <c r="D10" s="15"/>
      <c r="E10" s="15">
        <f>('[2]Central Trading'!E9+'[2]Central Origination'!E10+[2]Derivatives!E10+'[2]East Trading'!E10+'[2]East Origination'!E10+'[2]Financial Gas'!E10+[2]Structuring!E10+'[2]Texas Trading'!E10+'[2]Texas Origination'!E10+'[2]West Trading'!E10+'[2]West Origination'!E10+[2]Fundamentals!E10)-4000000</f>
        <v>82420.999999999534</v>
      </c>
      <c r="G10" s="16">
        <f t="shared" si="0"/>
        <v>3.7797619139155266E-3</v>
      </c>
      <c r="H10" s="15">
        <f>L21+L22</f>
        <v>0</v>
      </c>
      <c r="I10" s="7"/>
      <c r="J10" s="8"/>
      <c r="K10" s="8"/>
      <c r="L10" s="9"/>
      <c r="Q10" s="15"/>
    </row>
    <row r="11" spans="1:44" x14ac:dyDescent="0.2">
      <c r="A11" s="13" t="s">
        <v>16</v>
      </c>
      <c r="B11" s="14" t="s">
        <v>17</v>
      </c>
      <c r="C11" s="15">
        <f>'[2]Central Trading'!C11+'[2]Central Origination'!C11+[2]Derivatives!C11+'[2]East Trading'!C11+'[2]East Origination'!C11+'[2]Financial Gas'!C11+[2]Structuring!C11+'[2]Texas Trading'!C11+'[2]Texas Origination'!C11+'[2]West Trading'!C11+'[2]West Origination'!C11+[2]Fundamentals!C11</f>
        <v>1852307.95</v>
      </c>
      <c r="E11" s="15">
        <f>((C11/9)*12)</f>
        <v>2469743.9333333331</v>
      </c>
      <c r="G11" s="16">
        <f t="shared" si="0"/>
        <v>0.11326050468129861</v>
      </c>
      <c r="H11" s="15">
        <f>L30-L28</f>
        <v>139392</v>
      </c>
      <c r="I11" s="7" t="s">
        <v>18</v>
      </c>
      <c r="J11" s="8">
        <f>(E12+E13+E14+E15+E16+E17+E18+E19+E20+E21+E22)/E29</f>
        <v>48270.181250000009</v>
      </c>
      <c r="K11" s="8">
        <f>K28</f>
        <v>12</v>
      </c>
      <c r="L11" s="9">
        <f>J11*K11</f>
        <v>579242.17500000005</v>
      </c>
      <c r="Q11" s="15"/>
    </row>
    <row r="12" spans="1:44" x14ac:dyDescent="0.2">
      <c r="A12" s="13" t="s">
        <v>19</v>
      </c>
      <c r="B12" s="14" t="s">
        <v>20</v>
      </c>
      <c r="C12" s="15">
        <f>'[2]Central Trading'!C12+'[2]Central Origination'!C12+[2]Derivatives!C12+'[2]East Trading'!C12+'[2]East Origination'!C12+'[2]Financial Gas'!C12+[2]Structuring!C12+'[2]Texas Trading'!C12+'[2]Texas Origination'!C12+'[2]West Trading'!C12+'[2]West Origination'!C12+[2]Fundamentals!C12</f>
        <v>1114496.8499999996</v>
      </c>
      <c r="E12" s="17">
        <f>((C12/9)*12)-500000</f>
        <v>985995.79999999958</v>
      </c>
      <c r="G12" s="16">
        <f t="shared" si="0"/>
        <v>4.5216988050626544E-2</v>
      </c>
      <c r="H12" s="18">
        <f t="shared" ref="H12:H21" si="1">(E12/$E$29)*$K$11</f>
        <v>73949.684999999969</v>
      </c>
      <c r="I12" s="7"/>
      <c r="J12" s="8"/>
      <c r="K12" s="8"/>
      <c r="L12" s="9"/>
      <c r="Q12" s="15"/>
    </row>
    <row r="13" spans="1:44" ht="13.5" thickBot="1" x14ac:dyDescent="0.25">
      <c r="A13" s="13" t="s">
        <v>21</v>
      </c>
      <c r="B13" s="14" t="s">
        <v>22</v>
      </c>
      <c r="C13" s="15">
        <f>'[2]Central Trading'!C13+'[2]Central Origination'!C13+[2]Derivatives!C13+'[2]East Trading'!C13+'[2]East Origination'!C13+'[2]Financial Gas'!C13+[2]Structuring!C13+'[2]Texas Trading'!C13+'[2]Texas Origination'!C13+'[2]West Trading'!C13+'[2]West Origination'!C13+[2]Fundamentals!C13</f>
        <v>1408194.83</v>
      </c>
      <c r="E13" s="17">
        <f>((C13/9)*12)-500000-500000</f>
        <v>877593.10666666692</v>
      </c>
      <c r="G13" s="16">
        <f t="shared" si="0"/>
        <v>4.02457262165406E-2</v>
      </c>
      <c r="H13" s="18">
        <f t="shared" si="1"/>
        <v>65819.483000000007</v>
      </c>
      <c r="I13" s="19" t="s">
        <v>23</v>
      </c>
      <c r="J13" s="20"/>
      <c r="K13" s="20"/>
      <c r="L13" s="21">
        <f>L8+L11</f>
        <v>1415594.175</v>
      </c>
      <c r="N13" s="22"/>
      <c r="P13" s="23"/>
      <c r="Q13" s="15"/>
    </row>
    <row r="14" spans="1:44" x14ac:dyDescent="0.2">
      <c r="A14" s="13" t="s">
        <v>24</v>
      </c>
      <c r="B14" s="14" t="s">
        <v>25</v>
      </c>
      <c r="C14" s="15">
        <f>'[2]Central Trading'!C14+'[2]Central Origination'!C14+[2]Derivatives!C14+'[2]East Trading'!C14+'[2]East Origination'!C14+'[2]Financial Gas'!C14+[2]Structuring!C14+'[2]Texas Trading'!C14+'[2]Texas Origination'!C14+'[2]West Trading'!C14+'[2]West Origination'!C14+[2]Fundamentals!C14-C32</f>
        <v>0.2400000000197906</v>
      </c>
      <c r="E14" s="17">
        <f>(C14/9)*12</f>
        <v>0.32000000002638745</v>
      </c>
      <c r="G14" s="16">
        <f t="shared" si="0"/>
        <v>1.4674947071167709E-8</v>
      </c>
      <c r="H14" s="18">
        <f t="shared" si="1"/>
        <v>2.4000000001979056E-2</v>
      </c>
      <c r="Q14" s="15"/>
    </row>
    <row r="15" spans="1:44" x14ac:dyDescent="0.2">
      <c r="A15" s="13" t="s">
        <v>26</v>
      </c>
      <c r="B15" s="14" t="s">
        <v>27</v>
      </c>
      <c r="C15" s="15">
        <f>'[2]Central Trading'!C15+'[2]Central Origination'!C15+[2]Derivatives!C15+'[2]East Trading'!C15+'[2]East Origination'!C15+'[2]Financial Gas'!C15+[2]Structuring!C15+'[2]Texas Trading'!C15+'[2]Texas Origination'!C15+'[2]West Trading'!C15+'[2]West Origination'!C15+[2]Fundamentals!C15</f>
        <v>160813</v>
      </c>
      <c r="E15" s="17">
        <f>((C15/9)*12)-75000</f>
        <v>139417.33333333331</v>
      </c>
      <c r="G15" s="16">
        <f t="shared" si="0"/>
        <v>6.3935687103165682E-3</v>
      </c>
      <c r="H15" s="18">
        <f t="shared" si="1"/>
        <v>10456.299999999999</v>
      </c>
      <c r="Q15" s="15"/>
    </row>
    <row r="16" spans="1:44" x14ac:dyDescent="0.2">
      <c r="A16" s="13" t="s">
        <v>28</v>
      </c>
      <c r="B16" s="14" t="s">
        <v>29</v>
      </c>
      <c r="C16" s="15">
        <f>'[2]Central Trading'!C16+'[2]Central Origination'!C16+[2]Derivatives!C16+'[2]East Trading'!C16+'[2]East Origination'!C16+'[2]Financial Gas'!C16+[2]Structuring!C16+'[2]Texas Trading'!C16+'[2]Texas Origination'!C16+'[2]West Trading'!C16+'[2]West Origination'!C16+[2]Fundamentals!C16</f>
        <v>0</v>
      </c>
      <c r="E16" s="17">
        <f>(C16/9)*12</f>
        <v>0</v>
      </c>
      <c r="G16" s="16">
        <f t="shared" si="0"/>
        <v>0</v>
      </c>
      <c r="H16" s="18">
        <f t="shared" si="1"/>
        <v>0</v>
      </c>
      <c r="I16" s="24" t="s">
        <v>30</v>
      </c>
      <c r="J16" s="22">
        <v>33000</v>
      </c>
      <c r="K16" s="22">
        <f>1-1</f>
        <v>0</v>
      </c>
      <c r="L16" s="22">
        <f t="shared" ref="L16:L27" si="2">J16*K16</f>
        <v>0</v>
      </c>
      <c r="Q16" s="15"/>
    </row>
    <row r="17" spans="1:17" x14ac:dyDescent="0.2">
      <c r="A17" s="13" t="s">
        <v>31</v>
      </c>
      <c r="B17" s="14" t="s">
        <v>32</v>
      </c>
      <c r="C17" s="15">
        <f>'[2]Central Trading'!C17+'[2]Central Origination'!C17+[2]Derivatives!C17+'[2]East Trading'!C17+'[2]East Origination'!C17+'[2]Financial Gas'!C17+[2]Structuring!C17+'[2]Texas Trading'!C17+'[2]Texas Origination'!C17+'[2]West Trading'!C17+'[2]West Origination'!C17+[2]Fundamentals!C17</f>
        <v>5900</v>
      </c>
      <c r="E17" s="17">
        <f>((C17/9)*12)</f>
        <v>7866.6666666666661</v>
      </c>
      <c r="G17" s="16">
        <f t="shared" si="0"/>
        <v>3.60759115469791E-4</v>
      </c>
      <c r="H17" s="18">
        <f t="shared" si="1"/>
        <v>590</v>
      </c>
      <c r="I17" s="22" t="s">
        <v>33</v>
      </c>
      <c r="J17" s="22">
        <v>48400</v>
      </c>
      <c r="K17" s="22">
        <f>12</f>
        <v>12</v>
      </c>
      <c r="L17" s="22">
        <f t="shared" si="2"/>
        <v>580800</v>
      </c>
      <c r="Q17" s="15"/>
    </row>
    <row r="18" spans="1:17" x14ac:dyDescent="0.2">
      <c r="A18" s="13" t="s">
        <v>34</v>
      </c>
      <c r="B18" s="14" t="s">
        <v>35</v>
      </c>
      <c r="C18" s="15">
        <f>'[2]Central Trading'!C18+'[2]Central Origination'!C18+[2]Derivatives!C18+'[2]East Trading'!C18+'[2]East Origination'!C18+'[2]Financial Gas'!C18+[2]Structuring!C18+'[2]Texas Trading'!C18+'[2]Texas Origination'!C18+'[2]West Trading'!C18+'[2]West Origination'!C18+[2]Fundamentals!C18</f>
        <v>350904.92000000004</v>
      </c>
      <c r="E18" s="17">
        <f>((C18/9)*12)-250000-75000</f>
        <v>142873.22666666668</v>
      </c>
      <c r="G18" s="16">
        <f t="shared" si="0"/>
        <v>6.552053247023089E-3</v>
      </c>
      <c r="H18" s="18">
        <f t="shared" si="1"/>
        <v>10715.492000000002</v>
      </c>
      <c r="I18" s="22" t="s">
        <v>36</v>
      </c>
      <c r="J18" s="22">
        <v>49500</v>
      </c>
      <c r="K18" s="22">
        <v>0</v>
      </c>
      <c r="L18" s="22">
        <f t="shared" si="2"/>
        <v>0</v>
      </c>
      <c r="Q18" s="15"/>
    </row>
    <row r="19" spans="1:17" x14ac:dyDescent="0.2">
      <c r="A19" s="13" t="s">
        <v>37</v>
      </c>
      <c r="B19" s="14" t="s">
        <v>38</v>
      </c>
      <c r="C19" s="15">
        <f>'[2]Central Trading'!C19+'[2]Central Origination'!C19+[2]Derivatives!C19+'[2]East Trading'!C19+'[2]East Origination'!C19+'[2]Financial Gas'!C19+[2]Structuring!C19+'[2]Texas Trading'!C19+'[2]Texas Origination'!C19+'[2]West Trading'!C19+'[2]West Origination'!C19+[2]Fundamentals!C19</f>
        <v>277960.32000000001</v>
      </c>
      <c r="E19" s="17">
        <f>((C19/9)*12)-75000-75000-50000-25000</f>
        <v>145613.76000000001</v>
      </c>
      <c r="G19" s="16">
        <f t="shared" si="0"/>
        <v>6.6777319395547171E-3</v>
      </c>
      <c r="H19" s="18">
        <f t="shared" si="1"/>
        <v>10921.031999999999</v>
      </c>
      <c r="I19" s="22" t="s">
        <v>39</v>
      </c>
      <c r="J19" s="22">
        <v>57750</v>
      </c>
      <c r="K19" s="22">
        <v>0</v>
      </c>
      <c r="L19" s="22">
        <f t="shared" si="2"/>
        <v>0</v>
      </c>
      <c r="Q19" s="15"/>
    </row>
    <row r="20" spans="1:17" x14ac:dyDescent="0.2">
      <c r="A20" s="13" t="s">
        <v>40</v>
      </c>
      <c r="B20" s="14" t="s">
        <v>41</v>
      </c>
      <c r="C20" s="15">
        <f>'[2]Central Trading'!C20+'[2]Central Origination'!C20+[2]Derivatives!C20+'[2]East Trading'!C20+'[2]East Origination'!C20+'[2]Financial Gas'!C20+[2]Structuring!C20+'[2]Texas Trading'!C20+'[2]Texas Origination'!C20+'[2]West Trading'!C20+'[2]West Origination'!C20+[2]Fundamentals!C20</f>
        <v>16</v>
      </c>
      <c r="E20" s="17">
        <f>((C20/9)*12)</f>
        <v>21.333333333333332</v>
      </c>
      <c r="G20" s="16">
        <f t="shared" si="0"/>
        <v>9.7832980466383997E-7</v>
      </c>
      <c r="H20" s="18">
        <f t="shared" si="1"/>
        <v>1.6</v>
      </c>
      <c r="I20" s="22" t="s">
        <v>42</v>
      </c>
      <c r="J20" s="22">
        <v>71500</v>
      </c>
      <c r="K20" s="22">
        <v>0</v>
      </c>
      <c r="L20" s="22">
        <f t="shared" si="2"/>
        <v>0</v>
      </c>
      <c r="Q20" s="15"/>
    </row>
    <row r="21" spans="1:17" x14ac:dyDescent="0.2">
      <c r="A21" s="13" t="s">
        <v>43</v>
      </c>
      <c r="B21" s="14" t="s">
        <v>44</v>
      </c>
      <c r="C21" s="15">
        <f>'[2]Central Trading'!C21+'[2]Central Origination'!C21+[2]Derivatives!C21+'[2]East Trading'!C21+'[2]East Origination'!C21+'[2]Financial Gas'!C21+[2]Structuring!C21+'[2]Texas Trading'!C21+'[2]Texas Origination'!C21+'[2]West Trading'!C21+'[2]West Origination'!C21+[2]Fundamentals!C21</f>
        <v>192038.90999999986</v>
      </c>
      <c r="E21" s="17">
        <f>((C21/9)*12)-75000</f>
        <v>181051.87999999983</v>
      </c>
      <c r="G21" s="16">
        <f t="shared" si="0"/>
        <v>8.302896112238476E-3</v>
      </c>
      <c r="H21" s="18">
        <f t="shared" si="1"/>
        <v>13578.890999999989</v>
      </c>
      <c r="I21" s="22" t="s">
        <v>45</v>
      </c>
      <c r="J21" s="22">
        <v>60500</v>
      </c>
      <c r="K21" s="22">
        <v>0</v>
      </c>
      <c r="L21" s="22">
        <f t="shared" si="2"/>
        <v>0</v>
      </c>
      <c r="P21" s="25"/>
      <c r="Q21" s="26"/>
    </row>
    <row r="22" spans="1:17" x14ac:dyDescent="0.2">
      <c r="A22" s="13" t="s">
        <v>46</v>
      </c>
      <c r="B22" s="14" t="s">
        <v>47</v>
      </c>
      <c r="C22" s="15">
        <f>'[2]Central Trading'!C22+'[2]Central Origination'!C22+[2]Derivatives!C22+'[2]East Trading'!C22+'[2]East Origination'!C22+'[2]Financial Gas'!C22+[2]Structuring!C22+'[2]Texas Trading'!C22+'[2]Texas Origination'!C22+'[2]West Trading'!C22+'[2]West Origination'!C22+[2]Fundamentals!C22</f>
        <v>4757096.6800000016</v>
      </c>
      <c r="E22" s="17">
        <f>((C22/9)*12)-1000000-100000</f>
        <v>5242795.573333336</v>
      </c>
      <c r="G22" s="16">
        <f t="shared" si="0"/>
        <v>0.2404304610539835</v>
      </c>
      <c r="H22" s="18">
        <f>(E22/$E$29)*$K$11-393210</f>
        <v>-0.33199999982025474</v>
      </c>
      <c r="I22" s="22" t="s">
        <v>48</v>
      </c>
      <c r="J22" s="22">
        <v>89100</v>
      </c>
      <c r="K22" s="22">
        <v>0</v>
      </c>
      <c r="L22" s="22">
        <f t="shared" si="2"/>
        <v>0</v>
      </c>
      <c r="P22" s="25"/>
      <c r="Q22" s="26"/>
    </row>
    <row r="23" spans="1:17" x14ac:dyDescent="0.2">
      <c r="A23" s="27" t="s">
        <v>49</v>
      </c>
      <c r="B23" s="28" t="s">
        <v>50</v>
      </c>
      <c r="C23" s="29">
        <f>SUM(C8:C22)</f>
        <v>23348090.119999997</v>
      </c>
      <c r="E23" s="29">
        <f>SUM(E8:E22)</f>
        <v>21805870.813333336</v>
      </c>
      <c r="G23" s="30">
        <f t="shared" si="0"/>
        <v>1</v>
      </c>
      <c r="H23" s="29">
        <f>SUM(H8:H22)</f>
        <v>1022384.175</v>
      </c>
      <c r="I23" s="22" t="s">
        <v>51</v>
      </c>
      <c r="J23" s="22">
        <v>110000</v>
      </c>
      <c r="K23" s="22">
        <v>0</v>
      </c>
      <c r="L23" s="22">
        <f t="shared" si="2"/>
        <v>0</v>
      </c>
      <c r="P23" s="25"/>
      <c r="Q23" s="31"/>
    </row>
    <row r="24" spans="1:17" x14ac:dyDescent="0.2">
      <c r="I24" s="22" t="s">
        <v>52</v>
      </c>
      <c r="J24" s="22">
        <v>143000</v>
      </c>
      <c r="K24" s="22">
        <v>0</v>
      </c>
      <c r="L24" s="22">
        <f t="shared" si="2"/>
        <v>0</v>
      </c>
      <c r="P24" s="25"/>
      <c r="Q24" s="25"/>
    </row>
    <row r="25" spans="1:17" x14ac:dyDescent="0.2">
      <c r="B25" s="28" t="s">
        <v>53</v>
      </c>
      <c r="C25" s="15"/>
      <c r="E25" s="32">
        <f>'[2]Central Trading'!E25+'[2]Central Origination'!E25+[2]Derivatives!E25+'[2]East Trading'!E25+'[2]East Origination'!E25+'[2]Financial Gas'!E25+[2]Structuring!E25+'[2]Texas Trading'!E25+'[2]Texas Origination'!E25+'[2]West Trading'!E25+'[2]West Origination'!E25+[2]Fundamentals!E25</f>
        <v>108</v>
      </c>
      <c r="H25" s="32">
        <f>+K16+K17+K18+K19+K20+K23+K24+K25+K26+K27</f>
        <v>12</v>
      </c>
      <c r="I25" s="22" t="s">
        <v>54</v>
      </c>
      <c r="J25" s="22">
        <v>165000</v>
      </c>
      <c r="K25" s="22">
        <v>0</v>
      </c>
      <c r="L25" s="22">
        <f t="shared" si="2"/>
        <v>0</v>
      </c>
      <c r="P25" s="25"/>
      <c r="Q25" s="26"/>
    </row>
    <row r="26" spans="1:17" x14ac:dyDescent="0.2">
      <c r="C26" s="15"/>
      <c r="E26" s="15"/>
      <c r="H26" s="15"/>
      <c r="I26" s="22" t="s">
        <v>55</v>
      </c>
      <c r="J26" s="22">
        <v>198000</v>
      </c>
      <c r="K26" s="22">
        <v>0</v>
      </c>
      <c r="L26" s="22">
        <f t="shared" si="2"/>
        <v>0</v>
      </c>
      <c r="P26" s="25"/>
      <c r="Q26" s="26"/>
    </row>
    <row r="27" spans="1:17" x14ac:dyDescent="0.2">
      <c r="B27" s="28" t="s">
        <v>56</v>
      </c>
      <c r="C27" s="15"/>
      <c r="E27" s="32">
        <f>'[2]Central Trading'!E27+'[2]Central Origination'!E27+[2]Derivatives!E27+'[2]East Trading'!E27+'[2]East Origination'!E27+'[2]Financial Gas'!E27+[2]Structuring!E27+'[2]Texas Trading'!E27+'[2]Texas Origination'!E27+'[2]West Trading'!E27+'[2]West Origination'!E27+[2]Fundamentals!E27</f>
        <v>52</v>
      </c>
      <c r="H27" s="32">
        <f>+K21+K22</f>
        <v>0</v>
      </c>
      <c r="I27" s="22" t="s">
        <v>57</v>
      </c>
      <c r="J27" s="22">
        <v>220000</v>
      </c>
      <c r="K27" s="22">
        <v>0</v>
      </c>
      <c r="L27" s="22">
        <f t="shared" si="2"/>
        <v>0</v>
      </c>
      <c r="P27" s="25"/>
      <c r="Q27" s="26"/>
    </row>
    <row r="28" spans="1:17" x14ac:dyDescent="0.2">
      <c r="K28" s="22">
        <f>SUM(K16:K27)</f>
        <v>12</v>
      </c>
      <c r="L28" s="22">
        <f>SUM(L16:L27)*1.2</f>
        <v>696960</v>
      </c>
      <c r="P28" s="25"/>
      <c r="Q28" s="25"/>
    </row>
    <row r="29" spans="1:17" x14ac:dyDescent="0.2">
      <c r="B29" s="28" t="s">
        <v>58</v>
      </c>
      <c r="C29" s="15"/>
      <c r="E29" s="32">
        <f>SUM(E25:E27)</f>
        <v>160</v>
      </c>
      <c r="G29" s="22"/>
      <c r="H29" s="32">
        <f>SUM(H25:H27)</f>
        <v>12</v>
      </c>
      <c r="L29" s="33">
        <v>0.2</v>
      </c>
      <c r="P29" s="25"/>
      <c r="Q29" s="26"/>
    </row>
    <row r="30" spans="1:17" hidden="1" x14ac:dyDescent="0.2">
      <c r="L30" s="22">
        <f>L28*1.2</f>
        <v>836352</v>
      </c>
      <c r="P30" s="25"/>
      <c r="Q30" s="25"/>
    </row>
    <row r="31" spans="1:17" hidden="1" x14ac:dyDescent="0.2">
      <c r="H31" s="34" t="s">
        <v>59</v>
      </c>
      <c r="L31"/>
      <c r="P31" s="25"/>
      <c r="Q31" s="25"/>
    </row>
    <row r="32" spans="1:17" hidden="1" x14ac:dyDescent="0.2">
      <c r="B32" s="14" t="s">
        <v>25</v>
      </c>
      <c r="C32" s="15">
        <v>254512</v>
      </c>
      <c r="L32"/>
      <c r="P32" s="25"/>
      <c r="Q32" s="25"/>
    </row>
    <row r="33" spans="8:17" hidden="1" x14ac:dyDescent="0.2">
      <c r="H33" s="35" t="s">
        <v>60</v>
      </c>
      <c r="I33" s="36" t="s">
        <v>61</v>
      </c>
      <c r="J33" s="36" t="s">
        <v>62</v>
      </c>
      <c r="K33" s="36" t="s">
        <v>3</v>
      </c>
      <c r="L33" s="36" t="s">
        <v>63</v>
      </c>
      <c r="P33" s="25"/>
      <c r="Q33" s="25"/>
    </row>
    <row r="34" spans="8:17" hidden="1" x14ac:dyDescent="0.2">
      <c r="H34" s="37">
        <f>SUM(E12:E22)</f>
        <v>7723229.0000000019</v>
      </c>
      <c r="I34" s="38">
        <f>+E29</f>
        <v>160</v>
      </c>
      <c r="J34" s="38">
        <f>+H34/I34</f>
        <v>48270.181250000009</v>
      </c>
      <c r="K34" s="38">
        <f>+K11</f>
        <v>12</v>
      </c>
      <c r="L34" s="38">
        <f>+J34*K34</f>
        <v>579242.17500000005</v>
      </c>
      <c r="P34" s="25"/>
      <c r="Q34" s="25"/>
    </row>
    <row r="35" spans="8:17" hidden="1" x14ac:dyDescent="0.2">
      <c r="P35" s="25"/>
      <c r="Q35" s="25"/>
    </row>
    <row r="36" spans="8:17" hidden="1" x14ac:dyDescent="0.2">
      <c r="P36" s="25"/>
      <c r="Q36" s="25"/>
    </row>
    <row r="37" spans="8:17" hidden="1" x14ac:dyDescent="0.2">
      <c r="P37" s="25"/>
      <c r="Q37" s="25"/>
    </row>
    <row r="38" spans="8:17" hidden="1" x14ac:dyDescent="0.2">
      <c r="P38" s="25"/>
      <c r="Q38" s="25"/>
    </row>
    <row r="39" spans="8:17" x14ac:dyDescent="0.2">
      <c r="P39" s="25"/>
      <c r="Q39" s="25"/>
    </row>
  </sheetData>
  <mergeCells count="3">
    <mergeCell ref="B1:H1"/>
    <mergeCell ref="B2:H2"/>
    <mergeCell ref="B3:H3"/>
  </mergeCells>
  <phoneticPr fontId="0" type="noConversion"/>
  <printOptions horizontalCentered="1"/>
  <pageMargins left="0.75" right="0.75" top="0.63" bottom="1" header="0.22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Natural Gas</vt:lpstr>
      <vt:lpstr>Natural Gas Trading</vt:lpstr>
      <vt:lpstr>Natural Gas Orig-Texas</vt:lpstr>
      <vt:lpstr>Natural Gas A&amp;A</vt:lpstr>
      <vt:lpstr>Natural Gas Admin</vt:lpstr>
      <vt:lpstr>'Natural Gas'!Print_Area</vt:lpstr>
      <vt:lpstr>'Natural Gas A&amp;A'!Print_Area</vt:lpstr>
      <vt:lpstr>'Natural Gas Admin'!Print_Area</vt:lpstr>
      <vt:lpstr>'Natural Gas Orig-Texas'!Print_Area</vt:lpstr>
      <vt:lpstr>'Natural Gas Trading'!Print_Area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Jan Havlíček</cp:lastModifiedBy>
  <cp:lastPrinted>2002-01-02T18:26:13Z</cp:lastPrinted>
  <dcterms:created xsi:type="dcterms:W3CDTF">2002-01-02T15:46:57Z</dcterms:created>
  <dcterms:modified xsi:type="dcterms:W3CDTF">2023-09-13T17:01:58Z</dcterms:modified>
</cp:coreProperties>
</file>