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FA01CF-417A-4889-946F-3478F9F2A51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Sheet1!$A$80:$AB$118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H6" i="1"/>
  <c r="J6" i="1"/>
  <c r="D8" i="1"/>
  <c r="F8" i="1"/>
  <c r="H8" i="1"/>
  <c r="J8" i="1"/>
  <c r="F9" i="1"/>
  <c r="D10" i="1"/>
  <c r="J10" i="1"/>
  <c r="D12" i="1"/>
  <c r="F12" i="1"/>
  <c r="H12" i="1"/>
  <c r="J12" i="1"/>
  <c r="F13" i="1"/>
  <c r="J22" i="1"/>
  <c r="F23" i="1"/>
  <c r="D24" i="1"/>
  <c r="J24" i="1"/>
  <c r="J26" i="1"/>
  <c r="F27" i="1"/>
  <c r="O30" i="1"/>
  <c r="D32" i="1"/>
  <c r="J32" i="1"/>
  <c r="D34" i="1"/>
  <c r="J34" i="1"/>
  <c r="D36" i="1"/>
  <c r="J36" i="1"/>
  <c r="F44" i="1"/>
  <c r="H44" i="1"/>
  <c r="J44" i="1"/>
  <c r="L44" i="1"/>
  <c r="N44" i="1"/>
  <c r="P44" i="1"/>
  <c r="R44" i="1"/>
  <c r="T44" i="1"/>
  <c r="V44" i="1"/>
  <c r="X44" i="1"/>
  <c r="Z44" i="1"/>
  <c r="D46" i="1"/>
  <c r="H46" i="1"/>
  <c r="J46" i="1"/>
  <c r="P46" i="1"/>
  <c r="X46" i="1"/>
  <c r="AB46" i="1"/>
  <c r="AB50" i="1"/>
  <c r="AD50" i="1"/>
  <c r="AB52" i="1"/>
  <c r="D56" i="1"/>
  <c r="F56" i="1"/>
  <c r="H56" i="1"/>
  <c r="J56" i="1"/>
  <c r="L56" i="1"/>
  <c r="N56" i="1"/>
  <c r="P56" i="1"/>
  <c r="R56" i="1"/>
  <c r="T56" i="1"/>
  <c r="V56" i="1"/>
  <c r="X56" i="1"/>
  <c r="Z56" i="1"/>
  <c r="J65" i="1"/>
  <c r="P65" i="1"/>
  <c r="X65" i="1"/>
  <c r="AB65" i="1"/>
  <c r="J67" i="1"/>
  <c r="P67" i="1"/>
  <c r="X67" i="1"/>
  <c r="AB67" i="1"/>
  <c r="X69" i="1"/>
  <c r="AB69" i="1"/>
  <c r="X71" i="1"/>
  <c r="AB71" i="1"/>
  <c r="X75" i="1"/>
  <c r="AB75" i="1"/>
  <c r="H77" i="1"/>
  <c r="J77" i="1"/>
  <c r="P77" i="1"/>
  <c r="X77" i="1"/>
  <c r="T80" i="1"/>
  <c r="D83" i="1"/>
  <c r="F83" i="1"/>
  <c r="H83" i="1"/>
  <c r="J83" i="1"/>
  <c r="L83" i="1"/>
  <c r="N83" i="1"/>
  <c r="P83" i="1"/>
  <c r="R83" i="1"/>
  <c r="T83" i="1"/>
  <c r="V83" i="1"/>
  <c r="X83" i="1"/>
  <c r="Z83" i="1"/>
  <c r="D85" i="1"/>
  <c r="F85" i="1"/>
  <c r="H85" i="1"/>
  <c r="J85" i="1"/>
  <c r="L85" i="1"/>
  <c r="N85" i="1"/>
  <c r="P85" i="1"/>
  <c r="R85" i="1"/>
  <c r="T85" i="1"/>
  <c r="V85" i="1"/>
  <c r="X85" i="1"/>
  <c r="Z85" i="1"/>
  <c r="AB85" i="1"/>
  <c r="D87" i="1"/>
  <c r="F87" i="1"/>
  <c r="H87" i="1"/>
  <c r="J87" i="1"/>
  <c r="L87" i="1"/>
  <c r="N87" i="1"/>
  <c r="P87" i="1"/>
  <c r="R87" i="1"/>
  <c r="T87" i="1"/>
  <c r="V87" i="1"/>
  <c r="X87" i="1"/>
  <c r="Z87" i="1"/>
  <c r="D89" i="1"/>
  <c r="F89" i="1"/>
  <c r="H89" i="1"/>
  <c r="J89" i="1"/>
  <c r="L89" i="1"/>
  <c r="N89" i="1"/>
  <c r="P89" i="1"/>
  <c r="R89" i="1"/>
  <c r="T89" i="1"/>
  <c r="V89" i="1"/>
  <c r="X89" i="1"/>
  <c r="Z89" i="1"/>
  <c r="D91" i="1"/>
  <c r="F91" i="1"/>
  <c r="H91" i="1"/>
  <c r="J91" i="1"/>
  <c r="D93" i="1"/>
  <c r="F93" i="1"/>
  <c r="H93" i="1"/>
  <c r="J93" i="1"/>
  <c r="L93" i="1"/>
  <c r="N93" i="1"/>
  <c r="P93" i="1"/>
  <c r="R93" i="1"/>
  <c r="T93" i="1"/>
  <c r="V93" i="1"/>
  <c r="X93" i="1"/>
  <c r="Z93" i="1"/>
  <c r="L99" i="1"/>
  <c r="P99" i="1"/>
  <c r="X99" i="1"/>
  <c r="D101" i="1"/>
  <c r="D103" i="1"/>
  <c r="F103" i="1"/>
  <c r="H103" i="1"/>
  <c r="J103" i="1"/>
  <c r="L103" i="1"/>
  <c r="N103" i="1"/>
  <c r="P103" i="1"/>
  <c r="R103" i="1"/>
  <c r="T103" i="1"/>
  <c r="V103" i="1"/>
  <c r="X103" i="1"/>
  <c r="Z103" i="1"/>
  <c r="F104" i="1"/>
  <c r="H104" i="1"/>
  <c r="F105" i="1"/>
  <c r="H105" i="1"/>
  <c r="J105" i="1"/>
  <c r="L105" i="1"/>
  <c r="N105" i="1"/>
  <c r="P105" i="1"/>
  <c r="R105" i="1"/>
  <c r="T105" i="1"/>
  <c r="V105" i="1"/>
  <c r="X105" i="1"/>
  <c r="Z105" i="1"/>
  <c r="AB105" i="1"/>
  <c r="AB106" i="1"/>
  <c r="D108" i="1"/>
  <c r="F108" i="1"/>
  <c r="H108" i="1"/>
  <c r="J108" i="1"/>
  <c r="L108" i="1"/>
  <c r="N108" i="1"/>
  <c r="P108" i="1"/>
  <c r="R108" i="1"/>
  <c r="T108" i="1"/>
  <c r="V108" i="1"/>
  <c r="X108" i="1"/>
  <c r="Z108" i="1"/>
  <c r="F110" i="1"/>
  <c r="H110" i="1"/>
  <c r="J110" i="1"/>
  <c r="L110" i="1"/>
  <c r="N110" i="1"/>
  <c r="P110" i="1"/>
  <c r="R110" i="1"/>
  <c r="T110" i="1"/>
  <c r="V110" i="1"/>
  <c r="X110" i="1"/>
  <c r="Z110" i="1"/>
  <c r="D112" i="1"/>
  <c r="F112" i="1"/>
  <c r="H112" i="1"/>
  <c r="J112" i="1"/>
  <c r="L112" i="1"/>
  <c r="N112" i="1"/>
  <c r="P112" i="1"/>
  <c r="R112" i="1"/>
  <c r="T112" i="1"/>
  <c r="V112" i="1"/>
  <c r="X112" i="1"/>
  <c r="Z112" i="1"/>
  <c r="F114" i="1"/>
  <c r="H114" i="1"/>
  <c r="J114" i="1"/>
  <c r="L114" i="1"/>
  <c r="N114" i="1"/>
  <c r="P114" i="1"/>
  <c r="R114" i="1"/>
  <c r="T114" i="1"/>
  <c r="V114" i="1"/>
  <c r="X114" i="1"/>
  <c r="Z114" i="1"/>
  <c r="D116" i="1"/>
  <c r="F118" i="1"/>
  <c r="H118" i="1"/>
  <c r="J118" i="1"/>
  <c r="L118" i="1"/>
  <c r="N118" i="1"/>
  <c r="P118" i="1"/>
  <c r="R118" i="1"/>
  <c r="T118" i="1"/>
  <c r="V118" i="1"/>
  <c r="X118" i="1"/>
  <c r="Z118" i="1"/>
  <c r="D120" i="1"/>
  <c r="D122" i="1"/>
  <c r="D136" i="1"/>
  <c r="D137" i="1"/>
  <c r="D138" i="1"/>
  <c r="D139" i="1"/>
  <c r="D140" i="1"/>
  <c r="D141" i="1"/>
</calcChain>
</file>

<file path=xl/sharedStrings.xml><?xml version="1.0" encoding="utf-8"?>
<sst xmlns="http://schemas.openxmlformats.org/spreadsheetml/2006/main" count="95" uniqueCount="73">
  <si>
    <t>Fidelity Funds After Tax Year 2000 Dividend and Income Analysis</t>
  </si>
  <si>
    <t>Fidelity Fund</t>
  </si>
  <si>
    <t>Magellan Fund</t>
  </si>
  <si>
    <t>Value Fund</t>
  </si>
  <si>
    <t>Worldwide Fund</t>
  </si>
  <si>
    <t>Ordinary</t>
  </si>
  <si>
    <t>Dividends</t>
  </si>
  <si>
    <t>Short Term</t>
  </si>
  <si>
    <t>Capital Gain</t>
  </si>
  <si>
    <t>Long Term</t>
  </si>
  <si>
    <t>Total Taxable</t>
  </si>
  <si>
    <t>Income</t>
  </si>
  <si>
    <t>Vanguard Funds After Tax Year 2000 Dividend and Income Analysis</t>
  </si>
  <si>
    <t>Explorer</t>
  </si>
  <si>
    <t>500 Index</t>
  </si>
  <si>
    <t>International Growth</t>
  </si>
  <si>
    <t>Foreign</t>
  </si>
  <si>
    <t>Tax Free</t>
  </si>
  <si>
    <t>Interm. Muni</t>
  </si>
  <si>
    <t>High Yield Muni</t>
  </si>
  <si>
    <t>500 Index - Kathryn</t>
  </si>
  <si>
    <t>Windsor 2 - Allison</t>
  </si>
  <si>
    <t>Windsor 2 - Matthew</t>
  </si>
  <si>
    <t>Paine Webber 2000 Option Exercises and Interest Analysis</t>
  </si>
  <si>
    <t>RMA Tax Free Money Market Balances</t>
  </si>
  <si>
    <t>Beginning Balance</t>
  </si>
  <si>
    <t>Checks Written</t>
  </si>
  <si>
    <t>Ending Balance</t>
  </si>
  <si>
    <t>Change in Invest. Value</t>
  </si>
  <si>
    <t># of Options Exercised</t>
  </si>
  <si>
    <t># of Phantom Stk Sold</t>
  </si>
  <si>
    <t>Price of Exercise/Sale</t>
  </si>
  <si>
    <t>Federal W/H</t>
  </si>
  <si>
    <t>Gross Proceeds</t>
  </si>
  <si>
    <t>FICA</t>
  </si>
  <si>
    <t>Cash Transferred to RMA</t>
  </si>
  <si>
    <t>Net Value of Exercises/Sales</t>
  </si>
  <si>
    <t>Commissions</t>
  </si>
  <si>
    <t>Options Cost</t>
  </si>
  <si>
    <t>Medicare</t>
  </si>
  <si>
    <t>Non-Taxable Interest</t>
  </si>
  <si>
    <t>Totals</t>
  </si>
  <si>
    <t>Gross Salary</t>
  </si>
  <si>
    <t>Pre Tax Savings Plan</t>
  </si>
  <si>
    <t>Taxable Benefits Income</t>
  </si>
  <si>
    <t>Phantom Gross Income</t>
  </si>
  <si>
    <t>Options Gross Income</t>
  </si>
  <si>
    <t>Cum. Federal W/H</t>
  </si>
  <si>
    <t>Cum. Medicare</t>
  </si>
  <si>
    <t>Cum. FICA</t>
  </si>
  <si>
    <t>Reported</t>
  </si>
  <si>
    <t>on 1099</t>
  </si>
  <si>
    <t>Diff Adjusted in 1/01/01</t>
  </si>
  <si>
    <t>Enron 2001 Salary</t>
  </si>
  <si>
    <t>Flex Dollars</t>
  </si>
  <si>
    <t>Pre Tax Med.,Dent,Life,ADD</t>
  </si>
  <si>
    <t>Pre Tax Spending Acct</t>
  </si>
  <si>
    <t>Social Security</t>
  </si>
  <si>
    <t>Cum. Gross Pay</t>
  </si>
  <si>
    <t>Cum. Not Subject To Inc Tax</t>
  </si>
  <si>
    <t>Cum. Pay Subject To Inc. Tax</t>
  </si>
  <si>
    <t>Bonus Income</t>
  </si>
  <si>
    <t>Total Earnings</t>
  </si>
  <si>
    <t>Current Earnings</t>
  </si>
  <si>
    <t>Before Tax Deductions</t>
  </si>
  <si>
    <t>Cum. Taxes W/H</t>
  </si>
  <si>
    <t>Total Earnings + Imputed</t>
  </si>
  <si>
    <t>Taxes Withheld</t>
  </si>
  <si>
    <t>After Tax Deductions</t>
  </si>
  <si>
    <t>Net Pay</t>
  </si>
  <si>
    <t>Earnings Subject to Income Tax</t>
  </si>
  <si>
    <t>Current Period</t>
  </si>
  <si>
    <t>Year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</si>
</sst>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0.0%"/>
    <numFmt numFmtId="168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u val="singleAccounting"/>
      <sz val="12"/>
      <name val="Arial"/>
      <family val="2"/>
    </font>
    <font>
      <b/>
      <i/>
      <u val="singleAccounting"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7" fontId="0" fillId="0" borderId="0" xfId="0" applyNumberFormat="1"/>
    <xf numFmtId="44" fontId="0" fillId="0" borderId="0" xfId="2" applyFont="1"/>
    <xf numFmtId="17" fontId="0" fillId="0" borderId="0" xfId="2" applyNumberFormat="1" applyFont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44" fontId="2" fillId="0" borderId="0" xfId="2" applyFont="1"/>
    <xf numFmtId="44" fontId="3" fillId="0" borderId="0" xfId="0" applyNumberFormat="1" applyFont="1"/>
    <xf numFmtId="44" fontId="4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0" borderId="0" xfId="0" applyFont="1"/>
    <xf numFmtId="164" fontId="0" fillId="0" borderId="0" xfId="2" applyNumberFormat="1" applyFont="1"/>
    <xf numFmtId="165" fontId="0" fillId="0" borderId="0" xfId="3" applyNumberFormat="1" applyFont="1"/>
    <xf numFmtId="0" fontId="0" fillId="0" borderId="4" xfId="0" applyBorder="1"/>
    <xf numFmtId="2" fontId="0" fillId="0" borderId="0" xfId="0" applyNumberFormat="1"/>
    <xf numFmtId="168" fontId="0" fillId="0" borderId="0" xfId="2" applyNumberFormat="1" applyFont="1"/>
    <xf numFmtId="44" fontId="0" fillId="0" borderId="0" xfId="2" applyNumberFormat="1" applyFont="1"/>
    <xf numFmtId="43" fontId="0" fillId="0" borderId="0" xfId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151"/>
  <sheetViews>
    <sheetView tabSelected="1" topLeftCell="A119" workbookViewId="0">
      <pane xSplit="3" topLeftCell="D1" activePane="topRight" state="frozen"/>
      <selection activeCell="A39" sqref="A39"/>
      <selection pane="topRight" activeCell="D137" sqref="D137"/>
    </sheetView>
  </sheetViews>
  <sheetFormatPr defaultRowHeight="12.75" x14ac:dyDescent="0.2"/>
  <cols>
    <col min="2" max="2" width="10.28515625" bestFit="1" customWidth="1"/>
    <col min="3" max="3" width="11.28515625" customWidth="1"/>
    <col min="4" max="4" width="16" bestFit="1" customWidth="1"/>
    <col min="5" max="5" width="1.42578125" customWidth="1"/>
    <col min="6" max="6" width="13.85546875" customWidth="1"/>
    <col min="7" max="7" width="1.5703125" customWidth="1"/>
    <col min="8" max="8" width="13.7109375" customWidth="1"/>
    <col min="9" max="9" width="1.5703125" customWidth="1"/>
    <col min="10" max="10" width="13.85546875" customWidth="1"/>
    <col min="11" max="11" width="1.85546875" customWidth="1"/>
    <col min="12" max="12" width="13.5703125" customWidth="1"/>
    <col min="13" max="13" width="1.5703125" customWidth="1"/>
    <col min="14" max="14" width="13.5703125" customWidth="1"/>
    <col min="15" max="15" width="1.28515625" customWidth="1"/>
    <col min="16" max="16" width="13.85546875" customWidth="1"/>
    <col min="17" max="17" width="1.5703125" customWidth="1"/>
    <col min="18" max="18" width="13.140625" customWidth="1"/>
    <col min="19" max="19" width="1.5703125" customWidth="1"/>
    <col min="20" max="20" width="12.28515625" customWidth="1"/>
    <col min="21" max="21" width="1.5703125" customWidth="1"/>
    <col min="22" max="22" width="12.5703125" customWidth="1"/>
    <col min="23" max="23" width="1.28515625" customWidth="1"/>
    <col min="24" max="24" width="14.28515625" customWidth="1"/>
    <col min="25" max="25" width="1.7109375" customWidth="1"/>
    <col min="26" max="26" width="14.7109375" customWidth="1"/>
    <col min="27" max="27" width="1.42578125" customWidth="1"/>
    <col min="28" max="28" width="13.7109375" customWidth="1"/>
    <col min="30" max="30" width="11.85546875" bestFit="1" customWidth="1"/>
  </cols>
  <sheetData>
    <row r="2" spans="1:10" x14ac:dyDescent="0.2">
      <c r="D2" t="s">
        <v>0</v>
      </c>
    </row>
    <row r="4" spans="1:10" x14ac:dyDescent="0.2">
      <c r="D4" t="s">
        <v>5</v>
      </c>
      <c r="F4" t="s">
        <v>7</v>
      </c>
      <c r="H4" t="s">
        <v>9</v>
      </c>
      <c r="J4" t="s">
        <v>10</v>
      </c>
    </row>
    <row r="5" spans="1:10" x14ac:dyDescent="0.2">
      <c r="D5" t="s">
        <v>6</v>
      </c>
      <c r="F5" t="s">
        <v>8</v>
      </c>
      <c r="H5" t="s">
        <v>8</v>
      </c>
      <c r="J5" t="s">
        <v>11</v>
      </c>
    </row>
    <row r="6" spans="1:10" x14ac:dyDescent="0.2">
      <c r="A6" t="s">
        <v>1</v>
      </c>
      <c r="D6">
        <f>20.49+27.93+46.37+79.05</f>
        <v>173.83999999999997</v>
      </c>
      <c r="H6">
        <f>2189.5+1667.89</f>
        <v>3857.3900000000003</v>
      </c>
      <c r="J6">
        <f>D6+F6+H6</f>
        <v>4031.2300000000005</v>
      </c>
    </row>
    <row r="8" spans="1:10" x14ac:dyDescent="0.2">
      <c r="A8" t="s">
        <v>2</v>
      </c>
      <c r="D8">
        <f>8.61+25.15</f>
        <v>33.76</v>
      </c>
      <c r="F8">
        <f>113.18</f>
        <v>113.18</v>
      </c>
      <c r="H8">
        <f>234.98+233.85</f>
        <v>468.83</v>
      </c>
      <c r="J8">
        <f>D8+F8+H8</f>
        <v>615.77</v>
      </c>
    </row>
    <row r="9" spans="1:10" x14ac:dyDescent="0.2">
      <c r="F9">
        <f>D8+F8</f>
        <v>146.94</v>
      </c>
    </row>
    <row r="10" spans="1:10" x14ac:dyDescent="0.2">
      <c r="A10" t="s">
        <v>3</v>
      </c>
      <c r="D10">
        <f>494.31+5.42</f>
        <v>499.73</v>
      </c>
      <c r="J10">
        <f>D10+F10+H10</f>
        <v>499.73</v>
      </c>
    </row>
    <row r="12" spans="1:10" x14ac:dyDescent="0.2">
      <c r="A12" t="s">
        <v>4</v>
      </c>
      <c r="D12">
        <f>340.54</f>
        <v>340.54</v>
      </c>
      <c r="F12">
        <f>442.71</f>
        <v>442.71</v>
      </c>
      <c r="H12">
        <f>1472.85</f>
        <v>1472.85</v>
      </c>
      <c r="J12">
        <f>D12+F12+H12</f>
        <v>2256.1</v>
      </c>
    </row>
    <row r="13" spans="1:10" x14ac:dyDescent="0.2">
      <c r="F13">
        <f>D12+F12</f>
        <v>783.25</v>
      </c>
    </row>
    <row r="16" spans="1:10" x14ac:dyDescent="0.2">
      <c r="D16" t="s">
        <v>12</v>
      </c>
    </row>
    <row r="20" spans="1:15" x14ac:dyDescent="0.2">
      <c r="D20" t="s">
        <v>5</v>
      </c>
      <c r="F20" t="s">
        <v>7</v>
      </c>
      <c r="H20" t="s">
        <v>9</v>
      </c>
      <c r="J20" t="s">
        <v>10</v>
      </c>
      <c r="L20" t="s">
        <v>16</v>
      </c>
      <c r="N20" t="s">
        <v>17</v>
      </c>
    </row>
    <row r="21" spans="1:15" x14ac:dyDescent="0.2">
      <c r="D21" t="s">
        <v>6</v>
      </c>
      <c r="F21" t="s">
        <v>8</v>
      </c>
      <c r="H21" t="s">
        <v>8</v>
      </c>
      <c r="J21" t="s">
        <v>11</v>
      </c>
      <c r="L21" t="s">
        <v>11</v>
      </c>
      <c r="N21" t="s">
        <v>11</v>
      </c>
    </row>
    <row r="22" spans="1:15" x14ac:dyDescent="0.2">
      <c r="A22" t="s">
        <v>13</v>
      </c>
      <c r="D22">
        <v>135.55000000000001</v>
      </c>
      <c r="F22">
        <v>4548.91</v>
      </c>
      <c r="H22">
        <v>2992.84</v>
      </c>
      <c r="J22">
        <f>D22+F22+H22</f>
        <v>7677.3</v>
      </c>
    </row>
    <row r="23" spans="1:15" x14ac:dyDescent="0.2">
      <c r="F23">
        <f>D22+F22</f>
        <v>4684.46</v>
      </c>
    </row>
    <row r="24" spans="1:15" x14ac:dyDescent="0.2">
      <c r="A24" t="s">
        <v>14</v>
      </c>
      <c r="D24">
        <f>141.78+146.81+151.9+176.06</f>
        <v>616.54999999999995</v>
      </c>
      <c r="J24">
        <f>D24+F24+H24</f>
        <v>616.54999999999995</v>
      </c>
    </row>
    <row r="26" spans="1:15" x14ac:dyDescent="0.2">
      <c r="A26" t="s">
        <v>15</v>
      </c>
      <c r="D26">
        <v>262.25</v>
      </c>
      <c r="F26">
        <v>238.41</v>
      </c>
      <c r="H26">
        <v>1454.32</v>
      </c>
      <c r="J26">
        <f>D26+F26+H26</f>
        <v>1954.98</v>
      </c>
      <c r="L26">
        <v>30.81</v>
      </c>
    </row>
    <row r="27" spans="1:15" x14ac:dyDescent="0.2">
      <c r="F27">
        <f>D26+F26</f>
        <v>500.65999999999997</v>
      </c>
    </row>
    <row r="28" spans="1:15" x14ac:dyDescent="0.2">
      <c r="A28" t="s">
        <v>18</v>
      </c>
      <c r="N28">
        <v>1004.24</v>
      </c>
    </row>
    <row r="30" spans="1:15" x14ac:dyDescent="0.2">
      <c r="A30" t="s">
        <v>19</v>
      </c>
      <c r="N30">
        <v>889.75</v>
      </c>
      <c r="O30">
        <f>N28+N30</f>
        <v>1893.99</v>
      </c>
    </row>
    <row r="32" spans="1:15" x14ac:dyDescent="0.2">
      <c r="A32" t="s">
        <v>20</v>
      </c>
      <c r="D32">
        <f>50.31+52.1+77.09+89.35</f>
        <v>268.85000000000002</v>
      </c>
      <c r="J32">
        <f>D32+F32+H32</f>
        <v>268.85000000000002</v>
      </c>
    </row>
    <row r="34" spans="1:29" x14ac:dyDescent="0.2">
      <c r="A34" t="s">
        <v>21</v>
      </c>
      <c r="D34">
        <f>226.59+378.38</f>
        <v>604.97</v>
      </c>
      <c r="H34">
        <v>1466.22</v>
      </c>
      <c r="J34">
        <f>D34+F34+H34</f>
        <v>2071.19</v>
      </c>
    </row>
    <row r="36" spans="1:29" x14ac:dyDescent="0.2">
      <c r="A36" t="s">
        <v>22</v>
      </c>
      <c r="D36">
        <f>116.79+243.27</f>
        <v>360.06</v>
      </c>
      <c r="H36">
        <v>942.68</v>
      </c>
      <c r="J36">
        <f>D36+F36+H36</f>
        <v>1302.74</v>
      </c>
    </row>
    <row r="39" spans="1:29" x14ac:dyDescent="0.2">
      <c r="D39" t="s">
        <v>23</v>
      </c>
    </row>
    <row r="41" spans="1:29" x14ac:dyDescent="0.2">
      <c r="E41" t="s">
        <v>24</v>
      </c>
    </row>
    <row r="43" spans="1:29" x14ac:dyDescent="0.2">
      <c r="D43" s="1">
        <v>36892</v>
      </c>
      <c r="F43" s="1">
        <v>36923</v>
      </c>
      <c r="H43" s="1">
        <v>36951</v>
      </c>
      <c r="J43" s="1">
        <v>36982</v>
      </c>
      <c r="L43" s="1">
        <v>37012</v>
      </c>
      <c r="N43" s="1">
        <v>37043</v>
      </c>
      <c r="P43" s="1">
        <v>37073</v>
      </c>
      <c r="R43" s="1">
        <v>37104</v>
      </c>
      <c r="T43" s="1">
        <v>37135</v>
      </c>
      <c r="V43" s="1">
        <v>37165</v>
      </c>
      <c r="X43" s="1">
        <v>37196</v>
      </c>
      <c r="Z43" s="1">
        <v>37226</v>
      </c>
      <c r="AB43" t="s">
        <v>41</v>
      </c>
    </row>
    <row r="44" spans="1:29" x14ac:dyDescent="0.2">
      <c r="A44" t="s">
        <v>25</v>
      </c>
      <c r="D44" s="2">
        <v>761546.59</v>
      </c>
      <c r="E44" s="2"/>
      <c r="F44" s="21">
        <f>D56</f>
        <v>1200882.33</v>
      </c>
      <c r="G44" s="2"/>
      <c r="H44" s="2">
        <f>F56</f>
        <v>1203752.32</v>
      </c>
      <c r="I44" s="2"/>
      <c r="J44" s="2">
        <f>H56</f>
        <v>1985428.23</v>
      </c>
      <c r="K44" s="2"/>
      <c r="L44" s="2">
        <f>J56</f>
        <v>1985745.58</v>
      </c>
      <c r="M44" s="2"/>
      <c r="N44" s="2">
        <f>L56</f>
        <v>1986413.08</v>
      </c>
      <c r="O44" s="2"/>
      <c r="P44" s="2">
        <f>N56</f>
        <v>1987214.34</v>
      </c>
      <c r="Q44" s="2"/>
      <c r="R44" s="2">
        <f>P56</f>
        <v>2124292.8400000003</v>
      </c>
      <c r="S44" s="2"/>
      <c r="T44" s="2">
        <f>R56</f>
        <v>2125296.7900000005</v>
      </c>
      <c r="V44" s="2">
        <f>T56</f>
        <v>2126571.3200000003</v>
      </c>
      <c r="X44" s="2">
        <f>V56</f>
        <v>2127702.64</v>
      </c>
      <c r="Z44" s="2">
        <f>X56</f>
        <v>2543875.9596000002</v>
      </c>
      <c r="AB44" s="2"/>
    </row>
    <row r="45" spans="1:29" x14ac:dyDescent="0.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29" x14ac:dyDescent="0.2">
      <c r="A46" t="s">
        <v>36</v>
      </c>
      <c r="D46" s="2">
        <f>D65-(D67+D69+D71+D73)</f>
        <v>437314.43000000005</v>
      </c>
      <c r="E46" s="2"/>
      <c r="F46" s="2"/>
      <c r="G46" s="2"/>
      <c r="H46" s="2">
        <f>H77</f>
        <v>850362.12</v>
      </c>
      <c r="I46" s="2"/>
      <c r="J46" s="2">
        <f>J77</f>
        <v>0</v>
      </c>
      <c r="K46" s="2"/>
      <c r="L46" s="2"/>
      <c r="M46" s="2"/>
      <c r="N46" s="2"/>
      <c r="O46" s="2"/>
      <c r="P46" s="2">
        <f>P77</f>
        <v>136397.16999999998</v>
      </c>
      <c r="Q46" s="2"/>
      <c r="R46" s="2"/>
      <c r="S46" s="2"/>
      <c r="X46" s="4">
        <f>X77</f>
        <v>414528.33959999995</v>
      </c>
      <c r="AB46" s="4">
        <f>SUM(D46:Z46)</f>
        <v>1838602.0595999998</v>
      </c>
    </row>
    <row r="47" spans="1:29" x14ac:dyDescent="0.2"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29" ht="13.5" thickBot="1" x14ac:dyDescent="0.25">
      <c r="A48" t="s">
        <v>28</v>
      </c>
      <c r="D48" s="2">
        <v>0</v>
      </c>
      <c r="E48" s="2"/>
      <c r="F48" s="2">
        <v>0</v>
      </c>
      <c r="G48" s="2"/>
      <c r="H48" s="2">
        <v>-71837.88</v>
      </c>
      <c r="I48" s="2"/>
      <c r="J48" s="2">
        <v>0</v>
      </c>
      <c r="K48" s="2"/>
      <c r="L48" s="2"/>
      <c r="M48" s="2"/>
      <c r="N48" s="2"/>
      <c r="O48" s="2"/>
      <c r="P48" s="2"/>
      <c r="Q48" s="2"/>
      <c r="R48" s="2"/>
      <c r="S48" s="2"/>
      <c r="AC48" t="s">
        <v>50</v>
      </c>
    </row>
    <row r="49" spans="1:31" x14ac:dyDescent="0.2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AC49" s="15" t="s">
        <v>51</v>
      </c>
      <c r="AD49" s="10"/>
      <c r="AE49" s="11"/>
    </row>
    <row r="50" spans="1:31" ht="17.25" x14ac:dyDescent="0.35">
      <c r="A50" t="s">
        <v>40</v>
      </c>
      <c r="D50" s="2">
        <v>2021.31</v>
      </c>
      <c r="E50" s="2"/>
      <c r="F50" s="2">
        <v>2869.99</v>
      </c>
      <c r="G50" s="2"/>
      <c r="H50" s="2">
        <v>3151.67</v>
      </c>
      <c r="I50" s="2"/>
      <c r="J50" s="2">
        <v>317.35000000000002</v>
      </c>
      <c r="K50" s="2"/>
      <c r="L50" s="2">
        <v>667.5</v>
      </c>
      <c r="M50" s="2"/>
      <c r="N50" s="2">
        <v>801.26</v>
      </c>
      <c r="O50" s="2"/>
      <c r="P50" s="2">
        <v>681.33</v>
      </c>
      <c r="Q50" s="2"/>
      <c r="R50" s="2">
        <v>1003.95</v>
      </c>
      <c r="S50" s="2"/>
      <c r="T50" s="2">
        <v>1274.53</v>
      </c>
      <c r="V50" s="2">
        <v>1131.32</v>
      </c>
      <c r="X50" s="2">
        <v>1644.98</v>
      </c>
      <c r="Z50" s="2">
        <v>2797.33</v>
      </c>
      <c r="AB50" s="4">
        <f>SUM(D50:Z50)</f>
        <v>18362.52</v>
      </c>
      <c r="AC50">
        <v>11865.68</v>
      </c>
      <c r="AD50" s="9">
        <f>AC50-AB50</f>
        <v>-6496.84</v>
      </c>
      <c r="AE50" s="18"/>
    </row>
    <row r="51" spans="1:31" ht="13.5" thickBot="1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V51" s="2"/>
      <c r="X51" s="2"/>
      <c r="Z51" s="2"/>
      <c r="AD51" s="13"/>
      <c r="AE51" s="14"/>
    </row>
    <row r="52" spans="1:31" x14ac:dyDescent="0.2">
      <c r="A52" t="s">
        <v>6</v>
      </c>
      <c r="D52" s="2"/>
      <c r="E52" s="2"/>
      <c r="F52" s="2"/>
      <c r="G52" s="2"/>
      <c r="H52" s="2">
        <v>0</v>
      </c>
      <c r="I52" s="2"/>
      <c r="J52" s="2">
        <v>0</v>
      </c>
      <c r="K52" s="2"/>
      <c r="L52" s="2">
        <v>0</v>
      </c>
      <c r="M52" s="2"/>
      <c r="N52" s="2">
        <v>0</v>
      </c>
      <c r="O52" s="2"/>
      <c r="P52" s="2">
        <v>0</v>
      </c>
      <c r="Q52" s="2"/>
      <c r="R52" s="2">
        <v>0</v>
      </c>
      <c r="S52" s="2"/>
      <c r="T52" s="2">
        <v>0</v>
      </c>
      <c r="V52" s="2">
        <v>0</v>
      </c>
      <c r="X52" s="2">
        <v>0</v>
      </c>
      <c r="Z52" s="2">
        <v>0</v>
      </c>
      <c r="AB52" s="4">
        <f>SUM(D52:Z52)</f>
        <v>0</v>
      </c>
      <c r="AD52" s="12" t="s">
        <v>52</v>
      </c>
    </row>
    <row r="53" spans="1:31" x14ac:dyDescent="0.2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V53" s="2"/>
      <c r="X53" s="2"/>
      <c r="Z53" s="2"/>
    </row>
    <row r="54" spans="1:31" x14ac:dyDescent="0.2">
      <c r="A54" t="s">
        <v>26</v>
      </c>
      <c r="D54" s="2">
        <v>0</v>
      </c>
      <c r="E54" s="2"/>
      <c r="F54" s="2">
        <v>0</v>
      </c>
      <c r="G54" s="2"/>
      <c r="H54" s="2">
        <v>0</v>
      </c>
      <c r="I54" s="2"/>
      <c r="J54" s="2">
        <v>0</v>
      </c>
      <c r="K54" s="2"/>
      <c r="L54" s="2"/>
      <c r="M54" s="2"/>
      <c r="N54" s="2"/>
      <c r="O54" s="2"/>
      <c r="P54" s="2"/>
      <c r="Q54" s="2"/>
      <c r="R54" s="2"/>
      <c r="S54" s="2"/>
      <c r="X54" s="2">
        <v>0</v>
      </c>
      <c r="Z54" s="2">
        <v>35000</v>
      </c>
    </row>
    <row r="55" spans="1:31" x14ac:dyDescent="0.2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31" x14ac:dyDescent="0.2">
      <c r="A56" t="s">
        <v>27</v>
      </c>
      <c r="D56" s="21">
        <f>D44+D46+D48+D50+D52-D54</f>
        <v>1200882.33</v>
      </c>
      <c r="E56" s="2"/>
      <c r="F56" s="2">
        <f>F44+F46+F48+F50+F52-F54</f>
        <v>1203752.32</v>
      </c>
      <c r="G56" s="2"/>
      <c r="H56" s="2">
        <f>H44+H46+H48+H50+H52-H54</f>
        <v>1985428.23</v>
      </c>
      <c r="I56" s="2"/>
      <c r="J56" s="2">
        <f>J44+J46+J48+J50+J52-J54</f>
        <v>1985745.58</v>
      </c>
      <c r="K56" s="2"/>
      <c r="L56" s="2">
        <f>L44+L46+L48+L50+L52-L54</f>
        <v>1986413.08</v>
      </c>
      <c r="M56" s="2"/>
      <c r="N56" s="2">
        <f>N44+N46+N48+N50+N52-N54</f>
        <v>1987214.34</v>
      </c>
      <c r="O56" s="2"/>
      <c r="P56" s="2">
        <f>P44+P46+P48+P50+P52-P54</f>
        <v>2124292.8400000003</v>
      </c>
      <c r="Q56" s="2"/>
      <c r="R56" s="2">
        <f>R44+R46+R48+R50+R52-R54</f>
        <v>2125296.7900000005</v>
      </c>
      <c r="S56" s="2"/>
      <c r="T56" s="2">
        <f>T44+T46+T48+T50+T52-T54</f>
        <v>2126571.3200000003</v>
      </c>
      <c r="V56" s="2">
        <f>V44+V46+V48+V50+V52-V54</f>
        <v>2127702.64</v>
      </c>
      <c r="X56" s="2">
        <f>X44+X46+X48+X50+X52-X54</f>
        <v>2543875.9596000002</v>
      </c>
      <c r="Z56" s="2">
        <f>Z44+Z46+Z48+Z50+Z52-Z54</f>
        <v>2511673.2896000003</v>
      </c>
      <c r="AB56" s="2"/>
    </row>
    <row r="59" spans="1:31" x14ac:dyDescent="0.2">
      <c r="A59" t="s">
        <v>29</v>
      </c>
      <c r="D59" s="22">
        <v>10000</v>
      </c>
      <c r="F59" s="4"/>
      <c r="H59">
        <v>15000</v>
      </c>
      <c r="P59">
        <v>4000</v>
      </c>
      <c r="X59">
        <v>9352</v>
      </c>
    </row>
    <row r="61" spans="1:31" x14ac:dyDescent="0.2">
      <c r="A61" t="s">
        <v>30</v>
      </c>
      <c r="F61" s="4"/>
      <c r="H61">
        <v>0</v>
      </c>
    </row>
    <row r="63" spans="1:31" x14ac:dyDescent="0.2">
      <c r="A63" t="s">
        <v>31</v>
      </c>
      <c r="D63" s="20">
        <v>81.156899999999993</v>
      </c>
      <c r="H63" s="20">
        <v>56.752699999999997</v>
      </c>
      <c r="P63">
        <v>70.671899999999994</v>
      </c>
      <c r="X63">
        <v>81.169799999999995</v>
      </c>
    </row>
    <row r="65" spans="1:28" x14ac:dyDescent="0.2">
      <c r="A65" t="s">
        <v>33</v>
      </c>
      <c r="D65" s="2">
        <v>810941.93</v>
      </c>
      <c r="F65" s="2">
        <v>0</v>
      </c>
      <c r="H65" s="2">
        <v>850362.12</v>
      </c>
      <c r="J65" s="2">
        <f>J59*J63</f>
        <v>0</v>
      </c>
      <c r="P65" s="2">
        <f>P59*P63</f>
        <v>282687.59999999998</v>
      </c>
      <c r="X65" s="2">
        <f>X59*X63</f>
        <v>759099.96959999995</v>
      </c>
      <c r="AB65" s="4">
        <f>SUM(D65:Z65)</f>
        <v>2703091.6195999999</v>
      </c>
    </row>
    <row r="66" spans="1:28" x14ac:dyDescent="0.2">
      <c r="H66" s="2"/>
    </row>
    <row r="67" spans="1:28" x14ac:dyDescent="0.2">
      <c r="A67" t="s">
        <v>38</v>
      </c>
      <c r="D67" s="2">
        <v>183750</v>
      </c>
      <c r="H67" s="2"/>
      <c r="J67" s="2">
        <f>J59*22.25</f>
        <v>0</v>
      </c>
      <c r="P67" s="2">
        <f>P59*22.25</f>
        <v>89000</v>
      </c>
      <c r="X67" s="2">
        <f>(((5340*15.25)+(2692*22.25)+(1320*22.25))/9352)*X59</f>
        <v>170702.00000000003</v>
      </c>
      <c r="Y67" s="4"/>
      <c r="AB67" s="4">
        <f>SUM(D67:Z67)</f>
        <v>443452</v>
      </c>
    </row>
    <row r="68" spans="1:28" x14ac:dyDescent="0.2">
      <c r="H68" s="2"/>
    </row>
    <row r="69" spans="1:28" x14ac:dyDescent="0.2">
      <c r="A69" t="s">
        <v>32</v>
      </c>
      <c r="D69" s="2">
        <v>175789.32</v>
      </c>
      <c r="F69" s="2">
        <v>0</v>
      </c>
      <c r="H69" s="2">
        <v>0</v>
      </c>
      <c r="J69" s="2">
        <v>0</v>
      </c>
      <c r="P69" s="2">
        <v>54232.53</v>
      </c>
      <c r="X69" s="2">
        <f>98563.28+44411.39+21776.76</f>
        <v>164751.43</v>
      </c>
      <c r="AB69" s="4">
        <f>SUM(D69:Z69)</f>
        <v>394773.28</v>
      </c>
    </row>
    <row r="70" spans="1:28" x14ac:dyDescent="0.2">
      <c r="H70" s="2"/>
    </row>
    <row r="71" spans="1:28" x14ac:dyDescent="0.2">
      <c r="A71" t="s">
        <v>39</v>
      </c>
      <c r="D71" s="2">
        <v>9103.3799999999992</v>
      </c>
      <c r="F71" s="2">
        <v>0</v>
      </c>
      <c r="H71" s="2">
        <v>0</v>
      </c>
      <c r="J71" s="2">
        <v>0</v>
      </c>
      <c r="P71" s="2">
        <v>2808.47</v>
      </c>
      <c r="X71" s="2">
        <f>5104.17+2299.87+1127.73</f>
        <v>8531.77</v>
      </c>
      <c r="AB71" s="4">
        <f>SUM(D71:Z71)</f>
        <v>20443.62</v>
      </c>
    </row>
    <row r="72" spans="1:28" x14ac:dyDescent="0.2">
      <c r="D72" s="2"/>
      <c r="H72" s="2"/>
    </row>
    <row r="73" spans="1:28" x14ac:dyDescent="0.2">
      <c r="A73" t="s">
        <v>57</v>
      </c>
      <c r="D73" s="2">
        <v>4984.8</v>
      </c>
      <c r="H73" s="2"/>
    </row>
    <row r="74" spans="1:28" x14ac:dyDescent="0.2">
      <c r="D74" s="2"/>
      <c r="H74" s="2"/>
    </row>
    <row r="75" spans="1:28" x14ac:dyDescent="0.2">
      <c r="A75" t="s">
        <v>37</v>
      </c>
      <c r="D75" s="2">
        <v>627.07000000000005</v>
      </c>
      <c r="H75" s="2"/>
      <c r="J75" s="2">
        <v>0</v>
      </c>
      <c r="P75" s="2">
        <v>249.43</v>
      </c>
      <c r="X75" s="2">
        <f>561.12+25.31</f>
        <v>586.42999999999995</v>
      </c>
      <c r="AB75" s="4">
        <f>SUM(D75:Z75)</f>
        <v>1462.9299999999998</v>
      </c>
    </row>
    <row r="76" spans="1:28" x14ac:dyDescent="0.2">
      <c r="D76" s="2"/>
      <c r="H76" s="2"/>
    </row>
    <row r="77" spans="1:28" x14ac:dyDescent="0.2">
      <c r="A77" t="s">
        <v>35</v>
      </c>
      <c r="D77" s="2"/>
      <c r="H77" s="2">
        <f>H65-H75</f>
        <v>850362.12</v>
      </c>
      <c r="J77" s="4">
        <f>J65-J67-J69-J71-J75</f>
        <v>0</v>
      </c>
      <c r="P77" s="4">
        <f>P65-P67-P69-P71-P75</f>
        <v>136397.16999999998</v>
      </c>
      <c r="X77" s="4">
        <f>X65-X67-X69-X71-X75</f>
        <v>414528.33959999995</v>
      </c>
    </row>
    <row r="79" spans="1:28" x14ac:dyDescent="0.2">
      <c r="T79">
        <v>750</v>
      </c>
    </row>
    <row r="80" spans="1:28" x14ac:dyDescent="0.2">
      <c r="D80" t="s">
        <v>53</v>
      </c>
      <c r="T80">
        <f>T79*3</f>
        <v>2250</v>
      </c>
    </row>
    <row r="82" spans="1:28" x14ac:dyDescent="0.2">
      <c r="D82" s="1">
        <v>36892</v>
      </c>
      <c r="F82" s="1">
        <v>36923</v>
      </c>
      <c r="H82" s="1">
        <v>36951</v>
      </c>
      <c r="J82" s="1">
        <v>36982</v>
      </c>
      <c r="L82" s="1">
        <v>37012</v>
      </c>
      <c r="N82" s="1">
        <v>37043</v>
      </c>
      <c r="P82" s="1">
        <v>37073</v>
      </c>
      <c r="R82" s="1">
        <v>37104</v>
      </c>
      <c r="T82" s="1">
        <v>37135</v>
      </c>
      <c r="V82" s="1">
        <v>37165</v>
      </c>
      <c r="X82" s="1">
        <v>37196</v>
      </c>
      <c r="Z82" s="1">
        <v>37226</v>
      </c>
      <c r="AB82" t="s">
        <v>41</v>
      </c>
    </row>
    <row r="83" spans="1:28" x14ac:dyDescent="0.2">
      <c r="A83" t="s">
        <v>42</v>
      </c>
      <c r="D83" s="2">
        <f>7500*2</f>
        <v>15000</v>
      </c>
      <c r="E83" s="2"/>
      <c r="F83" s="2">
        <f>(7500*2)</f>
        <v>15000</v>
      </c>
      <c r="G83" s="2"/>
      <c r="H83" s="2">
        <f>7500*2</f>
        <v>15000</v>
      </c>
      <c r="I83" s="2"/>
      <c r="J83" s="2">
        <f>7500*2</f>
        <v>15000</v>
      </c>
      <c r="K83" s="2"/>
      <c r="L83" s="2">
        <f>7500*2</f>
        <v>15000</v>
      </c>
      <c r="M83" s="2"/>
      <c r="N83" s="2">
        <f>7500*2</f>
        <v>15000</v>
      </c>
      <c r="O83" s="2"/>
      <c r="P83" s="2">
        <f>7500*2</f>
        <v>15000</v>
      </c>
      <c r="R83" s="2">
        <f>7500*2</f>
        <v>15000</v>
      </c>
      <c r="T83" s="2">
        <f>7500*2</f>
        <v>15000</v>
      </c>
      <c r="V83" s="2">
        <f>7500*2</f>
        <v>15000</v>
      </c>
      <c r="X83" s="2">
        <f>7500*2</f>
        <v>15000</v>
      </c>
      <c r="Y83" s="2"/>
      <c r="Z83" s="2">
        <f>7500*2</f>
        <v>15000</v>
      </c>
      <c r="AA83" s="2"/>
      <c r="AB83" s="2"/>
    </row>
    <row r="84" spans="1:28" x14ac:dyDescent="0.2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 s="2"/>
      <c r="T84" s="2"/>
      <c r="V84" s="2"/>
      <c r="X84" s="2"/>
      <c r="Y84" s="2"/>
      <c r="Z84" s="2"/>
      <c r="AA84" s="2"/>
      <c r="AB84" s="2"/>
    </row>
    <row r="85" spans="1:28" x14ac:dyDescent="0.2">
      <c r="A85" t="s">
        <v>43</v>
      </c>
      <c r="D85" s="2">
        <f>425*2</f>
        <v>850</v>
      </c>
      <c r="E85" s="2"/>
      <c r="F85" s="2">
        <f>425*2</f>
        <v>850</v>
      </c>
      <c r="G85" s="2"/>
      <c r="H85" s="2">
        <f>425*2</f>
        <v>850</v>
      </c>
      <c r="I85" s="2"/>
      <c r="J85" s="2">
        <f>425*2</f>
        <v>850</v>
      </c>
      <c r="K85" s="2"/>
      <c r="L85" s="2">
        <f>425*2</f>
        <v>850</v>
      </c>
      <c r="M85" s="2"/>
      <c r="N85" s="2">
        <f>425*2</f>
        <v>850</v>
      </c>
      <c r="O85" s="2"/>
      <c r="P85" s="2">
        <f>425*2</f>
        <v>850</v>
      </c>
      <c r="R85" s="2">
        <f>425*2</f>
        <v>850</v>
      </c>
      <c r="T85" s="2">
        <f>425*2</f>
        <v>850</v>
      </c>
      <c r="V85" s="2">
        <f>425*2</f>
        <v>850</v>
      </c>
      <c r="X85" s="2">
        <f>425*2</f>
        <v>850</v>
      </c>
      <c r="Y85" s="2"/>
      <c r="Z85" s="2">
        <f>425*2</f>
        <v>850</v>
      </c>
      <c r="AA85" s="2"/>
      <c r="AB85" s="2">
        <f>SUM(D85:Z85)</f>
        <v>10200</v>
      </c>
    </row>
    <row r="86" spans="1:28" x14ac:dyDescent="0.2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R86" s="2"/>
      <c r="S86" s="4"/>
      <c r="T86" s="2"/>
      <c r="V86" s="2"/>
      <c r="X86" s="2"/>
      <c r="Y86" s="2"/>
      <c r="Z86" s="2"/>
      <c r="AA86" s="2"/>
      <c r="AB86" s="2"/>
    </row>
    <row r="87" spans="1:28" x14ac:dyDescent="0.2">
      <c r="A87" t="s">
        <v>55</v>
      </c>
      <c r="D87" s="2">
        <f>(226.7+36.04+24+5.2)*2</f>
        <v>583.88</v>
      </c>
      <c r="E87" s="2"/>
      <c r="F87" s="2">
        <f>(226.7+36.04+24+5.2)*2</f>
        <v>583.88</v>
      </c>
      <c r="G87" s="2"/>
      <c r="H87" s="2">
        <f>(226.7+36.04+24+5.2)*2</f>
        <v>583.88</v>
      </c>
      <c r="I87" s="2"/>
      <c r="J87" s="2">
        <f>(226.7+36.04+24+5.2)*2</f>
        <v>583.88</v>
      </c>
      <c r="K87" s="2"/>
      <c r="L87" s="2">
        <f>(226.7+36.04+24+5.2)*2</f>
        <v>583.88</v>
      </c>
      <c r="M87" s="2"/>
      <c r="N87" s="2">
        <f>(226.7+36.04+24+5.2)*2</f>
        <v>583.88</v>
      </c>
      <c r="O87" s="2"/>
      <c r="P87" s="2">
        <f>(226.7+36.04+24+5.2)*2</f>
        <v>583.88</v>
      </c>
      <c r="Q87" s="4"/>
      <c r="R87" s="2">
        <f>(226.7+36.04+24+5.2)*2</f>
        <v>583.88</v>
      </c>
      <c r="T87" s="2">
        <f>(226.7+36.04+24+5.2)*2</f>
        <v>583.88</v>
      </c>
      <c r="V87" s="2">
        <f>(226.7+36.04+24+5.2)*2</f>
        <v>583.88</v>
      </c>
      <c r="X87" s="2">
        <f>(226.7+36.04+24+5.2)*2</f>
        <v>583.88</v>
      </c>
      <c r="Y87" s="2"/>
      <c r="Z87" s="2">
        <f>(226.7+36.04+24+5.2)*2</f>
        <v>583.88</v>
      </c>
      <c r="AA87" s="2"/>
      <c r="AB87" s="2"/>
    </row>
    <row r="88" spans="1:28" x14ac:dyDescent="0.2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4"/>
      <c r="R88" s="2"/>
      <c r="T88" s="2"/>
      <c r="V88" s="2"/>
      <c r="X88" s="2"/>
      <c r="Y88" s="2"/>
      <c r="Z88" s="2"/>
      <c r="AA88" s="2"/>
      <c r="AB88" s="2"/>
    </row>
    <row r="89" spans="1:28" x14ac:dyDescent="0.2">
      <c r="A89" t="s">
        <v>56</v>
      </c>
      <c r="D89" s="2">
        <f>(35)*2</f>
        <v>70</v>
      </c>
      <c r="E89" s="2"/>
      <c r="F89" s="2">
        <f>(35)*2</f>
        <v>70</v>
      </c>
      <c r="G89" s="2"/>
      <c r="H89" s="2">
        <f>(35)*2</f>
        <v>70</v>
      </c>
      <c r="I89" s="2"/>
      <c r="J89" s="2">
        <f>(35)*2</f>
        <v>70</v>
      </c>
      <c r="K89" s="2"/>
      <c r="L89" s="2">
        <f>(35)*2</f>
        <v>70</v>
      </c>
      <c r="M89" s="2"/>
      <c r="N89" s="2">
        <f>(35)*2</f>
        <v>70</v>
      </c>
      <c r="O89" s="2"/>
      <c r="P89" s="2">
        <f>(35)*2</f>
        <v>70</v>
      </c>
      <c r="R89" s="2">
        <f>(35)*2</f>
        <v>70</v>
      </c>
      <c r="T89" s="2">
        <f>(35)*2</f>
        <v>70</v>
      </c>
      <c r="V89" s="2">
        <f>(35)*2</f>
        <v>70</v>
      </c>
      <c r="X89" s="2">
        <f>(35)*2</f>
        <v>70</v>
      </c>
      <c r="Y89" s="2"/>
      <c r="Z89" s="2">
        <f>(35)*2</f>
        <v>70</v>
      </c>
      <c r="AA89" s="2"/>
      <c r="AB89" s="2"/>
    </row>
    <row r="90" spans="1:28" x14ac:dyDescent="0.2">
      <c r="B90" s="4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4"/>
      <c r="R90" s="2"/>
      <c r="T90" s="2"/>
      <c r="V90" s="2"/>
      <c r="X90" s="2"/>
      <c r="Y90" s="2"/>
      <c r="Z90" s="2"/>
      <c r="AA90" s="2"/>
      <c r="AB90" s="2"/>
    </row>
    <row r="91" spans="1:28" x14ac:dyDescent="0.2">
      <c r="A91" t="s">
        <v>44</v>
      </c>
      <c r="B91" s="4"/>
      <c r="C91" s="4"/>
      <c r="D91" s="2">
        <f>(27.5+0.75+0.33)*2</f>
        <v>57.16</v>
      </c>
      <c r="E91" s="2"/>
      <c r="F91" s="2">
        <f>(27.5+0.75+0.33)*2</f>
        <v>57.16</v>
      </c>
      <c r="G91" s="2"/>
      <c r="H91" s="2">
        <f>(27.5+0.75+0.33)*2</f>
        <v>57.16</v>
      </c>
      <c r="I91" s="2"/>
      <c r="J91" s="2">
        <f>(27.5+0.75+0.33)*2</f>
        <v>57.16</v>
      </c>
      <c r="K91" s="2"/>
      <c r="L91" s="2"/>
      <c r="M91" s="2"/>
      <c r="N91" s="2"/>
      <c r="O91" s="2"/>
      <c r="P91" s="2"/>
      <c r="Q91" s="4"/>
      <c r="R91" s="2"/>
      <c r="T91" s="2"/>
      <c r="V91" s="2"/>
      <c r="X91" s="2"/>
      <c r="Y91" s="2"/>
      <c r="Z91" s="2"/>
      <c r="AA91" s="2"/>
      <c r="AB91" s="2"/>
    </row>
    <row r="92" spans="1:28" x14ac:dyDescent="0.2">
      <c r="B92" s="4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4"/>
      <c r="R92" s="2"/>
      <c r="T92" s="2"/>
      <c r="V92" s="2"/>
      <c r="X92" s="2"/>
      <c r="Y92" s="2"/>
      <c r="Z92" s="2"/>
      <c r="AA92" s="2"/>
      <c r="AB92" s="2"/>
    </row>
    <row r="93" spans="1:28" x14ac:dyDescent="0.2">
      <c r="A93" t="s">
        <v>54</v>
      </c>
      <c r="D93" s="2">
        <f>220.33+220.33</f>
        <v>440.66</v>
      </c>
      <c r="E93" s="2"/>
      <c r="F93" s="2">
        <f>220.33+220.33</f>
        <v>440.66</v>
      </c>
      <c r="G93" s="2"/>
      <c r="H93" s="2">
        <f>220.33+220.33</f>
        <v>440.66</v>
      </c>
      <c r="I93" s="2"/>
      <c r="J93" s="2">
        <f>220.33+220.33</f>
        <v>440.66</v>
      </c>
      <c r="K93" s="2"/>
      <c r="L93" s="2">
        <f>220.33+220.33</f>
        <v>440.66</v>
      </c>
      <c r="M93" s="2"/>
      <c r="N93" s="2">
        <f>220.33+220.33</f>
        <v>440.66</v>
      </c>
      <c r="O93" s="2"/>
      <c r="P93" s="2">
        <f>220.33+220.33</f>
        <v>440.66</v>
      </c>
      <c r="Q93" s="4"/>
      <c r="R93" s="2">
        <f>220.33+220.33</f>
        <v>440.66</v>
      </c>
      <c r="T93" s="2">
        <f>220.33+220.33</f>
        <v>440.66</v>
      </c>
      <c r="V93" s="2">
        <f>220.33+220.33</f>
        <v>440.66</v>
      </c>
      <c r="X93" s="2">
        <f>220.33+220.33</f>
        <v>440.66</v>
      </c>
      <c r="Y93" s="2"/>
      <c r="Z93" s="2">
        <f>220.33+220.33</f>
        <v>440.66</v>
      </c>
      <c r="AA93" s="2"/>
      <c r="AB93" s="2"/>
    </row>
    <row r="94" spans="1:28" x14ac:dyDescent="0.2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4"/>
      <c r="X94" s="2"/>
      <c r="Y94" s="2"/>
      <c r="Z94" s="2"/>
      <c r="AA94" s="2"/>
      <c r="AB94" s="2"/>
    </row>
    <row r="95" spans="1:28" x14ac:dyDescent="0.2">
      <c r="A95" t="s">
        <v>61</v>
      </c>
      <c r="D95" s="2"/>
      <c r="E95" s="2"/>
      <c r="F95" s="2">
        <v>500000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4"/>
      <c r="X95" s="2"/>
      <c r="Y95" s="2"/>
      <c r="Z95" s="2"/>
      <c r="AA95" s="2"/>
      <c r="AB95" s="2"/>
    </row>
    <row r="96" spans="1:28" x14ac:dyDescent="0.2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4"/>
      <c r="X96" s="2"/>
      <c r="Y96" s="2"/>
      <c r="Z96" s="2"/>
      <c r="AA96" s="2"/>
      <c r="AB96" s="2"/>
    </row>
    <row r="97" spans="1:28" x14ac:dyDescent="0.2">
      <c r="A97" t="s">
        <v>45</v>
      </c>
      <c r="D97" s="2"/>
      <c r="E97" s="2"/>
      <c r="F97" s="2">
        <v>0</v>
      </c>
      <c r="G97" s="2"/>
      <c r="H97" s="2">
        <v>0</v>
      </c>
      <c r="I97" s="2"/>
      <c r="J97" s="2">
        <v>0</v>
      </c>
      <c r="K97" s="2"/>
      <c r="L97" s="2">
        <v>0</v>
      </c>
      <c r="M97" s="2"/>
      <c r="N97" s="2">
        <v>0</v>
      </c>
      <c r="O97" s="2"/>
      <c r="P97" s="2"/>
      <c r="Q97" s="4"/>
      <c r="R97">
        <v>0</v>
      </c>
      <c r="T97">
        <v>0</v>
      </c>
      <c r="V97">
        <v>0</v>
      </c>
      <c r="X97">
        <v>0</v>
      </c>
      <c r="Y97" s="2"/>
      <c r="Z97">
        <v>0</v>
      </c>
      <c r="AA97" s="2"/>
      <c r="AB97" s="2"/>
    </row>
    <row r="98" spans="1:28" x14ac:dyDescent="0.2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X98" s="2"/>
      <c r="Y98" s="2"/>
      <c r="Z98" s="2"/>
      <c r="AA98" s="2"/>
      <c r="AB98" s="2"/>
    </row>
    <row r="99" spans="1:28" x14ac:dyDescent="0.2">
      <c r="A99" t="s">
        <v>46</v>
      </c>
      <c r="D99" s="2">
        <v>627819</v>
      </c>
      <c r="E99" s="2"/>
      <c r="F99" s="2">
        <v>0</v>
      </c>
      <c r="G99" s="2"/>
      <c r="H99" s="2">
        <v>0</v>
      </c>
      <c r="I99" s="2"/>
      <c r="J99" s="2">
        <v>0</v>
      </c>
      <c r="K99" s="2"/>
      <c r="L99" s="2">
        <f>J65-J67</f>
        <v>0</v>
      </c>
      <c r="M99" s="2"/>
      <c r="N99" s="2">
        <v>0</v>
      </c>
      <c r="O99" s="2"/>
      <c r="P99" s="2">
        <f>P65-P67</f>
        <v>193687.59999999998</v>
      </c>
      <c r="R99">
        <v>0</v>
      </c>
      <c r="T99">
        <v>0</v>
      </c>
      <c r="V99">
        <v>0</v>
      </c>
      <c r="X99" s="2">
        <f>X65-X67</f>
        <v>588397.96959999995</v>
      </c>
      <c r="Y99" s="2"/>
      <c r="Z99" s="2">
        <v>0</v>
      </c>
      <c r="AA99" s="2"/>
      <c r="AB99" s="2"/>
    </row>
    <row r="100" spans="1:28" x14ac:dyDescent="0.2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X100" s="2"/>
      <c r="Y100" s="2"/>
      <c r="Z100" s="2"/>
      <c r="AA100" s="2"/>
      <c r="AB100" s="2"/>
    </row>
    <row r="101" spans="1:28" x14ac:dyDescent="0.2">
      <c r="A101" t="s">
        <v>64</v>
      </c>
      <c r="D101" s="2">
        <f>D85+D87+D89</f>
        <v>1503.88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X101" s="2"/>
      <c r="Y101" s="2"/>
      <c r="Z101" s="2"/>
      <c r="AA101" s="2"/>
      <c r="AB101" s="2"/>
    </row>
    <row r="102" spans="1:28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X102" s="2"/>
      <c r="Y102" s="2"/>
      <c r="Z102" s="2"/>
      <c r="AA102" s="2"/>
      <c r="AB102" s="2"/>
    </row>
    <row r="103" spans="1:28" x14ac:dyDescent="0.2">
      <c r="A103" t="s">
        <v>63</v>
      </c>
      <c r="C103" s="19"/>
      <c r="D103" s="2">
        <f>D83+D91+D93+D95+D97+D99</f>
        <v>643316.81999999995</v>
      </c>
      <c r="E103" s="2"/>
      <c r="F103" s="2">
        <f>F83-F85-F87-F89+F93+F97+F99</f>
        <v>13936.78</v>
      </c>
      <c r="G103" s="2"/>
      <c r="H103" s="2">
        <f>H83-H85-H87-H89+H93+H97+H99</f>
        <v>13936.78</v>
      </c>
      <c r="I103" s="2"/>
      <c r="J103" s="2">
        <f>J83-J85-J87-J89+J93+J97+J99</f>
        <v>13936.78</v>
      </c>
      <c r="K103" s="2"/>
      <c r="L103" s="2">
        <f>L83-L85-L87-L89+L93+L97+L99</f>
        <v>13936.78</v>
      </c>
      <c r="M103" s="2"/>
      <c r="N103" s="2">
        <f>N83-N85-N87-N89+N93+N97+N99</f>
        <v>13936.78</v>
      </c>
      <c r="O103" s="2"/>
      <c r="P103" s="2">
        <f>P83-P85-P87-P89+P93+P97+P99</f>
        <v>207624.37999999998</v>
      </c>
      <c r="R103" s="2">
        <f>R83-R85-R87-R89+R93+R97+R99</f>
        <v>13936.78</v>
      </c>
      <c r="T103" s="2">
        <f>T83-T85-T87-T89+T93+T97+T99</f>
        <v>13936.78</v>
      </c>
      <c r="V103" s="2">
        <f>V83-V85-V87-V89+V93+V97+V99</f>
        <v>13936.78</v>
      </c>
      <c r="X103" s="2">
        <f>X83-X85-X87-X89+X93+X97+X99</f>
        <v>602334.74959999998</v>
      </c>
      <c r="Y103" s="2"/>
      <c r="Z103" s="2">
        <f>Z83-Z85-Z87-Z89+Z93+Z97+Z99</f>
        <v>13936.78</v>
      </c>
      <c r="AA103" s="2"/>
      <c r="AB103" s="2"/>
    </row>
    <row r="104" spans="1:28" x14ac:dyDescent="0.2">
      <c r="C104" s="4"/>
      <c r="D104" s="2"/>
      <c r="E104" s="2"/>
      <c r="F104" s="2">
        <f>(6968.39*2)-F103</f>
        <v>0</v>
      </c>
      <c r="G104" s="2"/>
      <c r="H104" s="2">
        <f>(6968.39*2)-H103</f>
        <v>0</v>
      </c>
      <c r="I104" s="2"/>
      <c r="J104" s="2"/>
      <c r="K104" s="2"/>
      <c r="L104" s="2"/>
      <c r="M104" s="2"/>
      <c r="N104" s="2"/>
      <c r="O104" s="2"/>
      <c r="P104" s="2"/>
      <c r="Y104" s="2"/>
      <c r="Z104" s="2"/>
      <c r="AA104" s="2"/>
      <c r="AB104" s="2"/>
    </row>
    <row r="105" spans="1:28" x14ac:dyDescent="0.2">
      <c r="A105" s="5" t="s">
        <v>62</v>
      </c>
      <c r="B105" s="5"/>
      <c r="C105" s="5"/>
      <c r="D105" s="7"/>
      <c r="E105" s="7"/>
      <c r="F105" s="7">
        <f>D103+F103+F91</f>
        <v>657310.76</v>
      </c>
      <c r="G105" s="7"/>
      <c r="H105" s="7">
        <f>F105+H103+H91</f>
        <v>671304.70000000007</v>
      </c>
      <c r="I105" s="7"/>
      <c r="J105" s="7">
        <f>H105+J103+J91</f>
        <v>685298.64000000013</v>
      </c>
      <c r="K105" s="7"/>
      <c r="L105" s="7">
        <f>J105+L103</f>
        <v>699235.42000000016</v>
      </c>
      <c r="M105" s="7"/>
      <c r="N105" s="7">
        <f>L105+N103</f>
        <v>713172.20000000019</v>
      </c>
      <c r="O105" s="7"/>
      <c r="P105" s="7">
        <f>N105+P103</f>
        <v>920796.58000000019</v>
      </c>
      <c r="R105" s="7">
        <f>P105+R103</f>
        <v>934733.36000000022</v>
      </c>
      <c r="T105" s="7">
        <f>R105+T103</f>
        <v>948670.14000000025</v>
      </c>
      <c r="V105" s="7">
        <f>T105+V103</f>
        <v>962606.92000000027</v>
      </c>
      <c r="X105" s="7">
        <f>V105+X103</f>
        <v>1564941.6696000001</v>
      </c>
      <c r="Y105" s="2"/>
      <c r="Z105" s="7">
        <f>X105+Z103</f>
        <v>1578878.4496000002</v>
      </c>
      <c r="AA105" s="17">
        <v>0.375</v>
      </c>
      <c r="AB105" s="2">
        <f>Z105*AA105</f>
        <v>592079.41860000009</v>
      </c>
    </row>
    <row r="106" spans="1:28" x14ac:dyDescent="0.2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X106" s="2"/>
      <c r="Y106" s="2"/>
      <c r="Z106" s="2"/>
      <c r="AA106" s="16"/>
      <c r="AB106" s="2">
        <f>AB105-Z110</f>
        <v>151543.28860000015</v>
      </c>
    </row>
    <row r="107" spans="1:28" x14ac:dyDescent="0.2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X107" s="2"/>
      <c r="Y107" s="2"/>
      <c r="Z107" s="2"/>
      <c r="AA107" s="2"/>
      <c r="AB107" s="2"/>
    </row>
    <row r="108" spans="1:28" x14ac:dyDescent="0.2">
      <c r="A108" t="s">
        <v>32</v>
      </c>
      <c r="D108" s="2">
        <f>(2106.06+2106.06)+D69</f>
        <v>180001.44</v>
      </c>
      <c r="F108" s="2">
        <f>(2106.06+2106.06)+F69</f>
        <v>4212.12</v>
      </c>
      <c r="H108" s="2">
        <f>1746.54+1746.55</f>
        <v>3493.09</v>
      </c>
      <c r="J108" s="2">
        <f>1746.54+1746.55</f>
        <v>3493.09</v>
      </c>
      <c r="L108" s="2">
        <f>1746.54+1746.55+J69</f>
        <v>3493.09</v>
      </c>
      <c r="N108" s="2">
        <f>1746.54+1746.55</f>
        <v>3493.09</v>
      </c>
      <c r="P108" s="2">
        <f>1746.54+1746.54+P69</f>
        <v>57725.61</v>
      </c>
      <c r="R108" s="2">
        <f>1746.54+1746.54</f>
        <v>3493.08</v>
      </c>
      <c r="T108" s="2">
        <f>1746.54+1746.54</f>
        <v>3493.08</v>
      </c>
      <c r="V108" s="2">
        <f>1746.54+1746.54</f>
        <v>3493.08</v>
      </c>
      <c r="X108" s="2">
        <f>2118.54+2118.54+X69+919.77</f>
        <v>169908.27999999997</v>
      </c>
      <c r="Y108" s="2"/>
      <c r="Z108" s="2">
        <f>2118.54+2118.54</f>
        <v>4237.08</v>
      </c>
      <c r="AA108" s="2"/>
      <c r="AB108" s="2"/>
    </row>
    <row r="109" spans="1:28" x14ac:dyDescent="0.2">
      <c r="F109" s="4"/>
      <c r="X109" s="2"/>
      <c r="Y109" s="2"/>
      <c r="Z109" s="2"/>
      <c r="AA109" s="2"/>
      <c r="AB109" s="2"/>
    </row>
    <row r="110" spans="1:28" x14ac:dyDescent="0.2">
      <c r="A110" s="5" t="s">
        <v>47</v>
      </c>
      <c r="B110" s="5"/>
      <c r="C110" s="5"/>
      <c r="D110" s="5"/>
      <c r="E110" s="5"/>
      <c r="F110" s="6">
        <f>D108+F108</f>
        <v>184213.56</v>
      </c>
      <c r="G110" s="5"/>
      <c r="H110" s="6">
        <f>H108+F110</f>
        <v>187706.65</v>
      </c>
      <c r="J110" s="6">
        <f>J108+H110</f>
        <v>191199.74</v>
      </c>
      <c r="L110" s="6">
        <f>L108+J110</f>
        <v>194692.83</v>
      </c>
      <c r="N110" s="6">
        <f>N108+L110</f>
        <v>198185.91999999998</v>
      </c>
      <c r="P110" s="6">
        <f>P108+N110</f>
        <v>255911.52999999997</v>
      </c>
      <c r="R110" s="6">
        <f>R108+P110</f>
        <v>259404.60999999996</v>
      </c>
      <c r="T110" s="6">
        <f>T108+R110</f>
        <v>262897.68999999994</v>
      </c>
      <c r="V110" s="6">
        <f>V108+T110</f>
        <v>266390.76999999996</v>
      </c>
      <c r="X110" s="6">
        <f>X108+V110</f>
        <v>436299.04999999993</v>
      </c>
      <c r="Y110" s="2"/>
      <c r="Z110" s="6">
        <f>Z108+X110</f>
        <v>440536.12999999995</v>
      </c>
      <c r="AA110" s="2"/>
      <c r="AB110" s="2"/>
    </row>
    <row r="111" spans="1:28" x14ac:dyDescent="0.2">
      <c r="F111" s="4"/>
      <c r="Y111" s="2"/>
      <c r="Z111" s="2"/>
      <c r="AA111" s="2"/>
      <c r="AB111" s="2"/>
    </row>
    <row r="112" spans="1:28" x14ac:dyDescent="0.2">
      <c r="A112" t="s">
        <v>39</v>
      </c>
      <c r="D112" s="2">
        <f>(107.62*2)+D71</f>
        <v>9318.619999999999</v>
      </c>
      <c r="F112" s="2">
        <f>(107.62*2)+F71+7250</f>
        <v>7465.24</v>
      </c>
      <c r="H112" s="2">
        <f>89.23+89.23</f>
        <v>178.46</v>
      </c>
      <c r="J112" s="2">
        <f>89.23+89.23</f>
        <v>178.46</v>
      </c>
      <c r="L112" s="2">
        <f>89.23+89.23+J71</f>
        <v>178.46</v>
      </c>
      <c r="N112" s="2">
        <f>89.23+89.23</f>
        <v>178.46</v>
      </c>
      <c r="P112" s="2">
        <f>89.23+89.23+P71</f>
        <v>2986.93</v>
      </c>
      <c r="R112" s="2">
        <f>89.23+89.23</f>
        <v>178.46</v>
      </c>
      <c r="T112" s="2">
        <f>89.23+89.23</f>
        <v>178.46</v>
      </c>
      <c r="V112" s="2">
        <f>89.24+89.23</f>
        <v>178.47</v>
      </c>
      <c r="X112" s="2">
        <f>107.36+107.36+X71+72.5</f>
        <v>8818.99</v>
      </c>
      <c r="Y112" s="2"/>
      <c r="Z112" s="2">
        <f>107.36+107.36</f>
        <v>214.72</v>
      </c>
      <c r="AA112" s="2"/>
      <c r="AB112" s="2"/>
    </row>
    <row r="113" spans="1:28" x14ac:dyDescent="0.2">
      <c r="Y113" s="2"/>
      <c r="Z113" s="2"/>
      <c r="AA113" s="2"/>
      <c r="AB113" s="2"/>
    </row>
    <row r="114" spans="1:28" x14ac:dyDescent="0.2">
      <c r="A114" s="5" t="s">
        <v>48</v>
      </c>
      <c r="B114" s="5"/>
      <c r="C114" s="5"/>
      <c r="D114" s="5"/>
      <c r="E114" s="5"/>
      <c r="F114" s="6">
        <f>F112+D112</f>
        <v>16783.86</v>
      </c>
      <c r="G114" s="5"/>
      <c r="H114" s="6">
        <f>H112+F114</f>
        <v>16962.32</v>
      </c>
      <c r="J114" s="6">
        <f>J112+H114</f>
        <v>17140.78</v>
      </c>
      <c r="L114" s="6">
        <f>L112+J114</f>
        <v>17319.239999999998</v>
      </c>
      <c r="N114" s="6">
        <f>N112+L114</f>
        <v>17497.699999999997</v>
      </c>
      <c r="P114" s="6">
        <f>P112+N114</f>
        <v>20484.629999999997</v>
      </c>
      <c r="R114" s="6">
        <f>R112+P114</f>
        <v>20663.089999999997</v>
      </c>
      <c r="T114" s="6">
        <f>T112+R114</f>
        <v>20841.549999999996</v>
      </c>
      <c r="V114" s="6">
        <f>V112+T114</f>
        <v>21020.019999999997</v>
      </c>
      <c r="X114" s="6">
        <f>X112+V114</f>
        <v>29839.009999999995</v>
      </c>
      <c r="Y114" s="2"/>
      <c r="Z114" s="6">
        <f>Z112+X114</f>
        <v>30053.729999999996</v>
      </c>
      <c r="AA114" s="2"/>
      <c r="AB114" s="2"/>
    </row>
    <row r="115" spans="1:28" x14ac:dyDescent="0.2">
      <c r="Y115" s="2"/>
      <c r="Z115" s="2"/>
      <c r="AA115" s="2"/>
      <c r="AB115" s="2"/>
    </row>
    <row r="116" spans="1:28" x14ac:dyDescent="0.2">
      <c r="A116" t="s">
        <v>34</v>
      </c>
      <c r="D116" s="2">
        <f>(D73)</f>
        <v>4984.8</v>
      </c>
      <c r="F116" s="2">
        <v>0</v>
      </c>
      <c r="H116">
        <v>0</v>
      </c>
      <c r="J116">
        <v>0</v>
      </c>
      <c r="L116">
        <v>0</v>
      </c>
      <c r="N116">
        <v>0</v>
      </c>
      <c r="P116">
        <v>0</v>
      </c>
      <c r="R116">
        <v>0</v>
      </c>
      <c r="T116">
        <v>0</v>
      </c>
      <c r="V116">
        <v>0</v>
      </c>
      <c r="X116">
        <v>0</v>
      </c>
      <c r="Y116" s="2"/>
      <c r="Z116">
        <v>0</v>
      </c>
      <c r="AA116" s="2"/>
      <c r="AB116" s="2"/>
    </row>
    <row r="117" spans="1:28" x14ac:dyDescent="0.2">
      <c r="Y117" s="2"/>
      <c r="AA117" s="2"/>
      <c r="AB117" s="2"/>
    </row>
    <row r="118" spans="1:28" x14ac:dyDescent="0.2">
      <c r="A118" s="5" t="s">
        <v>49</v>
      </c>
      <c r="B118" s="5"/>
      <c r="C118" s="5"/>
      <c r="D118" s="5"/>
      <c r="E118" s="5"/>
      <c r="F118" s="6">
        <f>F116+D116</f>
        <v>4984.8</v>
      </c>
      <c r="G118" s="5"/>
      <c r="H118" s="6">
        <f>F118+H116</f>
        <v>4984.8</v>
      </c>
      <c r="J118" s="6">
        <f>H118+J116</f>
        <v>4984.8</v>
      </c>
      <c r="L118" s="6">
        <f>J118+L116</f>
        <v>4984.8</v>
      </c>
      <c r="N118" s="6">
        <f>L118+N116</f>
        <v>4984.8</v>
      </c>
      <c r="P118" s="6">
        <f>N118+P116</f>
        <v>4984.8</v>
      </c>
      <c r="R118" s="6">
        <f>P118+R116</f>
        <v>4984.8</v>
      </c>
      <c r="T118" s="6">
        <f>R118+T116</f>
        <v>4984.8</v>
      </c>
      <c r="V118" s="6">
        <f>T118+V116</f>
        <v>4984.8</v>
      </c>
      <c r="X118" s="6">
        <f>V118+X116</f>
        <v>4984.8</v>
      </c>
      <c r="Y118" s="2"/>
      <c r="Z118" s="6">
        <f>X118+Z116</f>
        <v>4984.8</v>
      </c>
      <c r="AA118" s="2"/>
      <c r="AB118" s="2"/>
    </row>
    <row r="120" spans="1:28" x14ac:dyDescent="0.2">
      <c r="A120" t="s">
        <v>65</v>
      </c>
      <c r="D120" s="4">
        <f>D108+D112+D116</f>
        <v>194304.86</v>
      </c>
    </row>
    <row r="122" spans="1:28" x14ac:dyDescent="0.2">
      <c r="A122" s="5" t="s">
        <v>58</v>
      </c>
      <c r="B122" s="5"/>
      <c r="C122" s="5"/>
      <c r="D122" s="4">
        <f>(D65-(D67+D75))+D83+D91</f>
        <v>641622.02000000014</v>
      </c>
      <c r="X122" s="4"/>
      <c r="Z122" s="4"/>
    </row>
    <row r="123" spans="1:28" x14ac:dyDescent="0.2">
      <c r="A123" s="5"/>
      <c r="B123" s="5"/>
      <c r="C123" s="5"/>
      <c r="X123" s="2"/>
      <c r="Z123" s="2"/>
    </row>
    <row r="124" spans="1:28" ht="13.5" customHeight="1" x14ac:dyDescent="0.2">
      <c r="A124" s="5" t="s">
        <v>59</v>
      </c>
      <c r="B124" s="5"/>
      <c r="C124" s="5"/>
      <c r="X124" s="4"/>
      <c r="Z124" s="4"/>
    </row>
    <row r="125" spans="1:28" ht="12.75" customHeight="1" x14ac:dyDescent="0.35">
      <c r="A125" s="5"/>
      <c r="B125" s="5"/>
      <c r="C125" s="5"/>
      <c r="X125" s="8"/>
      <c r="Z125" s="8"/>
    </row>
    <row r="126" spans="1:28" x14ac:dyDescent="0.2">
      <c r="A126" s="5" t="s">
        <v>60</v>
      </c>
      <c r="B126" s="5"/>
      <c r="C126" s="5"/>
    </row>
    <row r="127" spans="1:28" x14ac:dyDescent="0.2">
      <c r="X127" s="6"/>
      <c r="Y127" s="2"/>
      <c r="Z127" s="6"/>
    </row>
    <row r="128" spans="1:28" x14ac:dyDescent="0.2">
      <c r="X128" s="2"/>
      <c r="Z128" s="2"/>
    </row>
    <row r="129" spans="1:30" ht="17.25" x14ac:dyDescent="0.35">
      <c r="X129" s="8"/>
      <c r="Z129" s="8"/>
      <c r="AD129" s="4"/>
    </row>
    <row r="131" spans="1:30" x14ac:dyDescent="0.2">
      <c r="X131" s="6"/>
      <c r="Z131" s="6"/>
    </row>
    <row r="132" spans="1:30" x14ac:dyDescent="0.2">
      <c r="X132" s="2"/>
      <c r="Z132" s="2"/>
    </row>
    <row r="133" spans="1:30" ht="17.25" x14ac:dyDescent="0.35">
      <c r="J133" t="s">
        <v>71</v>
      </c>
      <c r="X133" s="8"/>
      <c r="Z133" s="8"/>
    </row>
    <row r="135" spans="1:30" x14ac:dyDescent="0.2">
      <c r="D135" s="1">
        <v>36892</v>
      </c>
      <c r="F135" s="1">
        <v>36923</v>
      </c>
      <c r="H135" s="1">
        <v>36951</v>
      </c>
      <c r="J135" s="1">
        <v>36982</v>
      </c>
      <c r="L135" s="1">
        <v>37012</v>
      </c>
      <c r="N135" s="1">
        <v>37043</v>
      </c>
      <c r="P135" s="1">
        <v>37073</v>
      </c>
      <c r="R135" s="1">
        <v>37104</v>
      </c>
      <c r="T135" s="1">
        <v>37135</v>
      </c>
      <c r="V135" s="1">
        <v>37165</v>
      </c>
      <c r="X135" s="1">
        <v>37196</v>
      </c>
      <c r="Z135" s="1">
        <v>37226</v>
      </c>
    </row>
    <row r="136" spans="1:30" x14ac:dyDescent="0.2">
      <c r="A136" t="s">
        <v>66</v>
      </c>
      <c r="D136" s="2">
        <f>635567.91+7748.91</f>
        <v>643316.82000000007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30" x14ac:dyDescent="0.2">
      <c r="A137" t="s">
        <v>64</v>
      </c>
      <c r="D137" s="2">
        <f>751.94+751.94</f>
        <v>1503.88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30" x14ac:dyDescent="0.2">
      <c r="A138" t="s">
        <v>67</v>
      </c>
      <c r="D138" s="2">
        <f>192091.17+2213.68</f>
        <v>194304.85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30" x14ac:dyDescent="0.2">
      <c r="A139" t="s">
        <v>68</v>
      </c>
      <c r="D139" s="2">
        <f>774.17+774.17</f>
        <v>1548.34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30" x14ac:dyDescent="0.2">
      <c r="A140" t="s">
        <v>69</v>
      </c>
      <c r="D140" s="2">
        <f>3980.55+3980.54</f>
        <v>7961.09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30" x14ac:dyDescent="0.2">
      <c r="A141" t="s">
        <v>70</v>
      </c>
      <c r="D141" s="2">
        <f>D136-D137</f>
        <v>641812.94000000006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3" spans="1:30" x14ac:dyDescent="0.2">
      <c r="J143" t="s">
        <v>72</v>
      </c>
    </row>
    <row r="145" spans="1:26" x14ac:dyDescent="0.2">
      <c r="D145" s="1">
        <v>36892</v>
      </c>
      <c r="F145" s="1">
        <v>36923</v>
      </c>
      <c r="H145" s="1">
        <v>36951</v>
      </c>
      <c r="J145" s="1">
        <v>36982</v>
      </c>
      <c r="L145" s="1">
        <v>37012</v>
      </c>
      <c r="N145" s="1">
        <v>37043</v>
      </c>
      <c r="P145" s="1">
        <v>37073</v>
      </c>
      <c r="R145" s="1">
        <v>37104</v>
      </c>
      <c r="T145" s="1">
        <v>37135</v>
      </c>
      <c r="V145" s="1">
        <v>37165</v>
      </c>
      <c r="X145" s="1">
        <v>37196</v>
      </c>
      <c r="Z145" s="1">
        <v>37226</v>
      </c>
    </row>
    <row r="146" spans="1:26" x14ac:dyDescent="0.2">
      <c r="A146" t="s">
        <v>66</v>
      </c>
    </row>
    <row r="147" spans="1:26" x14ac:dyDescent="0.2">
      <c r="A147" t="s">
        <v>64</v>
      </c>
    </row>
    <row r="148" spans="1:26" x14ac:dyDescent="0.2">
      <c r="A148" t="s">
        <v>67</v>
      </c>
    </row>
    <row r="149" spans="1:26" x14ac:dyDescent="0.2">
      <c r="A149" t="s">
        <v>68</v>
      </c>
    </row>
    <row r="150" spans="1:26" x14ac:dyDescent="0.2">
      <c r="A150" t="s">
        <v>69</v>
      </c>
    </row>
    <row r="151" spans="1:26" x14ac:dyDescent="0.2">
      <c r="A151" t="s">
        <v>70</v>
      </c>
    </row>
  </sheetData>
  <phoneticPr fontId="0" type="noConversion"/>
  <pageMargins left="0" right="0" top="0" bottom="0" header="0.5" footer="0.5"/>
  <pageSetup scale="6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 Martin</dc:creator>
  <cp:lastModifiedBy>Jan Havlíček</cp:lastModifiedBy>
  <cp:lastPrinted>2002-01-14T02:09:14Z</cp:lastPrinted>
  <dcterms:created xsi:type="dcterms:W3CDTF">2001-04-13T20:53:21Z</dcterms:created>
  <dcterms:modified xsi:type="dcterms:W3CDTF">2023-09-13T17:11:37Z</dcterms:modified>
</cp:coreProperties>
</file>