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EB74F6-8B20-4BF0-97A6-83F136B8C38E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Liquidity Forecast NPW" sheetId="1" r:id="rId1"/>
    <sheet name="Daily NPW" sheetId="7" r:id="rId2"/>
  </sheets>
  <definedNames>
    <definedName name="_xlnm.Print_Area" localSheetId="1">'Daily NPW'!$B$1:$BN$175</definedName>
    <definedName name="_xlnm.Print_Area" localSheetId="0">'Liquidity Forecast NPW'!$A:$V</definedName>
    <definedName name="_xlnm.Print_Titles" localSheetId="1">'Daily NPW'!$A:$A</definedName>
  </definedNames>
  <calcPr calcId="0" fullCalcOnLoad="1"/>
</workbook>
</file>

<file path=xl/calcChain.xml><?xml version="1.0" encoding="utf-8"?>
<calcChain xmlns="http://schemas.openxmlformats.org/spreadsheetml/2006/main">
  <c r="B12" i="7" l="1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K13" i="7"/>
  <c r="P13" i="7"/>
  <c r="U13" i="7"/>
  <c r="X13" i="7"/>
  <c r="AT13" i="7"/>
  <c r="BN13" i="7"/>
  <c r="X14" i="7"/>
  <c r="AT14" i="7"/>
  <c r="BN14" i="7"/>
  <c r="X15" i="7"/>
  <c r="AT15" i="7"/>
  <c r="BN15" i="7"/>
  <c r="C16" i="7"/>
  <c r="X16" i="7"/>
  <c r="AT16" i="7"/>
  <c r="BN16" i="7"/>
  <c r="X17" i="7"/>
  <c r="AT17" i="7"/>
  <c r="BN17" i="7"/>
  <c r="X18" i="7"/>
  <c r="AT18" i="7"/>
  <c r="BN18" i="7"/>
  <c r="X19" i="7"/>
  <c r="AT19" i="7"/>
  <c r="BN19" i="7"/>
  <c r="X20" i="7"/>
  <c r="AC20" i="7"/>
  <c r="AQ20" i="7"/>
  <c r="AT20" i="7"/>
  <c r="BN20" i="7"/>
  <c r="X21" i="7"/>
  <c r="AT21" i="7"/>
  <c r="BN21" i="7"/>
  <c r="X22" i="7"/>
  <c r="AT22" i="7"/>
  <c r="BN22" i="7"/>
  <c r="E23" i="7"/>
  <c r="X23" i="7"/>
  <c r="AT23" i="7"/>
  <c r="BN23" i="7"/>
  <c r="X24" i="7"/>
  <c r="AT24" i="7"/>
  <c r="BN24" i="7"/>
  <c r="X25" i="7"/>
  <c r="AT25" i="7"/>
  <c r="BN25" i="7"/>
  <c r="C26" i="7"/>
  <c r="X26" i="7"/>
  <c r="AT26" i="7"/>
  <c r="BN26" i="7"/>
  <c r="X27" i="7"/>
  <c r="AT27" i="7"/>
  <c r="BN27" i="7"/>
  <c r="X28" i="7"/>
  <c r="AT28" i="7"/>
  <c r="BN28" i="7"/>
  <c r="X29" i="7"/>
  <c r="AT29" i="7"/>
  <c r="BN29" i="7"/>
  <c r="X30" i="7"/>
  <c r="AT30" i="7"/>
  <c r="BN30" i="7"/>
  <c r="X31" i="7"/>
  <c r="AT31" i="7"/>
  <c r="BN31" i="7"/>
  <c r="X32" i="7"/>
  <c r="AT32" i="7"/>
  <c r="BN32" i="7"/>
  <c r="X33" i="7"/>
  <c r="AT33" i="7"/>
  <c r="BN33" i="7"/>
  <c r="X40" i="7"/>
  <c r="AT40" i="7"/>
  <c r="BN40" i="7"/>
  <c r="X41" i="7"/>
  <c r="AT41" i="7"/>
  <c r="BN41" i="7"/>
  <c r="X42" i="7"/>
  <c r="AT42" i="7"/>
  <c r="BN42" i="7"/>
  <c r="X43" i="7"/>
  <c r="AT43" i="7"/>
  <c r="BN43" i="7"/>
  <c r="X44" i="7"/>
  <c r="AT44" i="7"/>
  <c r="BN44" i="7"/>
  <c r="X45" i="7"/>
  <c r="AT45" i="7"/>
  <c r="BN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E49" i="7"/>
  <c r="X49" i="7"/>
  <c r="AT49" i="7"/>
  <c r="BN49" i="7"/>
  <c r="X50" i="7"/>
  <c r="AT50" i="7"/>
  <c r="BN50" i="7"/>
  <c r="B51" i="7"/>
  <c r="C51" i="7"/>
  <c r="D51" i="7"/>
  <c r="E51" i="7"/>
  <c r="F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X52" i="7"/>
  <c r="AL52" i="7"/>
  <c r="AT52" i="7"/>
  <c r="BH52" i="7"/>
  <c r="BN52" i="7"/>
  <c r="X53" i="7"/>
  <c r="AT53" i="7"/>
  <c r="BN53" i="7"/>
  <c r="X54" i="7"/>
  <c r="AT54" i="7"/>
  <c r="BN54" i="7"/>
  <c r="X55" i="7"/>
  <c r="AT55" i="7"/>
  <c r="BN55" i="7"/>
  <c r="X56" i="7"/>
  <c r="AT56" i="7"/>
  <c r="BN56" i="7"/>
  <c r="X57" i="7"/>
  <c r="AT57" i="7"/>
  <c r="BN57" i="7"/>
  <c r="X58" i="7"/>
  <c r="AT58" i="7"/>
  <c r="BN58" i="7"/>
  <c r="X59" i="7"/>
  <c r="AT59" i="7"/>
  <c r="BN59" i="7"/>
  <c r="X60" i="7"/>
  <c r="AT60" i="7"/>
  <c r="BN60" i="7"/>
  <c r="X61" i="7"/>
  <c r="AT61" i="7"/>
  <c r="BN61" i="7"/>
  <c r="X62" i="7"/>
  <c r="AT62" i="7"/>
  <c r="BN62" i="7"/>
  <c r="X63" i="7"/>
  <c r="AT63" i="7"/>
  <c r="BN63" i="7"/>
  <c r="X64" i="7"/>
  <c r="AT64" i="7"/>
  <c r="BN64" i="7"/>
  <c r="X65" i="7"/>
  <c r="AT65" i="7"/>
  <c r="BN65" i="7"/>
  <c r="X66" i="7"/>
  <c r="AT66" i="7"/>
  <c r="BN66" i="7"/>
  <c r="X67" i="7"/>
  <c r="AT67" i="7"/>
  <c r="BN67" i="7"/>
  <c r="X68" i="7"/>
  <c r="AT68" i="7"/>
  <c r="AZ68" i="7"/>
  <c r="BN68" i="7"/>
  <c r="X69" i="7"/>
  <c r="AT69" i="7"/>
  <c r="BN69" i="7"/>
  <c r="X70" i="7"/>
  <c r="AT70" i="7"/>
  <c r="BN70" i="7"/>
  <c r="S71" i="7"/>
  <c r="X71" i="7"/>
  <c r="AT71" i="7"/>
  <c r="BK71" i="7"/>
  <c r="BN71" i="7"/>
  <c r="X72" i="7"/>
  <c r="AT72" i="7"/>
  <c r="BN72" i="7"/>
  <c r="X73" i="7"/>
  <c r="AT73" i="7"/>
  <c r="BN73" i="7"/>
  <c r="X74" i="7"/>
  <c r="AT74" i="7"/>
  <c r="BN74" i="7"/>
  <c r="X75" i="7"/>
  <c r="AT75" i="7"/>
  <c r="BN75" i="7"/>
  <c r="X76" i="7"/>
  <c r="AT76" i="7"/>
  <c r="BN76" i="7"/>
  <c r="X77" i="7"/>
  <c r="AT77" i="7"/>
  <c r="BN77" i="7"/>
  <c r="X78" i="7"/>
  <c r="AT78" i="7"/>
  <c r="BN78" i="7"/>
  <c r="X79" i="7"/>
  <c r="AT79" i="7"/>
  <c r="BN79" i="7"/>
  <c r="X80" i="7"/>
  <c r="AT80" i="7"/>
  <c r="BN80" i="7"/>
  <c r="X81" i="7"/>
  <c r="AT81" i="7"/>
  <c r="BN81" i="7"/>
  <c r="X82" i="7"/>
  <c r="AT82" i="7"/>
  <c r="BN82" i="7"/>
  <c r="X83" i="7"/>
  <c r="AT83" i="7"/>
  <c r="BN83" i="7"/>
  <c r="X84" i="7"/>
  <c r="AT84" i="7"/>
  <c r="BN84" i="7"/>
  <c r="X85" i="7"/>
  <c r="AT85" i="7"/>
  <c r="BN85" i="7"/>
  <c r="X86" i="7"/>
  <c r="AT86" i="7"/>
  <c r="BN86" i="7"/>
  <c r="X87" i="7"/>
  <c r="AT87" i="7"/>
  <c r="BN87" i="7"/>
  <c r="X88" i="7"/>
  <c r="AT88" i="7"/>
  <c r="BN88" i="7"/>
  <c r="X89" i="7"/>
  <c r="AT89" i="7"/>
  <c r="BN89" i="7"/>
  <c r="X90" i="7"/>
  <c r="AT90" i="7"/>
  <c r="BN90" i="7"/>
  <c r="X91" i="7"/>
  <c r="AT91" i="7"/>
  <c r="BN91" i="7"/>
  <c r="X92" i="7"/>
  <c r="AT92" i="7"/>
  <c r="BN92" i="7"/>
  <c r="X93" i="7"/>
  <c r="AT93" i="7"/>
  <c r="BN93" i="7"/>
  <c r="X94" i="7"/>
  <c r="AT94" i="7"/>
  <c r="BN94" i="7"/>
  <c r="X95" i="7"/>
  <c r="AT95" i="7"/>
  <c r="BN95" i="7"/>
  <c r="X96" i="7"/>
  <c r="AT96" i="7"/>
  <c r="BN96" i="7"/>
  <c r="X97" i="7"/>
  <c r="AT97" i="7"/>
  <c r="BN97" i="7"/>
  <c r="X98" i="7"/>
  <c r="AT98" i="7"/>
  <c r="BN98" i="7"/>
  <c r="X99" i="7"/>
  <c r="AT99" i="7"/>
  <c r="BJ99" i="7"/>
  <c r="BN99" i="7"/>
  <c r="X100" i="7"/>
  <c r="AT100" i="7"/>
  <c r="BN100" i="7"/>
  <c r="X101" i="7"/>
  <c r="AT101" i="7"/>
  <c r="BN101" i="7"/>
  <c r="X102" i="7"/>
  <c r="AT102" i="7"/>
  <c r="BN102" i="7"/>
  <c r="X103" i="7"/>
  <c r="AT103" i="7"/>
  <c r="BN103" i="7"/>
  <c r="X104" i="7"/>
  <c r="AT104" i="7"/>
  <c r="BN104" i="7"/>
  <c r="X105" i="7"/>
  <c r="AT105" i="7"/>
  <c r="BN105" i="7"/>
  <c r="X106" i="7"/>
  <c r="AT106" i="7"/>
  <c r="BN106" i="7"/>
  <c r="X107" i="7"/>
  <c r="AT107" i="7"/>
  <c r="BN107" i="7"/>
  <c r="X108" i="7"/>
  <c r="AT108" i="7"/>
  <c r="BN108" i="7"/>
  <c r="X109" i="7"/>
  <c r="AT109" i="7"/>
  <c r="BN109" i="7"/>
  <c r="X110" i="7"/>
  <c r="AT110" i="7"/>
  <c r="BN110" i="7"/>
  <c r="X111" i="7"/>
  <c r="AT111" i="7"/>
  <c r="BN111" i="7"/>
  <c r="X112" i="7"/>
  <c r="AT112" i="7"/>
  <c r="BN112" i="7"/>
  <c r="X113" i="7"/>
  <c r="AT113" i="7"/>
  <c r="BN113" i="7"/>
  <c r="X114" i="7"/>
  <c r="AT114" i="7"/>
  <c r="BN114" i="7"/>
  <c r="X115" i="7"/>
  <c r="AT115" i="7"/>
  <c r="BN115" i="7"/>
  <c r="X116" i="7"/>
  <c r="AT116" i="7"/>
  <c r="BN116" i="7"/>
  <c r="X117" i="7"/>
  <c r="AT117" i="7"/>
  <c r="BN117" i="7"/>
  <c r="X118" i="7"/>
  <c r="AT118" i="7"/>
  <c r="BN118" i="7"/>
  <c r="X119" i="7"/>
  <c r="AT119" i="7"/>
  <c r="BN119" i="7"/>
  <c r="X120" i="7"/>
  <c r="AT120" i="7"/>
  <c r="BN120" i="7"/>
  <c r="X121" i="7"/>
  <c r="AT121" i="7"/>
  <c r="BN121" i="7"/>
  <c r="X122" i="7"/>
  <c r="AT122" i="7"/>
  <c r="BN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Q147" i="7"/>
  <c r="AF147" i="7"/>
  <c r="AG147" i="7"/>
  <c r="AH147" i="7"/>
  <c r="AI147" i="7"/>
  <c r="AJ147" i="7"/>
  <c r="AK147" i="7"/>
  <c r="AL147" i="7"/>
  <c r="AM147" i="7"/>
  <c r="AN147" i="7"/>
  <c r="BI147" i="7"/>
  <c r="BJ147" i="7"/>
  <c r="BK147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F173" i="7"/>
  <c r="B179" i="7"/>
  <c r="B183" i="7"/>
  <c r="B184" i="7"/>
  <c r="B185" i="7"/>
  <c r="B192" i="7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8" i="1"/>
  <c r="J28" i="1"/>
  <c r="P28" i="1"/>
  <c r="U28" i="1"/>
  <c r="V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D34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D40" i="1"/>
  <c r="J40" i="1"/>
  <c r="P40" i="1"/>
  <c r="U40" i="1"/>
  <c r="V40" i="1"/>
  <c r="C42" i="1"/>
  <c r="D42" i="1"/>
  <c r="E42" i="1"/>
  <c r="J42" i="1"/>
  <c r="P42" i="1"/>
  <c r="U42" i="1"/>
  <c r="V42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D49" i="1"/>
  <c r="E49" i="1"/>
  <c r="F49" i="1"/>
  <c r="G49" i="1"/>
  <c r="H49" i="1"/>
  <c r="I49" i="1"/>
  <c r="J49" i="1"/>
  <c r="J60" i="1"/>
  <c r="P60" i="1"/>
  <c r="V60" i="1"/>
  <c r="D69" i="1"/>
  <c r="D74" i="1"/>
  <c r="D82" i="1"/>
</calcChain>
</file>

<file path=xl/comments1.xml><?xml version="1.0" encoding="utf-8"?>
<comments xmlns="http://schemas.openxmlformats.org/spreadsheetml/2006/main">
  <authors>
    <author>slawrenc</author>
  </authors>
  <commentList>
    <comment ref="H9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rounding
</t>
        </r>
      </text>
    </comment>
    <comment ref="V2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rounding
</t>
        </r>
      </text>
    </comment>
  </commentList>
</comments>
</file>

<file path=xl/comments2.xml><?xml version="1.0" encoding="utf-8"?>
<comments xmlns="http://schemas.openxmlformats.org/spreadsheetml/2006/main">
  <authors>
    <author>slawrenc</author>
  </authors>
  <commentList>
    <comment ref="C16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east ohio imbalance used
include in GAS COGS 
second close
</t>
        </r>
      </text>
    </comment>
    <comment ref="A2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only CES/LDC
 NPW is responsible for billing directly</t>
        </r>
      </text>
    </comment>
    <comment ref="E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F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escrow interest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AY45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enron interest
</t>
        </r>
      </text>
    </comment>
    <comment ref="A5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kw/mw hrs
</t>
        </r>
      </text>
    </comment>
    <comment ref="A71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mmbtu</t>
        </r>
      </text>
    </comment>
    <comment ref="AL8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Transportation and storage all counterparties net of AGL flow thru
</t>
        </r>
      </text>
    </comment>
    <comment ref="A99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billing &amp; storage fees ultimately passed back to customer </t>
        </r>
      </text>
    </comment>
    <comment ref="A108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625K 1st day ofeach quarter
</t>
        </r>
      </text>
    </comment>
    <comment ref="R111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NJN
</t>
        </r>
      </text>
    </comment>
    <comment ref="B113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snj
</t>
        </r>
      </text>
    </comment>
    <comment ref="G113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First Energy
</t>
        </r>
      </text>
    </comment>
    <comment ref="E114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People Dominion
</t>
        </r>
      </text>
    </comment>
    <comment ref="E118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GA
</t>
        </r>
      </text>
    </comment>
    <comment ref="J122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Coral
</t>
        </r>
      </text>
    </comment>
    <comment ref="AZ130" authorId="0" shapeId="0">
      <text>
        <r>
          <rPr>
            <b/>
            <sz val="8"/>
            <color indexed="81"/>
            <rFont val="Tahoma"/>
          </rPr>
          <t>slawrenc:</t>
        </r>
        <r>
          <rPr>
            <sz val="8"/>
            <color indexed="81"/>
            <rFont val="Tahoma"/>
          </rPr>
          <t xml:space="preserve">
return of PECO escrow
</t>
        </r>
      </text>
    </comment>
  </commentList>
</comments>
</file>

<file path=xl/sharedStrings.xml><?xml version="1.0" encoding="utf-8"?>
<sst xmlns="http://schemas.openxmlformats.org/spreadsheetml/2006/main" count="517" uniqueCount="228">
  <si>
    <t>NewPower</t>
  </si>
  <si>
    <t>IBM</t>
  </si>
  <si>
    <t>Construction</t>
  </si>
  <si>
    <t>Collateral</t>
  </si>
  <si>
    <t>T&amp;E</t>
  </si>
  <si>
    <t>State Tax Payments</t>
  </si>
  <si>
    <t>Payroll</t>
  </si>
  <si>
    <t>Total Payments</t>
  </si>
  <si>
    <t>October</t>
  </si>
  <si>
    <t>($ in Millions)</t>
  </si>
  <si>
    <t>9/14/01 Liquidity Balance</t>
  </si>
  <si>
    <t>Total</t>
  </si>
  <si>
    <t>Cash Flow Forecast</t>
  </si>
  <si>
    <t>Payments</t>
  </si>
  <si>
    <t xml:space="preserve">Commodity </t>
  </si>
  <si>
    <t>Receipts</t>
  </si>
  <si>
    <t>Forecasted Period End Liquidity</t>
  </si>
  <si>
    <t>Customer Revenues</t>
  </si>
  <si>
    <t>9/17-9/21</t>
  </si>
  <si>
    <t>9/24-9/28</t>
  </si>
  <si>
    <t>Inflows:</t>
  </si>
  <si>
    <t xml:space="preserve">  PECO/PSEG</t>
  </si>
  <si>
    <t xml:space="preserve">  CES</t>
  </si>
  <si>
    <t xml:space="preserve">    - Columbia Energy Services</t>
  </si>
  <si>
    <t xml:space="preserve">    - Columbia Energy of Ohio</t>
  </si>
  <si>
    <t xml:space="preserve">    - Columbia Gas of Pennsylvania</t>
  </si>
  <si>
    <t xml:space="preserve">    - Columbia Gas of Maryland</t>
  </si>
  <si>
    <t xml:space="preserve">    - Columbia Gas of Virginia</t>
  </si>
  <si>
    <t xml:space="preserve">    - Atlanta Gas Light</t>
  </si>
  <si>
    <t xml:space="preserve">    - Baltimore Gas &amp; Electric</t>
  </si>
  <si>
    <t xml:space="preserve">    - NIPSCO (N. Indiana)</t>
  </si>
  <si>
    <t xml:space="preserve">    - NJ Natural</t>
  </si>
  <si>
    <t xml:space="preserve">    - Michigan Cons</t>
  </si>
  <si>
    <t xml:space="preserve">    - Titan (AES)</t>
  </si>
  <si>
    <t xml:space="preserve">    - Washington Gas Light</t>
  </si>
  <si>
    <t xml:space="preserve"> Energy USA</t>
  </si>
  <si>
    <t xml:space="preserve"> Reliant</t>
  </si>
  <si>
    <t xml:space="preserve"> East Ohio</t>
  </si>
  <si>
    <t xml:space="preserve"> CoEnergy</t>
  </si>
  <si>
    <t xml:space="preserve"> Columbus Southern Power</t>
  </si>
  <si>
    <t>Financial Transaction Settlements:</t>
  </si>
  <si>
    <t xml:space="preserve">  Electricity</t>
  </si>
  <si>
    <t xml:space="preserve">     Enron(EES)</t>
  </si>
  <si>
    <t xml:space="preserve">     Enron (ENA)</t>
  </si>
  <si>
    <t xml:space="preserve">     EPMI</t>
  </si>
  <si>
    <t xml:space="preserve">  Gas</t>
  </si>
  <si>
    <t xml:space="preserve">     Enron (ENA) - Basis Swaps</t>
  </si>
  <si>
    <t xml:space="preserve">     Enron (ENA) - Options</t>
  </si>
  <si>
    <t xml:space="preserve">     Enron (EES)</t>
  </si>
  <si>
    <t>AIP Interest Income</t>
  </si>
  <si>
    <t>Total Inflows</t>
  </si>
  <si>
    <t>Outflows:</t>
  </si>
  <si>
    <t>Controlled Disbursements(A/P)</t>
  </si>
  <si>
    <t>Controlled Disbursements(Refunds)</t>
  </si>
  <si>
    <t>Commodity Purchases:</t>
  </si>
  <si>
    <t xml:space="preserve">    - AEP</t>
  </si>
  <si>
    <t xml:space="preserve">    - AES Power Direct</t>
  </si>
  <si>
    <t xml:space="preserve">    - Cinergy</t>
  </si>
  <si>
    <t xml:space="preserve">    - Duke</t>
  </si>
  <si>
    <t xml:space="preserve">    - Duquesne</t>
  </si>
  <si>
    <t xml:space="preserve">    - CSP</t>
  </si>
  <si>
    <t xml:space="preserve">    - EES</t>
  </si>
  <si>
    <t xml:space="preserve">    - First Energy</t>
  </si>
  <si>
    <t xml:space="preserve">    - NOVEC</t>
  </si>
  <si>
    <t xml:space="preserve">    - PJM </t>
  </si>
  <si>
    <t xml:space="preserve">    - Nepool</t>
  </si>
  <si>
    <t xml:space="preserve">    - EPM </t>
  </si>
  <si>
    <t xml:space="preserve">    - El Paso</t>
  </si>
  <si>
    <t xml:space="preserve">    - TXU</t>
  </si>
  <si>
    <t xml:space="preserve">    - Altrade</t>
  </si>
  <si>
    <t xml:space="preserve">    - Aquila Energy</t>
  </si>
  <si>
    <t xml:space="preserve">    - AGL Reliant</t>
  </si>
  <si>
    <t xml:space="preserve">    - Coenergy</t>
  </si>
  <si>
    <t xml:space="preserve">    - Coral</t>
  </si>
  <si>
    <t xml:space="preserve">    - Dominion</t>
  </si>
  <si>
    <t xml:space="preserve">    - E. Ohio</t>
  </si>
  <si>
    <t xml:space="preserve">    - Exelon</t>
  </si>
  <si>
    <t xml:space="preserve">    - Interstate Gas Supply Inc.</t>
  </si>
  <si>
    <t xml:space="preserve">    - Columbia Gas Trans. (TCO)</t>
  </si>
  <si>
    <t xml:space="preserve">    - Columbia GULF Trans. (TCO)</t>
  </si>
  <si>
    <t xml:space="preserve">    - Marathon Oil</t>
  </si>
  <si>
    <t xml:space="preserve">    - PEPCO</t>
  </si>
  <si>
    <t xml:space="preserve">    - Energy Co-op</t>
  </si>
  <si>
    <t xml:space="preserve">    - Southern Natural Gas</t>
  </si>
  <si>
    <t xml:space="preserve">    - Texican</t>
  </si>
  <si>
    <t xml:space="preserve">    - Texex</t>
  </si>
  <si>
    <t xml:space="preserve">    - VEPCO</t>
  </si>
  <si>
    <t xml:space="preserve">  Enron</t>
  </si>
  <si>
    <t xml:space="preserve">  EES</t>
  </si>
  <si>
    <t>AOL</t>
  </si>
  <si>
    <t>IBM - Escrow</t>
  </si>
  <si>
    <t>JP Rushing</t>
  </si>
  <si>
    <t>AGL</t>
  </si>
  <si>
    <t>Arthur Anderson</t>
  </si>
  <si>
    <t>Marketing</t>
  </si>
  <si>
    <t xml:space="preserve">    - GSD&amp;M</t>
  </si>
  <si>
    <t xml:space="preserve">    - Rapp/Optima</t>
  </si>
  <si>
    <t xml:space="preserve">    - Paradigm</t>
  </si>
  <si>
    <t xml:space="preserve">    - TLP</t>
  </si>
  <si>
    <t xml:space="preserve">    - McCann</t>
  </si>
  <si>
    <t xml:space="preserve">    - WildCard</t>
  </si>
  <si>
    <t xml:space="preserve">    - Internet Home Alliance</t>
  </si>
  <si>
    <t>Construction Payments</t>
  </si>
  <si>
    <t>Collateral Payments</t>
  </si>
  <si>
    <t xml:space="preserve">    - Lumbermens </t>
  </si>
  <si>
    <t xml:space="preserve">    - Firemans</t>
  </si>
  <si>
    <t xml:space="preserve">    - RLI</t>
  </si>
  <si>
    <t xml:space="preserve">    - Prepayments</t>
  </si>
  <si>
    <t xml:space="preserve">    - Enron</t>
  </si>
  <si>
    <t>T&amp;E Reimbursements</t>
  </si>
  <si>
    <t>Wilde (Postage)</t>
  </si>
  <si>
    <t>Direct Mail (DME) - Fullfillment</t>
  </si>
  <si>
    <t>Total Outflows</t>
  </si>
  <si>
    <t>Net Cash Flows</t>
  </si>
  <si>
    <t>Opening Balance</t>
  </si>
  <si>
    <t>Float</t>
  </si>
  <si>
    <t>AIP Investment Returned</t>
  </si>
  <si>
    <t>Net Flows</t>
  </si>
  <si>
    <t>Amount Available to Reinvest</t>
  </si>
  <si>
    <t>Forecast</t>
  </si>
  <si>
    <t>Totals</t>
  </si>
  <si>
    <t>9/17-9/28</t>
  </si>
  <si>
    <t>Actual</t>
  </si>
  <si>
    <t>10/1-10/5</t>
  </si>
  <si>
    <t>10/15-10/19</t>
  </si>
  <si>
    <t>10/22-10/26</t>
  </si>
  <si>
    <t>10/29-10/31</t>
  </si>
  <si>
    <t>IBM Escrow</t>
  </si>
  <si>
    <t xml:space="preserve">A/P Checks clearing </t>
  </si>
  <si>
    <t>Prior Report Period End Liquidity</t>
  </si>
  <si>
    <t xml:space="preserve">Return of Collateral  </t>
  </si>
  <si>
    <t>11/1-11/2</t>
  </si>
  <si>
    <t xml:space="preserve"> 11/5-11/9</t>
  </si>
  <si>
    <t>11/12-11/16</t>
  </si>
  <si>
    <t>11/19-11/23</t>
  </si>
  <si>
    <t>11/26-11/30</t>
  </si>
  <si>
    <t>November</t>
  </si>
  <si>
    <t>12/3-12/7</t>
  </si>
  <si>
    <t xml:space="preserve"> 12/10-12/14</t>
  </si>
  <si>
    <t>12/17-12/21</t>
  </si>
  <si>
    <t>12/24-12/28</t>
  </si>
  <si>
    <t>December</t>
  </si>
  <si>
    <t>Interest (Enron/CSAM)</t>
  </si>
  <si>
    <t>Variance - Better(Worse)     (1)</t>
  </si>
  <si>
    <t xml:space="preserve">Deferred Comp </t>
  </si>
  <si>
    <t xml:space="preserve">IBM                 </t>
  </si>
  <si>
    <t xml:space="preserve">AGL (T&amp;D)       </t>
  </si>
  <si>
    <t>(1) September month end liquidity higher than expected primarily due to delay of Coral payment ($4MM) initially anticipated in September</t>
  </si>
  <si>
    <t>(2)  Overall negative variance due to revised commodity outflows for October.</t>
  </si>
  <si>
    <t>Fourth Quarter</t>
  </si>
  <si>
    <t>Changes since 10/3:</t>
  </si>
  <si>
    <t>Better/(worse)</t>
  </si>
  <si>
    <t>Coral</t>
  </si>
  <si>
    <t>Customer Collections</t>
  </si>
  <si>
    <t>M</t>
  </si>
  <si>
    <t>T</t>
  </si>
  <si>
    <t>W</t>
  </si>
  <si>
    <t>TR</t>
  </si>
  <si>
    <t>F</t>
  </si>
  <si>
    <t xml:space="preserve">October </t>
  </si>
  <si>
    <t xml:space="preserve"> First Energy</t>
  </si>
  <si>
    <t xml:space="preserve">    - Aquila </t>
  </si>
  <si>
    <t xml:space="preserve">    - Power Resources</t>
  </si>
  <si>
    <t xml:space="preserve">    - PPL</t>
  </si>
  <si>
    <t>Option Energy</t>
  </si>
  <si>
    <t>Interest Income</t>
  </si>
  <si>
    <t>Other - Coral</t>
  </si>
  <si>
    <t>Transfer In from CSAM - Peco Escrow</t>
  </si>
  <si>
    <t xml:space="preserve">Closing Balance </t>
  </si>
  <si>
    <t>Financial Transaction Settlements</t>
  </si>
  <si>
    <t>Eliminate Def. Comp contribution 11/1 &amp; 12/10</t>
  </si>
  <si>
    <t>AES revenues collections in Oct.</t>
  </si>
  <si>
    <t>Reduce revenue collections (AGL 45 days) Dec.</t>
  </si>
  <si>
    <t>Exelon paymnt 10/22</t>
  </si>
  <si>
    <t>NJN Surety Bond Collateral 10/24</t>
  </si>
  <si>
    <t>Peco Escrow Interest 10/5</t>
  </si>
  <si>
    <t>* Timing Difference due to delaying 10/24 AGL payment ($3.1MM) catch up 12/24</t>
  </si>
  <si>
    <t>Changes since 10/5:</t>
  </si>
  <si>
    <t>PJM increased for uplift and congestion</t>
  </si>
  <si>
    <t>TCO previously excluded</t>
  </si>
  <si>
    <t xml:space="preserve">Prior Forecast 10/5 </t>
  </si>
  <si>
    <t xml:space="preserve"> 10/8-10/12</t>
  </si>
  <si>
    <t>Margin Requirement</t>
  </si>
  <si>
    <t xml:space="preserve">      Mark to Market</t>
  </si>
  <si>
    <t xml:space="preserve">      Current Month Settlement</t>
  </si>
  <si>
    <t xml:space="preserve">      Current Month Purchases</t>
  </si>
  <si>
    <t>Substitution Amount</t>
  </si>
  <si>
    <t xml:space="preserve"> Cash Collateral</t>
  </si>
  <si>
    <t xml:space="preserve">    Total Collateral Posted</t>
  </si>
  <si>
    <t>Due to NewPower/(Enron)</t>
  </si>
  <si>
    <t>Settled to NewPower/(Enron)</t>
  </si>
  <si>
    <t>Days in October</t>
  </si>
  <si>
    <t>Ending Cash Position</t>
  </si>
  <si>
    <t>Total Margin Requirement</t>
  </si>
  <si>
    <t>Enron Impact:</t>
  </si>
  <si>
    <t>Days in November</t>
  </si>
  <si>
    <t>Total Enron Power - November Flow</t>
  </si>
  <si>
    <t>Total Enron Gas  - November Flow</t>
  </si>
  <si>
    <t>Total Enron Power - December Flow</t>
  </si>
  <si>
    <t>Total Enron Gas  - December Flow</t>
  </si>
  <si>
    <t>Total Enron Power - October Flow</t>
  </si>
  <si>
    <t>Total Enron Gas  - October Flow</t>
  </si>
  <si>
    <t>Days in December</t>
  </si>
  <si>
    <t>Changes since 10/8 (AM):</t>
  </si>
  <si>
    <t>Includes Transport &amp; Storage (Nov)</t>
  </si>
  <si>
    <t>Includes Transport &amp; Storage (Oct)</t>
  </si>
  <si>
    <t>(A)</t>
  </si>
  <si>
    <t>Cumulative Settled to NewPower/(Enron)</t>
  </si>
  <si>
    <t>Additional Physical (Nov)</t>
  </si>
  <si>
    <t>Adjustment to original physical (Nov)</t>
  </si>
  <si>
    <t>Note: IBM payments have been delayed by one week, disputed amounts to 1st business day of following month</t>
  </si>
  <si>
    <t>October 8, 2001 (NewPower)</t>
  </si>
  <si>
    <t>Mktg &amp; Ops Saves</t>
  </si>
  <si>
    <t>Closing Balance  Forecasted 10/05</t>
  </si>
  <si>
    <t>Daily Cash Flows</t>
  </si>
  <si>
    <t>October 2001</t>
  </si>
  <si>
    <t>Daily Cash Forecast</t>
  </si>
  <si>
    <t>November 2001</t>
  </si>
  <si>
    <t>Daily Cash Flow Forecast</t>
  </si>
  <si>
    <t>December 2001</t>
  </si>
  <si>
    <t>Variance - Better(Worse)</t>
  </si>
  <si>
    <t>Major Changes:</t>
  </si>
  <si>
    <t xml:space="preserve">    EES Receipt</t>
  </si>
  <si>
    <t xml:space="preserve">    First Energy Collateral Returned</t>
  </si>
  <si>
    <t xml:space="preserve">     Trans. Gas Pipeline WT</t>
  </si>
  <si>
    <t xml:space="preserve">     First Energy WT</t>
  </si>
  <si>
    <t xml:space="preserve">     Coral Energy WT</t>
  </si>
  <si>
    <t>Note: Timing of customer collections has been adjusted based on actual cash received 10/1-10/9.  October total remains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</si>
</sst>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9" formatCode="dd\-mmm\-yy"/>
    <numFmt numFmtId="175" formatCode="mm/dd/yy"/>
  </numFmts>
  <fonts count="8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3" xfId="2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1" xfId="2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6" fontId="0" fillId="0" borderId="13" xfId="2" applyNumberFormat="1" applyFont="1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166" fontId="0" fillId="0" borderId="14" xfId="2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6" fontId="0" fillId="0" borderId="15" xfId="2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6" fontId="0" fillId="0" borderId="17" xfId="2" applyNumberFormat="1" applyFont="1" applyBorder="1" applyAlignment="1">
      <alignment horizontal="center"/>
    </xf>
    <xf numFmtId="166" fontId="0" fillId="0" borderId="17" xfId="1" applyNumberFormat="1" applyFont="1" applyBorder="1" applyAlignment="1">
      <alignment horizontal="center"/>
    </xf>
    <xf numFmtId="166" fontId="0" fillId="0" borderId="18" xfId="2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6" fontId="0" fillId="0" borderId="19" xfId="2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4" fillId="0" borderId="0" xfId="0" applyFont="1"/>
    <xf numFmtId="166" fontId="3" fillId="0" borderId="0" xfId="0" applyNumberFormat="1" applyFont="1"/>
    <xf numFmtId="43" fontId="0" fillId="0" borderId="10" xfId="1" applyNumberFormat="1" applyFont="1" applyBorder="1" applyAlignment="1">
      <alignment horizontal="center"/>
    </xf>
    <xf numFmtId="43" fontId="0" fillId="0" borderId="17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Alignment="1">
      <alignment horizontal="center"/>
    </xf>
    <xf numFmtId="0" fontId="0" fillId="0" borderId="7" xfId="0" applyBorder="1"/>
    <xf numFmtId="165" fontId="0" fillId="0" borderId="7" xfId="1" applyNumberFormat="1" applyFont="1" applyBorder="1"/>
    <xf numFmtId="0" fontId="0" fillId="0" borderId="0" xfId="0" applyBorder="1"/>
    <xf numFmtId="0" fontId="0" fillId="2" borderId="0" xfId="0" applyFill="1"/>
    <xf numFmtId="165" fontId="0" fillId="0" borderId="21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22" xfId="2" applyNumberFormat="1" applyFont="1" applyBorder="1" applyAlignment="1">
      <alignment horizontal="center"/>
    </xf>
    <xf numFmtId="166" fontId="0" fillId="0" borderId="23" xfId="2" applyNumberFormat="1" applyFont="1" applyBorder="1" applyAlignment="1">
      <alignment horizontal="center"/>
    </xf>
    <xf numFmtId="166" fontId="0" fillId="0" borderId="24" xfId="2" applyNumberFormat="1" applyFont="1" applyBorder="1" applyAlignment="1">
      <alignment horizontal="center"/>
    </xf>
    <xf numFmtId="166" fontId="0" fillId="0" borderId="25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43" fontId="0" fillId="0" borderId="0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27" xfId="2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7" xfId="1" applyNumberFormat="1" applyFont="1" applyBorder="1" applyAlignment="1">
      <alignment horizontal="center"/>
    </xf>
    <xf numFmtId="166" fontId="0" fillId="0" borderId="27" xfId="1" applyNumberFormat="1" applyFont="1" applyBorder="1" applyAlignment="1">
      <alignment horizontal="center"/>
    </xf>
    <xf numFmtId="166" fontId="0" fillId="0" borderId="30" xfId="2" applyNumberFormat="1" applyFont="1" applyBorder="1" applyAlignment="1">
      <alignment horizontal="center"/>
    </xf>
    <xf numFmtId="166" fontId="0" fillId="0" borderId="31" xfId="2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0" xfId="0" applyNumberFormat="1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7" fillId="0" borderId="0" xfId="0" applyFont="1"/>
    <xf numFmtId="165" fontId="3" fillId="0" borderId="0" xfId="1" applyNumberFormat="1" applyFont="1" applyAlignment="1">
      <alignment horizontal="left"/>
    </xf>
    <xf numFmtId="165" fontId="0" fillId="0" borderId="32" xfId="0" applyNumberFormat="1" applyBorder="1"/>
    <xf numFmtId="175" fontId="0" fillId="0" borderId="0" xfId="1" applyNumberFormat="1" applyFont="1" applyAlignment="1">
      <alignment horizontal="left"/>
    </xf>
    <xf numFmtId="165" fontId="0" fillId="0" borderId="7" xfId="0" applyNumberFormat="1" applyBorder="1"/>
    <xf numFmtId="164" fontId="0" fillId="0" borderId="0" xfId="0" quotePrefix="1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0" borderId="7" xfId="1" applyFont="1" applyBorder="1"/>
    <xf numFmtId="164" fontId="0" fillId="0" borderId="32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84"/>
  <sheetViews>
    <sheetView topLeftCell="D1" workbookViewId="0">
      <selection activeCell="J4" sqref="J4"/>
    </sheetView>
  </sheetViews>
  <sheetFormatPr defaultRowHeight="12.75" x14ac:dyDescent="0.2"/>
  <cols>
    <col min="1" max="1" width="42.85546875" customWidth="1"/>
    <col min="2" max="2" width="12" style="1" hidden="1" customWidth="1"/>
    <col min="3" max="3" width="11.42578125" style="1" hidden="1" customWidth="1"/>
    <col min="4" max="4" width="12" style="1" customWidth="1"/>
    <col min="5" max="6" width="12" style="1" bestFit="1" customWidth="1"/>
    <col min="7" max="8" width="13" style="1" bestFit="1" customWidth="1"/>
    <col min="9" max="9" width="13" style="1" customWidth="1"/>
    <col min="10" max="12" width="12" style="1" customWidth="1"/>
    <col min="13" max="15" width="13" style="1" customWidth="1"/>
    <col min="16" max="18" width="12" style="1" customWidth="1"/>
    <col min="19" max="20" width="13" style="1" customWidth="1"/>
    <col min="21" max="21" width="12" style="1" customWidth="1"/>
    <col min="22" max="22" width="14.5703125" style="1" customWidth="1"/>
    <col min="23" max="23" width="2.85546875" customWidth="1"/>
  </cols>
  <sheetData>
    <row r="1" spans="1:22" x14ac:dyDescent="0.2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">
      <c r="A2" s="96" t="s">
        <v>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x14ac:dyDescent="0.2">
      <c r="A3" s="96" t="s">
        <v>211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3.5" thickBot="1" x14ac:dyDescent="0.25">
      <c r="D4" s="55"/>
    </row>
    <row r="5" spans="1:22" x14ac:dyDescent="0.2">
      <c r="B5" s="17"/>
      <c r="C5" s="17"/>
      <c r="D5" s="6"/>
      <c r="E5" s="15"/>
      <c r="F5" s="17"/>
      <c r="G5" s="17"/>
      <c r="H5" s="17"/>
      <c r="I5" s="15"/>
      <c r="J5" s="6" t="s">
        <v>11</v>
      </c>
      <c r="K5" s="15"/>
      <c r="L5" s="17"/>
      <c r="M5" s="17"/>
      <c r="N5" s="17"/>
      <c r="O5" s="15"/>
      <c r="P5" s="6" t="s">
        <v>11</v>
      </c>
      <c r="Q5" s="15"/>
      <c r="R5" s="17"/>
      <c r="S5" s="17"/>
      <c r="T5" s="65"/>
      <c r="U5" s="6" t="s">
        <v>11</v>
      </c>
      <c r="V5" s="68" t="s">
        <v>11</v>
      </c>
    </row>
    <row r="6" spans="1:22" x14ac:dyDescent="0.2">
      <c r="A6" t="s">
        <v>9</v>
      </c>
      <c r="B6" s="57" t="s">
        <v>122</v>
      </c>
      <c r="C6" s="57" t="s">
        <v>119</v>
      </c>
      <c r="D6" s="7" t="s">
        <v>11</v>
      </c>
      <c r="E6" s="42" t="s">
        <v>119</v>
      </c>
      <c r="F6" s="57" t="s">
        <v>119</v>
      </c>
      <c r="G6" s="57" t="s">
        <v>119</v>
      </c>
      <c r="H6" s="57" t="s">
        <v>119</v>
      </c>
      <c r="I6" s="42" t="s">
        <v>119</v>
      </c>
      <c r="J6" s="7" t="s">
        <v>8</v>
      </c>
      <c r="K6" s="42" t="s">
        <v>119</v>
      </c>
      <c r="L6" s="57" t="s">
        <v>119</v>
      </c>
      <c r="M6" s="57" t="s">
        <v>119</v>
      </c>
      <c r="N6" s="57" t="s">
        <v>119</v>
      </c>
      <c r="O6" s="42" t="s">
        <v>119</v>
      </c>
      <c r="P6" s="7" t="s">
        <v>136</v>
      </c>
      <c r="Q6" s="42" t="s">
        <v>119</v>
      </c>
      <c r="R6" s="57" t="s">
        <v>119</v>
      </c>
      <c r="S6" s="57" t="s">
        <v>119</v>
      </c>
      <c r="T6" s="58" t="s">
        <v>119</v>
      </c>
      <c r="U6" s="7" t="s">
        <v>141</v>
      </c>
      <c r="V6" s="69" t="s">
        <v>149</v>
      </c>
    </row>
    <row r="7" spans="1:22" ht="13.5" thickBot="1" x14ac:dyDescent="0.25">
      <c r="B7" s="18" t="s">
        <v>18</v>
      </c>
      <c r="C7" s="18" t="s">
        <v>19</v>
      </c>
      <c r="D7" s="14" t="s">
        <v>121</v>
      </c>
      <c r="E7" s="16" t="s">
        <v>123</v>
      </c>
      <c r="F7" s="18" t="s">
        <v>181</v>
      </c>
      <c r="G7" s="18" t="s">
        <v>124</v>
      </c>
      <c r="H7" s="18" t="s">
        <v>125</v>
      </c>
      <c r="I7" s="16" t="s">
        <v>126</v>
      </c>
      <c r="J7" s="14" t="s">
        <v>119</v>
      </c>
      <c r="K7" s="16" t="s">
        <v>131</v>
      </c>
      <c r="L7" s="18" t="s">
        <v>132</v>
      </c>
      <c r="M7" s="18" t="s">
        <v>133</v>
      </c>
      <c r="N7" s="18" t="s">
        <v>134</v>
      </c>
      <c r="O7" s="16" t="s">
        <v>135</v>
      </c>
      <c r="P7" s="14" t="s">
        <v>119</v>
      </c>
      <c r="Q7" s="16" t="s">
        <v>137</v>
      </c>
      <c r="R7" s="18" t="s">
        <v>138</v>
      </c>
      <c r="S7" s="18" t="s">
        <v>139</v>
      </c>
      <c r="T7" s="66" t="s">
        <v>140</v>
      </c>
      <c r="U7" s="14" t="s">
        <v>119</v>
      </c>
      <c r="V7" s="70" t="s">
        <v>119</v>
      </c>
    </row>
    <row r="8" spans="1:22" x14ac:dyDescent="0.2">
      <c r="A8" s="37" t="s">
        <v>13</v>
      </c>
      <c r="B8" s="57"/>
      <c r="C8" s="57"/>
      <c r="D8" s="7"/>
      <c r="E8" s="56"/>
      <c r="F8" s="57"/>
      <c r="G8" s="57"/>
      <c r="H8" s="57"/>
      <c r="I8" s="58"/>
      <c r="J8" s="6"/>
      <c r="K8" s="56"/>
      <c r="L8" s="57"/>
      <c r="M8" s="57"/>
      <c r="N8" s="57"/>
      <c r="O8" s="58"/>
      <c r="P8" s="6"/>
      <c r="Q8" s="56"/>
      <c r="R8" s="57"/>
      <c r="S8" s="57"/>
      <c r="T8" s="58"/>
      <c r="U8" s="6"/>
      <c r="V8" s="68"/>
    </row>
    <row r="9" spans="1:22" x14ac:dyDescent="0.2">
      <c r="A9" t="s">
        <v>14</v>
      </c>
      <c r="B9" s="19">
        <v>20.5</v>
      </c>
      <c r="C9" s="19">
        <v>25</v>
      </c>
      <c r="D9" s="8">
        <f>SUM(B9:C9)</f>
        <v>45.5</v>
      </c>
      <c r="E9" s="25">
        <f>SUM('Daily NPW'!B51:F51)/1000</f>
        <v>11.201000000000001</v>
      </c>
      <c r="F9" s="19">
        <f>SUM('Daily NPW'!G51:J51)/1000</f>
        <v>0.17499999999999999</v>
      </c>
      <c r="G9" s="19">
        <f>SUM('Daily NPW'!K51:O51)/1000</f>
        <v>0.9</v>
      </c>
      <c r="H9" s="19">
        <f>SUM('Daily NPW'!P51:T51)/1000+0.1</f>
        <v>24.617000000000001</v>
      </c>
      <c r="I9" s="31">
        <f>SUM('Daily NPW'!U51:W51)/1000</f>
        <v>0</v>
      </c>
      <c r="J9" s="8">
        <f>SUM(E9:I9)</f>
        <v>36.893000000000001</v>
      </c>
      <c r="K9" s="25">
        <f>SUM('Daily NPW'!Y51:Z51)</f>
        <v>0</v>
      </c>
      <c r="L9" s="19">
        <f>SUM('Daily NPW'!AA51:AE51)/1000</f>
        <v>7.4</v>
      </c>
      <c r="M9" s="19">
        <f>SUM('Daily NPW'!AF51:AJ51)/1000</f>
        <v>1.012</v>
      </c>
      <c r="N9" s="19">
        <f>SUM('Daily NPW'!AK51:AN51)/1000</f>
        <v>14.438000000000001</v>
      </c>
      <c r="O9" s="31">
        <f>SUM('Daily NPW'!AO51:AS51)/1000</f>
        <v>7.9880000000000004</v>
      </c>
      <c r="P9" s="8">
        <f>SUM(K9:O9)</f>
        <v>30.838000000000001</v>
      </c>
      <c r="Q9" s="25">
        <f>SUM('Daily NPW'!AU51:AY51)/1000</f>
        <v>3.7</v>
      </c>
      <c r="R9" s="19">
        <f>SUM('Daily NPW'!AZ51:BD51)/1000</f>
        <v>1.27</v>
      </c>
      <c r="S9" s="19">
        <f>SUM('Daily NPW'!BE51:BI51)/1000</f>
        <v>20.329999999999998</v>
      </c>
      <c r="T9" s="31">
        <f>SUM('Daily NPW'!BJ51:BM51)/1000</f>
        <v>13.47</v>
      </c>
      <c r="U9" s="8">
        <f>SUM(Q9:T9)</f>
        <v>38.769999999999996</v>
      </c>
      <c r="V9" s="67">
        <f>+J9+P9+U9</f>
        <v>106.50099999999999</v>
      </c>
    </row>
    <row r="10" spans="1:22" x14ac:dyDescent="0.2">
      <c r="B10" s="20"/>
      <c r="C10" s="20"/>
      <c r="D10" s="11"/>
      <c r="E10" s="26"/>
      <c r="F10" s="20"/>
      <c r="G10" s="20"/>
      <c r="H10" s="20"/>
      <c r="I10" s="32"/>
      <c r="J10" s="9"/>
      <c r="K10" s="26"/>
      <c r="L10" s="20"/>
      <c r="M10" s="20"/>
      <c r="N10" s="20"/>
      <c r="O10" s="32"/>
      <c r="P10" s="9"/>
      <c r="Q10" s="26"/>
      <c r="R10" s="20"/>
      <c r="S10" s="20"/>
      <c r="T10" s="32"/>
      <c r="U10" s="9"/>
      <c r="V10" s="67"/>
    </row>
    <row r="11" spans="1:22" x14ac:dyDescent="0.2">
      <c r="A11" t="s">
        <v>145</v>
      </c>
      <c r="B11" s="22">
        <v>4</v>
      </c>
      <c r="C11" s="22">
        <v>0</v>
      </c>
      <c r="D11" s="11">
        <f t="shared" ref="D11:D30" si="0">SUM(B11:C11)</f>
        <v>4</v>
      </c>
      <c r="E11" s="28">
        <f>SUM('Daily NPW'!B96:F96)/1000</f>
        <v>0</v>
      </c>
      <c r="F11" s="22">
        <f>SUM('Daily NPW'!G96:J96)/1000</f>
        <v>0</v>
      </c>
      <c r="G11" s="22">
        <f>SUM('Daily NPW'!K96:O96)/1000</f>
        <v>0</v>
      </c>
      <c r="H11" s="22">
        <f>SUM('Daily NPW'!P96:T96)/1000</f>
        <v>4.4000000000000004</v>
      </c>
      <c r="I11" s="34">
        <f>SUM('Daily NPW'!U96:W96)</f>
        <v>0</v>
      </c>
      <c r="J11" s="11">
        <f>SUM(E11:I11)</f>
        <v>4.4000000000000004</v>
      </c>
      <c r="K11" s="28">
        <f>SUM('Daily NPW'!Y96:Z96)/1000</f>
        <v>1.5</v>
      </c>
      <c r="L11" s="22">
        <f>SUM('Daily NPW'!AA96:AE96)/1000</f>
        <v>0</v>
      </c>
      <c r="M11" s="22">
        <f>SUM('Daily NPW'!AF96:AJ96)/1000</f>
        <v>0</v>
      </c>
      <c r="N11" s="22">
        <f>SUM('Daily NPW'!AK96:AN96)/1000</f>
        <v>3.2</v>
      </c>
      <c r="O11" s="34">
        <f>SUM('Daily NPW'!AO96:AS96)/1000</f>
        <v>0</v>
      </c>
      <c r="P11" s="11">
        <f>SUM(K11:O11)</f>
        <v>4.7</v>
      </c>
      <c r="Q11" s="28">
        <f>SUM('Daily NPW'!AU96:AY96)/1000</f>
        <v>0.8</v>
      </c>
      <c r="R11" s="22">
        <f>SUM('Daily NPW'!AZ96:BD96)/1000</f>
        <v>0</v>
      </c>
      <c r="S11" s="22">
        <f>SUM('Daily NPW'!BE96:BI96)/1000</f>
        <v>3</v>
      </c>
      <c r="T11" s="34">
        <f>SUM('Daily NPW'!BJ96:BM96)/1000</f>
        <v>1</v>
      </c>
      <c r="U11" s="11">
        <f>SUM(Q11:T11)</f>
        <v>4.8</v>
      </c>
      <c r="V11" s="71">
        <f>+J11+P11+U11</f>
        <v>13.900000000000002</v>
      </c>
    </row>
    <row r="12" spans="1:22" x14ac:dyDescent="0.2">
      <c r="A12" t="s">
        <v>127</v>
      </c>
      <c r="B12" s="22">
        <v>0.5</v>
      </c>
      <c r="C12" s="22">
        <v>0</v>
      </c>
      <c r="D12" s="11">
        <f t="shared" si="0"/>
        <v>0.5</v>
      </c>
      <c r="E12" s="28">
        <f>SUM('Daily NPW'!B97:F97)/1000</f>
        <v>0</v>
      </c>
      <c r="F12" s="22">
        <f>SUM('Daily NPW'!G97:J97)/1000</f>
        <v>0</v>
      </c>
      <c r="G12" s="22">
        <f>SUM('Daily NPW'!K97:O97)/1000</f>
        <v>0</v>
      </c>
      <c r="H12" s="22">
        <f>SUM('Daily NPW'!P97:T97)/1000</f>
        <v>0</v>
      </c>
      <c r="I12" s="34">
        <f>SUM('Daily NPW'!U97:W97)</f>
        <v>0</v>
      </c>
      <c r="J12" s="11">
        <f>SUM(E12:I12)</f>
        <v>0</v>
      </c>
      <c r="K12" s="28">
        <f>SUM('Daily NPW'!Y97:Z97)/1000</f>
        <v>0</v>
      </c>
      <c r="L12" s="22">
        <f>SUM('Daily NPW'!AA97:AE97)/1000</f>
        <v>0</v>
      </c>
      <c r="M12" s="22">
        <f>SUM('Daily NPW'!AF97:AJ97)/1000</f>
        <v>0</v>
      </c>
      <c r="N12" s="22">
        <f>SUM('Daily NPW'!AK97:AN97)/1000</f>
        <v>0</v>
      </c>
      <c r="O12" s="34">
        <f>SUM('Daily NPW'!AO97:AS97)/1000</f>
        <v>0</v>
      </c>
      <c r="P12" s="11">
        <f>SUM(K12:O12)</f>
        <v>0</v>
      </c>
      <c r="Q12" s="28">
        <f>SUM('Daily NPW'!AU97:AY97)/1000</f>
        <v>0</v>
      </c>
      <c r="R12" s="22">
        <f>SUM('Daily NPW'!AZ97:BD97)/1000</f>
        <v>0</v>
      </c>
      <c r="S12" s="22">
        <f>SUM('Daily NPW'!BE97:BI97)/1000</f>
        <v>0</v>
      </c>
      <c r="T12" s="34">
        <f>SUM('Daily NPW'!BJ97:BM97)/1000</f>
        <v>0</v>
      </c>
      <c r="U12" s="11">
        <f>SUM(Q12:T12)</f>
        <v>0</v>
      </c>
      <c r="V12" s="71">
        <f>+J12+P12+U12</f>
        <v>0</v>
      </c>
    </row>
    <row r="13" spans="1:22" x14ac:dyDescent="0.2">
      <c r="B13" s="22"/>
      <c r="C13" s="22"/>
      <c r="D13" s="11"/>
      <c r="E13" s="28"/>
      <c r="F13" s="22"/>
      <c r="G13" s="22"/>
      <c r="H13" s="22"/>
      <c r="I13" s="34"/>
      <c r="J13" s="11"/>
      <c r="K13" s="28"/>
      <c r="L13" s="22"/>
      <c r="M13" s="22"/>
      <c r="N13" s="22"/>
      <c r="O13" s="34"/>
      <c r="P13" s="11"/>
      <c r="Q13" s="28"/>
      <c r="R13" s="22"/>
      <c r="S13" s="22"/>
      <c r="T13" s="34"/>
      <c r="U13" s="11"/>
      <c r="V13" s="71"/>
    </row>
    <row r="14" spans="1:22" x14ac:dyDescent="0.2">
      <c r="A14" t="s">
        <v>146</v>
      </c>
      <c r="B14" s="22">
        <v>0</v>
      </c>
      <c r="C14" s="22">
        <v>3.1</v>
      </c>
      <c r="D14" s="11">
        <f t="shared" si="0"/>
        <v>3.1</v>
      </c>
      <c r="E14" s="28">
        <f>SUM('Daily NPW'!B99:F99)/1000</f>
        <v>0</v>
      </c>
      <c r="F14" s="22">
        <f>SUM('Daily NPW'!G99:J99)/1000</f>
        <v>0</v>
      </c>
      <c r="G14" s="22">
        <f>SUM('Daily NPW'!K99:O99)/1000</f>
        <v>0</v>
      </c>
      <c r="H14" s="22">
        <f>SUM('Daily NPW'!P99:T99)/1000</f>
        <v>0</v>
      </c>
      <c r="I14" s="34">
        <f>SUM('Daily NPW'!U96:W96)/1000</f>
        <v>0</v>
      </c>
      <c r="J14" s="11">
        <f>SUM(E14:I14)</f>
        <v>0</v>
      </c>
      <c r="K14" s="28">
        <f>SUM('Daily NPW'!Y99:Z99)/1000</f>
        <v>0</v>
      </c>
      <c r="L14" s="22">
        <f>SUM('Daily NPW'!AA99:AE99)/1000</f>
        <v>0</v>
      </c>
      <c r="M14" s="22">
        <f>SUM('Daily NPW'!AF99:AJ99)/1000</f>
        <v>0</v>
      </c>
      <c r="N14" s="22">
        <f>SUM('Daily NPW'!AK99:AN99)/1000</f>
        <v>3.1</v>
      </c>
      <c r="O14" s="34">
        <f>SUM('Daily NPW'!AO96:AS96)/1000</f>
        <v>0</v>
      </c>
      <c r="P14" s="11">
        <f>SUM(K14:O14)</f>
        <v>3.1</v>
      </c>
      <c r="Q14" s="28">
        <f>SUM('Daily NPW'!AU99:AY99)/1000</f>
        <v>0</v>
      </c>
      <c r="R14" s="22">
        <f>SUM('Daily NPW'!AZ96:BD96)/1000</f>
        <v>0</v>
      </c>
      <c r="S14" s="22">
        <f>SUM('Daily NPW'!BE99:BI99)/1000</f>
        <v>0</v>
      </c>
      <c r="T14" s="34">
        <f>SUM('Daily NPW'!BJ99:BM99)/1000</f>
        <v>6.2</v>
      </c>
      <c r="U14" s="11">
        <f>SUM(Q14:T14)</f>
        <v>6.2</v>
      </c>
      <c r="V14" s="71">
        <f>+J14+P14+U14</f>
        <v>9.3000000000000007</v>
      </c>
    </row>
    <row r="15" spans="1:22" x14ac:dyDescent="0.2">
      <c r="B15" s="22"/>
      <c r="C15" s="22"/>
      <c r="D15" s="11"/>
      <c r="E15" s="28"/>
      <c r="F15" s="22"/>
      <c r="G15" s="22"/>
      <c r="H15" s="22"/>
      <c r="I15" s="34"/>
      <c r="J15" s="11"/>
      <c r="K15" s="28"/>
      <c r="L15" s="22"/>
      <c r="M15" s="22"/>
      <c r="N15" s="22"/>
      <c r="O15" s="34"/>
      <c r="P15" s="11"/>
      <c r="Q15" s="28"/>
      <c r="R15" s="22"/>
      <c r="S15" s="22"/>
      <c r="T15" s="34"/>
      <c r="U15" s="11"/>
      <c r="V15" s="71"/>
    </row>
    <row r="16" spans="1:22" x14ac:dyDescent="0.2">
      <c r="A16" t="s">
        <v>2</v>
      </c>
      <c r="B16" s="22">
        <v>0</v>
      </c>
      <c r="C16" s="22"/>
      <c r="D16" s="11">
        <f t="shared" si="0"/>
        <v>0</v>
      </c>
      <c r="E16" s="28">
        <f>SUM('Daily NPW'!B109:F109)/1000</f>
        <v>0</v>
      </c>
      <c r="F16" s="22">
        <f>SUM('Daily NPW'!G109:J109)/1000</f>
        <v>0.17</v>
      </c>
      <c r="G16" s="22">
        <f>SUM('Daily NPW'!K109:O109)/1000</f>
        <v>0</v>
      </c>
      <c r="H16" s="22">
        <f>SUM('Daily NPW'!P109:T109)/1000</f>
        <v>0</v>
      </c>
      <c r="I16" s="34">
        <f>SUM('Daily NPW'!U109:W109)</f>
        <v>0</v>
      </c>
      <c r="J16" s="11">
        <f>SUM(E16:I16)</f>
        <v>0.17</v>
      </c>
      <c r="K16" s="28">
        <f>SUM('Daily NPW'!Y111:Z111)/1000</f>
        <v>0</v>
      </c>
      <c r="L16" s="22">
        <f>SUM('Daily NPW'!AB109:AE109)/1000</f>
        <v>0.3</v>
      </c>
      <c r="M16" s="22">
        <f>SUM('Daily NPW'!AF109:AJ109)/1000</f>
        <v>0</v>
      </c>
      <c r="N16" s="22">
        <f>SUM('Daily NPW'!AK109:AN109)/1000</f>
        <v>0</v>
      </c>
      <c r="O16" s="34">
        <f>SUM('Daily NPW'!AO109:AS109)/1000</f>
        <v>0</v>
      </c>
      <c r="P16" s="11">
        <f>SUM(K16:O16)</f>
        <v>0.3</v>
      </c>
      <c r="Q16" s="28">
        <f>SUM('Daily NPW'!AU110:AY110)/1000</f>
        <v>0</v>
      </c>
      <c r="R16" s="22">
        <f>SUM('Daily NPW'!AZ109:BD109)/1000</f>
        <v>0</v>
      </c>
      <c r="S16" s="22">
        <f>SUM('Daily NPW'!BE109:BI109)/1000</f>
        <v>0</v>
      </c>
      <c r="T16" s="34">
        <f>SUM('Daily NPW'!BJ109:BM109)/1000</f>
        <v>0</v>
      </c>
      <c r="U16" s="11">
        <f>SUM(Q16:T16)</f>
        <v>0</v>
      </c>
      <c r="V16" s="71">
        <f>+J16+P16+U16</f>
        <v>0.47</v>
      </c>
    </row>
    <row r="17" spans="1:22" x14ac:dyDescent="0.2">
      <c r="B17" s="22"/>
      <c r="C17" s="22"/>
      <c r="D17" s="11"/>
      <c r="E17" s="28"/>
      <c r="F17" s="22"/>
      <c r="G17" s="22"/>
      <c r="H17" s="22"/>
      <c r="I17" s="34"/>
      <c r="J17" s="11"/>
      <c r="K17" s="28"/>
      <c r="L17" s="22"/>
      <c r="M17" s="22"/>
      <c r="N17" s="22"/>
      <c r="O17" s="34"/>
      <c r="P17" s="11"/>
      <c r="Q17" s="28"/>
      <c r="R17" s="22"/>
      <c r="S17" s="22"/>
      <c r="T17" s="34"/>
      <c r="U17" s="11"/>
      <c r="V17" s="71"/>
    </row>
    <row r="18" spans="1:22" x14ac:dyDescent="0.2">
      <c r="A18" t="s">
        <v>3</v>
      </c>
      <c r="B18" s="22">
        <v>0</v>
      </c>
      <c r="C18" s="22">
        <v>0</v>
      </c>
      <c r="D18" s="11">
        <f t="shared" si="0"/>
        <v>0</v>
      </c>
      <c r="E18" s="28">
        <f>SUM('Daily NPW'!B111:F116)/1000</f>
        <v>0.77</v>
      </c>
      <c r="F18" s="22">
        <f>SUM('Daily NPW'!G111:J116)/1000</f>
        <v>-0.59499999999999997</v>
      </c>
      <c r="G18" s="22">
        <f>SUM('Daily NPW'!K111:O116)/1000</f>
        <v>0</v>
      </c>
      <c r="H18" s="22">
        <f>SUM('Daily NPW'!P111:T116)/1000</f>
        <v>0.59499999999999997</v>
      </c>
      <c r="I18" s="34">
        <f>SUM('Daily NPW'!U111:W116)/1000</f>
        <v>0</v>
      </c>
      <c r="J18" s="11">
        <f>SUM(E18:I18)</f>
        <v>0.77</v>
      </c>
      <c r="K18" s="28">
        <f>SUM('Daily NPW'!Y111:Z116)/1000</f>
        <v>0</v>
      </c>
      <c r="L18" s="22">
        <f>SUM('Daily NPW'!AA111:AE116)/1000</f>
        <v>0</v>
      </c>
      <c r="M18" s="22">
        <f>SUM('Daily NPW'!AF111:AJ116)/1000</f>
        <v>0</v>
      </c>
      <c r="N18" s="22">
        <f>SUM('Daily NPW'!AK111:AN116)/1000</f>
        <v>0</v>
      </c>
      <c r="O18" s="34">
        <f>SUM('Daily NPW'!AO111:AS116)/1000</f>
        <v>0</v>
      </c>
      <c r="P18" s="11">
        <f>SUM(K18:O18)</f>
        <v>0</v>
      </c>
      <c r="Q18" s="28">
        <f>SUM('Daily NPW'!AU111:AY116)/1000</f>
        <v>0</v>
      </c>
      <c r="R18" s="22">
        <f>SUM('Daily NPW'!AZ111:BD116)/1000</f>
        <v>0</v>
      </c>
      <c r="S18" s="22">
        <f>SUM('Daily NPW'!BE111:BI116)/1000</f>
        <v>0</v>
      </c>
      <c r="T18" s="34">
        <f>SUM('Daily NPW'!BJ111:BM116)/1000</f>
        <v>0</v>
      </c>
      <c r="U18" s="11">
        <f>SUM(Q18:T18)</f>
        <v>0</v>
      </c>
      <c r="V18" s="71">
        <f>+J18+P18+U18</f>
        <v>0.77</v>
      </c>
    </row>
    <row r="19" spans="1:22" x14ac:dyDescent="0.2">
      <c r="B19" s="22"/>
      <c r="C19" s="22"/>
      <c r="D19" s="11"/>
      <c r="E19" s="28"/>
      <c r="F19" s="22"/>
      <c r="G19" s="22"/>
      <c r="H19" s="22"/>
      <c r="I19" s="34"/>
      <c r="J19" s="11"/>
      <c r="K19" s="28"/>
      <c r="L19" s="22"/>
      <c r="M19" s="22"/>
      <c r="N19" s="22"/>
      <c r="O19" s="34"/>
      <c r="P19" s="11"/>
      <c r="Q19" s="28"/>
      <c r="R19" s="22"/>
      <c r="S19" s="22"/>
      <c r="T19" s="34"/>
      <c r="U19" s="11"/>
      <c r="V19" s="71"/>
    </row>
    <row r="20" spans="1:22" x14ac:dyDescent="0.2">
      <c r="A20" t="s">
        <v>4</v>
      </c>
      <c r="B20" s="22">
        <v>0</v>
      </c>
      <c r="C20" s="22">
        <v>0</v>
      </c>
      <c r="D20" s="11">
        <f t="shared" si="0"/>
        <v>0</v>
      </c>
      <c r="E20" s="28">
        <f>SUM('Daily NPW'!B117:F117)/1000</f>
        <v>0.106</v>
      </c>
      <c r="F20" s="39">
        <f>SUM('Daily NPW'!G117:J117)/1000</f>
        <v>0.03</v>
      </c>
      <c r="G20" s="39">
        <f>SUM('Daily NPW'!K117:O117)/1000</f>
        <v>0.03</v>
      </c>
      <c r="H20" s="39">
        <f>SUM('Daily NPW'!P117:T117)/1000</f>
        <v>0.03</v>
      </c>
      <c r="I20" s="40">
        <f>SUM('Daily NPW'!U117:W117)/1000</f>
        <v>0.03</v>
      </c>
      <c r="J20" s="11">
        <f>SUM(E20:I20)</f>
        <v>0.22600000000000001</v>
      </c>
      <c r="K20" s="39">
        <f>SUM('Daily NPW'!Y117:Z117)/1000</f>
        <v>0</v>
      </c>
      <c r="L20" s="39">
        <f>SUM('Daily NPW'!AA117:AE117)/1000</f>
        <v>0.03</v>
      </c>
      <c r="M20" s="39">
        <f>SUM('Daily NPW'!AF117:AJ117)/1000</f>
        <v>0.03</v>
      </c>
      <c r="N20" s="40">
        <f>SUM('Daily NPW'!AK117:AN117)/1000</f>
        <v>0.03</v>
      </c>
      <c r="O20" s="40">
        <f>SUM('Daily NPW'!AO117:AS117)/1000</f>
        <v>0.03</v>
      </c>
      <c r="P20" s="11">
        <f>SUM(K20:O20)</f>
        <v>0.12</v>
      </c>
      <c r="Q20" s="64">
        <f>SUM('Daily NPW'!AU117:AY117)/1000</f>
        <v>0.03</v>
      </c>
      <c r="R20" s="40">
        <f>SUM('Daily NPW'!AZ117:BD117)/1000</f>
        <v>0.03</v>
      </c>
      <c r="S20" s="40">
        <f>SUM('Daily NPW'!BE117:BI117)/1000</f>
        <v>0.03</v>
      </c>
      <c r="T20" s="40">
        <f>SUM('Daily NPW'!BJ117:BM117)/1000</f>
        <v>0.03</v>
      </c>
      <c r="U20" s="11">
        <f>SUM(Q20:T20)</f>
        <v>0.12</v>
      </c>
      <c r="V20" s="71">
        <f>+J20+P20+U20-0.1</f>
        <v>0.36599999999999999</v>
      </c>
    </row>
    <row r="21" spans="1:22" x14ac:dyDescent="0.2">
      <c r="B21" s="22"/>
      <c r="C21" s="22"/>
      <c r="D21" s="11"/>
      <c r="E21" s="28"/>
      <c r="F21" s="22"/>
      <c r="G21" s="22"/>
      <c r="H21" s="22"/>
      <c r="I21" s="34"/>
      <c r="J21" s="11"/>
      <c r="K21" s="28"/>
      <c r="L21" s="22"/>
      <c r="M21" s="22"/>
      <c r="N21" s="22"/>
      <c r="O21" s="34"/>
      <c r="P21" s="11"/>
      <c r="Q21" s="28"/>
      <c r="R21" s="22"/>
      <c r="S21" s="22"/>
      <c r="T21" s="34"/>
      <c r="U21" s="11"/>
      <c r="V21" s="71"/>
    </row>
    <row r="22" spans="1:22" x14ac:dyDescent="0.2">
      <c r="A22" t="s">
        <v>5</v>
      </c>
      <c r="B22" s="22">
        <v>0</v>
      </c>
      <c r="C22" s="22">
        <v>0.5</v>
      </c>
      <c r="D22" s="11">
        <f t="shared" si="0"/>
        <v>0.5</v>
      </c>
      <c r="E22" s="28">
        <f>SUM('Daily NPW'!B118:F118)/1000</f>
        <v>0</v>
      </c>
      <c r="F22" s="22">
        <f>SUM('Daily NPW'!G118:J118)/1000</f>
        <v>0</v>
      </c>
      <c r="G22" s="22">
        <f>SUM('Daily NPW'!K118:O118)/1000</f>
        <v>0.5</v>
      </c>
      <c r="H22" s="22">
        <f>SUM('Daily NPW'!P118:T118)/1000</f>
        <v>0</v>
      </c>
      <c r="I22" s="34">
        <f>SUM('Daily NPW'!U118:W118)/1000</f>
        <v>0</v>
      </c>
      <c r="J22" s="11">
        <f>SUM(E22:I22)</f>
        <v>0.5</v>
      </c>
      <c r="K22" s="28">
        <f>SUM('Daily NPW'!Y118:Z118)/1000</f>
        <v>0</v>
      </c>
      <c r="L22" s="22">
        <f>SUM('Daily NPW'!AA118:AE118)/1000</f>
        <v>0</v>
      </c>
      <c r="M22" s="22">
        <f>SUM('Daily NPW'!AF118:AJ118)/1000</f>
        <v>0</v>
      </c>
      <c r="N22" s="22">
        <f>SUM('Daily NPW'!AK118:AN118)/1000</f>
        <v>0.5</v>
      </c>
      <c r="O22" s="34">
        <f>SUM('Daily NPW'!AO118:AS118)/1000</f>
        <v>0</v>
      </c>
      <c r="P22" s="11">
        <f>SUM(K22:O22)</f>
        <v>0.5</v>
      </c>
      <c r="Q22" s="28">
        <f>SUM('Daily NPW'!AV118:AY118)/1000</f>
        <v>0</v>
      </c>
      <c r="R22" s="22">
        <f>SUM('Daily NPW'!AZ118:BD118)/1000</f>
        <v>0</v>
      </c>
      <c r="S22" s="22">
        <f>SUM('Daily NPW'!BE118:BI118)/1000</f>
        <v>0.5</v>
      </c>
      <c r="T22" s="34">
        <f>SUM('Daily NPW'!BJ118:BM118)/1000</f>
        <v>0</v>
      </c>
      <c r="U22" s="11">
        <f>SUM(Q22:T22)</f>
        <v>0.5</v>
      </c>
      <c r="V22" s="71">
        <f>+J22+P22+U22</f>
        <v>1.5</v>
      </c>
    </row>
    <row r="23" spans="1:22" x14ac:dyDescent="0.2">
      <c r="B23" s="22"/>
      <c r="C23" s="22"/>
      <c r="D23" s="11"/>
      <c r="E23" s="28"/>
      <c r="F23" s="22"/>
      <c r="G23" s="22"/>
      <c r="H23" s="22"/>
      <c r="I23" s="34"/>
      <c r="J23" s="11"/>
      <c r="K23" s="28"/>
      <c r="L23" s="22"/>
      <c r="M23" s="22"/>
      <c r="N23" s="22"/>
      <c r="O23" s="34"/>
      <c r="P23" s="11"/>
      <c r="Q23" s="28"/>
      <c r="R23" s="22"/>
      <c r="S23" s="22"/>
      <c r="T23" s="34"/>
      <c r="U23" s="11"/>
      <c r="V23" s="71"/>
    </row>
    <row r="24" spans="1:22" x14ac:dyDescent="0.2">
      <c r="A24" t="s">
        <v>152</v>
      </c>
      <c r="B24" s="22">
        <v>0</v>
      </c>
      <c r="C24" s="22">
        <v>0</v>
      </c>
      <c r="D24" s="11">
        <f t="shared" si="0"/>
        <v>0</v>
      </c>
      <c r="E24" s="28">
        <f>SUM('Daily NPW'!B122:F122)/1000</f>
        <v>0</v>
      </c>
      <c r="F24" s="22">
        <f>SUM('Daily NPW'!G122:J122)/1000</f>
        <v>4</v>
      </c>
      <c r="G24" s="22">
        <f>SUM('Daily NPW'!K122:O122)/1000</f>
        <v>0</v>
      </c>
      <c r="H24" s="22">
        <f>SUM('Daily NPW'!P122:T122)/1000</f>
        <v>0</v>
      </c>
      <c r="I24" s="34">
        <f>SUM('Daily NPW'!U122:W122)/1000</f>
        <v>0</v>
      </c>
      <c r="J24" s="11">
        <f>SUM(E24:I24)</f>
        <v>4</v>
      </c>
      <c r="K24" s="28">
        <f>SUM('Daily NPW'!Y122:Z122)/1000</f>
        <v>0</v>
      </c>
      <c r="L24" s="22">
        <f>SUM('Daily NPW'!AA122:AE122)/1000</f>
        <v>0</v>
      </c>
      <c r="M24" s="22">
        <f>SUM('Daily NPW'!AF122:AJ122)/1000</f>
        <v>0</v>
      </c>
      <c r="N24" s="22">
        <f>SUM('Daily NPW'!AK122:AN122)/1000</f>
        <v>0</v>
      </c>
      <c r="O24" s="34">
        <f>SUM('Daily NPW'!AO122:AS122)/1000</f>
        <v>0</v>
      </c>
      <c r="P24" s="11">
        <f>SUM(K24:O24)</f>
        <v>0</v>
      </c>
      <c r="Q24" s="28">
        <f>SUM('Daily NPW'!AU122:AY122)/1000</f>
        <v>0</v>
      </c>
      <c r="R24" s="22">
        <f>SUM('Daily NPW'!AZ122:BD122)/1000</f>
        <v>0</v>
      </c>
      <c r="S24" s="22">
        <f>SUM('Daily NPW'!BE122:BI122)/1000</f>
        <v>0</v>
      </c>
      <c r="T24" s="34">
        <f>SUM('Daily NPW'!BJ122:BM122)/1000</f>
        <v>0</v>
      </c>
      <c r="U24" s="11">
        <f>SUM(Q24:T24)/1000</f>
        <v>0</v>
      </c>
      <c r="V24" s="71">
        <f>+J24+P24+U24</f>
        <v>4</v>
      </c>
    </row>
    <row r="25" spans="1:22" x14ac:dyDescent="0.2">
      <c r="B25" s="22"/>
      <c r="C25" s="22"/>
      <c r="D25" s="11"/>
      <c r="E25" s="28"/>
      <c r="F25" s="22"/>
      <c r="G25" s="22"/>
      <c r="H25" s="22"/>
      <c r="I25" s="34"/>
      <c r="J25" s="11"/>
      <c r="K25" s="28"/>
      <c r="L25" s="22"/>
      <c r="M25" s="22"/>
      <c r="N25" s="22"/>
      <c r="O25" s="34"/>
      <c r="P25" s="11"/>
      <c r="Q25" s="28"/>
      <c r="R25" s="22"/>
      <c r="S25" s="22"/>
      <c r="T25" s="34"/>
      <c r="U25" s="11"/>
      <c r="V25" s="71"/>
    </row>
    <row r="26" spans="1:22" x14ac:dyDescent="0.2">
      <c r="A26" t="s">
        <v>6</v>
      </c>
      <c r="B26" s="22">
        <v>0</v>
      </c>
      <c r="C26" s="22">
        <v>1.3</v>
      </c>
      <c r="D26" s="11">
        <f t="shared" si="0"/>
        <v>1.3</v>
      </c>
      <c r="E26" s="28">
        <f>SUM('Daily NPW'!B110:F110)/1000</f>
        <v>0</v>
      </c>
      <c r="F26" s="22">
        <f>SUM('Daily NPW'!G110:J110)/1000</f>
        <v>1.3440000000000001</v>
      </c>
      <c r="G26" s="22">
        <f>SUM('Daily NPW'!K110:O110)/1000</f>
        <v>0</v>
      </c>
      <c r="H26" s="39">
        <f>SUM('Daily NPW'!P110:T110)/1000</f>
        <v>0.05</v>
      </c>
      <c r="I26" s="34">
        <f>SUM('Daily NPW'!U110:W110)/1000</f>
        <v>1.25</v>
      </c>
      <c r="J26" s="11">
        <f>SUM(E26:I26)</f>
        <v>2.6440000000000001</v>
      </c>
      <c r="K26" s="28">
        <f>SUM('Daily NPW'!Y110:Z110)/1000</f>
        <v>0</v>
      </c>
      <c r="L26" s="39">
        <f>SUM('Daily NPW'!AA110:AE110)/1000</f>
        <v>0.05</v>
      </c>
      <c r="M26" s="22">
        <f>SUM('Daily NPW'!AF110:AJ110)/1000</f>
        <v>1.3</v>
      </c>
      <c r="N26" s="39">
        <f>SUM('Daily NPW'!AK110:AN110)/1000</f>
        <v>0.05</v>
      </c>
      <c r="O26" s="34">
        <f>SUM('Daily NPW'!AO110:AS110)/1000</f>
        <v>1.3</v>
      </c>
      <c r="P26" s="11">
        <f>SUM(K26:O26)</f>
        <v>2.7</v>
      </c>
      <c r="Q26" s="28">
        <f>SUM('Daily NPW'!AU110:AY110)/1000</f>
        <v>0</v>
      </c>
      <c r="R26" s="39">
        <f>SUM('Daily NPW'!AZ110:BD110)/1000</f>
        <v>1.35</v>
      </c>
      <c r="S26" s="22">
        <f>SUM('Daily NPW'!BD110:BI110)/1000</f>
        <v>0</v>
      </c>
      <c r="T26" s="40">
        <f>SUM('Daily NPW'!BJ110:BM110)/1000</f>
        <v>1.35</v>
      </c>
      <c r="U26" s="11">
        <f>SUM(Q26:T26)</f>
        <v>2.7</v>
      </c>
      <c r="V26" s="71">
        <f>+J26+P26+U26</f>
        <v>8.0440000000000005</v>
      </c>
    </row>
    <row r="27" spans="1:22" x14ac:dyDescent="0.2">
      <c r="B27" s="22"/>
      <c r="C27" s="22"/>
      <c r="D27" s="11"/>
      <c r="E27" s="28"/>
      <c r="F27" s="22"/>
      <c r="G27" s="22"/>
      <c r="H27" s="22"/>
      <c r="I27" s="34"/>
      <c r="J27" s="11"/>
      <c r="K27" s="28"/>
      <c r="L27" s="22"/>
      <c r="M27" s="22"/>
      <c r="N27" s="22"/>
      <c r="O27" s="34"/>
      <c r="P27" s="11"/>
      <c r="Q27" s="28"/>
      <c r="R27" s="22"/>
      <c r="S27" s="22"/>
      <c r="T27" s="34"/>
      <c r="U27" s="11"/>
      <c r="V27" s="71"/>
    </row>
    <row r="28" spans="1:22" x14ac:dyDescent="0.2">
      <c r="A28" t="s">
        <v>144</v>
      </c>
      <c r="B28" s="22">
        <v>0</v>
      </c>
      <c r="C28" s="22">
        <v>1.4</v>
      </c>
      <c r="D28" s="11">
        <f t="shared" si="0"/>
        <v>1.4</v>
      </c>
      <c r="E28" s="28">
        <v>0</v>
      </c>
      <c r="F28" s="22">
        <v>0</v>
      </c>
      <c r="G28" s="22">
        <v>0</v>
      </c>
      <c r="H28" s="22">
        <v>0</v>
      </c>
      <c r="I28" s="34">
        <v>0</v>
      </c>
      <c r="J28" s="11">
        <f>SUM(E28:I28)</f>
        <v>0</v>
      </c>
      <c r="K28" s="28">
        <v>0</v>
      </c>
      <c r="L28" s="22"/>
      <c r="M28" s="22"/>
      <c r="N28" s="22"/>
      <c r="O28" s="34"/>
      <c r="P28" s="11">
        <f>SUM(K28:O28)</f>
        <v>0</v>
      </c>
      <c r="Q28" s="28"/>
      <c r="R28" s="22">
        <v>0</v>
      </c>
      <c r="S28" s="22"/>
      <c r="T28" s="34"/>
      <c r="U28" s="11">
        <f>SUM(Q28:T28)</f>
        <v>0</v>
      </c>
      <c r="V28" s="71">
        <f>+J28+P28+U28</f>
        <v>0</v>
      </c>
    </row>
    <row r="29" spans="1:22" x14ac:dyDescent="0.2">
      <c r="B29" s="22"/>
      <c r="C29" s="22"/>
      <c r="D29" s="11"/>
      <c r="E29" s="28"/>
      <c r="F29" s="22"/>
      <c r="G29" s="22"/>
      <c r="H29" s="22"/>
      <c r="I29" s="34"/>
      <c r="J29" s="11"/>
      <c r="K29" s="28"/>
      <c r="L29" s="22"/>
      <c r="M29" s="22"/>
      <c r="N29" s="22"/>
      <c r="O29" s="34"/>
      <c r="P29" s="11"/>
      <c r="Q29" s="28"/>
      <c r="R29" s="22"/>
      <c r="S29" s="22"/>
      <c r="T29" s="34"/>
      <c r="U29" s="11"/>
      <c r="V29" s="71"/>
    </row>
    <row r="30" spans="1:22" x14ac:dyDescent="0.2">
      <c r="A30" t="s">
        <v>128</v>
      </c>
      <c r="B30" s="22">
        <v>3.45</v>
      </c>
      <c r="C30" s="22">
        <v>1.9</v>
      </c>
      <c r="D30" s="11">
        <f t="shared" si="0"/>
        <v>5.35</v>
      </c>
      <c r="E30" s="28">
        <f>SUM('Daily NPW'!B49:F49)/1000</f>
        <v>2.4119999999999999</v>
      </c>
      <c r="F30" s="22">
        <f>SUM('Daily NPW'!G49:J49)/1000</f>
        <v>2.2000000000000002</v>
      </c>
      <c r="G30" s="22">
        <f>SUM('Daily NPW'!K49:O49)/1000</f>
        <v>2</v>
      </c>
      <c r="H30" s="22">
        <f>SUM('Daily NPW'!P49:T49)/1000</f>
        <v>2</v>
      </c>
      <c r="I30" s="34">
        <f>SUM('Daily NPW'!U49:W49)/1000</f>
        <v>1.2</v>
      </c>
      <c r="J30" s="11">
        <f>SUM(E30:I30)</f>
        <v>9.8119999999999994</v>
      </c>
      <c r="K30" s="28">
        <f>SUM('Daily NPW'!Y49:Z49)/1000</f>
        <v>0.8</v>
      </c>
      <c r="L30" s="22">
        <f>SUM('Daily NPW'!AA49:AE49)/1000</f>
        <v>1.9750000000000001</v>
      </c>
      <c r="M30" s="22">
        <f>SUM('Daily NPW'!AF49:AJ49)/1000</f>
        <v>1.875</v>
      </c>
      <c r="N30" s="22">
        <f>SUM('Daily NPW'!AK49:AN49)/1000</f>
        <v>1.5</v>
      </c>
      <c r="O30" s="34">
        <f>SUM('Daily NPW'!AO49:AS49)/1000</f>
        <v>1.875</v>
      </c>
      <c r="P30" s="11">
        <f>SUM(K30:O30)</f>
        <v>8.0250000000000004</v>
      </c>
      <c r="Q30" s="28">
        <f>SUM('Daily NPW'!AU49:AY49)/1000</f>
        <v>1.875</v>
      </c>
      <c r="R30" s="22">
        <f>SUM('Daily NPW'!AZ49:BD49)/1000</f>
        <v>1.875</v>
      </c>
      <c r="S30" s="22">
        <f>SUM('Daily NPW'!BE49:BI49)/1000</f>
        <v>1.875</v>
      </c>
      <c r="T30" s="34">
        <f>SUM('Daily NPW'!BJ49:BM49)/1000</f>
        <v>1.4</v>
      </c>
      <c r="U30" s="11">
        <f>SUM(Q30:T30)</f>
        <v>7.0250000000000004</v>
      </c>
      <c r="V30" s="71">
        <f>+J30+P30+U30</f>
        <v>24.862000000000002</v>
      </c>
    </row>
    <row r="31" spans="1:22" x14ac:dyDescent="0.2">
      <c r="B31" s="20"/>
      <c r="C31" s="20"/>
      <c r="D31" s="9"/>
      <c r="E31" s="26"/>
      <c r="F31" s="20"/>
      <c r="G31" s="20"/>
      <c r="H31" s="20"/>
      <c r="I31" s="32"/>
      <c r="J31" s="9"/>
      <c r="K31" s="26"/>
      <c r="L31" s="20"/>
      <c r="M31" s="20"/>
      <c r="N31" s="20"/>
      <c r="O31" s="32"/>
      <c r="P31" s="9"/>
      <c r="Q31" s="26"/>
      <c r="R31" s="20"/>
      <c r="S31" s="20"/>
      <c r="T31" s="32"/>
      <c r="U31" s="9"/>
      <c r="V31" s="72"/>
    </row>
    <row r="32" spans="1:22" s="5" customFormat="1" x14ac:dyDescent="0.2">
      <c r="A32" s="38" t="s">
        <v>7</v>
      </c>
      <c r="B32" s="21">
        <f t="shared" ref="B32:J32" si="1">SUM(B9:B31)</f>
        <v>28.45</v>
      </c>
      <c r="C32" s="21">
        <f t="shared" si="1"/>
        <v>33.200000000000003</v>
      </c>
      <c r="D32" s="10">
        <f>SUM(B32:C32)</f>
        <v>61.650000000000006</v>
      </c>
      <c r="E32" s="27">
        <f t="shared" si="1"/>
        <v>14.489000000000001</v>
      </c>
      <c r="F32" s="21">
        <f t="shared" si="1"/>
        <v>7.3239999999999998</v>
      </c>
      <c r="G32" s="21">
        <f t="shared" si="1"/>
        <v>3.43</v>
      </c>
      <c r="H32" s="21">
        <f t="shared" si="1"/>
        <v>31.692000000000004</v>
      </c>
      <c r="I32" s="33">
        <f t="shared" si="1"/>
        <v>2.48</v>
      </c>
      <c r="J32" s="10">
        <f t="shared" si="1"/>
        <v>59.414999999999999</v>
      </c>
      <c r="K32" s="27">
        <f t="shared" ref="K32:V32" si="2">SUM(K9:K31)</f>
        <v>2.2999999999999998</v>
      </c>
      <c r="L32" s="21">
        <f t="shared" si="2"/>
        <v>9.7550000000000008</v>
      </c>
      <c r="M32" s="21">
        <f t="shared" si="2"/>
        <v>4.2170000000000005</v>
      </c>
      <c r="N32" s="21">
        <f t="shared" si="2"/>
        <v>22.818000000000005</v>
      </c>
      <c r="O32" s="33">
        <f t="shared" si="2"/>
        <v>11.193000000000001</v>
      </c>
      <c r="P32" s="10">
        <f t="shared" si="2"/>
        <v>50.283000000000001</v>
      </c>
      <c r="Q32" s="27">
        <f t="shared" si="2"/>
        <v>6.4050000000000002</v>
      </c>
      <c r="R32" s="21">
        <f t="shared" si="2"/>
        <v>4.5250000000000004</v>
      </c>
      <c r="S32" s="21">
        <f t="shared" si="2"/>
        <v>25.734999999999999</v>
      </c>
      <c r="T32" s="33">
        <f t="shared" si="2"/>
        <v>23.450000000000003</v>
      </c>
      <c r="U32" s="10">
        <f t="shared" si="2"/>
        <v>60.114999999999995</v>
      </c>
      <c r="V32" s="73">
        <f t="shared" si="2"/>
        <v>169.71300000000002</v>
      </c>
    </row>
    <row r="33" spans="1:22" x14ac:dyDescent="0.2">
      <c r="B33" s="20"/>
      <c r="C33" s="20"/>
      <c r="D33" s="9"/>
      <c r="E33" s="26"/>
      <c r="F33" s="20"/>
      <c r="G33" s="20"/>
      <c r="H33" s="20"/>
      <c r="I33" s="32"/>
      <c r="J33" s="9"/>
      <c r="K33" s="26"/>
      <c r="L33" s="20"/>
      <c r="M33" s="20"/>
      <c r="N33" s="20"/>
      <c r="O33" s="32"/>
      <c r="P33" s="9"/>
      <c r="Q33" s="26"/>
      <c r="R33" s="20"/>
      <c r="S33" s="20"/>
      <c r="T33" s="32"/>
      <c r="U33" s="9"/>
      <c r="V33" s="72"/>
    </row>
    <row r="34" spans="1:22" x14ac:dyDescent="0.2">
      <c r="A34" t="s">
        <v>10</v>
      </c>
      <c r="B34" s="19">
        <v>59.25</v>
      </c>
      <c r="C34" s="19"/>
      <c r="D34" s="8">
        <f>+B34</f>
        <v>59.25</v>
      </c>
      <c r="E34" s="25"/>
      <c r="F34" s="19"/>
      <c r="G34" s="19"/>
      <c r="H34" s="19"/>
      <c r="I34" s="31"/>
      <c r="J34" s="8"/>
      <c r="K34" s="25"/>
      <c r="L34" s="19"/>
      <c r="M34" s="19"/>
      <c r="N34" s="19"/>
      <c r="O34" s="31"/>
      <c r="P34" s="8"/>
      <c r="Q34" s="25"/>
      <c r="R34" s="19"/>
      <c r="S34" s="19"/>
      <c r="T34" s="31"/>
      <c r="U34" s="8"/>
      <c r="V34" s="67"/>
    </row>
    <row r="35" spans="1:22" x14ac:dyDescent="0.2">
      <c r="B35" s="20"/>
      <c r="C35" s="20"/>
      <c r="D35" s="9"/>
      <c r="E35" s="26"/>
      <c r="F35" s="20"/>
      <c r="G35" s="20"/>
      <c r="H35" s="20"/>
      <c r="I35" s="32"/>
      <c r="J35" s="9"/>
      <c r="K35" s="26"/>
      <c r="L35" s="20"/>
      <c r="M35" s="20"/>
      <c r="N35" s="20"/>
      <c r="O35" s="32"/>
      <c r="P35" s="9"/>
      <c r="Q35" s="26"/>
      <c r="R35" s="20"/>
      <c r="S35" s="20"/>
      <c r="T35" s="32"/>
      <c r="U35" s="9"/>
      <c r="V35" s="72"/>
    </row>
    <row r="36" spans="1:22" x14ac:dyDescent="0.2">
      <c r="A36" s="37" t="s">
        <v>15</v>
      </c>
      <c r="B36" s="20"/>
      <c r="C36" s="20"/>
      <c r="D36" s="9"/>
      <c r="E36" s="26"/>
      <c r="F36" s="20"/>
      <c r="G36" s="20"/>
      <c r="H36" s="20"/>
      <c r="I36" s="32"/>
      <c r="J36" s="9"/>
      <c r="K36" s="26"/>
      <c r="L36" s="20"/>
      <c r="M36" s="20"/>
      <c r="N36" s="20"/>
      <c r="O36" s="32"/>
      <c r="P36" s="9"/>
      <c r="Q36" s="26"/>
      <c r="R36" s="20"/>
      <c r="S36" s="20"/>
      <c r="T36" s="32"/>
      <c r="U36" s="9"/>
      <c r="V36" s="72"/>
    </row>
    <row r="37" spans="1:22" x14ac:dyDescent="0.2">
      <c r="B37" s="20"/>
      <c r="C37" s="20"/>
      <c r="D37" s="9"/>
      <c r="E37" s="26"/>
      <c r="F37" s="20"/>
      <c r="G37" s="20"/>
      <c r="H37" s="20"/>
      <c r="I37" s="32"/>
      <c r="J37" s="9"/>
      <c r="K37" s="26"/>
      <c r="L37" s="20"/>
      <c r="M37" s="20"/>
      <c r="N37" s="20"/>
      <c r="O37" s="32"/>
      <c r="P37" s="9"/>
      <c r="Q37" s="26"/>
      <c r="R37" s="20"/>
      <c r="S37" s="20"/>
      <c r="T37" s="32"/>
      <c r="U37" s="9"/>
      <c r="V37" s="72"/>
    </row>
    <row r="38" spans="1:22" x14ac:dyDescent="0.2">
      <c r="A38" t="s">
        <v>153</v>
      </c>
      <c r="B38" s="22">
        <v>8.4</v>
      </c>
      <c r="C38" s="22">
        <f>3.9+0.7</f>
        <v>4.5999999999999996</v>
      </c>
      <c r="D38" s="11">
        <f>SUM(B38:C38)</f>
        <v>13</v>
      </c>
      <c r="E38" s="28">
        <f>SUM('Daily NPW'!B12:F12)/1000</f>
        <v>4.3490000000000002</v>
      </c>
      <c r="F38" s="22">
        <f>SUM('Daily NPW'!G12:J12)/1000</f>
        <v>6.2839999999999998</v>
      </c>
      <c r="G38" s="22">
        <f>SUM('Daily NPW'!K12:O12)/1000</f>
        <v>3.4849999999999999</v>
      </c>
      <c r="H38" s="22">
        <f>SUM('Daily NPW'!P12:T12)/1000</f>
        <v>8.7050000000000001</v>
      </c>
      <c r="I38" s="34">
        <f>SUM('Daily NPW'!U12:W12)/1000</f>
        <v>2.2000000000000002</v>
      </c>
      <c r="J38" s="11">
        <v>25</v>
      </c>
      <c r="K38" s="28">
        <f>SUM('Daily NPW'!Y12:Z12)/1000</f>
        <v>0.32</v>
      </c>
      <c r="L38" s="22">
        <f>SUM('Daily NPW'!AA12:AE12)/1000</f>
        <v>5.9950000000000001</v>
      </c>
      <c r="M38" s="22">
        <f>SUM('Daily NPW'!AF12:AJ12)/1000</f>
        <v>5.42</v>
      </c>
      <c r="N38" s="22">
        <f>SUM('Daily NPW'!AK12:AN12)/1000</f>
        <v>14.99</v>
      </c>
      <c r="O38" s="34">
        <f>SUM('Daily NPW'!AO12:AS12)/1000</f>
        <v>4.2750000000000004</v>
      </c>
      <c r="P38" s="11">
        <f>SUM(K38:O38)</f>
        <v>31</v>
      </c>
      <c r="Q38" s="28">
        <f>SUM('Daily NPW'!AU12:AY12)/1000</f>
        <v>7.44</v>
      </c>
      <c r="R38" s="22">
        <f>SUM('Daily NPW'!AZ12:BD12)/1000</f>
        <v>7.79</v>
      </c>
      <c r="S38" s="22">
        <f>SUM('Daily NPW'!BE12:BI12)/1000</f>
        <v>27.11</v>
      </c>
      <c r="T38" s="34">
        <f>SUM('Daily NPW'!BJ12:BM12)/1000</f>
        <v>7.64</v>
      </c>
      <c r="U38" s="11">
        <f>SUM(Q38:T38)</f>
        <v>49.980000000000004</v>
      </c>
      <c r="V38" s="71">
        <f>+J38+P38+U38</f>
        <v>105.98</v>
      </c>
    </row>
    <row r="39" spans="1:22" x14ac:dyDescent="0.2">
      <c r="B39" s="22"/>
      <c r="C39" s="22"/>
      <c r="D39" s="11"/>
      <c r="E39" s="28"/>
      <c r="F39" s="22"/>
      <c r="G39" s="22"/>
      <c r="H39" s="22"/>
      <c r="I39" s="34"/>
      <c r="J39" s="11"/>
      <c r="K39" s="28"/>
      <c r="L39" s="22"/>
      <c r="M39" s="22"/>
      <c r="N39" s="22"/>
      <c r="O39" s="34"/>
      <c r="P39" s="11"/>
      <c r="Q39" s="28"/>
      <c r="R39" s="22"/>
      <c r="S39" s="22"/>
      <c r="T39" s="34"/>
      <c r="U39" s="11"/>
      <c r="V39" s="71"/>
    </row>
    <row r="40" spans="1:22" x14ac:dyDescent="0.2">
      <c r="A40" t="s">
        <v>130</v>
      </c>
      <c r="B40" s="22">
        <v>10</v>
      </c>
      <c r="C40" s="22">
        <v>10.199999999999999</v>
      </c>
      <c r="D40" s="11">
        <f>SUM(B40:C40)</f>
        <v>20.2</v>
      </c>
      <c r="E40" s="28"/>
      <c r="F40" s="22"/>
      <c r="G40" s="22"/>
      <c r="H40" s="22"/>
      <c r="I40" s="34"/>
      <c r="J40" s="11">
        <f>SUM(E40:I40)</f>
        <v>0</v>
      </c>
      <c r="K40" s="28"/>
      <c r="L40" s="22"/>
      <c r="M40" s="22"/>
      <c r="N40" s="22"/>
      <c r="O40" s="34"/>
      <c r="P40" s="11">
        <f>SUM(K40:O40)</f>
        <v>0</v>
      </c>
      <c r="Q40" s="28"/>
      <c r="R40" s="22">
        <v>40</v>
      </c>
      <c r="S40" s="22"/>
      <c r="T40" s="34"/>
      <c r="U40" s="11">
        <f>SUM(Q40:T40)</f>
        <v>40</v>
      </c>
      <c r="V40" s="71">
        <f>+J40+P40+U40</f>
        <v>40</v>
      </c>
    </row>
    <row r="41" spans="1:22" x14ac:dyDescent="0.2">
      <c r="B41" s="22"/>
      <c r="C41" s="22"/>
      <c r="D41" s="11"/>
      <c r="E41" s="28"/>
      <c r="F41" s="22"/>
      <c r="G41" s="22"/>
      <c r="H41" s="22"/>
      <c r="I41" s="34"/>
      <c r="J41" s="11"/>
      <c r="K41" s="28"/>
      <c r="L41" s="22"/>
      <c r="M41" s="22"/>
      <c r="N41" s="22"/>
      <c r="O41" s="34"/>
      <c r="P41" s="11"/>
      <c r="Q41" s="28"/>
      <c r="R41" s="22"/>
      <c r="S41" s="22"/>
      <c r="T41" s="34"/>
      <c r="U41" s="11"/>
      <c r="V41" s="71"/>
    </row>
    <row r="42" spans="1:22" x14ac:dyDescent="0.2">
      <c r="A42" t="s">
        <v>142</v>
      </c>
      <c r="B42" s="22"/>
      <c r="C42" s="22">
        <f>0.6+0.6</f>
        <v>1.2</v>
      </c>
      <c r="D42" s="11">
        <f>SUM(B42:C42)</f>
        <v>1.2</v>
      </c>
      <c r="E42" s="28">
        <f>0.25+0.5</f>
        <v>0.75</v>
      </c>
      <c r="F42" s="22"/>
      <c r="G42" s="22"/>
      <c r="H42" s="22"/>
      <c r="I42" s="34"/>
      <c r="J42" s="11">
        <f>SUM(E42:I42)</f>
        <v>0.75</v>
      </c>
      <c r="K42" s="28">
        <v>0.25</v>
      </c>
      <c r="L42" s="22"/>
      <c r="M42" s="22"/>
      <c r="N42" s="22"/>
      <c r="O42" s="34"/>
      <c r="P42" s="11">
        <f>SUM(K42:O42)</f>
        <v>0.25</v>
      </c>
      <c r="Q42" s="28">
        <v>0.25</v>
      </c>
      <c r="R42" s="22"/>
      <c r="S42" s="22"/>
      <c r="T42" s="34"/>
      <c r="U42" s="11">
        <f>SUM(Q42:T42)</f>
        <v>0.25</v>
      </c>
      <c r="V42" s="71">
        <f>+J42+P42+U42</f>
        <v>1.25</v>
      </c>
    </row>
    <row r="43" spans="1:22" x14ac:dyDescent="0.2">
      <c r="B43" s="20"/>
      <c r="C43" s="20"/>
      <c r="D43" s="9"/>
      <c r="E43" s="26"/>
      <c r="F43" s="20"/>
      <c r="G43" s="20"/>
      <c r="H43" s="20"/>
      <c r="I43" s="32"/>
      <c r="J43" s="9"/>
      <c r="K43" s="26"/>
      <c r="L43" s="20"/>
      <c r="M43" s="20"/>
      <c r="N43" s="20"/>
      <c r="O43" s="32"/>
      <c r="P43" s="9"/>
      <c r="Q43" s="26"/>
      <c r="R43" s="20"/>
      <c r="S43" s="20"/>
      <c r="T43" s="32"/>
      <c r="U43" s="9"/>
      <c r="V43" s="72"/>
    </row>
    <row r="44" spans="1:22" s="5" customFormat="1" ht="13.5" thickBot="1" x14ac:dyDescent="0.25">
      <c r="A44" s="5" t="s">
        <v>16</v>
      </c>
      <c r="B44" s="23">
        <f>B34-B32+B38+B40+B42</f>
        <v>49.2</v>
      </c>
      <c r="C44" s="23">
        <f>B44-C32+C38+C40+C42</f>
        <v>32</v>
      </c>
      <c r="D44" s="12">
        <f>D34-D32+D38+D40+D42</f>
        <v>31.999999999999993</v>
      </c>
      <c r="E44" s="29">
        <f>+C44-E32+E38+E40+E42</f>
        <v>22.61</v>
      </c>
      <c r="F44" s="23">
        <f>+E44-F32+F38+F40+F42</f>
        <v>21.57</v>
      </c>
      <c r="G44" s="23">
        <f>+F44-G32+G38+G40+G42</f>
        <v>21.625</v>
      </c>
      <c r="H44" s="23">
        <f>+G44-H32+H38+H40+H42</f>
        <v>-1.3620000000000037</v>
      </c>
      <c r="I44" s="35">
        <f>+H44-I32+I38+I40+I42</f>
        <v>-1.6420000000000035</v>
      </c>
      <c r="J44" s="12">
        <f>D44-J32+J38+J40+J42</f>
        <v>-1.6650000000000063</v>
      </c>
      <c r="K44" s="29">
        <f>+I44-K32+K38+K40+K42</f>
        <v>-3.3720000000000034</v>
      </c>
      <c r="L44" s="23">
        <f>+K44-L32+L38+L40+L42</f>
        <v>-7.1320000000000041</v>
      </c>
      <c r="M44" s="23">
        <f>+L44-M32+M38+M40+M42</f>
        <v>-5.9290000000000038</v>
      </c>
      <c r="N44" s="23">
        <f>+M44-N32+N38+N40+N42</f>
        <v>-13.757000000000007</v>
      </c>
      <c r="O44" s="35">
        <f>+N44-O32+O38+O40+O42</f>
        <v>-20.675000000000011</v>
      </c>
      <c r="P44" s="12">
        <f>J44-P32+P38+P40+P42</f>
        <v>-20.698000000000008</v>
      </c>
      <c r="Q44" s="29">
        <f>+O44-Q32+Q38+Q40+Q42</f>
        <v>-19.390000000000011</v>
      </c>
      <c r="R44" s="23">
        <f>+Q44-R32+R38+R40+R42</f>
        <v>23.874999999999986</v>
      </c>
      <c r="S44" s="23">
        <f>+R44-S32+S38+S40+S42</f>
        <v>25.249999999999986</v>
      </c>
      <c r="T44" s="35">
        <f>+S44-T32+T38+T40+T42</f>
        <v>9.4399999999999835</v>
      </c>
      <c r="U44" s="12">
        <f>P44-U32+U38+U40+U42</f>
        <v>9.4170000000000016</v>
      </c>
      <c r="V44" s="74">
        <f>D44-V32+V38+V40+V42</f>
        <v>9.5169999999999817</v>
      </c>
    </row>
    <row r="45" spans="1:22" s="5" customFormat="1" ht="13.5" hidden="1" thickTop="1" x14ac:dyDescent="0.2">
      <c r="B45" s="19"/>
      <c r="C45" s="19"/>
      <c r="D45" s="8"/>
      <c r="E45" s="25"/>
      <c r="F45" s="19"/>
      <c r="G45" s="19"/>
      <c r="H45" s="19"/>
      <c r="I45" s="31"/>
      <c r="J45" s="8"/>
      <c r="K45" s="25"/>
      <c r="L45" s="19"/>
      <c r="M45" s="19"/>
      <c r="N45" s="19"/>
      <c r="O45" s="31"/>
      <c r="P45" s="8"/>
      <c r="Q45" s="25"/>
      <c r="R45" s="19"/>
      <c r="S45" s="19"/>
      <c r="T45" s="31"/>
      <c r="U45" s="8"/>
      <c r="V45" s="67"/>
    </row>
    <row r="46" spans="1:22" s="5" customFormat="1" ht="13.5" hidden="1" thickTop="1" x14ac:dyDescent="0.2">
      <c r="B46" s="19"/>
      <c r="C46" s="19"/>
      <c r="D46" s="8"/>
      <c r="E46" s="25"/>
      <c r="F46" s="19"/>
      <c r="G46" s="19"/>
      <c r="H46" s="19"/>
      <c r="I46" s="31"/>
      <c r="J46" s="8"/>
      <c r="K46" s="25"/>
      <c r="L46" s="19"/>
      <c r="M46" s="19"/>
      <c r="N46" s="19"/>
      <c r="O46" s="31"/>
      <c r="P46" s="8"/>
      <c r="Q46" s="25"/>
      <c r="R46" s="19"/>
      <c r="S46" s="19"/>
      <c r="T46" s="31"/>
      <c r="U46" s="8"/>
      <c r="V46" s="67"/>
    </row>
    <row r="47" spans="1:22" s="5" customFormat="1" ht="14.25" hidden="1" thickTop="1" thickBot="1" x14ac:dyDescent="0.25">
      <c r="A47" s="5" t="s">
        <v>129</v>
      </c>
      <c r="B47" s="61">
        <v>0</v>
      </c>
      <c r="C47" s="61">
        <v>0</v>
      </c>
      <c r="D47" s="59">
        <v>26.9</v>
      </c>
      <c r="E47" s="60">
        <v>21.1</v>
      </c>
      <c r="F47" s="61">
        <v>23.8</v>
      </c>
      <c r="G47" s="61">
        <v>8.1</v>
      </c>
      <c r="H47" s="61">
        <v>-8.9</v>
      </c>
      <c r="I47" s="62">
        <v>-7.7</v>
      </c>
      <c r="J47" s="59">
        <v>-7.7</v>
      </c>
      <c r="K47" s="25"/>
      <c r="L47" s="25"/>
      <c r="M47" s="25"/>
      <c r="N47" s="25"/>
      <c r="O47" s="63"/>
      <c r="P47" s="8"/>
      <c r="Q47" s="25"/>
      <c r="R47" s="25"/>
      <c r="S47" s="25"/>
      <c r="T47" s="63"/>
      <c r="U47" s="8"/>
      <c r="V47" s="67"/>
    </row>
    <row r="48" spans="1:22" s="5" customFormat="1" ht="13.5" hidden="1" thickTop="1" x14ac:dyDescent="0.2">
      <c r="B48" s="19"/>
      <c r="C48" s="19"/>
      <c r="D48" s="8"/>
      <c r="E48" s="25"/>
      <c r="F48" s="19"/>
      <c r="G48" s="19"/>
      <c r="H48" s="19"/>
      <c r="I48" s="31"/>
      <c r="J48" s="8"/>
      <c r="K48" s="25"/>
      <c r="L48" s="19"/>
      <c r="M48" s="19"/>
      <c r="N48" s="19"/>
      <c r="O48" s="31"/>
      <c r="P48" s="8"/>
      <c r="Q48" s="25"/>
      <c r="R48" s="19"/>
      <c r="S48" s="19"/>
      <c r="T48" s="31"/>
      <c r="U48" s="8"/>
      <c r="V48" s="67"/>
    </row>
    <row r="49" spans="1:23" s="5" customFormat="1" ht="13.5" hidden="1" thickTop="1" x14ac:dyDescent="0.2">
      <c r="A49" s="5" t="s">
        <v>143</v>
      </c>
      <c r="B49" s="19"/>
      <c r="C49" s="19"/>
      <c r="D49" s="8">
        <f t="shared" ref="D49:J49" si="3">D44-D47</f>
        <v>5.0999999999999943</v>
      </c>
      <c r="E49" s="25">
        <f t="shared" si="3"/>
        <v>1.509999999999998</v>
      </c>
      <c r="F49" s="25">
        <f t="shared" si="3"/>
        <v>-2.2300000000000004</v>
      </c>
      <c r="G49" s="25">
        <f t="shared" si="3"/>
        <v>13.525</v>
      </c>
      <c r="H49" s="25">
        <f t="shared" si="3"/>
        <v>7.5379999999999967</v>
      </c>
      <c r="I49" s="63">
        <f t="shared" si="3"/>
        <v>6.0579999999999963</v>
      </c>
      <c r="J49" s="8">
        <f t="shared" si="3"/>
        <v>6.0349999999999939</v>
      </c>
      <c r="K49" s="25"/>
      <c r="L49" s="25"/>
      <c r="M49" s="25"/>
      <c r="N49" s="25"/>
      <c r="O49" s="63"/>
      <c r="P49" s="8"/>
      <c r="Q49" s="25"/>
      <c r="R49" s="25"/>
      <c r="S49" s="25"/>
      <c r="T49" s="63"/>
      <c r="U49" s="8"/>
      <c r="V49" s="67"/>
    </row>
    <row r="50" spans="1:23" ht="14.25" hidden="1" thickTop="1" thickBot="1" x14ac:dyDescent="0.25">
      <c r="B50" s="24"/>
      <c r="C50" s="24"/>
      <c r="D50" s="13"/>
      <c r="E50" s="30"/>
      <c r="F50" s="24"/>
      <c r="G50" s="24"/>
      <c r="H50" s="24"/>
      <c r="I50" s="36"/>
      <c r="J50" s="13"/>
      <c r="K50" s="30"/>
      <c r="L50" s="24"/>
      <c r="M50" s="24"/>
      <c r="N50" s="24"/>
      <c r="O50" s="36"/>
      <c r="P50" s="13"/>
      <c r="Q50" s="30"/>
      <c r="R50" s="24"/>
      <c r="S50" s="24"/>
      <c r="T50" s="36"/>
      <c r="U50" s="13"/>
      <c r="V50" s="75"/>
    </row>
    <row r="51" spans="1:23" ht="13.5" hidden="1" thickTop="1" x14ac:dyDescent="0.2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 spans="1:23" ht="13.5" hidden="1" thickTop="1" x14ac:dyDescent="0.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1:23" ht="13.5" hidden="1" thickTop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3" ht="13.5" hidden="1" thickTop="1" x14ac:dyDescent="0.2">
      <c r="A54" s="4" t="s">
        <v>147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3" ht="13.5" hidden="1" thickTop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3" ht="13.5" hidden="1" thickTop="1" x14ac:dyDescent="0.2">
      <c r="A56" s="4" t="s">
        <v>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3" ht="13.5" hidden="1" thickTop="1" x14ac:dyDescent="0.2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3" ht="13.5" thickTop="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3" x14ac:dyDescent="0.2">
      <c r="A59" t="s">
        <v>180</v>
      </c>
      <c r="B59" s="3"/>
      <c r="C59" s="3"/>
      <c r="D59" s="78">
        <v>32</v>
      </c>
      <c r="E59" s="3"/>
      <c r="F59" s="3"/>
      <c r="G59" s="3"/>
      <c r="H59" s="3"/>
      <c r="J59" s="3">
        <v>-0.6</v>
      </c>
      <c r="K59" s="3"/>
      <c r="L59" s="3"/>
      <c r="M59" s="3"/>
      <c r="N59" s="3"/>
      <c r="O59" s="3"/>
      <c r="P59" s="3">
        <v>-20.3</v>
      </c>
      <c r="Q59" s="76"/>
      <c r="R59" s="3"/>
      <c r="S59" s="76"/>
      <c r="T59" s="3"/>
      <c r="U59" s="3"/>
      <c r="V59" s="3">
        <v>25.2</v>
      </c>
    </row>
    <row r="60" spans="1:23" ht="13.5" thickBot="1" x14ac:dyDescent="0.25">
      <c r="A60" t="s">
        <v>151</v>
      </c>
      <c r="B60" s="3"/>
      <c r="C60" s="3"/>
      <c r="D60" s="80">
        <v>0</v>
      </c>
      <c r="E60" s="3"/>
      <c r="F60" s="3"/>
      <c r="G60" s="3"/>
      <c r="H60" s="3"/>
      <c r="I60" s="3"/>
      <c r="J60" s="79">
        <f>J44-J59</f>
        <v>-1.0650000000000062</v>
      </c>
      <c r="K60" s="3"/>
      <c r="L60" s="3"/>
      <c r="M60" s="3"/>
      <c r="N60" s="3"/>
      <c r="O60" s="3"/>
      <c r="P60" s="79">
        <f>P44-P59</f>
        <v>-0.39800000000000679</v>
      </c>
      <c r="Q60" s="76"/>
      <c r="R60" s="3"/>
      <c r="S60" s="76"/>
      <c r="T60" s="3"/>
      <c r="U60" s="90" t="s">
        <v>206</v>
      </c>
      <c r="V60" s="79">
        <f>V44-V59</f>
        <v>-15.683000000000018</v>
      </c>
      <c r="W60" s="4"/>
    </row>
    <row r="61" spans="1:23" ht="13.5" thickTop="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76"/>
      <c r="T61" s="3"/>
      <c r="U61" s="3"/>
      <c r="V61" s="3"/>
    </row>
    <row r="62" spans="1:23" x14ac:dyDescent="0.2">
      <c r="A62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76"/>
      <c r="T62" s="3"/>
      <c r="U62" s="3"/>
      <c r="V62" s="3"/>
    </row>
    <row r="63" spans="1:23" x14ac:dyDescent="0.2">
      <c r="A63" s="83" t="s">
        <v>170</v>
      </c>
      <c r="B63" s="3"/>
      <c r="C63" s="3"/>
      <c r="D63" s="3">
        <v>12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3" x14ac:dyDescent="0.2">
      <c r="A64" s="83" t="s">
        <v>171</v>
      </c>
      <c r="B64" s="3"/>
      <c r="C64" s="3"/>
      <c r="D64" s="3">
        <v>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1.25" customHeight="1" x14ac:dyDescent="0.2">
      <c r="A65" s="83" t="s">
        <v>175</v>
      </c>
      <c r="B65" s="3"/>
      <c r="C65" s="3"/>
      <c r="D65" s="3">
        <v>0.5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1.25" customHeight="1" x14ac:dyDescent="0.2">
      <c r="A66" s="83" t="s">
        <v>173</v>
      </c>
      <c r="B66" s="3"/>
      <c r="C66" s="3"/>
      <c r="D66" s="3">
        <v>-1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83" t="s">
        <v>174</v>
      </c>
      <c r="B67" s="3"/>
      <c r="C67" s="3"/>
      <c r="D67" s="3">
        <v>-0.6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83" t="s">
        <v>172</v>
      </c>
      <c r="B68" s="3"/>
      <c r="C68" s="3"/>
      <c r="D68" s="3">
        <v>-4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3.5" thickBot="1" x14ac:dyDescent="0.25">
      <c r="A69" s="77"/>
      <c r="B69" s="3"/>
      <c r="C69" s="3"/>
      <c r="D69" s="79">
        <f>SUM(D63:D68)</f>
        <v>8.9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76"/>
      <c r="R69" s="3"/>
      <c r="S69" s="76"/>
      <c r="T69" s="3"/>
      <c r="U69" s="3"/>
      <c r="V69" s="3"/>
    </row>
    <row r="70" spans="1:22" ht="13.5" thickTop="1" x14ac:dyDescent="0.2">
      <c r="B70" s="3"/>
      <c r="C70" s="3"/>
      <c r="D70" s="8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76"/>
      <c r="T70" s="3"/>
      <c r="U70" s="3"/>
      <c r="V70" s="3"/>
    </row>
    <row r="71" spans="1:22" x14ac:dyDescent="0.2">
      <c r="A71" s="83" t="s">
        <v>177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76"/>
      <c r="T71" s="3"/>
      <c r="U71" s="3"/>
      <c r="V71" s="3"/>
    </row>
    <row r="72" spans="1:22" x14ac:dyDescent="0.2">
      <c r="A72" s="83" t="s">
        <v>178</v>
      </c>
      <c r="B72" s="3"/>
      <c r="C72" s="3"/>
      <c r="D72" s="3">
        <v>-3.4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76"/>
      <c r="T72" s="3"/>
      <c r="U72" s="3"/>
      <c r="V72" s="3"/>
    </row>
    <row r="73" spans="1:22" x14ac:dyDescent="0.2">
      <c r="A73" s="83" t="s">
        <v>179</v>
      </c>
      <c r="B73" s="3"/>
      <c r="C73" s="3"/>
      <c r="D73" s="3">
        <v>-1.35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76"/>
      <c r="T73" s="3"/>
      <c r="U73" s="3"/>
      <c r="V73" s="3"/>
    </row>
    <row r="74" spans="1:22" ht="13.5" thickBot="1" x14ac:dyDescent="0.25">
      <c r="A74" s="77"/>
      <c r="B74" s="3"/>
      <c r="C74" s="3"/>
      <c r="D74" s="79">
        <f>SUM(D72:D73)</f>
        <v>-4.75</v>
      </c>
      <c r="E74" s="90" t="s">
        <v>206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76"/>
      <c r="T74" s="3"/>
      <c r="U74" s="3"/>
      <c r="V74" s="3"/>
    </row>
    <row r="75" spans="1:22" ht="13.5" thickTop="1" x14ac:dyDescent="0.2">
      <c r="A75" s="77"/>
      <c r="B75" s="3"/>
      <c r="C75" s="3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76"/>
      <c r="T75" s="3"/>
      <c r="U75" s="3"/>
      <c r="V75" s="3"/>
    </row>
    <row r="76" spans="1:22" x14ac:dyDescent="0.2">
      <c r="A76" s="83" t="s">
        <v>203</v>
      </c>
      <c r="B76" s="3"/>
      <c r="C76" s="3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76"/>
      <c r="T76" s="3"/>
      <c r="U76" s="3"/>
      <c r="V76" s="3"/>
    </row>
    <row r="77" spans="1:22" x14ac:dyDescent="0.2">
      <c r="A77" s="83" t="s">
        <v>212</v>
      </c>
      <c r="B77" s="3"/>
      <c r="C77" s="3"/>
      <c r="D77" s="82">
        <v>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76"/>
      <c r="T77" s="3"/>
      <c r="U77" s="3"/>
      <c r="V77" s="3"/>
    </row>
    <row r="78" spans="1:22" x14ac:dyDescent="0.2">
      <c r="A78" s="83" t="s">
        <v>205</v>
      </c>
      <c r="B78" s="3"/>
      <c r="C78" s="3"/>
      <c r="D78" s="82">
        <v>-2.8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76"/>
      <c r="T78" s="3"/>
      <c r="U78" s="3"/>
      <c r="V78" s="3"/>
    </row>
    <row r="79" spans="1:22" x14ac:dyDescent="0.2">
      <c r="A79" s="83" t="s">
        <v>204</v>
      </c>
      <c r="B79" s="3"/>
      <c r="C79" s="3"/>
      <c r="D79" s="82">
        <v>-6.9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76"/>
      <c r="T79" s="3"/>
      <c r="U79" s="3"/>
      <c r="V79" s="3"/>
    </row>
    <row r="80" spans="1:22" x14ac:dyDescent="0.2">
      <c r="A80" s="83" t="s">
        <v>209</v>
      </c>
      <c r="B80" s="3"/>
      <c r="C80" s="3"/>
      <c r="D80" s="82">
        <v>0.7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76"/>
      <c r="T80" s="3"/>
      <c r="U80" s="3"/>
      <c r="V80" s="3"/>
    </row>
    <row r="81" spans="1:22" x14ac:dyDescent="0.2">
      <c r="A81" s="83" t="s">
        <v>208</v>
      </c>
      <c r="B81" s="3"/>
      <c r="C81" s="3"/>
      <c r="D81" s="3">
        <v>-11.1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76"/>
      <c r="T81" s="3"/>
      <c r="U81" s="3"/>
      <c r="V81" s="3"/>
    </row>
    <row r="82" spans="1:22" ht="13.5" thickBot="1" x14ac:dyDescent="0.25">
      <c r="A82" s="83"/>
      <c r="B82" s="3"/>
      <c r="C82" s="3"/>
      <c r="D82" s="79">
        <f>SUM(D77:D81)</f>
        <v>-11.1</v>
      </c>
      <c r="E82" s="3" t="s">
        <v>206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76"/>
      <c r="T82" s="3"/>
      <c r="U82" s="3"/>
      <c r="V82" s="3"/>
    </row>
    <row r="83" spans="1:22" ht="13.5" thickTop="1" x14ac:dyDescent="0.2">
      <c r="A83" s="8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76"/>
      <c r="T83" s="3"/>
      <c r="U83" s="3"/>
      <c r="V83" s="3"/>
    </row>
    <row r="84" spans="1:22" x14ac:dyDescent="0.2">
      <c r="A84" t="s">
        <v>176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">
      <c r="A86" t="s">
        <v>210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2:22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2:22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2:22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2:22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2:22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2:22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2:22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2:22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2:22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2:22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2:22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2:22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2:22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2:22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2:22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2:22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2:22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2:22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2:22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2:22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2:22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22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22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2:22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2:22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2:22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2:22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2:22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2:22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2:22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2:22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2:22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2:22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2:22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2:22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2:22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2:22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2:22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2:22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2:22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2:22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2:22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2:22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2:22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2:22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2:22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2:22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2:22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2:22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2:22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2:22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2:22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2:22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2:22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2:22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2:22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2:22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2:22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2:22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2:22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2:22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2:22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2:22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2:22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2:22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2:22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2:22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2:22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2:22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</sheetData>
  <mergeCells count="3">
    <mergeCell ref="A1:V1"/>
    <mergeCell ref="A2:V2"/>
    <mergeCell ref="A3:V3"/>
  </mergeCells>
  <pageMargins left="0.75" right="0.75" top="1" bottom="1" header="0.5" footer="0.5"/>
  <pageSetup paperSize="5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95"/>
  <sheetViews>
    <sheetView tabSelected="1" zoomScaleNormal="100" workbookViewId="0">
      <pane xSplit="1" topLeftCell="B1" activePane="topRight" state="frozen"/>
      <selection activeCell="A78" sqref="A78"/>
      <selection pane="topRight" activeCell="A40" sqref="A40:IV40"/>
    </sheetView>
  </sheetViews>
  <sheetFormatPr defaultRowHeight="12.75" x14ac:dyDescent="0.2"/>
  <cols>
    <col min="1" max="1" width="35.5703125" style="43" bestFit="1" customWidth="1"/>
    <col min="7" max="7" width="9.42578125" customWidth="1"/>
    <col min="8" max="22" width="11.85546875" bestFit="1" customWidth="1"/>
    <col min="23" max="23" width="9.85546875" customWidth="1"/>
    <col min="25" max="66" width="11.7109375" customWidth="1"/>
  </cols>
  <sheetData>
    <row r="1" spans="1:66" x14ac:dyDescent="0.2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 t="s">
        <v>0</v>
      </c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 t="s">
        <v>0</v>
      </c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x14ac:dyDescent="0.2">
      <c r="B2" s="97" t="s">
        <v>214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 t="s">
        <v>216</v>
      </c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 t="s">
        <v>218</v>
      </c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</row>
    <row r="3" spans="1:66" x14ac:dyDescent="0.2">
      <c r="B3" s="98" t="s">
        <v>215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 t="s">
        <v>217</v>
      </c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 t="s">
        <v>219</v>
      </c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</row>
    <row r="4" spans="1:66" x14ac:dyDescent="0.2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</row>
    <row r="5" spans="1:66" x14ac:dyDescent="0.2"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</row>
    <row r="7" spans="1:66" x14ac:dyDescent="0.2">
      <c r="B7" s="1" t="s">
        <v>154</v>
      </c>
      <c r="C7" s="1" t="s">
        <v>155</v>
      </c>
      <c r="D7" s="1" t="s">
        <v>156</v>
      </c>
      <c r="E7" s="1" t="s">
        <v>157</v>
      </c>
      <c r="F7" s="1" t="s">
        <v>158</v>
      </c>
      <c r="G7" s="1" t="s">
        <v>155</v>
      </c>
      <c r="H7" s="1" t="s">
        <v>156</v>
      </c>
      <c r="I7" s="1" t="s">
        <v>157</v>
      </c>
      <c r="J7" s="1" t="s">
        <v>158</v>
      </c>
      <c r="K7" s="1" t="s">
        <v>154</v>
      </c>
      <c r="L7" s="1" t="s">
        <v>155</v>
      </c>
      <c r="M7" s="1" t="s">
        <v>156</v>
      </c>
      <c r="N7" s="1" t="s">
        <v>157</v>
      </c>
      <c r="O7" s="1" t="s">
        <v>158</v>
      </c>
      <c r="P7" s="1" t="s">
        <v>154</v>
      </c>
      <c r="Q7" s="1" t="s">
        <v>155</v>
      </c>
      <c r="R7" s="1" t="s">
        <v>156</v>
      </c>
      <c r="S7" s="1" t="s">
        <v>157</v>
      </c>
      <c r="T7" s="1" t="s">
        <v>158</v>
      </c>
      <c r="U7" s="1" t="s">
        <v>154</v>
      </c>
      <c r="V7" s="1" t="s">
        <v>155</v>
      </c>
      <c r="W7" s="1" t="s">
        <v>156</v>
      </c>
      <c r="X7" s="1"/>
      <c r="Y7" s="1" t="s">
        <v>157</v>
      </c>
      <c r="Z7" s="1" t="s">
        <v>158</v>
      </c>
      <c r="AA7" s="1" t="s">
        <v>154</v>
      </c>
      <c r="AB7" s="1" t="s">
        <v>155</v>
      </c>
      <c r="AC7" s="1" t="s">
        <v>156</v>
      </c>
      <c r="AD7" s="1" t="s">
        <v>157</v>
      </c>
      <c r="AE7" s="1" t="s">
        <v>158</v>
      </c>
      <c r="AF7" s="1" t="s">
        <v>154</v>
      </c>
      <c r="AG7" s="1" t="s">
        <v>155</v>
      </c>
      <c r="AH7" s="1" t="s">
        <v>156</v>
      </c>
      <c r="AI7" s="1" t="s">
        <v>157</v>
      </c>
      <c r="AJ7" s="1" t="s">
        <v>158</v>
      </c>
      <c r="AK7" s="1" t="s">
        <v>154</v>
      </c>
      <c r="AL7" s="1" t="s">
        <v>155</v>
      </c>
      <c r="AM7" s="1" t="s">
        <v>156</v>
      </c>
      <c r="AN7" s="1" t="s">
        <v>158</v>
      </c>
      <c r="AO7" s="1" t="s">
        <v>154</v>
      </c>
      <c r="AP7" s="1" t="s">
        <v>155</v>
      </c>
      <c r="AQ7" s="1" t="s">
        <v>156</v>
      </c>
      <c r="AR7" s="1" t="s">
        <v>157</v>
      </c>
      <c r="AS7" s="1" t="s">
        <v>158</v>
      </c>
      <c r="AT7" s="1"/>
      <c r="AU7" s="1" t="s">
        <v>154</v>
      </c>
      <c r="AV7" s="1" t="s">
        <v>155</v>
      </c>
      <c r="AW7" s="1" t="s">
        <v>156</v>
      </c>
      <c r="AX7" s="1" t="s">
        <v>157</v>
      </c>
      <c r="AY7" s="1" t="s">
        <v>158</v>
      </c>
      <c r="AZ7" s="1" t="s">
        <v>154</v>
      </c>
      <c r="BA7" s="1" t="s">
        <v>155</v>
      </c>
      <c r="BB7" s="1" t="s">
        <v>156</v>
      </c>
      <c r="BC7" s="1" t="s">
        <v>157</v>
      </c>
      <c r="BD7" s="1" t="s">
        <v>158</v>
      </c>
      <c r="BE7" s="1" t="s">
        <v>154</v>
      </c>
      <c r="BF7" s="1" t="s">
        <v>155</v>
      </c>
      <c r="BG7" s="1" t="s">
        <v>156</v>
      </c>
      <c r="BH7" s="1" t="s">
        <v>157</v>
      </c>
      <c r="BI7" s="1" t="s">
        <v>158</v>
      </c>
      <c r="BJ7" s="1" t="s">
        <v>154</v>
      </c>
      <c r="BK7" s="1" t="s">
        <v>156</v>
      </c>
      <c r="BL7" s="1" t="s">
        <v>155</v>
      </c>
      <c r="BM7" s="1" t="s">
        <v>158</v>
      </c>
    </row>
    <row r="8" spans="1:66" x14ac:dyDescent="0.2">
      <c r="B8" s="44" t="s">
        <v>122</v>
      </c>
      <c r="C8" s="44" t="s">
        <v>122</v>
      </c>
      <c r="D8" s="44" t="s">
        <v>122</v>
      </c>
      <c r="E8" s="44" t="s">
        <v>122</v>
      </c>
      <c r="F8" s="44" t="s">
        <v>122</v>
      </c>
      <c r="G8" s="44" t="s">
        <v>119</v>
      </c>
      <c r="H8" s="44" t="s">
        <v>119</v>
      </c>
      <c r="I8" s="44" t="s">
        <v>119</v>
      </c>
      <c r="J8" s="44" t="s">
        <v>119</v>
      </c>
      <c r="K8" s="44" t="s">
        <v>119</v>
      </c>
      <c r="L8" s="44" t="s">
        <v>119</v>
      </c>
      <c r="M8" s="44" t="s">
        <v>119</v>
      </c>
      <c r="N8" s="44" t="s">
        <v>119</v>
      </c>
      <c r="O8" s="44" t="s">
        <v>119</v>
      </c>
      <c r="P8" s="44" t="s">
        <v>119</v>
      </c>
      <c r="Q8" s="44" t="s">
        <v>119</v>
      </c>
      <c r="R8" s="44" t="s">
        <v>119</v>
      </c>
      <c r="S8" s="44" t="s">
        <v>119</v>
      </c>
      <c r="T8" s="44" t="s">
        <v>119</v>
      </c>
      <c r="U8" s="44" t="s">
        <v>119</v>
      </c>
      <c r="V8" s="44" t="s">
        <v>119</v>
      </c>
      <c r="W8" s="44" t="s">
        <v>119</v>
      </c>
      <c r="X8" s="44" t="s">
        <v>159</v>
      </c>
      <c r="Y8" s="44" t="s">
        <v>119</v>
      </c>
      <c r="Z8" s="44" t="s">
        <v>119</v>
      </c>
      <c r="AA8" s="44" t="s">
        <v>119</v>
      </c>
      <c r="AB8" s="44" t="s">
        <v>119</v>
      </c>
      <c r="AC8" s="44" t="s">
        <v>119</v>
      </c>
      <c r="AD8" s="44" t="s">
        <v>119</v>
      </c>
      <c r="AE8" s="44" t="s">
        <v>119</v>
      </c>
      <c r="AF8" s="44" t="s">
        <v>119</v>
      </c>
      <c r="AG8" s="44" t="s">
        <v>119</v>
      </c>
      <c r="AH8" s="44" t="s">
        <v>119</v>
      </c>
      <c r="AI8" s="44" t="s">
        <v>119</v>
      </c>
      <c r="AJ8" s="44" t="s">
        <v>119</v>
      </c>
      <c r="AK8" s="44" t="s">
        <v>119</v>
      </c>
      <c r="AL8" s="44" t="s">
        <v>119</v>
      </c>
      <c r="AM8" s="44" t="s">
        <v>119</v>
      </c>
      <c r="AN8" s="44" t="s">
        <v>119</v>
      </c>
      <c r="AO8" s="44" t="s">
        <v>119</v>
      </c>
      <c r="AP8" s="44" t="s">
        <v>119</v>
      </c>
      <c r="AQ8" s="44" t="s">
        <v>119</v>
      </c>
      <c r="AR8" s="44" t="s">
        <v>119</v>
      </c>
      <c r="AS8" s="44" t="s">
        <v>119</v>
      </c>
      <c r="AT8" s="1" t="s">
        <v>136</v>
      </c>
      <c r="AU8" s="1" t="s">
        <v>119</v>
      </c>
      <c r="AV8" s="1" t="s">
        <v>119</v>
      </c>
      <c r="AW8" s="1" t="s">
        <v>119</v>
      </c>
      <c r="AX8" s="1" t="s">
        <v>119</v>
      </c>
      <c r="AY8" s="1" t="s">
        <v>119</v>
      </c>
      <c r="AZ8" s="1" t="s">
        <v>119</v>
      </c>
      <c r="BA8" s="1" t="s">
        <v>119</v>
      </c>
      <c r="BB8" s="1" t="s">
        <v>119</v>
      </c>
      <c r="BC8" s="1" t="s">
        <v>119</v>
      </c>
      <c r="BD8" s="1" t="s">
        <v>119</v>
      </c>
      <c r="BE8" s="1" t="s">
        <v>119</v>
      </c>
      <c r="BF8" s="1" t="s">
        <v>119</v>
      </c>
      <c r="BG8" s="1" t="s">
        <v>119</v>
      </c>
      <c r="BH8" s="1" t="s">
        <v>119</v>
      </c>
      <c r="BI8" s="1" t="s">
        <v>119</v>
      </c>
      <c r="BJ8" s="1" t="s">
        <v>119</v>
      </c>
      <c r="BK8" s="1" t="s">
        <v>119</v>
      </c>
      <c r="BL8" s="1" t="s">
        <v>119</v>
      </c>
      <c r="BM8" s="1" t="s">
        <v>119</v>
      </c>
      <c r="BN8" s="1" t="s">
        <v>120</v>
      </c>
    </row>
    <row r="9" spans="1:66" x14ac:dyDescent="0.2">
      <c r="B9" s="46">
        <v>37165</v>
      </c>
      <c r="C9" s="46">
        <v>37166</v>
      </c>
      <c r="D9" s="46">
        <v>37167</v>
      </c>
      <c r="E9" s="46">
        <v>37168</v>
      </c>
      <c r="F9" s="46">
        <v>37169</v>
      </c>
      <c r="G9" s="46">
        <v>37173</v>
      </c>
      <c r="H9" s="47">
        <v>37174</v>
      </c>
      <c r="I9" s="47">
        <v>37175</v>
      </c>
      <c r="J9" s="47">
        <v>37176</v>
      </c>
      <c r="K9" s="47">
        <v>37179</v>
      </c>
      <c r="L9" s="47">
        <v>37180</v>
      </c>
      <c r="M9" s="47">
        <v>37181</v>
      </c>
      <c r="N9" s="47">
        <v>37182</v>
      </c>
      <c r="O9" s="47">
        <v>37183</v>
      </c>
      <c r="P9" s="47">
        <v>37186</v>
      </c>
      <c r="Q9" s="47">
        <v>37187</v>
      </c>
      <c r="R9" s="47">
        <v>37188</v>
      </c>
      <c r="S9" s="47">
        <v>37189</v>
      </c>
      <c r="T9" s="47">
        <v>37190</v>
      </c>
      <c r="U9" s="47">
        <v>37193</v>
      </c>
      <c r="V9" s="47">
        <v>37194</v>
      </c>
      <c r="W9" s="47">
        <v>37195</v>
      </c>
      <c r="X9" s="47" t="s">
        <v>120</v>
      </c>
      <c r="Y9" s="47">
        <v>37196</v>
      </c>
      <c r="Z9" s="47">
        <v>37197</v>
      </c>
      <c r="AA9" s="47">
        <v>37200</v>
      </c>
      <c r="AB9" s="47">
        <v>37201</v>
      </c>
      <c r="AC9" s="47">
        <v>37202</v>
      </c>
      <c r="AD9" s="47">
        <v>37203</v>
      </c>
      <c r="AE9" s="47">
        <v>37204</v>
      </c>
      <c r="AF9" s="47">
        <v>37207</v>
      </c>
      <c r="AG9" s="47">
        <v>37208</v>
      </c>
      <c r="AH9" s="47">
        <v>37209</v>
      </c>
      <c r="AI9" s="47">
        <v>37210</v>
      </c>
      <c r="AJ9" s="47">
        <v>37211</v>
      </c>
      <c r="AK9" s="47">
        <v>37214</v>
      </c>
      <c r="AL9" s="47">
        <v>37215</v>
      </c>
      <c r="AM9" s="47">
        <v>37216</v>
      </c>
      <c r="AN9" s="47">
        <v>37218</v>
      </c>
      <c r="AO9" s="47">
        <v>37221</v>
      </c>
      <c r="AP9" s="47">
        <v>37222</v>
      </c>
      <c r="AQ9" s="47">
        <v>37223</v>
      </c>
      <c r="AR9" s="47">
        <v>37224</v>
      </c>
      <c r="AS9" s="47">
        <v>37225</v>
      </c>
      <c r="AT9" s="1" t="s">
        <v>120</v>
      </c>
      <c r="AU9" s="47">
        <v>37228</v>
      </c>
      <c r="AV9" s="47">
        <v>37229</v>
      </c>
      <c r="AW9" s="47">
        <v>37230</v>
      </c>
      <c r="AX9" s="47">
        <v>37231</v>
      </c>
      <c r="AY9" s="47">
        <v>37232</v>
      </c>
      <c r="AZ9" s="47">
        <v>37235</v>
      </c>
      <c r="BA9" s="47">
        <v>37236</v>
      </c>
      <c r="BB9" s="47">
        <v>37237</v>
      </c>
      <c r="BC9" s="47">
        <v>37238</v>
      </c>
      <c r="BD9" s="47">
        <v>37239</v>
      </c>
      <c r="BE9" s="47">
        <v>37242</v>
      </c>
      <c r="BF9" s="47">
        <v>37243</v>
      </c>
      <c r="BG9" s="47">
        <v>37244</v>
      </c>
      <c r="BH9" s="47">
        <v>37245</v>
      </c>
      <c r="BI9" s="47">
        <v>37246</v>
      </c>
      <c r="BJ9" s="47">
        <v>37249</v>
      </c>
      <c r="BK9" s="47">
        <v>37251</v>
      </c>
      <c r="BL9" s="47">
        <v>37252</v>
      </c>
      <c r="BM9" s="47">
        <v>37253</v>
      </c>
      <c r="BN9" s="47" t="s">
        <v>141</v>
      </c>
    </row>
    <row r="11" spans="1:66" x14ac:dyDescent="0.2">
      <c r="A11" s="43" t="s">
        <v>20</v>
      </c>
    </row>
    <row r="12" spans="1:66" x14ac:dyDescent="0.2">
      <c r="A12" s="43" t="s">
        <v>17</v>
      </c>
      <c r="B12">
        <f t="shared" ref="B12:AG12" si="0">SUM(B13:B33)</f>
        <v>2121</v>
      </c>
      <c r="C12">
        <f t="shared" si="0"/>
        <v>342</v>
      </c>
      <c r="D12">
        <f t="shared" si="0"/>
        <v>1642</v>
      </c>
      <c r="E12">
        <f t="shared" si="0"/>
        <v>229</v>
      </c>
      <c r="F12">
        <f t="shared" si="0"/>
        <v>15</v>
      </c>
      <c r="G12">
        <f t="shared" si="0"/>
        <v>4108</v>
      </c>
      <c r="H12">
        <f t="shared" si="0"/>
        <v>2096</v>
      </c>
      <c r="I12">
        <f t="shared" si="0"/>
        <v>70</v>
      </c>
      <c r="J12">
        <f t="shared" si="0"/>
        <v>10</v>
      </c>
      <c r="K12">
        <f t="shared" si="0"/>
        <v>2400</v>
      </c>
      <c r="L12">
        <f t="shared" si="0"/>
        <v>0</v>
      </c>
      <c r="M12">
        <f t="shared" si="0"/>
        <v>1000</v>
      </c>
      <c r="N12">
        <f t="shared" si="0"/>
        <v>75</v>
      </c>
      <c r="O12">
        <f t="shared" si="0"/>
        <v>10</v>
      </c>
      <c r="P12">
        <f t="shared" si="0"/>
        <v>7420</v>
      </c>
      <c r="Q12">
        <f t="shared" si="0"/>
        <v>0</v>
      </c>
      <c r="R12">
        <f t="shared" si="0"/>
        <v>1200</v>
      </c>
      <c r="S12">
        <f t="shared" si="0"/>
        <v>75</v>
      </c>
      <c r="T12">
        <f t="shared" si="0"/>
        <v>10</v>
      </c>
      <c r="U12">
        <f t="shared" si="0"/>
        <v>1300</v>
      </c>
      <c r="V12">
        <f t="shared" si="0"/>
        <v>0</v>
      </c>
      <c r="W12">
        <f t="shared" si="0"/>
        <v>900</v>
      </c>
      <c r="X12">
        <f t="shared" si="0"/>
        <v>25023</v>
      </c>
      <c r="Y12">
        <f t="shared" si="0"/>
        <v>200</v>
      </c>
      <c r="Z12">
        <f t="shared" si="0"/>
        <v>120</v>
      </c>
      <c r="AA12">
        <f t="shared" si="0"/>
        <v>2300</v>
      </c>
      <c r="AB12">
        <f t="shared" si="0"/>
        <v>100</v>
      </c>
      <c r="AC12">
        <f t="shared" si="0"/>
        <v>2325</v>
      </c>
      <c r="AD12">
        <f t="shared" si="0"/>
        <v>200</v>
      </c>
      <c r="AE12">
        <f t="shared" si="0"/>
        <v>1070</v>
      </c>
      <c r="AF12">
        <f t="shared" si="0"/>
        <v>2850</v>
      </c>
      <c r="AG12">
        <f t="shared" si="0"/>
        <v>100</v>
      </c>
      <c r="AH12">
        <f t="shared" ref="AH12:BM12" si="1">SUM(AH13:AH33)</f>
        <v>2000</v>
      </c>
      <c r="AI12">
        <f t="shared" si="1"/>
        <v>350</v>
      </c>
      <c r="AJ12">
        <f t="shared" si="1"/>
        <v>120</v>
      </c>
      <c r="AK12">
        <f t="shared" si="1"/>
        <v>2850</v>
      </c>
      <c r="AL12">
        <f t="shared" si="1"/>
        <v>10120</v>
      </c>
      <c r="AM12">
        <f t="shared" si="1"/>
        <v>1800</v>
      </c>
      <c r="AN12">
        <f t="shared" si="1"/>
        <v>220</v>
      </c>
      <c r="AO12">
        <f t="shared" si="1"/>
        <v>2350</v>
      </c>
      <c r="AP12">
        <f t="shared" si="1"/>
        <v>100</v>
      </c>
      <c r="AQ12">
        <f t="shared" si="1"/>
        <v>1450</v>
      </c>
      <c r="AR12">
        <f t="shared" si="1"/>
        <v>200</v>
      </c>
      <c r="AS12">
        <f t="shared" si="1"/>
        <v>175</v>
      </c>
      <c r="AT12">
        <f t="shared" si="1"/>
        <v>31000</v>
      </c>
      <c r="AU12">
        <f t="shared" si="1"/>
        <v>2000</v>
      </c>
      <c r="AV12">
        <f t="shared" si="1"/>
        <v>0</v>
      </c>
      <c r="AW12">
        <f t="shared" si="1"/>
        <v>3750</v>
      </c>
      <c r="AX12">
        <f t="shared" si="1"/>
        <v>200</v>
      </c>
      <c r="AY12">
        <f t="shared" si="1"/>
        <v>1490</v>
      </c>
      <c r="AZ12">
        <f t="shared" si="1"/>
        <v>3300</v>
      </c>
      <c r="BA12">
        <f t="shared" si="1"/>
        <v>0</v>
      </c>
      <c r="BB12">
        <f t="shared" si="1"/>
        <v>4250</v>
      </c>
      <c r="BC12">
        <f t="shared" si="1"/>
        <v>200</v>
      </c>
      <c r="BD12">
        <f t="shared" si="1"/>
        <v>40</v>
      </c>
      <c r="BE12">
        <f t="shared" si="1"/>
        <v>3500</v>
      </c>
      <c r="BF12">
        <f t="shared" si="1"/>
        <v>0</v>
      </c>
      <c r="BG12">
        <f t="shared" si="1"/>
        <v>3750</v>
      </c>
      <c r="BH12">
        <f t="shared" si="1"/>
        <v>19820</v>
      </c>
      <c r="BI12">
        <f t="shared" si="1"/>
        <v>40</v>
      </c>
      <c r="BJ12">
        <f t="shared" si="1"/>
        <v>3450</v>
      </c>
      <c r="BK12">
        <f t="shared" si="1"/>
        <v>3950</v>
      </c>
      <c r="BL12">
        <f t="shared" si="1"/>
        <v>200</v>
      </c>
      <c r="BM12">
        <f t="shared" si="1"/>
        <v>40</v>
      </c>
      <c r="BN12">
        <f>SUM(BN13:BN33)</f>
        <v>49980</v>
      </c>
    </row>
    <row r="13" spans="1:66" ht="11.25" hidden="1" customHeight="1" x14ac:dyDescent="0.2">
      <c r="A13" s="43" t="s">
        <v>21</v>
      </c>
      <c r="B13">
        <v>2121</v>
      </c>
      <c r="G13">
        <v>4023</v>
      </c>
      <c r="K13">
        <f>2750-450</f>
        <v>2300</v>
      </c>
      <c r="P13">
        <f>2750-450</f>
        <v>2300</v>
      </c>
      <c r="U13">
        <f>1750-450</f>
        <v>1300</v>
      </c>
      <c r="X13">
        <f t="shared" ref="X13:X33" si="2">SUM(B13:W13)</f>
        <v>12044</v>
      </c>
      <c r="AA13">
        <v>2200</v>
      </c>
      <c r="AF13">
        <v>2750</v>
      </c>
      <c r="AK13">
        <v>2750</v>
      </c>
      <c r="AO13">
        <v>2100</v>
      </c>
      <c r="AT13">
        <f t="shared" ref="AT13:AT33" si="3">SUM(Y13:AS13)</f>
        <v>9800</v>
      </c>
      <c r="AU13">
        <v>2000</v>
      </c>
      <c r="AZ13">
        <v>3000</v>
      </c>
      <c r="BE13">
        <v>3500</v>
      </c>
      <c r="BJ13">
        <v>3250</v>
      </c>
      <c r="BN13">
        <f t="shared" ref="BN13:BN33" si="4">SUM(AU13:BM13)</f>
        <v>11750</v>
      </c>
    </row>
    <row r="14" spans="1:66" hidden="1" x14ac:dyDescent="0.2">
      <c r="A14" s="43" t="s">
        <v>22</v>
      </c>
      <c r="X14">
        <f t="shared" si="2"/>
        <v>0</v>
      </c>
      <c r="AT14">
        <f t="shared" si="3"/>
        <v>0</v>
      </c>
      <c r="BN14">
        <f t="shared" si="4"/>
        <v>0</v>
      </c>
    </row>
    <row r="15" spans="1:66" hidden="1" x14ac:dyDescent="0.2">
      <c r="A15" s="43" t="s">
        <v>23</v>
      </c>
      <c r="X15">
        <f t="shared" si="2"/>
        <v>0</v>
      </c>
      <c r="AT15">
        <f t="shared" si="3"/>
        <v>0</v>
      </c>
      <c r="BN15">
        <f t="shared" si="4"/>
        <v>0</v>
      </c>
    </row>
    <row r="16" spans="1:66" hidden="1" x14ac:dyDescent="0.2">
      <c r="A16" s="43" t="s">
        <v>24</v>
      </c>
      <c r="C16">
        <f>-500</f>
        <v>-500</v>
      </c>
      <c r="P16">
        <v>4000</v>
      </c>
      <c r="X16">
        <f t="shared" si="2"/>
        <v>3500</v>
      </c>
      <c r="AL16">
        <v>8200</v>
      </c>
      <c r="AT16">
        <f t="shared" si="3"/>
        <v>8200</v>
      </c>
      <c r="BH16">
        <v>15750</v>
      </c>
      <c r="BN16">
        <f t="shared" si="4"/>
        <v>15750</v>
      </c>
    </row>
    <row r="17" spans="1:66" hidden="1" x14ac:dyDescent="0.2">
      <c r="A17" s="43" t="s">
        <v>25</v>
      </c>
      <c r="P17">
        <v>1000</v>
      </c>
      <c r="X17">
        <f t="shared" si="2"/>
        <v>1000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1500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f t="shared" si="3"/>
        <v>3500</v>
      </c>
      <c r="BH17">
        <v>3600</v>
      </c>
      <c r="BN17">
        <f t="shared" si="4"/>
        <v>3600</v>
      </c>
    </row>
    <row r="18" spans="1:66" hidden="1" x14ac:dyDescent="0.2">
      <c r="A18" s="43" t="s">
        <v>26</v>
      </c>
      <c r="P18">
        <v>40</v>
      </c>
      <c r="X18">
        <f t="shared" si="2"/>
        <v>40</v>
      </c>
      <c r="AL18">
        <v>40</v>
      </c>
      <c r="AT18">
        <f t="shared" si="3"/>
        <v>40</v>
      </c>
      <c r="BH18">
        <v>40</v>
      </c>
      <c r="BN18">
        <f t="shared" si="4"/>
        <v>40</v>
      </c>
    </row>
    <row r="19" spans="1:66" hidden="1" x14ac:dyDescent="0.2">
      <c r="A19" s="43" t="s">
        <v>27</v>
      </c>
      <c r="P19">
        <v>80</v>
      </c>
      <c r="X19">
        <f t="shared" si="2"/>
        <v>80</v>
      </c>
      <c r="AL19">
        <v>80</v>
      </c>
      <c r="AT19">
        <f t="shared" si="3"/>
        <v>80</v>
      </c>
      <c r="BH19">
        <v>80</v>
      </c>
      <c r="BN19">
        <f t="shared" si="4"/>
        <v>80</v>
      </c>
    </row>
    <row r="20" spans="1:66" hidden="1" x14ac:dyDescent="0.2">
      <c r="A20" s="43" t="s">
        <v>28</v>
      </c>
      <c r="D20">
        <v>1538</v>
      </c>
      <c r="H20">
        <v>1000</v>
      </c>
      <c r="M20">
        <v>1000</v>
      </c>
      <c r="R20">
        <v>1000</v>
      </c>
      <c r="W20">
        <v>900</v>
      </c>
      <c r="X20">
        <f t="shared" si="2"/>
        <v>5438</v>
      </c>
      <c r="AC20">
        <f>1500*135%</f>
        <v>2025.0000000000002</v>
      </c>
      <c r="AH20">
        <v>1900</v>
      </c>
      <c r="AM20">
        <v>1700</v>
      </c>
      <c r="AQ20">
        <f>1350</f>
        <v>1350</v>
      </c>
      <c r="AT20">
        <f t="shared" si="3"/>
        <v>6975</v>
      </c>
      <c r="AW20">
        <v>3750</v>
      </c>
      <c r="BB20">
        <v>4250</v>
      </c>
      <c r="BG20">
        <v>3750</v>
      </c>
      <c r="BK20">
        <v>3750</v>
      </c>
      <c r="BN20">
        <f t="shared" si="4"/>
        <v>15500</v>
      </c>
    </row>
    <row r="21" spans="1:66" hidden="1" x14ac:dyDescent="0.2">
      <c r="A21" s="43" t="s">
        <v>28</v>
      </c>
      <c r="X21">
        <f t="shared" si="2"/>
        <v>0</v>
      </c>
      <c r="AT21">
        <f t="shared" si="3"/>
        <v>0</v>
      </c>
      <c r="BN21">
        <f t="shared" si="4"/>
        <v>0</v>
      </c>
    </row>
    <row r="22" spans="1:66" hidden="1" x14ac:dyDescent="0.2">
      <c r="A22" s="43" t="s">
        <v>29</v>
      </c>
      <c r="F22">
        <v>10</v>
      </c>
      <c r="J22">
        <v>10</v>
      </c>
      <c r="O22">
        <v>10</v>
      </c>
      <c r="T22">
        <v>10</v>
      </c>
      <c r="X22">
        <f t="shared" si="2"/>
        <v>40</v>
      </c>
      <c r="Z22">
        <v>20</v>
      </c>
      <c r="AE22">
        <v>20</v>
      </c>
      <c r="AJ22">
        <v>20</v>
      </c>
      <c r="AN22">
        <v>20</v>
      </c>
      <c r="AS22">
        <v>75</v>
      </c>
      <c r="AT22">
        <f t="shared" si="3"/>
        <v>155</v>
      </c>
      <c r="AY22">
        <v>40</v>
      </c>
      <c r="BD22">
        <v>40</v>
      </c>
      <c r="BI22">
        <v>40</v>
      </c>
      <c r="BM22">
        <v>40</v>
      </c>
      <c r="BN22">
        <f t="shared" si="4"/>
        <v>160</v>
      </c>
    </row>
    <row r="23" spans="1:66" hidden="1" x14ac:dyDescent="0.2">
      <c r="A23" s="43" t="s">
        <v>30</v>
      </c>
      <c r="E23">
        <f>46+9</f>
        <v>55</v>
      </c>
      <c r="X23">
        <f t="shared" si="2"/>
        <v>55</v>
      </c>
      <c r="AC23">
        <v>200</v>
      </c>
      <c r="AL23">
        <v>100</v>
      </c>
      <c r="AT23">
        <f t="shared" si="3"/>
        <v>300</v>
      </c>
      <c r="AY23">
        <v>250</v>
      </c>
      <c r="BH23">
        <v>150</v>
      </c>
      <c r="BN23">
        <f t="shared" si="4"/>
        <v>400</v>
      </c>
    </row>
    <row r="24" spans="1:66" hidden="1" x14ac:dyDescent="0.2">
      <c r="A24" s="43" t="s">
        <v>31</v>
      </c>
      <c r="G24">
        <v>85</v>
      </c>
      <c r="X24">
        <f t="shared" si="2"/>
        <v>85</v>
      </c>
      <c r="AT24">
        <f t="shared" si="3"/>
        <v>0</v>
      </c>
      <c r="BN24">
        <f t="shared" si="4"/>
        <v>0</v>
      </c>
    </row>
    <row r="25" spans="1:66" hidden="1" x14ac:dyDescent="0.2">
      <c r="A25" s="43" t="s">
        <v>32</v>
      </c>
      <c r="E25">
        <v>116</v>
      </c>
      <c r="X25">
        <f t="shared" si="2"/>
        <v>116</v>
      </c>
      <c r="AE25">
        <v>150</v>
      </c>
      <c r="AO25">
        <v>150</v>
      </c>
      <c r="AT25">
        <f t="shared" si="3"/>
        <v>300</v>
      </c>
      <c r="AZ25">
        <v>300</v>
      </c>
      <c r="BK25">
        <v>200</v>
      </c>
      <c r="BN25">
        <f t="shared" si="4"/>
        <v>500</v>
      </c>
    </row>
    <row r="26" spans="1:66" hidden="1" x14ac:dyDescent="0.2">
      <c r="A26" s="43" t="s">
        <v>33</v>
      </c>
      <c r="C26">
        <f>626+216</f>
        <v>842</v>
      </c>
      <c r="D26">
        <v>104</v>
      </c>
      <c r="H26">
        <v>1096</v>
      </c>
      <c r="X26">
        <f t="shared" si="2"/>
        <v>2042</v>
      </c>
      <c r="AE26">
        <v>800</v>
      </c>
      <c r="AT26">
        <f t="shared" si="3"/>
        <v>800</v>
      </c>
      <c r="AY26">
        <v>1200</v>
      </c>
      <c r="BN26">
        <f t="shared" si="4"/>
        <v>1200</v>
      </c>
    </row>
    <row r="27" spans="1:66" hidden="1" x14ac:dyDescent="0.2">
      <c r="A27" s="43" t="s">
        <v>34</v>
      </c>
      <c r="K27">
        <v>100</v>
      </c>
      <c r="X27">
        <f t="shared" si="2"/>
        <v>100</v>
      </c>
      <c r="AI27">
        <v>150</v>
      </c>
      <c r="AT27">
        <f t="shared" si="3"/>
        <v>150</v>
      </c>
      <c r="BN27">
        <f t="shared" si="4"/>
        <v>0</v>
      </c>
    </row>
    <row r="28" spans="1:66" hidden="1" x14ac:dyDescent="0.2">
      <c r="A28" s="43" t="s">
        <v>35</v>
      </c>
      <c r="X28">
        <f t="shared" si="2"/>
        <v>0</v>
      </c>
      <c r="AT28">
        <f t="shared" si="3"/>
        <v>0</v>
      </c>
      <c r="BN28">
        <f t="shared" si="4"/>
        <v>0</v>
      </c>
    </row>
    <row r="29" spans="1:66" hidden="1" x14ac:dyDescent="0.2">
      <c r="A29" s="43" t="s">
        <v>36</v>
      </c>
      <c r="X29">
        <f t="shared" si="2"/>
        <v>0</v>
      </c>
      <c r="AT29">
        <f t="shared" si="3"/>
        <v>0</v>
      </c>
      <c r="BN29">
        <f t="shared" si="4"/>
        <v>0</v>
      </c>
    </row>
    <row r="30" spans="1:66" hidden="1" x14ac:dyDescent="0.2">
      <c r="A30" s="43" t="s">
        <v>37</v>
      </c>
      <c r="E30">
        <v>58</v>
      </c>
      <c r="F30">
        <v>5</v>
      </c>
      <c r="I30">
        <v>70</v>
      </c>
      <c r="N30">
        <v>75</v>
      </c>
      <c r="S30">
        <v>75</v>
      </c>
      <c r="X30">
        <f t="shared" si="2"/>
        <v>283</v>
      </c>
      <c r="Y30">
        <v>100</v>
      </c>
      <c r="AD30">
        <v>100</v>
      </c>
      <c r="AI30">
        <v>100</v>
      </c>
      <c r="AN30">
        <v>100</v>
      </c>
      <c r="AR30">
        <v>100</v>
      </c>
      <c r="AT30">
        <f t="shared" si="3"/>
        <v>500</v>
      </c>
      <c r="AX30">
        <v>200</v>
      </c>
      <c r="BC30">
        <v>200</v>
      </c>
      <c r="BH30">
        <v>200</v>
      </c>
      <c r="BL30">
        <v>200</v>
      </c>
      <c r="BN30">
        <f t="shared" si="4"/>
        <v>800</v>
      </c>
    </row>
    <row r="31" spans="1:66" hidden="1" x14ac:dyDescent="0.2">
      <c r="A31" s="43" t="s">
        <v>38</v>
      </c>
      <c r="X31">
        <f t="shared" si="2"/>
        <v>0</v>
      </c>
      <c r="AT31">
        <f t="shared" si="3"/>
        <v>0</v>
      </c>
      <c r="BN31">
        <f t="shared" si="4"/>
        <v>0</v>
      </c>
    </row>
    <row r="32" spans="1:66" hidden="1" x14ac:dyDescent="0.2">
      <c r="A32" s="43" t="s">
        <v>39</v>
      </c>
      <c r="X32">
        <f t="shared" si="2"/>
        <v>0</v>
      </c>
      <c r="AT32">
        <f t="shared" si="3"/>
        <v>0</v>
      </c>
      <c r="BN32">
        <f t="shared" si="4"/>
        <v>0</v>
      </c>
    </row>
    <row r="33" spans="1:66" hidden="1" x14ac:dyDescent="0.2">
      <c r="A33" s="43" t="s">
        <v>160</v>
      </c>
      <c r="R33">
        <v>200</v>
      </c>
      <c r="X33">
        <f t="shared" si="2"/>
        <v>200</v>
      </c>
      <c r="AL33">
        <v>200</v>
      </c>
      <c r="AT33">
        <f t="shared" si="3"/>
        <v>200</v>
      </c>
      <c r="BJ33">
        <v>200</v>
      </c>
      <c r="BN33">
        <f t="shared" si="4"/>
        <v>200</v>
      </c>
    </row>
    <row r="34" spans="1:66" hidden="1" x14ac:dyDescent="0.2">
      <c r="A34" s="43" t="s">
        <v>40</v>
      </c>
    </row>
    <row r="35" spans="1:66" hidden="1" x14ac:dyDescent="0.2">
      <c r="A35" s="45" t="s">
        <v>41</v>
      </c>
    </row>
    <row r="36" spans="1:66" hidden="1" x14ac:dyDescent="0.2">
      <c r="A36" s="43" t="s">
        <v>42</v>
      </c>
    </row>
    <row r="37" spans="1:66" hidden="1" x14ac:dyDescent="0.2">
      <c r="A37" s="43" t="s">
        <v>43</v>
      </c>
    </row>
    <row r="38" spans="1:66" hidden="1" x14ac:dyDescent="0.2">
      <c r="A38" s="43" t="s">
        <v>44</v>
      </c>
    </row>
    <row r="39" spans="1:66" hidden="1" x14ac:dyDescent="0.2">
      <c r="A39" s="45" t="s">
        <v>45</v>
      </c>
    </row>
    <row r="40" spans="1:66" hidden="1" x14ac:dyDescent="0.2">
      <c r="A40" s="43" t="s">
        <v>169</v>
      </c>
      <c r="D40">
        <v>-10900</v>
      </c>
      <c r="F40">
        <v>290</v>
      </c>
      <c r="O40">
        <v>-900</v>
      </c>
      <c r="P40">
        <v>0</v>
      </c>
      <c r="X40">
        <f t="shared" ref="X40:X45" si="5">SUM(B40:W40)</f>
        <v>-11510</v>
      </c>
      <c r="AA40">
        <v>-7400</v>
      </c>
      <c r="AT40">
        <f t="shared" ref="AT40:AT45" si="6">SUM(Y40:AS40)</f>
        <v>-7400</v>
      </c>
      <c r="AW40">
        <v>-3700</v>
      </c>
      <c r="BN40">
        <f t="shared" ref="BN40:BN45" si="7">SUM(AU40:BM40)</f>
        <v>-3700</v>
      </c>
    </row>
    <row r="41" spans="1:66" hidden="1" x14ac:dyDescent="0.2">
      <c r="A41" s="43" t="s">
        <v>46</v>
      </c>
      <c r="X41">
        <f t="shared" si="5"/>
        <v>0</v>
      </c>
      <c r="AT41">
        <f t="shared" si="6"/>
        <v>0</v>
      </c>
      <c r="BN41">
        <f t="shared" si="7"/>
        <v>0</v>
      </c>
    </row>
    <row r="42" spans="1:66" hidden="1" x14ac:dyDescent="0.2">
      <c r="A42" s="43" t="s">
        <v>47</v>
      </c>
      <c r="X42">
        <f t="shared" si="5"/>
        <v>0</v>
      </c>
      <c r="AT42">
        <f t="shared" si="6"/>
        <v>0</v>
      </c>
      <c r="BN42">
        <f t="shared" si="7"/>
        <v>0</v>
      </c>
    </row>
    <row r="43" spans="1:66" hidden="1" x14ac:dyDescent="0.2">
      <c r="A43" s="43" t="s">
        <v>48</v>
      </c>
      <c r="X43">
        <f t="shared" si="5"/>
        <v>0</v>
      </c>
      <c r="AT43">
        <f t="shared" si="6"/>
        <v>0</v>
      </c>
      <c r="BN43">
        <f t="shared" si="7"/>
        <v>0</v>
      </c>
    </row>
    <row r="44" spans="1:66" hidden="1" x14ac:dyDescent="0.2">
      <c r="A44" s="43" t="s">
        <v>49</v>
      </c>
      <c r="X44">
        <f t="shared" si="5"/>
        <v>0</v>
      </c>
      <c r="AT44">
        <f t="shared" si="6"/>
        <v>0</v>
      </c>
      <c r="BN44">
        <f t="shared" si="7"/>
        <v>0</v>
      </c>
    </row>
    <row r="45" spans="1:66" x14ac:dyDescent="0.2">
      <c r="A45" s="43" t="s">
        <v>165</v>
      </c>
      <c r="B45" s="48"/>
      <c r="C45" s="48"/>
      <c r="D45" s="48"/>
      <c r="E45" s="48">
        <v>247</v>
      </c>
      <c r="F45" s="48">
        <v>497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>
        <f t="shared" si="5"/>
        <v>744</v>
      </c>
      <c r="Y45" s="48"/>
      <c r="Z45" s="48"/>
      <c r="AA45" s="48"/>
      <c r="AB45" s="48">
        <v>250</v>
      </c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>
        <f t="shared" si="6"/>
        <v>250</v>
      </c>
      <c r="AU45" s="48"/>
      <c r="AV45" s="48"/>
      <c r="AW45" s="48"/>
      <c r="AX45" s="48"/>
      <c r="AY45" s="48">
        <v>250</v>
      </c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>
        <f t="shared" si="7"/>
        <v>250</v>
      </c>
    </row>
    <row r="46" spans="1:66" x14ac:dyDescent="0.2">
      <c r="A46" s="43" t="s">
        <v>50</v>
      </c>
      <c r="B46" s="49">
        <f>SUM(B13:B45)-B40</f>
        <v>2121</v>
      </c>
      <c r="C46" s="49">
        <f t="shared" ref="C46:BN46" si="8">SUM(C13:C45)-C40</f>
        <v>342</v>
      </c>
      <c r="D46" s="49">
        <f t="shared" si="8"/>
        <v>1642</v>
      </c>
      <c r="E46" s="49">
        <f t="shared" si="8"/>
        <v>476</v>
      </c>
      <c r="F46" s="49">
        <f t="shared" si="8"/>
        <v>512</v>
      </c>
      <c r="G46" s="49">
        <f t="shared" si="8"/>
        <v>4108</v>
      </c>
      <c r="H46" s="49">
        <f t="shared" si="8"/>
        <v>2096</v>
      </c>
      <c r="I46" s="49">
        <f t="shared" si="8"/>
        <v>70</v>
      </c>
      <c r="J46" s="49">
        <f t="shared" si="8"/>
        <v>10</v>
      </c>
      <c r="K46" s="49">
        <f t="shared" si="8"/>
        <v>2400</v>
      </c>
      <c r="L46" s="49">
        <f t="shared" si="8"/>
        <v>0</v>
      </c>
      <c r="M46" s="49">
        <f t="shared" si="8"/>
        <v>1000</v>
      </c>
      <c r="N46" s="49">
        <f t="shared" si="8"/>
        <v>75</v>
      </c>
      <c r="O46" s="49">
        <f t="shared" si="8"/>
        <v>10</v>
      </c>
      <c r="P46" s="49">
        <f t="shared" si="8"/>
        <v>7420</v>
      </c>
      <c r="Q46" s="49">
        <f t="shared" si="8"/>
        <v>0</v>
      </c>
      <c r="R46" s="49">
        <f t="shared" si="8"/>
        <v>1200</v>
      </c>
      <c r="S46" s="49">
        <f t="shared" si="8"/>
        <v>75</v>
      </c>
      <c r="T46" s="49">
        <f t="shared" si="8"/>
        <v>10</v>
      </c>
      <c r="U46" s="49">
        <f t="shared" si="8"/>
        <v>1300</v>
      </c>
      <c r="V46" s="49">
        <f t="shared" si="8"/>
        <v>0</v>
      </c>
      <c r="W46" s="49">
        <f t="shared" si="8"/>
        <v>900</v>
      </c>
      <c r="X46" s="49">
        <f t="shared" si="8"/>
        <v>25767</v>
      </c>
      <c r="Y46" s="49">
        <f t="shared" si="8"/>
        <v>200</v>
      </c>
      <c r="Z46" s="49">
        <f t="shared" si="8"/>
        <v>120</v>
      </c>
      <c r="AA46" s="49">
        <f t="shared" si="8"/>
        <v>2300</v>
      </c>
      <c r="AB46" s="49">
        <f t="shared" si="8"/>
        <v>350</v>
      </c>
      <c r="AC46" s="49">
        <f t="shared" si="8"/>
        <v>2325</v>
      </c>
      <c r="AD46" s="49">
        <f t="shared" si="8"/>
        <v>200</v>
      </c>
      <c r="AE46" s="49">
        <f t="shared" si="8"/>
        <v>1070</v>
      </c>
      <c r="AF46" s="49">
        <f t="shared" si="8"/>
        <v>2850</v>
      </c>
      <c r="AG46" s="49">
        <f t="shared" si="8"/>
        <v>100</v>
      </c>
      <c r="AH46" s="49">
        <f t="shared" si="8"/>
        <v>2000</v>
      </c>
      <c r="AI46" s="49">
        <f t="shared" si="8"/>
        <v>350</v>
      </c>
      <c r="AJ46" s="49">
        <f t="shared" si="8"/>
        <v>120</v>
      </c>
      <c r="AK46" s="49">
        <f t="shared" si="8"/>
        <v>2850</v>
      </c>
      <c r="AL46" s="49">
        <f t="shared" si="8"/>
        <v>10120</v>
      </c>
      <c r="AM46" s="49">
        <f t="shared" si="8"/>
        <v>1800</v>
      </c>
      <c r="AN46" s="49">
        <f t="shared" si="8"/>
        <v>220</v>
      </c>
      <c r="AO46" s="49">
        <f t="shared" si="8"/>
        <v>2350</v>
      </c>
      <c r="AP46" s="49">
        <f t="shared" si="8"/>
        <v>100</v>
      </c>
      <c r="AQ46" s="49">
        <f t="shared" si="8"/>
        <v>1450</v>
      </c>
      <c r="AR46" s="49">
        <f t="shared" si="8"/>
        <v>200</v>
      </c>
      <c r="AS46" s="49">
        <f t="shared" si="8"/>
        <v>175</v>
      </c>
      <c r="AT46" s="49">
        <f t="shared" si="8"/>
        <v>31250</v>
      </c>
      <c r="AU46" s="49">
        <f t="shared" si="8"/>
        <v>2000</v>
      </c>
      <c r="AV46" s="49">
        <f t="shared" si="8"/>
        <v>0</v>
      </c>
      <c r="AW46" s="49">
        <f t="shared" si="8"/>
        <v>3750</v>
      </c>
      <c r="AX46" s="49">
        <f t="shared" si="8"/>
        <v>200</v>
      </c>
      <c r="AY46" s="49">
        <f t="shared" si="8"/>
        <v>1740</v>
      </c>
      <c r="AZ46" s="49">
        <f t="shared" si="8"/>
        <v>3300</v>
      </c>
      <c r="BA46" s="49">
        <f t="shared" si="8"/>
        <v>0</v>
      </c>
      <c r="BB46" s="49">
        <f t="shared" si="8"/>
        <v>4250</v>
      </c>
      <c r="BC46" s="49">
        <f t="shared" si="8"/>
        <v>200</v>
      </c>
      <c r="BD46" s="49">
        <f t="shared" si="8"/>
        <v>40</v>
      </c>
      <c r="BE46" s="49">
        <f t="shared" si="8"/>
        <v>3500</v>
      </c>
      <c r="BF46" s="49">
        <f t="shared" si="8"/>
        <v>0</v>
      </c>
      <c r="BG46" s="49">
        <f t="shared" si="8"/>
        <v>3750</v>
      </c>
      <c r="BH46" s="49">
        <f t="shared" si="8"/>
        <v>19820</v>
      </c>
      <c r="BI46" s="49">
        <f t="shared" si="8"/>
        <v>40</v>
      </c>
      <c r="BJ46" s="49">
        <f t="shared" si="8"/>
        <v>3450</v>
      </c>
      <c r="BK46" s="49">
        <f t="shared" si="8"/>
        <v>3950</v>
      </c>
      <c r="BL46" s="49">
        <f t="shared" si="8"/>
        <v>200</v>
      </c>
      <c r="BM46" s="49">
        <f t="shared" si="8"/>
        <v>40</v>
      </c>
      <c r="BN46" s="49">
        <f t="shared" si="8"/>
        <v>50230</v>
      </c>
    </row>
    <row r="48" spans="1:66" x14ac:dyDescent="0.2">
      <c r="A48" s="43" t="s">
        <v>51</v>
      </c>
    </row>
    <row r="49" spans="1:66" x14ac:dyDescent="0.2">
      <c r="A49" s="43" t="s">
        <v>52</v>
      </c>
      <c r="B49" s="50">
        <v>227</v>
      </c>
      <c r="C49" s="50">
        <v>454</v>
      </c>
      <c r="D49" s="50">
        <v>324</v>
      </c>
      <c r="E49" s="50">
        <f>412</f>
        <v>412</v>
      </c>
      <c r="F49" s="50">
        <v>995</v>
      </c>
      <c r="G49" s="50">
        <v>600</v>
      </c>
      <c r="H49" s="50">
        <v>600</v>
      </c>
      <c r="I49" s="50">
        <v>600</v>
      </c>
      <c r="J49" s="50">
        <v>400</v>
      </c>
      <c r="K49" s="50">
        <v>400</v>
      </c>
      <c r="L49" s="50">
        <v>400</v>
      </c>
      <c r="M49" s="50">
        <v>400</v>
      </c>
      <c r="N49" s="50">
        <v>400</v>
      </c>
      <c r="O49" s="50">
        <v>400</v>
      </c>
      <c r="P49" s="50">
        <v>400</v>
      </c>
      <c r="Q49" s="50">
        <v>400</v>
      </c>
      <c r="R49" s="50">
        <v>400</v>
      </c>
      <c r="S49" s="50">
        <v>400</v>
      </c>
      <c r="T49" s="50">
        <v>400</v>
      </c>
      <c r="U49" s="50">
        <v>400</v>
      </c>
      <c r="V49" s="50">
        <v>400</v>
      </c>
      <c r="W49" s="50">
        <v>400</v>
      </c>
      <c r="X49">
        <f>SUM(B49:W49)</f>
        <v>9812</v>
      </c>
      <c r="Y49" s="50">
        <v>400</v>
      </c>
      <c r="Z49" s="50">
        <v>400</v>
      </c>
      <c r="AA49" s="50">
        <v>400</v>
      </c>
      <c r="AB49" s="50">
        <v>400</v>
      </c>
      <c r="AC49" s="50">
        <v>400</v>
      </c>
      <c r="AD49" s="50">
        <v>400</v>
      </c>
      <c r="AE49" s="50">
        <v>375</v>
      </c>
      <c r="AF49" s="50">
        <v>375</v>
      </c>
      <c r="AG49" s="50">
        <v>375</v>
      </c>
      <c r="AH49" s="50">
        <v>375</v>
      </c>
      <c r="AI49" s="50">
        <v>375</v>
      </c>
      <c r="AJ49" s="50">
        <v>375</v>
      </c>
      <c r="AK49" s="50">
        <v>375</v>
      </c>
      <c r="AL49" s="50">
        <v>375</v>
      </c>
      <c r="AM49" s="50">
        <v>375</v>
      </c>
      <c r="AN49" s="50">
        <v>375</v>
      </c>
      <c r="AO49" s="50">
        <v>375</v>
      </c>
      <c r="AP49" s="50">
        <v>375</v>
      </c>
      <c r="AQ49" s="50">
        <v>375</v>
      </c>
      <c r="AR49" s="50">
        <v>375</v>
      </c>
      <c r="AS49" s="50">
        <v>375</v>
      </c>
      <c r="AT49">
        <f>SUM(Y49:AS49)</f>
        <v>8025</v>
      </c>
      <c r="AU49" s="50">
        <v>375</v>
      </c>
      <c r="AV49" s="50">
        <v>375</v>
      </c>
      <c r="AW49" s="50">
        <v>375</v>
      </c>
      <c r="AX49" s="50">
        <v>375</v>
      </c>
      <c r="AY49" s="50">
        <v>375</v>
      </c>
      <c r="AZ49" s="50">
        <v>375</v>
      </c>
      <c r="BA49" s="50">
        <v>375</v>
      </c>
      <c r="BB49" s="50">
        <v>375</v>
      </c>
      <c r="BC49" s="50">
        <v>375</v>
      </c>
      <c r="BD49" s="50">
        <v>375</v>
      </c>
      <c r="BE49" s="50">
        <v>375</v>
      </c>
      <c r="BF49" s="50">
        <v>375</v>
      </c>
      <c r="BG49" s="50">
        <v>375</v>
      </c>
      <c r="BH49" s="50">
        <v>375</v>
      </c>
      <c r="BI49" s="50">
        <v>375</v>
      </c>
      <c r="BJ49" s="50">
        <v>350</v>
      </c>
      <c r="BK49" s="50">
        <v>350</v>
      </c>
      <c r="BL49" s="50">
        <v>350</v>
      </c>
      <c r="BM49" s="50">
        <v>350</v>
      </c>
      <c r="BN49">
        <f>SUM(AU49:BM49)</f>
        <v>7025</v>
      </c>
    </row>
    <row r="50" spans="1:66" hidden="1" x14ac:dyDescent="0.2">
      <c r="A50" s="43" t="s">
        <v>53</v>
      </c>
      <c r="X50">
        <f>SUM(B50:W50)</f>
        <v>0</v>
      </c>
      <c r="AT50">
        <f>SUM(Y50:AS50)</f>
        <v>0</v>
      </c>
      <c r="BN50">
        <f>SUM(AU50:BM50)</f>
        <v>0</v>
      </c>
    </row>
    <row r="51" spans="1:66" x14ac:dyDescent="0.2">
      <c r="A51" s="43" t="s">
        <v>54</v>
      </c>
      <c r="B51">
        <f>SUM(B52:B94)-B40</f>
        <v>0</v>
      </c>
      <c r="C51">
        <f t="shared" ref="C51:BM51" si="9">SUM(C52:C94)-C40</f>
        <v>0</v>
      </c>
      <c r="D51">
        <f t="shared" si="9"/>
        <v>10900</v>
      </c>
      <c r="E51">
        <f t="shared" si="9"/>
        <v>0</v>
      </c>
      <c r="F51">
        <f t="shared" si="9"/>
        <v>301</v>
      </c>
      <c r="H51">
        <f t="shared" si="9"/>
        <v>0</v>
      </c>
      <c r="I51">
        <f t="shared" si="9"/>
        <v>0</v>
      </c>
      <c r="J51">
        <f t="shared" si="9"/>
        <v>175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900</v>
      </c>
      <c r="P51">
        <f t="shared" si="9"/>
        <v>14087</v>
      </c>
      <c r="Q51">
        <f t="shared" si="9"/>
        <v>0</v>
      </c>
      <c r="R51">
        <f t="shared" si="9"/>
        <v>0</v>
      </c>
      <c r="S51">
        <f t="shared" si="9"/>
        <v>10430</v>
      </c>
      <c r="T51">
        <f t="shared" si="9"/>
        <v>0</v>
      </c>
      <c r="U51">
        <f t="shared" si="9"/>
        <v>0</v>
      </c>
      <c r="V51">
        <f t="shared" si="9"/>
        <v>0</v>
      </c>
      <c r="W51">
        <f t="shared" si="9"/>
        <v>0</v>
      </c>
      <c r="X51">
        <f>SUM(B51:W51)</f>
        <v>36793</v>
      </c>
      <c r="Y51">
        <f t="shared" si="9"/>
        <v>0</v>
      </c>
      <c r="Z51">
        <f t="shared" si="9"/>
        <v>0</v>
      </c>
      <c r="AA51">
        <f t="shared" si="9"/>
        <v>7400</v>
      </c>
      <c r="AB51">
        <f t="shared" si="9"/>
        <v>0</v>
      </c>
      <c r="AC51">
        <f t="shared" si="9"/>
        <v>0</v>
      </c>
      <c r="AD51">
        <f t="shared" si="9"/>
        <v>0</v>
      </c>
      <c r="AE51">
        <f t="shared" si="9"/>
        <v>0</v>
      </c>
      <c r="AF51">
        <f t="shared" si="9"/>
        <v>1012</v>
      </c>
      <c r="AG51">
        <f t="shared" si="9"/>
        <v>0</v>
      </c>
      <c r="AH51">
        <f t="shared" si="9"/>
        <v>0</v>
      </c>
      <c r="AI51">
        <f t="shared" si="9"/>
        <v>0</v>
      </c>
      <c r="AJ51">
        <f t="shared" si="9"/>
        <v>0</v>
      </c>
      <c r="AK51">
        <f t="shared" si="9"/>
        <v>0</v>
      </c>
      <c r="AL51">
        <f t="shared" si="9"/>
        <v>14438</v>
      </c>
      <c r="AM51">
        <f t="shared" si="9"/>
        <v>0</v>
      </c>
      <c r="AN51">
        <f t="shared" si="9"/>
        <v>0</v>
      </c>
      <c r="AO51">
        <f t="shared" si="9"/>
        <v>7988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>SUM(Y51:AS51)</f>
        <v>30838</v>
      </c>
      <c r="AU51">
        <f t="shared" si="9"/>
        <v>0</v>
      </c>
      <c r="AV51">
        <f t="shared" si="9"/>
        <v>0</v>
      </c>
      <c r="AW51">
        <f t="shared" si="9"/>
        <v>3700</v>
      </c>
      <c r="AX51">
        <f t="shared" si="9"/>
        <v>0</v>
      </c>
      <c r="AY51">
        <f t="shared" si="9"/>
        <v>0</v>
      </c>
      <c r="AZ51">
        <f t="shared" si="9"/>
        <v>1270</v>
      </c>
      <c r="BA51">
        <f t="shared" si="9"/>
        <v>0</v>
      </c>
      <c r="BB51">
        <f t="shared" si="9"/>
        <v>0</v>
      </c>
      <c r="BC51">
        <f t="shared" si="9"/>
        <v>0</v>
      </c>
      <c r="BD51">
        <f t="shared" si="9"/>
        <v>0</v>
      </c>
      <c r="BE51">
        <f t="shared" si="9"/>
        <v>0</v>
      </c>
      <c r="BF51">
        <f t="shared" si="9"/>
        <v>0</v>
      </c>
      <c r="BG51">
        <f t="shared" si="9"/>
        <v>0</v>
      </c>
      <c r="BH51">
        <f t="shared" si="9"/>
        <v>20330</v>
      </c>
      <c r="BI51">
        <f t="shared" si="9"/>
        <v>0</v>
      </c>
      <c r="BJ51">
        <f t="shared" si="9"/>
        <v>0</v>
      </c>
      <c r="BK51">
        <f t="shared" si="9"/>
        <v>13470</v>
      </c>
      <c r="BL51">
        <f t="shared" si="9"/>
        <v>0</v>
      </c>
      <c r="BM51">
        <f t="shared" si="9"/>
        <v>0</v>
      </c>
      <c r="BN51">
        <f>SUM(AU51:BM51)</f>
        <v>38770</v>
      </c>
    </row>
    <row r="52" spans="1:66" hidden="1" x14ac:dyDescent="0.2">
      <c r="A52" s="43" t="s">
        <v>41</v>
      </c>
      <c r="X52">
        <f t="shared" ref="X52:X83" si="10">SUM(B52:W52)</f>
        <v>0</v>
      </c>
      <c r="AL52">
        <f>12700-1012</f>
        <v>11688</v>
      </c>
      <c r="AT52">
        <f t="shared" ref="AT52:AT83" si="11">SUM(Y52:AS52)</f>
        <v>11688</v>
      </c>
      <c r="BH52">
        <f>14700-1270</f>
        <v>13430</v>
      </c>
      <c r="BN52">
        <f t="shared" ref="BN52:BN83" si="12">SUM(AU52:BM52)</f>
        <v>13430</v>
      </c>
    </row>
    <row r="53" spans="1:66" hidden="1" x14ac:dyDescent="0.2">
      <c r="A53" s="43" t="s">
        <v>55</v>
      </c>
      <c r="P53">
        <v>636</v>
      </c>
      <c r="X53">
        <f t="shared" si="10"/>
        <v>636</v>
      </c>
      <c r="AT53">
        <f t="shared" si="11"/>
        <v>0</v>
      </c>
      <c r="BN53">
        <f t="shared" si="12"/>
        <v>0</v>
      </c>
    </row>
    <row r="54" spans="1:66" hidden="1" x14ac:dyDescent="0.2">
      <c r="A54" s="43" t="s">
        <v>56</v>
      </c>
      <c r="X54">
        <f t="shared" si="10"/>
        <v>0</v>
      </c>
      <c r="AT54">
        <f t="shared" si="11"/>
        <v>0</v>
      </c>
      <c r="BN54">
        <f t="shared" si="12"/>
        <v>0</v>
      </c>
    </row>
    <row r="55" spans="1:66" hidden="1" x14ac:dyDescent="0.2">
      <c r="A55" s="43" t="s">
        <v>161</v>
      </c>
      <c r="P55">
        <v>149</v>
      </c>
      <c r="X55">
        <f t="shared" si="10"/>
        <v>149</v>
      </c>
      <c r="AT55">
        <f t="shared" si="11"/>
        <v>0</v>
      </c>
      <c r="BN55">
        <f t="shared" si="12"/>
        <v>0</v>
      </c>
    </row>
    <row r="56" spans="1:66" hidden="1" x14ac:dyDescent="0.2">
      <c r="A56" s="43" t="s">
        <v>57</v>
      </c>
      <c r="P56">
        <v>368</v>
      </c>
      <c r="X56">
        <f t="shared" si="10"/>
        <v>368</v>
      </c>
      <c r="AT56">
        <f t="shared" si="11"/>
        <v>0</v>
      </c>
      <c r="BN56">
        <f t="shared" si="12"/>
        <v>0</v>
      </c>
    </row>
    <row r="57" spans="1:66" hidden="1" x14ac:dyDescent="0.2">
      <c r="A57" s="43" t="s">
        <v>58</v>
      </c>
      <c r="P57">
        <v>-11</v>
      </c>
      <c r="X57">
        <f t="shared" si="10"/>
        <v>-11</v>
      </c>
      <c r="AT57">
        <f t="shared" si="11"/>
        <v>0</v>
      </c>
      <c r="BN57">
        <f t="shared" si="12"/>
        <v>0</v>
      </c>
    </row>
    <row r="58" spans="1:66" hidden="1" x14ac:dyDescent="0.2">
      <c r="A58" s="43" t="s">
        <v>59</v>
      </c>
      <c r="X58">
        <f t="shared" si="10"/>
        <v>0</v>
      </c>
      <c r="AT58">
        <f t="shared" si="11"/>
        <v>0</v>
      </c>
      <c r="BN58">
        <f t="shared" si="12"/>
        <v>0</v>
      </c>
    </row>
    <row r="59" spans="1:66" hidden="1" x14ac:dyDescent="0.2">
      <c r="A59" s="43" t="s">
        <v>60</v>
      </c>
      <c r="X59">
        <f t="shared" si="10"/>
        <v>0</v>
      </c>
      <c r="AT59">
        <f t="shared" si="11"/>
        <v>0</v>
      </c>
      <c r="BN59">
        <f t="shared" si="12"/>
        <v>0</v>
      </c>
    </row>
    <row r="60" spans="1:66" hidden="1" x14ac:dyDescent="0.2">
      <c r="A60" s="43" t="s">
        <v>61</v>
      </c>
      <c r="P60">
        <v>10664</v>
      </c>
      <c r="X60">
        <f t="shared" si="10"/>
        <v>10664</v>
      </c>
      <c r="AT60">
        <f t="shared" si="11"/>
        <v>0</v>
      </c>
      <c r="BN60">
        <f t="shared" si="12"/>
        <v>0</v>
      </c>
    </row>
    <row r="61" spans="1:66" hidden="1" x14ac:dyDescent="0.2">
      <c r="A61" s="43" t="s">
        <v>76</v>
      </c>
      <c r="S61">
        <v>972</v>
      </c>
      <c r="X61">
        <f t="shared" si="10"/>
        <v>972</v>
      </c>
      <c r="AT61">
        <f t="shared" si="11"/>
        <v>0</v>
      </c>
      <c r="BN61">
        <f t="shared" si="12"/>
        <v>0</v>
      </c>
    </row>
    <row r="62" spans="1:66" hidden="1" x14ac:dyDescent="0.2">
      <c r="A62" s="43" t="s">
        <v>62</v>
      </c>
      <c r="J62">
        <v>175</v>
      </c>
      <c r="P62">
        <v>495</v>
      </c>
      <c r="X62">
        <f t="shared" si="10"/>
        <v>670</v>
      </c>
      <c r="AT62">
        <f t="shared" si="11"/>
        <v>0</v>
      </c>
      <c r="BN62">
        <f t="shared" si="12"/>
        <v>0</v>
      </c>
    </row>
    <row r="63" spans="1:66" hidden="1" x14ac:dyDescent="0.2">
      <c r="A63" s="43" t="s">
        <v>63</v>
      </c>
      <c r="X63">
        <f t="shared" si="10"/>
        <v>0</v>
      </c>
      <c r="AT63">
        <f t="shared" si="11"/>
        <v>0</v>
      </c>
      <c r="BN63">
        <f t="shared" si="12"/>
        <v>0</v>
      </c>
    </row>
    <row r="64" spans="1:66" hidden="1" x14ac:dyDescent="0.2">
      <c r="A64" s="43" t="s">
        <v>64</v>
      </c>
      <c r="P64" s="51">
        <v>3664</v>
      </c>
      <c r="X64">
        <f t="shared" si="10"/>
        <v>3664</v>
      </c>
      <c r="AT64">
        <f t="shared" si="11"/>
        <v>0</v>
      </c>
      <c r="BN64">
        <f t="shared" si="12"/>
        <v>0</v>
      </c>
    </row>
    <row r="65" spans="1:66" hidden="1" x14ac:dyDescent="0.2">
      <c r="A65" s="43" t="s">
        <v>65</v>
      </c>
      <c r="X65">
        <f t="shared" si="10"/>
        <v>0</v>
      </c>
      <c r="AT65">
        <f t="shared" si="11"/>
        <v>0</v>
      </c>
      <c r="BN65">
        <f t="shared" si="12"/>
        <v>0</v>
      </c>
    </row>
    <row r="66" spans="1:66" hidden="1" x14ac:dyDescent="0.2">
      <c r="A66" s="43" t="s">
        <v>162</v>
      </c>
      <c r="B66">
        <v>0</v>
      </c>
      <c r="X66">
        <f t="shared" si="10"/>
        <v>0</v>
      </c>
      <c r="AT66">
        <f t="shared" si="11"/>
        <v>0</v>
      </c>
      <c r="BN66">
        <f t="shared" si="12"/>
        <v>0</v>
      </c>
    </row>
    <row r="67" spans="1:66" hidden="1" x14ac:dyDescent="0.2">
      <c r="A67" s="43" t="s">
        <v>163</v>
      </c>
      <c r="P67">
        <v>-27</v>
      </c>
      <c r="X67">
        <f t="shared" si="10"/>
        <v>-27</v>
      </c>
      <c r="AT67">
        <f t="shared" si="11"/>
        <v>0</v>
      </c>
      <c r="BN67">
        <f t="shared" si="12"/>
        <v>0</v>
      </c>
    </row>
    <row r="68" spans="1:66" hidden="1" x14ac:dyDescent="0.2">
      <c r="A68" s="43" t="s">
        <v>66</v>
      </c>
      <c r="P68">
        <v>-3031</v>
      </c>
      <c r="X68">
        <f t="shared" si="10"/>
        <v>-3031</v>
      </c>
      <c r="AF68">
        <v>1012</v>
      </c>
      <c r="AT68">
        <f t="shared" si="11"/>
        <v>1012</v>
      </c>
      <c r="AZ68">
        <f>924+346</f>
        <v>1270</v>
      </c>
      <c r="BN68">
        <f t="shared" si="12"/>
        <v>1270</v>
      </c>
    </row>
    <row r="69" spans="1:66" hidden="1" x14ac:dyDescent="0.2">
      <c r="A69" s="43" t="s">
        <v>67</v>
      </c>
      <c r="P69">
        <v>-170</v>
      </c>
      <c r="X69">
        <f t="shared" si="10"/>
        <v>-170</v>
      </c>
      <c r="AT69">
        <f t="shared" si="11"/>
        <v>0</v>
      </c>
      <c r="BN69">
        <f t="shared" si="12"/>
        <v>0</v>
      </c>
    </row>
    <row r="70" spans="1:66" hidden="1" x14ac:dyDescent="0.2">
      <c r="A70" s="43" t="s">
        <v>68</v>
      </c>
      <c r="X70">
        <f t="shared" si="10"/>
        <v>0</v>
      </c>
      <c r="AT70">
        <f t="shared" si="11"/>
        <v>0</v>
      </c>
      <c r="BN70">
        <f t="shared" si="12"/>
        <v>0</v>
      </c>
    </row>
    <row r="71" spans="1:66" hidden="1" x14ac:dyDescent="0.2">
      <c r="A71" s="43" t="s">
        <v>45</v>
      </c>
      <c r="S71">
        <f>42+9</f>
        <v>51</v>
      </c>
      <c r="X71">
        <f t="shared" si="10"/>
        <v>51</v>
      </c>
      <c r="AO71">
        <v>7988</v>
      </c>
      <c r="AT71">
        <f t="shared" si="11"/>
        <v>7988</v>
      </c>
      <c r="BK71">
        <f>2370+11100</f>
        <v>13470</v>
      </c>
      <c r="BN71">
        <f t="shared" si="12"/>
        <v>13470</v>
      </c>
    </row>
    <row r="72" spans="1:66" hidden="1" x14ac:dyDescent="0.2">
      <c r="A72" s="43" t="s">
        <v>69</v>
      </c>
      <c r="S72">
        <v>-55</v>
      </c>
      <c r="X72">
        <f t="shared" si="10"/>
        <v>-55</v>
      </c>
      <c r="AT72">
        <f t="shared" si="11"/>
        <v>0</v>
      </c>
      <c r="BN72">
        <f t="shared" si="12"/>
        <v>0</v>
      </c>
    </row>
    <row r="73" spans="1:66" hidden="1" x14ac:dyDescent="0.2">
      <c r="A73" s="43" t="s">
        <v>70</v>
      </c>
      <c r="S73">
        <v>217</v>
      </c>
      <c r="X73">
        <f t="shared" si="10"/>
        <v>217</v>
      </c>
      <c r="AT73">
        <f t="shared" si="11"/>
        <v>0</v>
      </c>
      <c r="BN73">
        <f t="shared" si="12"/>
        <v>0</v>
      </c>
    </row>
    <row r="74" spans="1:66" hidden="1" x14ac:dyDescent="0.2">
      <c r="A74" s="43" t="s">
        <v>71</v>
      </c>
      <c r="X74">
        <f t="shared" si="10"/>
        <v>0</v>
      </c>
      <c r="AT74">
        <f t="shared" si="11"/>
        <v>0</v>
      </c>
      <c r="BN74">
        <f t="shared" si="12"/>
        <v>0</v>
      </c>
    </row>
    <row r="75" spans="1:66" hidden="1" x14ac:dyDescent="0.2">
      <c r="A75" s="43" t="s">
        <v>72</v>
      </c>
      <c r="S75">
        <v>286</v>
      </c>
      <c r="X75">
        <f t="shared" si="10"/>
        <v>286</v>
      </c>
      <c r="AT75">
        <f t="shared" si="11"/>
        <v>0</v>
      </c>
      <c r="BN75">
        <f t="shared" si="12"/>
        <v>0</v>
      </c>
    </row>
    <row r="76" spans="1:66" hidden="1" x14ac:dyDescent="0.2">
      <c r="A76" s="43" t="s">
        <v>73</v>
      </c>
      <c r="F76">
        <v>318</v>
      </c>
      <c r="S76">
        <v>299</v>
      </c>
      <c r="X76">
        <f t="shared" si="10"/>
        <v>617</v>
      </c>
      <c r="AT76">
        <f t="shared" si="11"/>
        <v>0</v>
      </c>
      <c r="BN76">
        <f t="shared" si="12"/>
        <v>0</v>
      </c>
    </row>
    <row r="77" spans="1:66" hidden="1" x14ac:dyDescent="0.2">
      <c r="A77" s="43" t="s">
        <v>74</v>
      </c>
      <c r="X77">
        <f t="shared" si="10"/>
        <v>0</v>
      </c>
      <c r="AT77">
        <f t="shared" si="11"/>
        <v>0</v>
      </c>
      <c r="BN77">
        <f t="shared" si="12"/>
        <v>0</v>
      </c>
    </row>
    <row r="78" spans="1:66" hidden="1" x14ac:dyDescent="0.2">
      <c r="A78" s="43" t="s">
        <v>58</v>
      </c>
      <c r="S78">
        <v>700</v>
      </c>
      <c r="X78">
        <f t="shared" si="10"/>
        <v>700</v>
      </c>
      <c r="AT78">
        <f t="shared" si="11"/>
        <v>0</v>
      </c>
      <c r="BN78">
        <f t="shared" si="12"/>
        <v>0</v>
      </c>
    </row>
    <row r="79" spans="1:66" hidden="1" x14ac:dyDescent="0.2">
      <c r="A79" s="43" t="s">
        <v>75</v>
      </c>
      <c r="X79">
        <f t="shared" si="10"/>
        <v>0</v>
      </c>
      <c r="AT79">
        <f t="shared" si="11"/>
        <v>0</v>
      </c>
      <c r="BN79">
        <f t="shared" si="12"/>
        <v>0</v>
      </c>
    </row>
    <row r="80" spans="1:66" hidden="1" x14ac:dyDescent="0.2">
      <c r="A80" s="43" t="s">
        <v>67</v>
      </c>
      <c r="S80">
        <v>822</v>
      </c>
      <c r="X80">
        <f t="shared" si="10"/>
        <v>822</v>
      </c>
      <c r="AT80">
        <f t="shared" si="11"/>
        <v>0</v>
      </c>
      <c r="BN80">
        <f t="shared" si="12"/>
        <v>0</v>
      </c>
    </row>
    <row r="81" spans="1:66" hidden="1" x14ac:dyDescent="0.2">
      <c r="A81" s="43" t="s">
        <v>77</v>
      </c>
      <c r="X81">
        <f t="shared" si="10"/>
        <v>0</v>
      </c>
      <c r="AT81">
        <f t="shared" si="11"/>
        <v>0</v>
      </c>
      <c r="BN81">
        <f t="shared" si="12"/>
        <v>0</v>
      </c>
    </row>
    <row r="82" spans="1:66" hidden="1" x14ac:dyDescent="0.2">
      <c r="A82" s="43" t="s">
        <v>78</v>
      </c>
      <c r="P82" s="51">
        <v>1350</v>
      </c>
      <c r="X82">
        <f t="shared" si="10"/>
        <v>1350</v>
      </c>
      <c r="AL82">
        <v>2750</v>
      </c>
      <c r="AT82">
        <f t="shared" si="11"/>
        <v>2750</v>
      </c>
      <c r="BH82">
        <v>6900</v>
      </c>
      <c r="BN82">
        <f t="shared" si="12"/>
        <v>6900</v>
      </c>
    </row>
    <row r="83" spans="1:66" hidden="1" x14ac:dyDescent="0.2">
      <c r="A83" s="43" t="s">
        <v>79</v>
      </c>
      <c r="F83">
        <v>273</v>
      </c>
      <c r="X83">
        <f t="shared" si="10"/>
        <v>273</v>
      </c>
      <c r="AT83">
        <f t="shared" si="11"/>
        <v>0</v>
      </c>
      <c r="BN83">
        <f t="shared" si="12"/>
        <v>0</v>
      </c>
    </row>
    <row r="84" spans="1:66" hidden="1" x14ac:dyDescent="0.2">
      <c r="A84" s="43" t="s">
        <v>80</v>
      </c>
      <c r="X84">
        <f t="shared" ref="X84:X115" si="13">SUM(B84:W84)</f>
        <v>0</v>
      </c>
      <c r="AT84">
        <f t="shared" ref="AT84:AT115" si="14">SUM(Y84:AS84)</f>
        <v>0</v>
      </c>
      <c r="BN84">
        <f t="shared" ref="BN84:BN115" si="15">SUM(AU84:BM84)</f>
        <v>0</v>
      </c>
    </row>
    <row r="85" spans="1:66" hidden="1" x14ac:dyDescent="0.2">
      <c r="A85" s="43" t="s">
        <v>81</v>
      </c>
      <c r="X85">
        <f t="shared" si="13"/>
        <v>0</v>
      </c>
      <c r="AT85">
        <f t="shared" si="14"/>
        <v>0</v>
      </c>
      <c r="BN85">
        <f t="shared" si="15"/>
        <v>0</v>
      </c>
    </row>
    <row r="86" spans="1:66" hidden="1" x14ac:dyDescent="0.2">
      <c r="A86" s="43" t="s">
        <v>63</v>
      </c>
      <c r="X86">
        <f t="shared" si="13"/>
        <v>0</v>
      </c>
      <c r="AT86">
        <f t="shared" si="14"/>
        <v>0</v>
      </c>
      <c r="BN86">
        <f t="shared" si="15"/>
        <v>0</v>
      </c>
    </row>
    <row r="87" spans="1:66" hidden="1" x14ac:dyDescent="0.2">
      <c r="A87" s="43" t="s">
        <v>82</v>
      </c>
      <c r="X87">
        <f t="shared" si="13"/>
        <v>0</v>
      </c>
      <c r="AT87">
        <f t="shared" si="14"/>
        <v>0</v>
      </c>
      <c r="BN87">
        <f t="shared" si="15"/>
        <v>0</v>
      </c>
    </row>
    <row r="88" spans="1:66" hidden="1" x14ac:dyDescent="0.2">
      <c r="A88" s="43" t="s">
        <v>83</v>
      </c>
      <c r="X88">
        <f t="shared" si="13"/>
        <v>0</v>
      </c>
      <c r="AT88">
        <f t="shared" si="14"/>
        <v>0</v>
      </c>
      <c r="BN88">
        <f t="shared" si="15"/>
        <v>0</v>
      </c>
    </row>
    <row r="89" spans="1:66" hidden="1" x14ac:dyDescent="0.2">
      <c r="A89" s="43" t="s">
        <v>84</v>
      </c>
      <c r="X89">
        <f t="shared" si="13"/>
        <v>0</v>
      </c>
      <c r="AT89">
        <f t="shared" si="14"/>
        <v>0</v>
      </c>
      <c r="BN89">
        <f t="shared" si="15"/>
        <v>0</v>
      </c>
    </row>
    <row r="90" spans="1:66" hidden="1" x14ac:dyDescent="0.2">
      <c r="A90" s="43" t="s">
        <v>85</v>
      </c>
      <c r="X90">
        <f t="shared" si="13"/>
        <v>0</v>
      </c>
      <c r="AT90">
        <f t="shared" si="14"/>
        <v>0</v>
      </c>
      <c r="BN90">
        <f t="shared" si="15"/>
        <v>0</v>
      </c>
    </row>
    <row r="91" spans="1:66" hidden="1" x14ac:dyDescent="0.2">
      <c r="A91" s="43" t="s">
        <v>86</v>
      </c>
      <c r="X91">
        <f t="shared" si="13"/>
        <v>0</v>
      </c>
      <c r="AT91">
        <f t="shared" si="14"/>
        <v>0</v>
      </c>
      <c r="BN91">
        <f t="shared" si="15"/>
        <v>0</v>
      </c>
    </row>
    <row r="92" spans="1:66" hidden="1" x14ac:dyDescent="0.2">
      <c r="A92" s="43" t="s">
        <v>31</v>
      </c>
      <c r="X92">
        <f t="shared" si="13"/>
        <v>0</v>
      </c>
      <c r="AT92">
        <f t="shared" si="14"/>
        <v>0</v>
      </c>
      <c r="BN92">
        <f t="shared" si="15"/>
        <v>0</v>
      </c>
    </row>
    <row r="93" spans="1:66" hidden="1" x14ac:dyDescent="0.2">
      <c r="A93" s="43" t="s">
        <v>87</v>
      </c>
      <c r="S93">
        <v>7138</v>
      </c>
      <c r="X93">
        <f t="shared" si="13"/>
        <v>7138</v>
      </c>
      <c r="AT93">
        <f t="shared" si="14"/>
        <v>0</v>
      </c>
      <c r="BN93">
        <f t="shared" si="15"/>
        <v>0</v>
      </c>
    </row>
    <row r="94" spans="1:66" hidden="1" x14ac:dyDescent="0.2">
      <c r="A94" s="43" t="s">
        <v>88</v>
      </c>
      <c r="X94">
        <f t="shared" si="13"/>
        <v>0</v>
      </c>
      <c r="AT94">
        <f t="shared" si="14"/>
        <v>0</v>
      </c>
      <c r="BN94">
        <f t="shared" si="15"/>
        <v>0</v>
      </c>
    </row>
    <row r="95" spans="1:66" ht="12.75" hidden="1" customHeight="1" x14ac:dyDescent="0.2">
      <c r="A95" s="43" t="s">
        <v>89</v>
      </c>
      <c r="X95">
        <f t="shared" si="13"/>
        <v>0</v>
      </c>
      <c r="AT95">
        <f t="shared" si="14"/>
        <v>0</v>
      </c>
      <c r="BN95">
        <f t="shared" si="15"/>
        <v>0</v>
      </c>
    </row>
    <row r="96" spans="1:66" x14ac:dyDescent="0.2">
      <c r="A96" s="43" t="s">
        <v>1</v>
      </c>
      <c r="P96">
        <v>4400</v>
      </c>
      <c r="X96">
        <f t="shared" si="13"/>
        <v>4400</v>
      </c>
      <c r="Y96">
        <v>1500</v>
      </c>
      <c r="AM96">
        <v>3200</v>
      </c>
      <c r="AT96">
        <f t="shared" si="14"/>
        <v>4700</v>
      </c>
      <c r="AU96">
        <v>800</v>
      </c>
      <c r="BI96">
        <v>3000</v>
      </c>
      <c r="BM96" s="51">
        <v>1000</v>
      </c>
      <c r="BN96">
        <f t="shared" si="15"/>
        <v>4800</v>
      </c>
    </row>
    <row r="97" spans="1:66" hidden="1" x14ac:dyDescent="0.2">
      <c r="A97" s="43" t="s">
        <v>90</v>
      </c>
      <c r="X97">
        <f t="shared" si="13"/>
        <v>0</v>
      </c>
      <c r="AT97">
        <f t="shared" si="14"/>
        <v>0</v>
      </c>
      <c r="BN97">
        <f t="shared" si="15"/>
        <v>0</v>
      </c>
    </row>
    <row r="98" spans="1:66" hidden="1" x14ac:dyDescent="0.2">
      <c r="A98" s="43" t="s">
        <v>91</v>
      </c>
      <c r="X98">
        <f t="shared" si="13"/>
        <v>0</v>
      </c>
      <c r="AT98">
        <f t="shared" si="14"/>
        <v>0</v>
      </c>
      <c r="BN98">
        <f t="shared" si="15"/>
        <v>0</v>
      </c>
    </row>
    <row r="99" spans="1:66" x14ac:dyDescent="0.2">
      <c r="A99" s="43" t="s">
        <v>92</v>
      </c>
      <c r="R99">
        <v>0</v>
      </c>
      <c r="X99">
        <f t="shared" si="13"/>
        <v>0</v>
      </c>
      <c r="AN99">
        <v>3100</v>
      </c>
      <c r="AT99">
        <f t="shared" si="14"/>
        <v>3100</v>
      </c>
      <c r="BJ99">
        <f>3100+3100</f>
        <v>6200</v>
      </c>
      <c r="BN99">
        <f t="shared" si="15"/>
        <v>6200</v>
      </c>
    </row>
    <row r="100" spans="1:66" hidden="1" x14ac:dyDescent="0.2">
      <c r="A100" s="43" t="s">
        <v>93</v>
      </c>
      <c r="X100">
        <f t="shared" si="13"/>
        <v>0</v>
      </c>
      <c r="AT100">
        <f t="shared" si="14"/>
        <v>0</v>
      </c>
      <c r="BN100">
        <f t="shared" si="15"/>
        <v>0</v>
      </c>
    </row>
    <row r="101" spans="1:66" hidden="1" x14ac:dyDescent="0.2">
      <c r="A101" s="43" t="s">
        <v>94</v>
      </c>
      <c r="X101">
        <f t="shared" si="13"/>
        <v>0</v>
      </c>
      <c r="AT101">
        <f t="shared" si="14"/>
        <v>0</v>
      </c>
      <c r="BN101">
        <f t="shared" si="15"/>
        <v>0</v>
      </c>
    </row>
    <row r="102" spans="1:66" hidden="1" x14ac:dyDescent="0.2">
      <c r="A102" s="43" t="s">
        <v>95</v>
      </c>
      <c r="X102">
        <f t="shared" si="13"/>
        <v>0</v>
      </c>
      <c r="AT102">
        <f t="shared" si="14"/>
        <v>0</v>
      </c>
      <c r="BN102">
        <f t="shared" si="15"/>
        <v>0</v>
      </c>
    </row>
    <row r="103" spans="1:66" hidden="1" x14ac:dyDescent="0.2">
      <c r="A103" s="43" t="s">
        <v>96</v>
      </c>
      <c r="X103">
        <f t="shared" si="13"/>
        <v>0</v>
      </c>
      <c r="AT103">
        <f t="shared" si="14"/>
        <v>0</v>
      </c>
      <c r="BN103">
        <f t="shared" si="15"/>
        <v>0</v>
      </c>
    </row>
    <row r="104" spans="1:66" hidden="1" x14ac:dyDescent="0.2">
      <c r="A104" s="43" t="s">
        <v>97</v>
      </c>
      <c r="X104">
        <f t="shared" si="13"/>
        <v>0</v>
      </c>
      <c r="AT104">
        <f t="shared" si="14"/>
        <v>0</v>
      </c>
      <c r="BN104">
        <f t="shared" si="15"/>
        <v>0</v>
      </c>
    </row>
    <row r="105" spans="1:66" hidden="1" x14ac:dyDescent="0.2">
      <c r="A105" s="43" t="s">
        <v>98</v>
      </c>
      <c r="X105">
        <f t="shared" si="13"/>
        <v>0</v>
      </c>
      <c r="AT105">
        <f t="shared" si="14"/>
        <v>0</v>
      </c>
      <c r="BN105">
        <f t="shared" si="15"/>
        <v>0</v>
      </c>
    </row>
    <row r="106" spans="1:66" hidden="1" x14ac:dyDescent="0.2">
      <c r="A106" s="43" t="s">
        <v>99</v>
      </c>
      <c r="X106">
        <f t="shared" si="13"/>
        <v>0</v>
      </c>
      <c r="AT106">
        <f t="shared" si="14"/>
        <v>0</v>
      </c>
      <c r="BN106">
        <f t="shared" si="15"/>
        <v>0</v>
      </c>
    </row>
    <row r="107" spans="1:66" hidden="1" x14ac:dyDescent="0.2">
      <c r="A107" s="43" t="s">
        <v>100</v>
      </c>
      <c r="X107">
        <f t="shared" si="13"/>
        <v>0</v>
      </c>
      <c r="AT107">
        <f t="shared" si="14"/>
        <v>0</v>
      </c>
      <c r="BN107">
        <f t="shared" si="15"/>
        <v>0</v>
      </c>
    </row>
    <row r="108" spans="1:66" hidden="1" x14ac:dyDescent="0.2">
      <c r="A108" s="43" t="s">
        <v>101</v>
      </c>
      <c r="X108">
        <f t="shared" si="13"/>
        <v>0</v>
      </c>
      <c r="AT108">
        <f t="shared" si="14"/>
        <v>0</v>
      </c>
      <c r="BN108">
        <f t="shared" si="15"/>
        <v>0</v>
      </c>
    </row>
    <row r="109" spans="1:66" x14ac:dyDescent="0.2">
      <c r="A109" s="43" t="s">
        <v>102</v>
      </c>
      <c r="I109">
        <v>170</v>
      </c>
      <c r="X109">
        <f t="shared" si="13"/>
        <v>170</v>
      </c>
      <c r="AC109">
        <v>300</v>
      </c>
      <c r="AT109">
        <f t="shared" si="14"/>
        <v>300</v>
      </c>
      <c r="BN109">
        <f t="shared" si="15"/>
        <v>0</v>
      </c>
    </row>
    <row r="110" spans="1:66" x14ac:dyDescent="0.2">
      <c r="A110" s="43" t="s">
        <v>6</v>
      </c>
      <c r="H110">
        <v>94</v>
      </c>
      <c r="J110">
        <v>1250</v>
      </c>
      <c r="S110">
        <v>50</v>
      </c>
      <c r="V110">
        <v>1250</v>
      </c>
      <c r="X110">
        <f t="shared" si="13"/>
        <v>2644</v>
      </c>
      <c r="AE110">
        <v>50</v>
      </c>
      <c r="AH110">
        <v>1300</v>
      </c>
      <c r="AN110">
        <v>50</v>
      </c>
      <c r="AR110">
        <v>1300</v>
      </c>
      <c r="AT110">
        <f t="shared" si="14"/>
        <v>2700</v>
      </c>
      <c r="AZ110">
        <v>50</v>
      </c>
      <c r="BC110">
        <v>1300</v>
      </c>
      <c r="BJ110">
        <v>50</v>
      </c>
      <c r="BL110">
        <v>1300</v>
      </c>
      <c r="BN110">
        <f t="shared" si="15"/>
        <v>2700</v>
      </c>
    </row>
    <row r="111" spans="1:66" x14ac:dyDescent="0.2">
      <c r="A111" s="43" t="s">
        <v>103</v>
      </c>
      <c r="H111">
        <v>105</v>
      </c>
      <c r="R111">
        <v>595</v>
      </c>
      <c r="X111">
        <f t="shared" si="13"/>
        <v>700</v>
      </c>
      <c r="AT111">
        <f t="shared" si="14"/>
        <v>0</v>
      </c>
      <c r="BN111">
        <f t="shared" si="15"/>
        <v>0</v>
      </c>
    </row>
    <row r="112" spans="1:66" x14ac:dyDescent="0.2">
      <c r="A112" s="43" t="s">
        <v>104</v>
      </c>
      <c r="X112">
        <f t="shared" si="13"/>
        <v>0</v>
      </c>
      <c r="AT112">
        <f t="shared" si="14"/>
        <v>0</v>
      </c>
      <c r="BN112">
        <f t="shared" si="15"/>
        <v>0</v>
      </c>
    </row>
    <row r="113" spans="1:66" x14ac:dyDescent="0.2">
      <c r="A113" s="43" t="s">
        <v>105</v>
      </c>
      <c r="B113">
        <v>175</v>
      </c>
      <c r="G113">
        <v>-700</v>
      </c>
      <c r="X113">
        <f t="shared" si="13"/>
        <v>-525</v>
      </c>
      <c r="AT113">
        <f t="shared" si="14"/>
        <v>0</v>
      </c>
      <c r="BN113">
        <f t="shared" si="15"/>
        <v>0</v>
      </c>
    </row>
    <row r="114" spans="1:66" x14ac:dyDescent="0.2">
      <c r="A114" s="43" t="s">
        <v>106</v>
      </c>
      <c r="E114">
        <v>595</v>
      </c>
      <c r="X114">
        <f t="shared" si="13"/>
        <v>595</v>
      </c>
      <c r="AT114">
        <f t="shared" si="14"/>
        <v>0</v>
      </c>
      <c r="BN114">
        <f t="shared" si="15"/>
        <v>0</v>
      </c>
    </row>
    <row r="115" spans="1:66" x14ac:dyDescent="0.2">
      <c r="A115" s="43" t="s">
        <v>107</v>
      </c>
      <c r="X115">
        <f t="shared" si="13"/>
        <v>0</v>
      </c>
      <c r="AT115">
        <f t="shared" si="14"/>
        <v>0</v>
      </c>
      <c r="BN115">
        <f t="shared" si="15"/>
        <v>0</v>
      </c>
    </row>
    <row r="116" spans="1:66" x14ac:dyDescent="0.2">
      <c r="A116" s="43" t="s">
        <v>108</v>
      </c>
      <c r="X116">
        <f t="shared" ref="X116:X122" si="16">SUM(B116:W116)</f>
        <v>0</v>
      </c>
      <c r="AT116">
        <f t="shared" ref="AT116:AT122" si="17">SUM(Y116:AS116)</f>
        <v>0</v>
      </c>
      <c r="BN116">
        <f t="shared" ref="BN116:BN122" si="18">SUM(AU116:BM116)</f>
        <v>0</v>
      </c>
    </row>
    <row r="117" spans="1:66" x14ac:dyDescent="0.2">
      <c r="A117" s="43" t="s">
        <v>109</v>
      </c>
      <c r="D117">
        <v>106</v>
      </c>
      <c r="H117">
        <v>30</v>
      </c>
      <c r="K117">
        <v>30</v>
      </c>
      <c r="P117">
        <v>30</v>
      </c>
      <c r="U117">
        <v>30</v>
      </c>
      <c r="X117">
        <f t="shared" si="16"/>
        <v>226</v>
      </c>
      <c r="AA117">
        <v>30</v>
      </c>
      <c r="AF117">
        <v>30</v>
      </c>
      <c r="AK117">
        <v>30</v>
      </c>
      <c r="AO117">
        <v>30</v>
      </c>
      <c r="AT117">
        <f t="shared" si="17"/>
        <v>120</v>
      </c>
      <c r="AU117">
        <v>30</v>
      </c>
      <c r="AZ117">
        <v>30</v>
      </c>
      <c r="BE117">
        <v>30</v>
      </c>
      <c r="BJ117">
        <v>30</v>
      </c>
      <c r="BN117">
        <f t="shared" si="18"/>
        <v>120</v>
      </c>
    </row>
    <row r="118" spans="1:66" x14ac:dyDescent="0.2">
      <c r="A118" s="43" t="s">
        <v>5</v>
      </c>
      <c r="O118">
        <v>500</v>
      </c>
      <c r="X118">
        <f t="shared" si="16"/>
        <v>500</v>
      </c>
      <c r="AL118">
        <v>500</v>
      </c>
      <c r="AT118">
        <f t="shared" si="17"/>
        <v>500</v>
      </c>
      <c r="BH118">
        <v>500</v>
      </c>
      <c r="BN118">
        <f t="shared" si="18"/>
        <v>500</v>
      </c>
    </row>
    <row r="119" spans="1:66" hidden="1" x14ac:dyDescent="0.2">
      <c r="A119" s="43" t="s">
        <v>110</v>
      </c>
      <c r="X119">
        <f t="shared" si="16"/>
        <v>0</v>
      </c>
      <c r="AT119">
        <f t="shared" si="17"/>
        <v>0</v>
      </c>
      <c r="BN119">
        <f t="shared" si="18"/>
        <v>0</v>
      </c>
    </row>
    <row r="120" spans="1:66" hidden="1" x14ac:dyDescent="0.2">
      <c r="A120" s="43" t="s">
        <v>164</v>
      </c>
      <c r="X120">
        <f t="shared" si="16"/>
        <v>0</v>
      </c>
      <c r="AT120">
        <f t="shared" si="17"/>
        <v>0</v>
      </c>
      <c r="BN120">
        <f t="shared" si="18"/>
        <v>0</v>
      </c>
    </row>
    <row r="121" spans="1:66" hidden="1" x14ac:dyDescent="0.2">
      <c r="A121" s="43" t="s">
        <v>111</v>
      </c>
      <c r="X121">
        <f t="shared" si="16"/>
        <v>0</v>
      </c>
      <c r="AT121">
        <f t="shared" si="17"/>
        <v>0</v>
      </c>
      <c r="BN121">
        <f t="shared" si="18"/>
        <v>0</v>
      </c>
    </row>
    <row r="122" spans="1:66" x14ac:dyDescent="0.2">
      <c r="A122" s="43" t="s">
        <v>166</v>
      </c>
      <c r="G122" s="48"/>
      <c r="H122" s="48"/>
      <c r="I122" s="48"/>
      <c r="J122" s="48">
        <v>4000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>
        <f t="shared" si="16"/>
        <v>4000</v>
      </c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>
        <f t="shared" si="17"/>
        <v>0</v>
      </c>
      <c r="BN122">
        <f t="shared" si="18"/>
        <v>0</v>
      </c>
    </row>
    <row r="123" spans="1:66" x14ac:dyDescent="0.2">
      <c r="A123" s="43" t="s">
        <v>112</v>
      </c>
      <c r="B123" s="52">
        <f>B49+B51+SUM(B95:B122)</f>
        <v>402</v>
      </c>
      <c r="C123" s="52">
        <f t="shared" ref="C123:BN123" si="19">C49+C51+SUM(C95:C122)</f>
        <v>454</v>
      </c>
      <c r="D123" s="52">
        <f t="shared" si="19"/>
        <v>11330</v>
      </c>
      <c r="E123" s="52">
        <f t="shared" si="19"/>
        <v>1007</v>
      </c>
      <c r="F123" s="52">
        <f t="shared" si="19"/>
        <v>1296</v>
      </c>
      <c r="G123" s="52">
        <f t="shared" si="19"/>
        <v>-100</v>
      </c>
      <c r="H123" s="52">
        <f t="shared" si="19"/>
        <v>829</v>
      </c>
      <c r="I123" s="52">
        <f t="shared" si="19"/>
        <v>770</v>
      </c>
      <c r="J123" s="52">
        <f t="shared" si="19"/>
        <v>5825</v>
      </c>
      <c r="K123" s="52">
        <f t="shared" si="19"/>
        <v>430</v>
      </c>
      <c r="L123" s="52">
        <f t="shared" si="19"/>
        <v>400</v>
      </c>
      <c r="M123" s="52">
        <f t="shared" si="19"/>
        <v>400</v>
      </c>
      <c r="N123" s="52">
        <f t="shared" si="19"/>
        <v>400</v>
      </c>
      <c r="O123" s="52">
        <f t="shared" si="19"/>
        <v>1800</v>
      </c>
      <c r="P123" s="52">
        <f t="shared" si="19"/>
        <v>18917</v>
      </c>
      <c r="Q123" s="52">
        <f t="shared" si="19"/>
        <v>400</v>
      </c>
      <c r="R123" s="52">
        <f t="shared" si="19"/>
        <v>995</v>
      </c>
      <c r="S123" s="52">
        <f t="shared" si="19"/>
        <v>10880</v>
      </c>
      <c r="T123" s="52">
        <f t="shared" si="19"/>
        <v>400</v>
      </c>
      <c r="U123" s="52">
        <f t="shared" si="19"/>
        <v>430</v>
      </c>
      <c r="V123" s="52">
        <f t="shared" si="19"/>
        <v>1650</v>
      </c>
      <c r="W123" s="52">
        <f t="shared" si="19"/>
        <v>400</v>
      </c>
      <c r="X123" s="52">
        <f t="shared" si="19"/>
        <v>59315</v>
      </c>
      <c r="Y123" s="52">
        <f t="shared" si="19"/>
        <v>1900</v>
      </c>
      <c r="Z123" s="52">
        <f t="shared" si="19"/>
        <v>400</v>
      </c>
      <c r="AA123" s="52">
        <f t="shared" si="19"/>
        <v>7830</v>
      </c>
      <c r="AB123" s="52">
        <f t="shared" si="19"/>
        <v>400</v>
      </c>
      <c r="AC123" s="52">
        <f t="shared" si="19"/>
        <v>700</v>
      </c>
      <c r="AD123" s="52">
        <f t="shared" si="19"/>
        <v>400</v>
      </c>
      <c r="AE123" s="52">
        <f t="shared" si="19"/>
        <v>425</v>
      </c>
      <c r="AF123" s="52">
        <f t="shared" si="19"/>
        <v>1417</v>
      </c>
      <c r="AG123" s="52">
        <f t="shared" si="19"/>
        <v>375</v>
      </c>
      <c r="AH123" s="52">
        <f t="shared" si="19"/>
        <v>1675</v>
      </c>
      <c r="AI123" s="52">
        <f t="shared" si="19"/>
        <v>375</v>
      </c>
      <c r="AJ123" s="52">
        <f t="shared" si="19"/>
        <v>375</v>
      </c>
      <c r="AK123" s="52">
        <f t="shared" si="19"/>
        <v>405</v>
      </c>
      <c r="AL123" s="52">
        <f t="shared" si="19"/>
        <v>15313</v>
      </c>
      <c r="AM123" s="52">
        <f t="shared" si="19"/>
        <v>3575</v>
      </c>
      <c r="AN123" s="52">
        <f t="shared" si="19"/>
        <v>3525</v>
      </c>
      <c r="AO123" s="52">
        <f t="shared" si="19"/>
        <v>8393</v>
      </c>
      <c r="AP123" s="52">
        <f t="shared" si="19"/>
        <v>375</v>
      </c>
      <c r="AQ123" s="52">
        <f t="shared" si="19"/>
        <v>375</v>
      </c>
      <c r="AR123" s="52">
        <f t="shared" si="19"/>
        <v>1675</v>
      </c>
      <c r="AS123" s="52">
        <f t="shared" si="19"/>
        <v>375</v>
      </c>
      <c r="AT123" s="52">
        <f t="shared" si="19"/>
        <v>50283</v>
      </c>
      <c r="AU123" s="52">
        <f t="shared" si="19"/>
        <v>1205</v>
      </c>
      <c r="AV123" s="52">
        <f t="shared" si="19"/>
        <v>375</v>
      </c>
      <c r="AW123" s="52">
        <f t="shared" si="19"/>
        <v>4075</v>
      </c>
      <c r="AX123" s="52">
        <f t="shared" si="19"/>
        <v>375</v>
      </c>
      <c r="AY123" s="52">
        <f t="shared" si="19"/>
        <v>375</v>
      </c>
      <c r="AZ123" s="52">
        <f t="shared" si="19"/>
        <v>1725</v>
      </c>
      <c r="BA123" s="52">
        <f t="shared" si="19"/>
        <v>375</v>
      </c>
      <c r="BB123" s="52">
        <f t="shared" si="19"/>
        <v>375</v>
      </c>
      <c r="BC123" s="52">
        <f t="shared" si="19"/>
        <v>1675</v>
      </c>
      <c r="BD123" s="52">
        <f t="shared" si="19"/>
        <v>375</v>
      </c>
      <c r="BE123" s="52">
        <f t="shared" si="19"/>
        <v>405</v>
      </c>
      <c r="BF123" s="52">
        <f t="shared" si="19"/>
        <v>375</v>
      </c>
      <c r="BG123" s="52">
        <f t="shared" si="19"/>
        <v>375</v>
      </c>
      <c r="BH123" s="52">
        <f t="shared" si="19"/>
        <v>21205</v>
      </c>
      <c r="BI123" s="52">
        <f t="shared" si="19"/>
        <v>3375</v>
      </c>
      <c r="BJ123" s="52">
        <f t="shared" si="19"/>
        <v>6630</v>
      </c>
      <c r="BK123" s="52">
        <f t="shared" si="19"/>
        <v>13820</v>
      </c>
      <c r="BL123" s="52">
        <f t="shared" si="19"/>
        <v>1650</v>
      </c>
      <c r="BM123" s="52">
        <f t="shared" si="19"/>
        <v>1350</v>
      </c>
      <c r="BN123" s="52">
        <f t="shared" si="19"/>
        <v>60115</v>
      </c>
    </row>
    <row r="124" spans="1:66" x14ac:dyDescent="0.2"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</row>
    <row r="125" spans="1:66" x14ac:dyDescent="0.2">
      <c r="A125" s="43" t="s">
        <v>113</v>
      </c>
      <c r="B125" s="49">
        <f t="shared" ref="B125:AG125" si="20">B46-B123</f>
        <v>1719</v>
      </c>
      <c r="C125" s="49">
        <f t="shared" si="20"/>
        <v>-112</v>
      </c>
      <c r="D125" s="49">
        <f t="shared" si="20"/>
        <v>-9688</v>
      </c>
      <c r="E125" s="49">
        <f t="shared" si="20"/>
        <v>-531</v>
      </c>
      <c r="F125" s="49">
        <f t="shared" si="20"/>
        <v>-784</v>
      </c>
      <c r="G125" s="49">
        <f t="shared" si="20"/>
        <v>4208</v>
      </c>
      <c r="H125" s="49">
        <f t="shared" si="20"/>
        <v>1267</v>
      </c>
      <c r="I125" s="49">
        <f t="shared" si="20"/>
        <v>-700</v>
      </c>
      <c r="J125" s="49">
        <f t="shared" si="20"/>
        <v>-5815</v>
      </c>
      <c r="K125" s="49">
        <f t="shared" si="20"/>
        <v>1970</v>
      </c>
      <c r="L125" s="49">
        <f t="shared" si="20"/>
        <v>-400</v>
      </c>
      <c r="M125" s="49">
        <f t="shared" si="20"/>
        <v>600</v>
      </c>
      <c r="N125" s="49">
        <f t="shared" si="20"/>
        <v>-325</v>
      </c>
      <c r="O125" s="49">
        <f t="shared" si="20"/>
        <v>-1790</v>
      </c>
      <c r="P125" s="49">
        <f t="shared" si="20"/>
        <v>-11497</v>
      </c>
      <c r="Q125" s="49">
        <f t="shared" si="20"/>
        <v>-400</v>
      </c>
      <c r="R125" s="49">
        <f t="shared" si="20"/>
        <v>205</v>
      </c>
      <c r="S125" s="49">
        <f t="shared" si="20"/>
        <v>-10805</v>
      </c>
      <c r="T125" s="49">
        <f t="shared" si="20"/>
        <v>-390</v>
      </c>
      <c r="U125" s="49">
        <f t="shared" si="20"/>
        <v>870</v>
      </c>
      <c r="V125" s="49">
        <f t="shared" si="20"/>
        <v>-1650</v>
      </c>
      <c r="W125" s="49">
        <f t="shared" si="20"/>
        <v>500</v>
      </c>
      <c r="X125" s="49">
        <f t="shared" si="20"/>
        <v>-33548</v>
      </c>
      <c r="Y125" s="49">
        <f t="shared" si="20"/>
        <v>-1700</v>
      </c>
      <c r="Z125" s="49">
        <f t="shared" si="20"/>
        <v>-280</v>
      </c>
      <c r="AA125" s="49">
        <f t="shared" si="20"/>
        <v>-5530</v>
      </c>
      <c r="AB125" s="49">
        <f t="shared" si="20"/>
        <v>-50</v>
      </c>
      <c r="AC125" s="49">
        <f t="shared" si="20"/>
        <v>1625</v>
      </c>
      <c r="AD125" s="49">
        <f t="shared" si="20"/>
        <v>-200</v>
      </c>
      <c r="AE125" s="49">
        <f t="shared" si="20"/>
        <v>645</v>
      </c>
      <c r="AF125" s="49">
        <f t="shared" si="20"/>
        <v>1433</v>
      </c>
      <c r="AG125" s="49">
        <f t="shared" si="20"/>
        <v>-275</v>
      </c>
      <c r="AH125" s="49">
        <f t="shared" ref="AH125:BN125" si="21">AH46-AH123</f>
        <v>325</v>
      </c>
      <c r="AI125" s="49">
        <f t="shared" si="21"/>
        <v>-25</v>
      </c>
      <c r="AJ125" s="49">
        <f t="shared" si="21"/>
        <v>-255</v>
      </c>
      <c r="AK125" s="49">
        <f t="shared" si="21"/>
        <v>2445</v>
      </c>
      <c r="AL125" s="49">
        <f t="shared" si="21"/>
        <v>-5193</v>
      </c>
      <c r="AM125" s="49">
        <f t="shared" si="21"/>
        <v>-1775</v>
      </c>
      <c r="AN125" s="49">
        <f t="shared" si="21"/>
        <v>-3305</v>
      </c>
      <c r="AO125" s="49">
        <f t="shared" si="21"/>
        <v>-6043</v>
      </c>
      <c r="AP125" s="49">
        <f t="shared" si="21"/>
        <v>-275</v>
      </c>
      <c r="AQ125" s="49">
        <f t="shared" si="21"/>
        <v>1075</v>
      </c>
      <c r="AR125" s="49">
        <f t="shared" si="21"/>
        <v>-1475</v>
      </c>
      <c r="AS125" s="49">
        <f t="shared" si="21"/>
        <v>-200</v>
      </c>
      <c r="AT125" s="49">
        <f t="shared" si="21"/>
        <v>-19033</v>
      </c>
      <c r="AU125" s="49">
        <f t="shared" si="21"/>
        <v>795</v>
      </c>
      <c r="AV125" s="49">
        <f t="shared" si="21"/>
        <v>-375</v>
      </c>
      <c r="AW125" s="49">
        <f t="shared" si="21"/>
        <v>-325</v>
      </c>
      <c r="AX125" s="49">
        <f t="shared" si="21"/>
        <v>-175</v>
      </c>
      <c r="AY125" s="49">
        <f t="shared" si="21"/>
        <v>1365</v>
      </c>
      <c r="AZ125" s="49">
        <f t="shared" si="21"/>
        <v>1575</v>
      </c>
      <c r="BA125" s="49">
        <f t="shared" si="21"/>
        <v>-375</v>
      </c>
      <c r="BB125" s="49">
        <f t="shared" si="21"/>
        <v>3875</v>
      </c>
      <c r="BC125" s="49">
        <f t="shared" si="21"/>
        <v>-1475</v>
      </c>
      <c r="BD125" s="49">
        <f t="shared" si="21"/>
        <v>-335</v>
      </c>
      <c r="BE125" s="49">
        <f t="shared" si="21"/>
        <v>3095</v>
      </c>
      <c r="BF125" s="49">
        <f t="shared" si="21"/>
        <v>-375</v>
      </c>
      <c r="BG125" s="49">
        <f t="shared" si="21"/>
        <v>3375</v>
      </c>
      <c r="BH125" s="49">
        <f t="shared" si="21"/>
        <v>-1385</v>
      </c>
      <c r="BI125" s="49">
        <f t="shared" si="21"/>
        <v>-3335</v>
      </c>
      <c r="BJ125" s="49">
        <f t="shared" si="21"/>
        <v>-3180</v>
      </c>
      <c r="BK125" s="49">
        <f t="shared" si="21"/>
        <v>-9870</v>
      </c>
      <c r="BL125" s="49">
        <f t="shared" si="21"/>
        <v>-1450</v>
      </c>
      <c r="BM125" s="49">
        <f t="shared" si="21"/>
        <v>-1310</v>
      </c>
      <c r="BN125" s="49">
        <f t="shared" si="21"/>
        <v>-9885</v>
      </c>
    </row>
    <row r="127" spans="1:66" x14ac:dyDescent="0.2">
      <c r="A127" s="43" t="s">
        <v>114</v>
      </c>
      <c r="B127" s="53">
        <v>32000</v>
      </c>
      <c r="C127" s="53">
        <f t="shared" ref="C127:AS127" si="22">+B136</f>
        <v>0</v>
      </c>
      <c r="D127" s="53">
        <f t="shared" si="22"/>
        <v>0</v>
      </c>
      <c r="E127" s="53">
        <f t="shared" si="22"/>
        <v>0</v>
      </c>
      <c r="F127" s="53">
        <f t="shared" si="22"/>
        <v>0</v>
      </c>
      <c r="G127" s="53">
        <f>+F136</f>
        <v>0</v>
      </c>
      <c r="H127" s="53">
        <f t="shared" si="22"/>
        <v>0</v>
      </c>
      <c r="I127" s="53">
        <f t="shared" si="22"/>
        <v>0</v>
      </c>
      <c r="J127" s="53">
        <f t="shared" si="22"/>
        <v>0</v>
      </c>
      <c r="K127" s="53">
        <f>+J136</f>
        <v>0</v>
      </c>
      <c r="L127" s="53">
        <f t="shared" si="22"/>
        <v>0</v>
      </c>
      <c r="M127" s="53">
        <f t="shared" si="22"/>
        <v>0</v>
      </c>
      <c r="N127" s="53">
        <f t="shared" si="22"/>
        <v>0</v>
      </c>
      <c r="O127" s="53">
        <f t="shared" si="22"/>
        <v>0</v>
      </c>
      <c r="P127" s="53">
        <f>+O136</f>
        <v>0</v>
      </c>
      <c r="Q127" s="53">
        <f t="shared" si="22"/>
        <v>0</v>
      </c>
      <c r="R127" s="53">
        <f t="shared" si="22"/>
        <v>0</v>
      </c>
      <c r="S127" s="53">
        <f t="shared" si="22"/>
        <v>0</v>
      </c>
      <c r="T127" s="53">
        <f t="shared" si="22"/>
        <v>0</v>
      </c>
      <c r="U127" s="53">
        <f>+T136</f>
        <v>0</v>
      </c>
      <c r="V127" s="53">
        <f t="shared" si="22"/>
        <v>0</v>
      </c>
      <c r="W127" s="53">
        <f t="shared" si="22"/>
        <v>0</v>
      </c>
      <c r="X127" s="53"/>
      <c r="Y127" s="53">
        <f>+W136</f>
        <v>0</v>
      </c>
      <c r="Z127" s="53">
        <f t="shared" si="22"/>
        <v>0</v>
      </c>
      <c r="AA127" s="53">
        <f t="shared" si="22"/>
        <v>0</v>
      </c>
      <c r="AB127" s="53">
        <f t="shared" si="22"/>
        <v>0</v>
      </c>
      <c r="AC127" s="53">
        <f t="shared" si="22"/>
        <v>0</v>
      </c>
      <c r="AD127" s="53">
        <f t="shared" si="22"/>
        <v>0</v>
      </c>
      <c r="AE127" s="53">
        <f t="shared" si="22"/>
        <v>0</v>
      </c>
      <c r="AF127" s="53">
        <f t="shared" si="22"/>
        <v>0</v>
      </c>
      <c r="AG127" s="53">
        <f t="shared" si="22"/>
        <v>0</v>
      </c>
      <c r="AH127" s="53">
        <f t="shared" si="22"/>
        <v>0</v>
      </c>
      <c r="AI127" s="53">
        <f t="shared" si="22"/>
        <v>0</v>
      </c>
      <c r="AJ127" s="53">
        <f t="shared" si="22"/>
        <v>0</v>
      </c>
      <c r="AK127" s="53">
        <f t="shared" si="22"/>
        <v>0</v>
      </c>
      <c r="AL127" s="53">
        <f t="shared" si="22"/>
        <v>0</v>
      </c>
      <c r="AM127" s="53">
        <f t="shared" si="22"/>
        <v>0</v>
      </c>
      <c r="AN127" s="53">
        <f t="shared" si="22"/>
        <v>0</v>
      </c>
      <c r="AO127" s="53">
        <f t="shared" si="22"/>
        <v>0</v>
      </c>
      <c r="AP127" s="53">
        <f t="shared" si="22"/>
        <v>0</v>
      </c>
      <c r="AQ127" s="53">
        <f t="shared" si="22"/>
        <v>0</v>
      </c>
      <c r="AR127" s="53">
        <f t="shared" si="22"/>
        <v>0</v>
      </c>
      <c r="AS127" s="53">
        <f t="shared" si="22"/>
        <v>0</v>
      </c>
      <c r="AT127" s="53"/>
      <c r="AU127" s="53">
        <f>+AS136</f>
        <v>0</v>
      </c>
      <c r="AV127" s="53">
        <f t="shared" ref="AV127:BM127" si="23">+AU136</f>
        <v>0</v>
      </c>
      <c r="AW127" s="53">
        <f t="shared" si="23"/>
        <v>0</v>
      </c>
      <c r="AX127" s="53">
        <f t="shared" si="23"/>
        <v>0</v>
      </c>
      <c r="AY127" s="53">
        <f t="shared" si="23"/>
        <v>0</v>
      </c>
      <c r="AZ127" s="53">
        <f t="shared" si="23"/>
        <v>0</v>
      </c>
      <c r="BA127" s="53">
        <f t="shared" si="23"/>
        <v>0</v>
      </c>
      <c r="BB127" s="53">
        <f t="shared" si="23"/>
        <v>0</v>
      </c>
      <c r="BC127" s="53">
        <f t="shared" si="23"/>
        <v>0</v>
      </c>
      <c r="BD127" s="53">
        <f t="shared" si="23"/>
        <v>0</v>
      </c>
      <c r="BE127" s="53">
        <f t="shared" si="23"/>
        <v>0</v>
      </c>
      <c r="BF127" s="53">
        <f t="shared" si="23"/>
        <v>0</v>
      </c>
      <c r="BG127" s="53">
        <f t="shared" si="23"/>
        <v>0</v>
      </c>
      <c r="BH127" s="53">
        <f t="shared" si="23"/>
        <v>0</v>
      </c>
      <c r="BI127" s="53">
        <f t="shared" si="23"/>
        <v>0</v>
      </c>
      <c r="BJ127" s="53">
        <f t="shared" si="23"/>
        <v>0</v>
      </c>
      <c r="BK127" s="53">
        <f t="shared" si="23"/>
        <v>0</v>
      </c>
      <c r="BL127" s="53">
        <f t="shared" si="23"/>
        <v>0</v>
      </c>
      <c r="BM127" s="53">
        <f t="shared" si="23"/>
        <v>0</v>
      </c>
    </row>
    <row r="128" spans="1:66" hidden="1" x14ac:dyDescent="0.2">
      <c r="A128" s="43" t="s">
        <v>115</v>
      </c>
    </row>
    <row r="130" spans="1:66" x14ac:dyDescent="0.2">
      <c r="A130" s="43" t="s">
        <v>167</v>
      </c>
      <c r="AZ130">
        <v>40000</v>
      </c>
    </row>
    <row r="131" spans="1:66" hidden="1" x14ac:dyDescent="0.2">
      <c r="A131" s="43" t="s">
        <v>116</v>
      </c>
      <c r="B131" s="53">
        <v>0</v>
      </c>
      <c r="C131" s="53">
        <f t="shared" ref="C131:AS131" si="24">+B135</f>
        <v>33719</v>
      </c>
      <c r="D131" s="53">
        <f t="shared" si="24"/>
        <v>33607</v>
      </c>
      <c r="E131" s="53">
        <f t="shared" si="24"/>
        <v>23919</v>
      </c>
      <c r="F131" s="53">
        <f t="shared" si="24"/>
        <v>23388</v>
      </c>
      <c r="G131" s="53">
        <f>+F135</f>
        <v>22604</v>
      </c>
      <c r="H131" s="53">
        <f t="shared" si="24"/>
        <v>26812</v>
      </c>
      <c r="I131" s="53">
        <f t="shared" si="24"/>
        <v>28079</v>
      </c>
      <c r="J131" s="53">
        <f t="shared" si="24"/>
        <v>27379</v>
      </c>
      <c r="K131" s="53">
        <f>+J135</f>
        <v>21564</v>
      </c>
      <c r="L131" s="53">
        <f t="shared" si="24"/>
        <v>23534</v>
      </c>
      <c r="M131" s="53">
        <f t="shared" si="24"/>
        <v>23134</v>
      </c>
      <c r="N131" s="53">
        <f t="shared" si="24"/>
        <v>23734</v>
      </c>
      <c r="O131" s="53">
        <f t="shared" si="24"/>
        <v>23409</v>
      </c>
      <c r="P131" s="53">
        <f>+O135</f>
        <v>21619</v>
      </c>
      <c r="Q131" s="53">
        <f t="shared" si="24"/>
        <v>10122</v>
      </c>
      <c r="R131" s="53">
        <f t="shared" si="24"/>
        <v>9722</v>
      </c>
      <c r="S131" s="53">
        <f t="shared" si="24"/>
        <v>9927</v>
      </c>
      <c r="T131" s="53">
        <f t="shared" si="24"/>
        <v>-878</v>
      </c>
      <c r="U131" s="53">
        <f>+T135</f>
        <v>-1268</v>
      </c>
      <c r="V131" s="53">
        <f t="shared" si="24"/>
        <v>-398</v>
      </c>
      <c r="W131" s="53">
        <f t="shared" si="24"/>
        <v>-2048</v>
      </c>
      <c r="X131" s="53"/>
      <c r="Y131" s="53">
        <f>+W135</f>
        <v>-1548</v>
      </c>
      <c r="Z131" s="53">
        <f t="shared" si="24"/>
        <v>-3248</v>
      </c>
      <c r="AA131" s="53">
        <f t="shared" si="24"/>
        <v>-3528</v>
      </c>
      <c r="AB131" s="53">
        <f t="shared" si="24"/>
        <v>-9058</v>
      </c>
      <c r="AC131" s="53">
        <f t="shared" si="24"/>
        <v>-9108</v>
      </c>
      <c r="AD131" s="53">
        <f t="shared" si="24"/>
        <v>-7483</v>
      </c>
      <c r="AE131" s="53">
        <f t="shared" si="24"/>
        <v>-7683</v>
      </c>
      <c r="AF131" s="53">
        <f t="shared" si="24"/>
        <v>-7038</v>
      </c>
      <c r="AG131" s="53">
        <f t="shared" si="24"/>
        <v>-5605</v>
      </c>
      <c r="AH131" s="53">
        <f t="shared" si="24"/>
        <v>-5880</v>
      </c>
      <c r="AI131" s="53">
        <f t="shared" si="24"/>
        <v>-5555</v>
      </c>
      <c r="AJ131" s="53">
        <f t="shared" si="24"/>
        <v>-5580</v>
      </c>
      <c r="AK131" s="53">
        <f t="shared" si="24"/>
        <v>-5835</v>
      </c>
      <c r="AL131" s="53">
        <f t="shared" si="24"/>
        <v>-3390</v>
      </c>
      <c r="AM131" s="53">
        <f t="shared" si="24"/>
        <v>-8583</v>
      </c>
      <c r="AN131" s="53">
        <f t="shared" si="24"/>
        <v>-10358</v>
      </c>
      <c r="AO131" s="53">
        <f t="shared" si="24"/>
        <v>-13663</v>
      </c>
      <c r="AP131" s="53">
        <f t="shared" si="24"/>
        <v>-19706</v>
      </c>
      <c r="AQ131" s="53">
        <f t="shared" si="24"/>
        <v>-19981</v>
      </c>
      <c r="AR131" s="53">
        <f t="shared" si="24"/>
        <v>-18906</v>
      </c>
      <c r="AS131" s="53">
        <f t="shared" si="24"/>
        <v>-20381</v>
      </c>
      <c r="AT131" s="53"/>
      <c r="AU131" s="53">
        <f>+AS135</f>
        <v>-20581</v>
      </c>
      <c r="AV131" s="53">
        <f t="shared" ref="AV131:BM131" si="25">+AU135</f>
        <v>-19786</v>
      </c>
      <c r="AW131" s="53">
        <f t="shared" si="25"/>
        <v>-20161</v>
      </c>
      <c r="AX131" s="53">
        <f t="shared" si="25"/>
        <v>-20486</v>
      </c>
      <c r="AY131" s="53">
        <f t="shared" si="25"/>
        <v>-20661</v>
      </c>
      <c r="AZ131" s="53">
        <f t="shared" si="25"/>
        <v>-19296</v>
      </c>
      <c r="BA131" s="53">
        <f t="shared" si="25"/>
        <v>22279</v>
      </c>
      <c r="BB131" s="53">
        <f t="shared" si="25"/>
        <v>21904</v>
      </c>
      <c r="BC131" s="53">
        <f t="shared" si="25"/>
        <v>25779</v>
      </c>
      <c r="BD131" s="53">
        <f t="shared" si="25"/>
        <v>24304</v>
      </c>
      <c r="BE131" s="53">
        <f t="shared" si="25"/>
        <v>23969</v>
      </c>
      <c r="BF131" s="53">
        <f t="shared" si="25"/>
        <v>27064</v>
      </c>
      <c r="BG131" s="53">
        <f t="shared" si="25"/>
        <v>26689</v>
      </c>
      <c r="BH131" s="53">
        <f t="shared" si="25"/>
        <v>30064</v>
      </c>
      <c r="BI131" s="53">
        <f t="shared" si="25"/>
        <v>28679</v>
      </c>
      <c r="BJ131" s="53">
        <f t="shared" si="25"/>
        <v>25344</v>
      </c>
      <c r="BK131" s="53">
        <f t="shared" si="25"/>
        <v>22164</v>
      </c>
      <c r="BL131" s="53">
        <f t="shared" si="25"/>
        <v>12294</v>
      </c>
      <c r="BM131" s="53">
        <f t="shared" si="25"/>
        <v>10844</v>
      </c>
    </row>
    <row r="132" spans="1:66" x14ac:dyDescent="0.2">
      <c r="A132" s="43" t="s">
        <v>117</v>
      </c>
      <c r="B132" s="49">
        <f t="shared" ref="B132:W132" si="26">+B125</f>
        <v>1719</v>
      </c>
      <c r="C132" s="49">
        <f t="shared" si="26"/>
        <v>-112</v>
      </c>
      <c r="D132" s="49">
        <f t="shared" si="26"/>
        <v>-9688</v>
      </c>
      <c r="E132" s="49">
        <f t="shared" si="26"/>
        <v>-531</v>
      </c>
      <c r="F132" s="49">
        <f t="shared" si="26"/>
        <v>-784</v>
      </c>
      <c r="G132" s="49">
        <f t="shared" si="26"/>
        <v>4208</v>
      </c>
      <c r="H132" s="49">
        <f t="shared" si="26"/>
        <v>1267</v>
      </c>
      <c r="I132" s="49">
        <f t="shared" si="26"/>
        <v>-700</v>
      </c>
      <c r="J132" s="49">
        <f t="shared" si="26"/>
        <v>-5815</v>
      </c>
      <c r="K132" s="49">
        <f t="shared" si="26"/>
        <v>1970</v>
      </c>
      <c r="L132" s="49">
        <f t="shared" si="26"/>
        <v>-400</v>
      </c>
      <c r="M132" s="49">
        <f t="shared" si="26"/>
        <v>600</v>
      </c>
      <c r="N132" s="49">
        <f t="shared" si="26"/>
        <v>-325</v>
      </c>
      <c r="O132" s="49">
        <f t="shared" si="26"/>
        <v>-1790</v>
      </c>
      <c r="P132" s="49">
        <f t="shared" si="26"/>
        <v>-11497</v>
      </c>
      <c r="Q132" s="49">
        <f t="shared" si="26"/>
        <v>-400</v>
      </c>
      <c r="R132" s="49">
        <f t="shared" si="26"/>
        <v>205</v>
      </c>
      <c r="S132" s="49">
        <f t="shared" si="26"/>
        <v>-10805</v>
      </c>
      <c r="T132" s="49">
        <f t="shared" si="26"/>
        <v>-390</v>
      </c>
      <c r="U132" s="49">
        <f t="shared" si="26"/>
        <v>870</v>
      </c>
      <c r="V132" s="49">
        <f t="shared" si="26"/>
        <v>-1650</v>
      </c>
      <c r="W132" s="49">
        <f t="shared" si="26"/>
        <v>500</v>
      </c>
      <c r="X132" s="49"/>
      <c r="Y132" s="49">
        <f>+Y125</f>
        <v>-1700</v>
      </c>
      <c r="Z132" s="49">
        <f>+Z125</f>
        <v>-280</v>
      </c>
      <c r="AA132" s="49">
        <f t="shared" ref="AA132:AS132" si="27">+AA125</f>
        <v>-5530</v>
      </c>
      <c r="AB132" s="49">
        <f t="shared" si="27"/>
        <v>-50</v>
      </c>
      <c r="AC132" s="49">
        <f t="shared" si="27"/>
        <v>1625</v>
      </c>
      <c r="AD132" s="49">
        <f t="shared" si="27"/>
        <v>-200</v>
      </c>
      <c r="AE132" s="49">
        <f t="shared" si="27"/>
        <v>645</v>
      </c>
      <c r="AF132" s="49">
        <f t="shared" si="27"/>
        <v>1433</v>
      </c>
      <c r="AG132" s="49">
        <f t="shared" si="27"/>
        <v>-275</v>
      </c>
      <c r="AH132" s="49">
        <f t="shared" si="27"/>
        <v>325</v>
      </c>
      <c r="AI132" s="49">
        <f t="shared" si="27"/>
        <v>-25</v>
      </c>
      <c r="AJ132" s="49">
        <f t="shared" si="27"/>
        <v>-255</v>
      </c>
      <c r="AK132" s="49">
        <f t="shared" si="27"/>
        <v>2445</v>
      </c>
      <c r="AL132" s="49">
        <f t="shared" si="27"/>
        <v>-5193</v>
      </c>
      <c r="AM132" s="49">
        <f t="shared" si="27"/>
        <v>-1775</v>
      </c>
      <c r="AN132" s="49">
        <f t="shared" si="27"/>
        <v>-3305</v>
      </c>
      <c r="AO132" s="49">
        <f t="shared" si="27"/>
        <v>-6043</v>
      </c>
      <c r="AP132" s="49">
        <f t="shared" si="27"/>
        <v>-275</v>
      </c>
      <c r="AQ132" s="49">
        <f t="shared" si="27"/>
        <v>1075</v>
      </c>
      <c r="AR132" s="49">
        <f t="shared" si="27"/>
        <v>-1475</v>
      </c>
      <c r="AS132" s="49">
        <f t="shared" si="27"/>
        <v>-200</v>
      </c>
      <c r="AT132" s="49"/>
      <c r="AU132" s="49">
        <f t="shared" ref="AU132:BJ132" si="28">+AU125</f>
        <v>795</v>
      </c>
      <c r="AV132" s="49">
        <f t="shared" si="28"/>
        <v>-375</v>
      </c>
      <c r="AW132" s="49">
        <f t="shared" si="28"/>
        <v>-325</v>
      </c>
      <c r="AX132" s="49">
        <f t="shared" si="28"/>
        <v>-175</v>
      </c>
      <c r="AY132" s="49">
        <f t="shared" si="28"/>
        <v>1365</v>
      </c>
      <c r="AZ132" s="49">
        <f t="shared" si="28"/>
        <v>1575</v>
      </c>
      <c r="BA132" s="49">
        <f t="shared" si="28"/>
        <v>-375</v>
      </c>
      <c r="BB132" s="49">
        <f t="shared" si="28"/>
        <v>3875</v>
      </c>
      <c r="BC132" s="49">
        <f t="shared" si="28"/>
        <v>-1475</v>
      </c>
      <c r="BD132" s="49">
        <f t="shared" si="28"/>
        <v>-335</v>
      </c>
      <c r="BE132" s="49">
        <f t="shared" si="28"/>
        <v>3095</v>
      </c>
      <c r="BF132" s="49">
        <f t="shared" si="28"/>
        <v>-375</v>
      </c>
      <c r="BG132" s="49">
        <f t="shared" si="28"/>
        <v>3375</v>
      </c>
      <c r="BH132" s="49">
        <f t="shared" si="28"/>
        <v>-1385</v>
      </c>
      <c r="BI132" s="49">
        <f t="shared" si="28"/>
        <v>-3335</v>
      </c>
      <c r="BJ132" s="49">
        <f t="shared" si="28"/>
        <v>-3180</v>
      </c>
      <c r="BK132" s="49">
        <f>+BK125</f>
        <v>-9870</v>
      </c>
      <c r="BL132" s="49">
        <f>+BL125</f>
        <v>-1450</v>
      </c>
      <c r="BM132" s="49">
        <f>+BM125</f>
        <v>-1310</v>
      </c>
    </row>
    <row r="133" spans="1:66" hidden="1" x14ac:dyDescent="0.2">
      <c r="A133" s="43" t="s">
        <v>118</v>
      </c>
      <c r="B133" s="52">
        <f t="shared" ref="B133:AS133" si="29">B127+B128+B131+B132+B130</f>
        <v>33719</v>
      </c>
      <c r="C133" s="52">
        <f t="shared" si="29"/>
        <v>33607</v>
      </c>
      <c r="D133" s="52">
        <f t="shared" si="29"/>
        <v>23919</v>
      </c>
      <c r="E133" s="52">
        <f t="shared" si="29"/>
        <v>23388</v>
      </c>
      <c r="F133" s="52">
        <f t="shared" si="29"/>
        <v>22604</v>
      </c>
      <c r="G133" s="52">
        <f t="shared" si="29"/>
        <v>26812</v>
      </c>
      <c r="H133" s="52">
        <f t="shared" si="29"/>
        <v>28079</v>
      </c>
      <c r="I133" s="52">
        <f t="shared" si="29"/>
        <v>27379</v>
      </c>
      <c r="J133" s="52">
        <f t="shared" si="29"/>
        <v>21564</v>
      </c>
      <c r="K133" s="52">
        <f t="shared" si="29"/>
        <v>23534</v>
      </c>
      <c r="L133" s="52">
        <f t="shared" si="29"/>
        <v>23134</v>
      </c>
      <c r="M133" s="52">
        <f t="shared" si="29"/>
        <v>23734</v>
      </c>
      <c r="N133" s="52">
        <f t="shared" si="29"/>
        <v>23409</v>
      </c>
      <c r="O133" s="52">
        <f t="shared" si="29"/>
        <v>21619</v>
      </c>
      <c r="P133" s="52">
        <f t="shared" si="29"/>
        <v>10122</v>
      </c>
      <c r="Q133" s="52">
        <f t="shared" si="29"/>
        <v>9722</v>
      </c>
      <c r="R133" s="52">
        <f t="shared" si="29"/>
        <v>9927</v>
      </c>
      <c r="S133" s="52">
        <f t="shared" si="29"/>
        <v>-878</v>
      </c>
      <c r="T133" s="52">
        <f t="shared" si="29"/>
        <v>-1268</v>
      </c>
      <c r="U133" s="52">
        <f t="shared" si="29"/>
        <v>-398</v>
      </c>
      <c r="V133" s="52">
        <f t="shared" si="29"/>
        <v>-2048</v>
      </c>
      <c r="W133" s="52">
        <f t="shared" si="29"/>
        <v>-1548</v>
      </c>
      <c r="X133" s="52"/>
      <c r="Y133" s="52">
        <f t="shared" si="29"/>
        <v>-3248</v>
      </c>
      <c r="Z133" s="52">
        <f t="shared" si="29"/>
        <v>-3528</v>
      </c>
      <c r="AA133" s="52">
        <f t="shared" si="29"/>
        <v>-9058</v>
      </c>
      <c r="AB133" s="52">
        <f t="shared" si="29"/>
        <v>-9108</v>
      </c>
      <c r="AC133" s="52">
        <f t="shared" si="29"/>
        <v>-7483</v>
      </c>
      <c r="AD133" s="52">
        <f t="shared" si="29"/>
        <v>-7683</v>
      </c>
      <c r="AE133" s="52">
        <f t="shared" si="29"/>
        <v>-7038</v>
      </c>
      <c r="AF133" s="52">
        <f t="shared" si="29"/>
        <v>-5605</v>
      </c>
      <c r="AG133" s="52">
        <f t="shared" si="29"/>
        <v>-5880</v>
      </c>
      <c r="AH133" s="52">
        <f t="shared" si="29"/>
        <v>-5555</v>
      </c>
      <c r="AI133" s="52">
        <f t="shared" si="29"/>
        <v>-5580</v>
      </c>
      <c r="AJ133" s="52">
        <f t="shared" si="29"/>
        <v>-5835</v>
      </c>
      <c r="AK133" s="52">
        <f t="shared" si="29"/>
        <v>-3390</v>
      </c>
      <c r="AL133" s="52">
        <f t="shared" si="29"/>
        <v>-8583</v>
      </c>
      <c r="AM133" s="52">
        <f t="shared" si="29"/>
        <v>-10358</v>
      </c>
      <c r="AN133" s="52">
        <f t="shared" si="29"/>
        <v>-13663</v>
      </c>
      <c r="AO133" s="52">
        <f t="shared" si="29"/>
        <v>-19706</v>
      </c>
      <c r="AP133" s="52">
        <f t="shared" si="29"/>
        <v>-19981</v>
      </c>
      <c r="AQ133" s="52">
        <f t="shared" si="29"/>
        <v>-18906</v>
      </c>
      <c r="AR133" s="52">
        <f t="shared" si="29"/>
        <v>-20381</v>
      </c>
      <c r="AS133" s="52">
        <f t="shared" si="29"/>
        <v>-20581</v>
      </c>
      <c r="AT133" s="52"/>
      <c r="AU133" s="52">
        <f t="shared" ref="AU133:BM133" si="30">AU127+AU128+AU131+AU132+AU130</f>
        <v>-19786</v>
      </c>
      <c r="AV133" s="52">
        <f t="shared" si="30"/>
        <v>-20161</v>
      </c>
      <c r="AW133" s="52">
        <f t="shared" si="30"/>
        <v>-20486</v>
      </c>
      <c r="AX133" s="52">
        <f t="shared" si="30"/>
        <v>-20661</v>
      </c>
      <c r="AY133" s="52">
        <f t="shared" si="30"/>
        <v>-19296</v>
      </c>
      <c r="AZ133" s="52">
        <f>AZ127+AZ128+AZ131+AZ132+AZ130</f>
        <v>22279</v>
      </c>
      <c r="BA133" s="52">
        <f t="shared" si="30"/>
        <v>21904</v>
      </c>
      <c r="BB133" s="52">
        <f t="shared" si="30"/>
        <v>25779</v>
      </c>
      <c r="BC133" s="52">
        <f t="shared" si="30"/>
        <v>24304</v>
      </c>
      <c r="BD133" s="52">
        <f>BD127+BD128+BD131+BD132+BD130</f>
        <v>23969</v>
      </c>
      <c r="BE133" s="52">
        <f t="shared" si="30"/>
        <v>27064</v>
      </c>
      <c r="BF133" s="52">
        <f t="shared" si="30"/>
        <v>26689</v>
      </c>
      <c r="BG133" s="52">
        <f t="shared" si="30"/>
        <v>30064</v>
      </c>
      <c r="BH133" s="52">
        <f t="shared" si="30"/>
        <v>28679</v>
      </c>
      <c r="BI133" s="52">
        <f t="shared" si="30"/>
        <v>25344</v>
      </c>
      <c r="BJ133" s="52">
        <f t="shared" si="30"/>
        <v>22164</v>
      </c>
      <c r="BK133" s="52">
        <f t="shared" si="30"/>
        <v>12294</v>
      </c>
      <c r="BL133" s="52">
        <f t="shared" si="30"/>
        <v>10844</v>
      </c>
      <c r="BM133" s="52">
        <f t="shared" si="30"/>
        <v>9534</v>
      </c>
    </row>
    <row r="134" spans="1:66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</row>
    <row r="135" spans="1:66" x14ac:dyDescent="0.2">
      <c r="A135" s="43" t="s">
        <v>168</v>
      </c>
      <c r="B135" s="53">
        <f t="shared" ref="B135:AS135" si="31">B133-B134</f>
        <v>33719</v>
      </c>
      <c r="C135" s="53">
        <f t="shared" si="31"/>
        <v>33607</v>
      </c>
      <c r="D135" s="53">
        <f t="shared" si="31"/>
        <v>23919</v>
      </c>
      <c r="E135" s="53">
        <f t="shared" si="31"/>
        <v>23388</v>
      </c>
      <c r="F135" s="53">
        <f t="shared" si="31"/>
        <v>22604</v>
      </c>
      <c r="G135" s="53">
        <f t="shared" si="31"/>
        <v>26812</v>
      </c>
      <c r="H135" s="53">
        <f t="shared" si="31"/>
        <v>28079</v>
      </c>
      <c r="I135" s="53">
        <f t="shared" si="31"/>
        <v>27379</v>
      </c>
      <c r="J135" s="53">
        <f t="shared" si="31"/>
        <v>21564</v>
      </c>
      <c r="K135" s="53">
        <f t="shared" si="31"/>
        <v>23534</v>
      </c>
      <c r="L135" s="53">
        <f t="shared" si="31"/>
        <v>23134</v>
      </c>
      <c r="M135" s="53">
        <f t="shared" si="31"/>
        <v>23734</v>
      </c>
      <c r="N135" s="53">
        <f t="shared" si="31"/>
        <v>23409</v>
      </c>
      <c r="O135" s="53">
        <f t="shared" si="31"/>
        <v>21619</v>
      </c>
      <c r="P135" s="53">
        <f t="shared" si="31"/>
        <v>10122</v>
      </c>
      <c r="Q135" s="53">
        <f t="shared" si="31"/>
        <v>9722</v>
      </c>
      <c r="R135" s="53">
        <f t="shared" si="31"/>
        <v>9927</v>
      </c>
      <c r="S135" s="53">
        <f t="shared" si="31"/>
        <v>-878</v>
      </c>
      <c r="T135" s="53">
        <f t="shared" si="31"/>
        <v>-1268</v>
      </c>
      <c r="U135" s="53">
        <f t="shared" si="31"/>
        <v>-398</v>
      </c>
      <c r="V135" s="53">
        <f t="shared" si="31"/>
        <v>-2048</v>
      </c>
      <c r="W135" s="53">
        <f t="shared" si="31"/>
        <v>-1548</v>
      </c>
      <c r="X135" s="53"/>
      <c r="Y135" s="53">
        <f t="shared" si="31"/>
        <v>-3248</v>
      </c>
      <c r="Z135" s="53">
        <f t="shared" si="31"/>
        <v>-3528</v>
      </c>
      <c r="AA135" s="53">
        <f t="shared" si="31"/>
        <v>-9058</v>
      </c>
      <c r="AB135" s="53">
        <f t="shared" si="31"/>
        <v>-9108</v>
      </c>
      <c r="AC135" s="53">
        <f t="shared" si="31"/>
        <v>-7483</v>
      </c>
      <c r="AD135" s="53">
        <f t="shared" si="31"/>
        <v>-7683</v>
      </c>
      <c r="AE135" s="53">
        <f t="shared" si="31"/>
        <v>-7038</v>
      </c>
      <c r="AF135" s="53">
        <f t="shared" si="31"/>
        <v>-5605</v>
      </c>
      <c r="AG135" s="53">
        <f t="shared" si="31"/>
        <v>-5880</v>
      </c>
      <c r="AH135" s="53">
        <f t="shared" si="31"/>
        <v>-5555</v>
      </c>
      <c r="AI135" s="53">
        <f t="shared" si="31"/>
        <v>-5580</v>
      </c>
      <c r="AJ135" s="53">
        <f t="shared" si="31"/>
        <v>-5835</v>
      </c>
      <c r="AK135" s="53">
        <f t="shared" si="31"/>
        <v>-3390</v>
      </c>
      <c r="AL135" s="53">
        <f t="shared" si="31"/>
        <v>-8583</v>
      </c>
      <c r="AM135" s="53">
        <f t="shared" si="31"/>
        <v>-10358</v>
      </c>
      <c r="AN135" s="53">
        <f t="shared" si="31"/>
        <v>-13663</v>
      </c>
      <c r="AO135" s="53">
        <f t="shared" si="31"/>
        <v>-19706</v>
      </c>
      <c r="AP135" s="53">
        <f t="shared" si="31"/>
        <v>-19981</v>
      </c>
      <c r="AQ135" s="53">
        <f t="shared" si="31"/>
        <v>-18906</v>
      </c>
      <c r="AR135" s="53">
        <f t="shared" si="31"/>
        <v>-20381</v>
      </c>
      <c r="AS135" s="53">
        <f t="shared" si="31"/>
        <v>-20581</v>
      </c>
      <c r="AT135" s="53"/>
      <c r="AU135" s="53">
        <f t="shared" ref="AU135:BM135" si="32">AU133-AU134</f>
        <v>-19786</v>
      </c>
      <c r="AV135" s="53">
        <f t="shared" si="32"/>
        <v>-20161</v>
      </c>
      <c r="AW135" s="53">
        <f t="shared" si="32"/>
        <v>-20486</v>
      </c>
      <c r="AX135" s="53">
        <f t="shared" si="32"/>
        <v>-20661</v>
      </c>
      <c r="AY135" s="53">
        <f t="shared" si="32"/>
        <v>-19296</v>
      </c>
      <c r="AZ135" s="53">
        <f t="shared" si="32"/>
        <v>22279</v>
      </c>
      <c r="BA135" s="53">
        <f t="shared" si="32"/>
        <v>21904</v>
      </c>
      <c r="BB135" s="53">
        <f t="shared" si="32"/>
        <v>25779</v>
      </c>
      <c r="BC135" s="53">
        <f t="shared" si="32"/>
        <v>24304</v>
      </c>
      <c r="BD135" s="53">
        <f t="shared" si="32"/>
        <v>23969</v>
      </c>
      <c r="BE135" s="53">
        <f t="shared" si="32"/>
        <v>27064</v>
      </c>
      <c r="BF135" s="53">
        <f t="shared" si="32"/>
        <v>26689</v>
      </c>
      <c r="BG135" s="53">
        <f t="shared" si="32"/>
        <v>30064</v>
      </c>
      <c r="BH135" s="53">
        <f t="shared" si="32"/>
        <v>28679</v>
      </c>
      <c r="BI135" s="53">
        <f t="shared" si="32"/>
        <v>25344</v>
      </c>
      <c r="BJ135" s="53">
        <f t="shared" si="32"/>
        <v>22164</v>
      </c>
      <c r="BK135" s="53">
        <f t="shared" si="32"/>
        <v>12294</v>
      </c>
      <c r="BL135" s="53">
        <f t="shared" si="32"/>
        <v>10844</v>
      </c>
      <c r="BM135" s="53">
        <f t="shared" si="32"/>
        <v>9534</v>
      </c>
    </row>
    <row r="137" spans="1:66" hidden="1" x14ac:dyDescent="0.2">
      <c r="B137" s="1" t="s">
        <v>154</v>
      </c>
      <c r="C137" s="1" t="s">
        <v>155</v>
      </c>
      <c r="D137" s="1" t="s">
        <v>156</v>
      </c>
      <c r="E137" s="1" t="s">
        <v>157</v>
      </c>
      <c r="F137" s="1" t="s">
        <v>158</v>
      </c>
      <c r="G137" s="1" t="s">
        <v>155</v>
      </c>
      <c r="H137" s="1" t="s">
        <v>156</v>
      </c>
      <c r="I137" s="1" t="s">
        <v>157</v>
      </c>
      <c r="J137" s="1" t="s">
        <v>158</v>
      </c>
      <c r="K137" s="1" t="s">
        <v>154</v>
      </c>
      <c r="L137" s="1" t="s">
        <v>155</v>
      </c>
      <c r="M137" s="1" t="s">
        <v>156</v>
      </c>
      <c r="N137" s="1" t="s">
        <v>157</v>
      </c>
      <c r="O137" s="1" t="s">
        <v>158</v>
      </c>
      <c r="P137" s="1" t="s">
        <v>154</v>
      </c>
      <c r="Q137" s="1" t="s">
        <v>155</v>
      </c>
      <c r="R137" s="1" t="s">
        <v>156</v>
      </c>
      <c r="S137" s="1" t="s">
        <v>157</v>
      </c>
      <c r="T137" s="1" t="s">
        <v>158</v>
      </c>
      <c r="U137" s="1" t="s">
        <v>154</v>
      </c>
      <c r="V137" s="1" t="s">
        <v>155</v>
      </c>
      <c r="W137" s="1" t="s">
        <v>156</v>
      </c>
      <c r="Y137" s="1" t="s">
        <v>157</v>
      </c>
      <c r="Z137" s="1" t="s">
        <v>158</v>
      </c>
      <c r="AA137" s="1" t="s">
        <v>154</v>
      </c>
      <c r="AB137" s="1" t="s">
        <v>155</v>
      </c>
      <c r="AC137" s="1" t="s">
        <v>156</v>
      </c>
      <c r="AD137" s="1" t="s">
        <v>157</v>
      </c>
      <c r="AE137" s="1" t="s">
        <v>158</v>
      </c>
      <c r="AF137" s="1" t="s">
        <v>154</v>
      </c>
      <c r="AG137" s="1" t="s">
        <v>155</v>
      </c>
      <c r="AH137" s="1" t="s">
        <v>156</v>
      </c>
      <c r="AI137" s="1" t="s">
        <v>157</v>
      </c>
      <c r="AJ137" s="1" t="s">
        <v>158</v>
      </c>
      <c r="AK137" s="1" t="s">
        <v>154</v>
      </c>
      <c r="AL137" s="1" t="s">
        <v>155</v>
      </c>
      <c r="AM137" s="1" t="s">
        <v>156</v>
      </c>
      <c r="AN137" s="1" t="s">
        <v>158</v>
      </c>
      <c r="AO137" s="1" t="s">
        <v>154</v>
      </c>
      <c r="AP137" s="1" t="s">
        <v>155</v>
      </c>
      <c r="AQ137" s="1" t="s">
        <v>156</v>
      </c>
      <c r="AR137" s="1" t="s">
        <v>157</v>
      </c>
      <c r="AS137" s="1" t="s">
        <v>158</v>
      </c>
      <c r="AU137" s="1" t="s">
        <v>154</v>
      </c>
      <c r="AV137" s="1" t="s">
        <v>155</v>
      </c>
      <c r="AW137" s="1" t="s">
        <v>156</v>
      </c>
      <c r="AX137" s="1" t="s">
        <v>157</v>
      </c>
      <c r="AY137" s="1" t="s">
        <v>158</v>
      </c>
      <c r="AZ137" s="1" t="s">
        <v>154</v>
      </c>
      <c r="BA137" s="1" t="s">
        <v>155</v>
      </c>
      <c r="BB137" s="1" t="s">
        <v>156</v>
      </c>
      <c r="BC137" s="1" t="s">
        <v>157</v>
      </c>
      <c r="BD137" s="1" t="s">
        <v>158</v>
      </c>
      <c r="BE137" s="1" t="s">
        <v>154</v>
      </c>
      <c r="BF137" s="1" t="s">
        <v>155</v>
      </c>
      <c r="BG137" s="1" t="s">
        <v>156</v>
      </c>
      <c r="BH137" s="1" t="s">
        <v>157</v>
      </c>
      <c r="BI137" s="1" t="s">
        <v>158</v>
      </c>
      <c r="BJ137" s="1" t="s">
        <v>154</v>
      </c>
      <c r="BK137" s="1" t="s">
        <v>156</v>
      </c>
      <c r="BL137" s="1" t="s">
        <v>155</v>
      </c>
      <c r="BM137" s="1" t="s">
        <v>158</v>
      </c>
    </row>
    <row r="138" spans="1:66" hidden="1" x14ac:dyDescent="0.2">
      <c r="B138" s="44" t="s">
        <v>119</v>
      </c>
      <c r="C138" s="44" t="s">
        <v>119</v>
      </c>
      <c r="D138" s="44" t="s">
        <v>119</v>
      </c>
      <c r="E138" s="44" t="s">
        <v>119</v>
      </c>
      <c r="F138" s="44" t="s">
        <v>119</v>
      </c>
      <c r="G138" s="44" t="s">
        <v>119</v>
      </c>
      <c r="H138" s="44" t="s">
        <v>119</v>
      </c>
      <c r="I138" s="44" t="s">
        <v>119</v>
      </c>
      <c r="J138" s="44" t="s">
        <v>119</v>
      </c>
      <c r="K138" s="44" t="s">
        <v>119</v>
      </c>
      <c r="L138" s="44" t="s">
        <v>119</v>
      </c>
      <c r="M138" s="44" t="s">
        <v>119</v>
      </c>
      <c r="N138" s="44" t="s">
        <v>119</v>
      </c>
      <c r="O138" s="44" t="s">
        <v>119</v>
      </c>
      <c r="P138" s="44" t="s">
        <v>119</v>
      </c>
      <c r="Q138" s="44" t="s">
        <v>119</v>
      </c>
      <c r="R138" s="44" t="s">
        <v>119</v>
      </c>
      <c r="S138" s="44" t="s">
        <v>119</v>
      </c>
      <c r="T138" s="44" t="s">
        <v>119</v>
      </c>
      <c r="U138" s="44" t="s">
        <v>119</v>
      </c>
      <c r="V138" s="44" t="s">
        <v>119</v>
      </c>
      <c r="W138" s="44" t="s">
        <v>119</v>
      </c>
      <c r="X138" s="44" t="s">
        <v>159</v>
      </c>
      <c r="Y138" s="44" t="s">
        <v>119</v>
      </c>
      <c r="Z138" s="44" t="s">
        <v>119</v>
      </c>
      <c r="AA138" s="44" t="s">
        <v>119</v>
      </c>
      <c r="AB138" s="44" t="s">
        <v>119</v>
      </c>
      <c r="AC138" s="44" t="s">
        <v>119</v>
      </c>
      <c r="AD138" s="44" t="s">
        <v>119</v>
      </c>
      <c r="AE138" s="44" t="s">
        <v>119</v>
      </c>
      <c r="AF138" s="44" t="s">
        <v>119</v>
      </c>
      <c r="AG138" s="44" t="s">
        <v>119</v>
      </c>
      <c r="AH138" s="44" t="s">
        <v>119</v>
      </c>
      <c r="AI138" s="44" t="s">
        <v>119</v>
      </c>
      <c r="AJ138" s="44" t="s">
        <v>119</v>
      </c>
      <c r="AK138" s="44" t="s">
        <v>119</v>
      </c>
      <c r="AL138" s="44" t="s">
        <v>119</v>
      </c>
      <c r="AM138" s="44" t="s">
        <v>119</v>
      </c>
      <c r="AN138" s="44" t="s">
        <v>119</v>
      </c>
      <c r="AO138" s="44" t="s">
        <v>119</v>
      </c>
      <c r="AP138" s="44" t="s">
        <v>119</v>
      </c>
      <c r="AQ138" s="44" t="s">
        <v>119</v>
      </c>
      <c r="AR138" s="44" t="s">
        <v>119</v>
      </c>
      <c r="AS138" s="44" t="s">
        <v>119</v>
      </c>
      <c r="AT138" t="s">
        <v>136</v>
      </c>
      <c r="AU138" t="s">
        <v>119</v>
      </c>
      <c r="AV138" t="s">
        <v>119</v>
      </c>
      <c r="AW138" t="s">
        <v>119</v>
      </c>
      <c r="AX138" t="s">
        <v>119</v>
      </c>
      <c r="AY138" t="s">
        <v>119</v>
      </c>
      <c r="AZ138" t="s">
        <v>119</v>
      </c>
      <c r="BA138" t="s">
        <v>119</v>
      </c>
      <c r="BB138" t="s">
        <v>119</v>
      </c>
      <c r="BC138" t="s">
        <v>119</v>
      </c>
      <c r="BD138" t="s">
        <v>119</v>
      </c>
      <c r="BE138" t="s">
        <v>119</v>
      </c>
      <c r="BF138" t="s">
        <v>119</v>
      </c>
      <c r="BG138" t="s">
        <v>119</v>
      </c>
      <c r="BH138" t="s">
        <v>119</v>
      </c>
      <c r="BI138" t="s">
        <v>119</v>
      </c>
      <c r="BJ138" t="s">
        <v>119</v>
      </c>
      <c r="BK138" t="s">
        <v>119</v>
      </c>
      <c r="BL138" t="s">
        <v>119</v>
      </c>
      <c r="BM138" t="s">
        <v>119</v>
      </c>
      <c r="BN138" s="1" t="s">
        <v>120</v>
      </c>
    </row>
    <row r="139" spans="1:66" hidden="1" x14ac:dyDescent="0.2">
      <c r="B139" s="46">
        <v>37165</v>
      </c>
      <c r="C139" s="46">
        <v>37166</v>
      </c>
      <c r="D139" s="46">
        <v>37167</v>
      </c>
      <c r="E139" s="46">
        <v>37168</v>
      </c>
      <c r="F139" s="46">
        <v>37169</v>
      </c>
      <c r="G139" s="46">
        <v>37173</v>
      </c>
      <c r="H139" s="46">
        <v>37174</v>
      </c>
      <c r="I139" s="46">
        <v>37175</v>
      </c>
      <c r="J139" s="46">
        <v>37176</v>
      </c>
      <c r="K139" s="46">
        <v>37179</v>
      </c>
      <c r="L139" s="46">
        <v>37180</v>
      </c>
      <c r="M139" s="46">
        <v>37181</v>
      </c>
      <c r="N139" s="46">
        <v>37182</v>
      </c>
      <c r="O139" s="46">
        <v>37183</v>
      </c>
      <c r="P139" s="46">
        <v>37186</v>
      </c>
      <c r="Q139" s="46">
        <v>37187</v>
      </c>
      <c r="R139" s="46">
        <v>37188</v>
      </c>
      <c r="S139" s="46">
        <v>37189</v>
      </c>
      <c r="T139" s="46">
        <v>37190</v>
      </c>
      <c r="U139" s="46">
        <v>37193</v>
      </c>
      <c r="V139" s="46">
        <v>37194</v>
      </c>
      <c r="W139" s="46">
        <v>37195</v>
      </c>
      <c r="X139" s="47" t="s">
        <v>120</v>
      </c>
      <c r="Y139" s="46">
        <v>37196</v>
      </c>
      <c r="Z139" s="46">
        <v>37197</v>
      </c>
      <c r="AA139" s="46">
        <v>37200</v>
      </c>
      <c r="AB139" s="46">
        <v>37201</v>
      </c>
      <c r="AC139" s="46">
        <v>37202</v>
      </c>
      <c r="AD139" s="46">
        <v>37203</v>
      </c>
      <c r="AE139" s="46">
        <v>37204</v>
      </c>
      <c r="AF139" s="46">
        <v>37207</v>
      </c>
      <c r="AG139" s="46">
        <v>37208</v>
      </c>
      <c r="AH139" s="46">
        <v>37209</v>
      </c>
      <c r="AI139" s="46">
        <v>37210</v>
      </c>
      <c r="AJ139" s="46">
        <v>37211</v>
      </c>
      <c r="AK139" s="46">
        <v>37214</v>
      </c>
      <c r="AL139" s="46">
        <v>37215</v>
      </c>
      <c r="AM139" s="46">
        <v>37216</v>
      </c>
      <c r="AN139" s="46">
        <v>37218</v>
      </c>
      <c r="AO139" s="46">
        <v>37221</v>
      </c>
      <c r="AP139" s="46">
        <v>37222</v>
      </c>
      <c r="AQ139" s="46">
        <v>37223</v>
      </c>
      <c r="AR139" s="46">
        <v>37224</v>
      </c>
      <c r="AS139" s="46">
        <v>37225</v>
      </c>
      <c r="AT139" s="1" t="s">
        <v>120</v>
      </c>
      <c r="AU139" s="46">
        <v>37228</v>
      </c>
      <c r="AV139" s="46">
        <v>37229</v>
      </c>
      <c r="AW139" s="46">
        <v>37230</v>
      </c>
      <c r="AX139" s="46">
        <v>37231</v>
      </c>
      <c r="AY139" s="46">
        <v>37232</v>
      </c>
      <c r="AZ139" s="46">
        <v>37235</v>
      </c>
      <c r="BA139" s="46">
        <v>37236</v>
      </c>
      <c r="BB139" s="46">
        <v>37237</v>
      </c>
      <c r="BC139" s="46">
        <v>37238</v>
      </c>
      <c r="BD139" s="46">
        <v>37239</v>
      </c>
      <c r="BE139" s="46">
        <v>37242</v>
      </c>
      <c r="BF139" s="46">
        <v>37243</v>
      </c>
      <c r="BG139" s="46">
        <v>37244</v>
      </c>
      <c r="BH139" s="46">
        <v>37245</v>
      </c>
      <c r="BI139" s="46">
        <v>37246</v>
      </c>
      <c r="BJ139" s="46">
        <v>37249</v>
      </c>
      <c r="BK139" s="46">
        <v>37251</v>
      </c>
      <c r="BL139" s="46">
        <v>37252</v>
      </c>
      <c r="BM139" s="46">
        <v>37253</v>
      </c>
      <c r="BN139" s="46" t="s">
        <v>141</v>
      </c>
    </row>
    <row r="140" spans="1:66" hidden="1" x14ac:dyDescent="0.2">
      <c r="W140" s="54"/>
      <c r="Y140" s="54"/>
    </row>
    <row r="141" spans="1:66" hidden="1" x14ac:dyDescent="0.2">
      <c r="W141" s="54"/>
      <c r="Y141" s="54"/>
    </row>
    <row r="142" spans="1:66" hidden="1" x14ac:dyDescent="0.2">
      <c r="G142" s="43"/>
      <c r="H142" s="43"/>
      <c r="I142" s="43"/>
      <c r="J142" s="43">
        <f t="shared" ref="J142:W142" si="33">J139-$B$139+1</f>
        <v>12</v>
      </c>
      <c r="K142" s="43">
        <f t="shared" si="33"/>
        <v>15</v>
      </c>
      <c r="L142" s="43">
        <f t="shared" si="33"/>
        <v>16</v>
      </c>
      <c r="M142" s="43">
        <f t="shared" si="33"/>
        <v>17</v>
      </c>
      <c r="N142" s="43">
        <f t="shared" si="33"/>
        <v>18</v>
      </c>
      <c r="O142" s="43">
        <f t="shared" si="33"/>
        <v>19</v>
      </c>
      <c r="P142" s="43">
        <f t="shared" si="33"/>
        <v>22</v>
      </c>
      <c r="Q142" s="43">
        <f t="shared" si="33"/>
        <v>23</v>
      </c>
      <c r="R142" s="43">
        <f t="shared" si="33"/>
        <v>24</v>
      </c>
      <c r="S142" s="43">
        <f t="shared" si="33"/>
        <v>25</v>
      </c>
      <c r="T142" s="43">
        <f t="shared" si="33"/>
        <v>26</v>
      </c>
      <c r="U142" s="43">
        <f t="shared" si="33"/>
        <v>29</v>
      </c>
      <c r="V142" s="43">
        <f t="shared" si="33"/>
        <v>30</v>
      </c>
      <c r="W142" s="43">
        <f t="shared" si="33"/>
        <v>31</v>
      </c>
      <c r="Y142" s="43">
        <f>Y139-$Y$139+1</f>
        <v>1</v>
      </c>
      <c r="Z142" s="43">
        <f t="shared" ref="Z142:AS142" si="34">Z139-$Y$139+1</f>
        <v>2</v>
      </c>
      <c r="AA142" s="43">
        <f t="shared" si="34"/>
        <v>5</v>
      </c>
      <c r="AB142" s="43">
        <f t="shared" si="34"/>
        <v>6</v>
      </c>
      <c r="AC142" s="43">
        <f t="shared" si="34"/>
        <v>7</v>
      </c>
      <c r="AD142" s="43">
        <f t="shared" si="34"/>
        <v>8</v>
      </c>
      <c r="AE142" s="43">
        <f t="shared" si="34"/>
        <v>9</v>
      </c>
      <c r="AF142" s="43">
        <f t="shared" si="34"/>
        <v>12</v>
      </c>
      <c r="AG142" s="43">
        <f t="shared" si="34"/>
        <v>13</v>
      </c>
      <c r="AH142" s="43">
        <f t="shared" si="34"/>
        <v>14</v>
      </c>
      <c r="AI142" s="43">
        <f t="shared" si="34"/>
        <v>15</v>
      </c>
      <c r="AJ142" s="43">
        <f t="shared" si="34"/>
        <v>16</v>
      </c>
      <c r="AK142" s="43">
        <f t="shared" si="34"/>
        <v>19</v>
      </c>
      <c r="AL142" s="43">
        <f t="shared" si="34"/>
        <v>20</v>
      </c>
      <c r="AM142" s="43">
        <f t="shared" si="34"/>
        <v>21</v>
      </c>
      <c r="AN142" s="43">
        <f t="shared" si="34"/>
        <v>23</v>
      </c>
      <c r="AO142" s="43">
        <f t="shared" si="34"/>
        <v>26</v>
      </c>
      <c r="AP142" s="43">
        <f t="shared" si="34"/>
        <v>27</v>
      </c>
      <c r="AQ142" s="43">
        <f t="shared" si="34"/>
        <v>28</v>
      </c>
      <c r="AR142" s="43">
        <f t="shared" si="34"/>
        <v>29</v>
      </c>
      <c r="AS142" s="43">
        <f t="shared" si="34"/>
        <v>30</v>
      </c>
      <c r="AU142" s="43">
        <f>AU139-$A$195+1</f>
        <v>3</v>
      </c>
      <c r="AV142" s="43">
        <f t="shared" ref="AV142:BL142" si="35">AV139-$A$195+1</f>
        <v>4</v>
      </c>
      <c r="AW142" s="43">
        <f t="shared" si="35"/>
        <v>5</v>
      </c>
      <c r="AX142" s="43">
        <f t="shared" si="35"/>
        <v>6</v>
      </c>
      <c r="AY142" s="43">
        <f t="shared" si="35"/>
        <v>7</v>
      </c>
      <c r="AZ142" s="43">
        <f t="shared" si="35"/>
        <v>10</v>
      </c>
      <c r="BA142" s="43">
        <f t="shared" si="35"/>
        <v>11</v>
      </c>
      <c r="BB142" s="43">
        <f t="shared" si="35"/>
        <v>12</v>
      </c>
      <c r="BC142" s="43">
        <f t="shared" si="35"/>
        <v>13</v>
      </c>
      <c r="BD142" s="43">
        <f t="shared" si="35"/>
        <v>14</v>
      </c>
      <c r="BE142" s="43">
        <f t="shared" si="35"/>
        <v>17</v>
      </c>
      <c r="BF142" s="43">
        <f t="shared" si="35"/>
        <v>18</v>
      </c>
      <c r="BG142" s="43">
        <f t="shared" si="35"/>
        <v>19</v>
      </c>
      <c r="BH142" s="43">
        <f t="shared" si="35"/>
        <v>20</v>
      </c>
      <c r="BI142" s="43">
        <f t="shared" si="35"/>
        <v>21</v>
      </c>
      <c r="BJ142" s="43">
        <f t="shared" si="35"/>
        <v>24</v>
      </c>
      <c r="BK142" s="43">
        <f t="shared" si="35"/>
        <v>26</v>
      </c>
      <c r="BL142" s="43">
        <f t="shared" si="35"/>
        <v>27</v>
      </c>
      <c r="BM142" s="43">
        <f>BM139-$A$195+4</f>
        <v>31</v>
      </c>
    </row>
    <row r="143" spans="1:66" x14ac:dyDescent="0.2"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</row>
    <row r="144" spans="1:66" x14ac:dyDescent="0.2">
      <c r="A144" s="86" t="s">
        <v>194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</row>
    <row r="145" spans="1:65" x14ac:dyDescent="0.2">
      <c r="A145" s="84" t="s">
        <v>182</v>
      </c>
    </row>
    <row r="146" spans="1:65" x14ac:dyDescent="0.2">
      <c r="A146" s="43" t="s">
        <v>183</v>
      </c>
      <c r="G146" s="43"/>
      <c r="H146" s="43"/>
      <c r="I146" s="43"/>
      <c r="J146" s="43">
        <v>-110600</v>
      </c>
      <c r="K146" s="43">
        <v>-110600</v>
      </c>
      <c r="L146" s="43">
        <v>-110600</v>
      </c>
      <c r="M146" s="43">
        <v>-110600</v>
      </c>
      <c r="N146" s="43">
        <v>-110600</v>
      </c>
      <c r="O146" s="43">
        <v>-110600</v>
      </c>
      <c r="P146" s="43">
        <v>-110600</v>
      </c>
      <c r="Q146" s="43">
        <v>-110600</v>
      </c>
      <c r="R146" s="43">
        <v>-110600</v>
      </c>
      <c r="S146" s="43">
        <v>-110600</v>
      </c>
      <c r="T146" s="43">
        <v>-110600</v>
      </c>
      <c r="U146" s="43">
        <v>-110600</v>
      </c>
      <c r="V146" s="43">
        <v>-110600</v>
      </c>
      <c r="W146" s="43">
        <v>-110600</v>
      </c>
      <c r="Y146" s="43">
        <v>-110600</v>
      </c>
      <c r="Z146" s="43">
        <v>-110600</v>
      </c>
      <c r="AA146" s="43">
        <v>-110600</v>
      </c>
      <c r="AB146" s="43">
        <v>-110600</v>
      </c>
      <c r="AC146" s="43">
        <v>-110600</v>
      </c>
      <c r="AD146" s="43">
        <v>-110600</v>
      </c>
      <c r="AE146" s="43">
        <v>-110600</v>
      </c>
      <c r="AF146" s="43">
        <v>-110600</v>
      </c>
      <c r="AG146" s="43">
        <v>-110600</v>
      </c>
      <c r="AH146" s="43">
        <v>-110600</v>
      </c>
      <c r="AI146" s="43">
        <v>-110600</v>
      </c>
      <c r="AJ146" s="43">
        <v>-110600</v>
      </c>
      <c r="AK146" s="43">
        <v>-110600</v>
      </c>
      <c r="AL146" s="43">
        <v>-110600</v>
      </c>
      <c r="AM146" s="43">
        <v>-110600</v>
      </c>
      <c r="AN146" s="43">
        <v>-110600</v>
      </c>
      <c r="AO146" s="43">
        <v>-110600</v>
      </c>
      <c r="AP146" s="43">
        <v>-110600</v>
      </c>
      <c r="AQ146" s="43">
        <v>-110600</v>
      </c>
      <c r="AR146" s="43">
        <v>-110600</v>
      </c>
      <c r="AS146" s="43">
        <v>-110600</v>
      </c>
      <c r="AU146" s="43">
        <v>-110600</v>
      </c>
      <c r="AV146" s="43">
        <v>-110600</v>
      </c>
      <c r="AW146" s="43">
        <v>-110600</v>
      </c>
      <c r="AX146" s="43">
        <v>-110600</v>
      </c>
      <c r="AY146" s="43">
        <v>-110600</v>
      </c>
      <c r="AZ146" s="43">
        <v>-110600</v>
      </c>
      <c r="BA146" s="43">
        <v>-110600</v>
      </c>
      <c r="BB146" s="43">
        <v>-110600</v>
      </c>
      <c r="BC146" s="43">
        <v>-110600</v>
      </c>
      <c r="BD146" s="43">
        <v>-110600</v>
      </c>
      <c r="BE146" s="43">
        <v>-110600</v>
      </c>
      <c r="BF146" s="43">
        <v>-110600</v>
      </c>
      <c r="BG146" s="43">
        <v>-110600</v>
      </c>
      <c r="BH146" s="43">
        <v>-110600</v>
      </c>
      <c r="BI146" s="43">
        <v>-110600</v>
      </c>
      <c r="BJ146" s="43">
        <v>-110600</v>
      </c>
      <c r="BK146" s="43">
        <v>-110600</v>
      </c>
      <c r="BL146" s="43">
        <v>-110600</v>
      </c>
      <c r="BM146" s="43">
        <v>-110600</v>
      </c>
    </row>
    <row r="147" spans="1:65" x14ac:dyDescent="0.2">
      <c r="A147" s="43" t="s">
        <v>184</v>
      </c>
      <c r="G147" s="53"/>
      <c r="H147" s="53"/>
      <c r="I147" s="53"/>
      <c r="J147" s="43">
        <v>-14800</v>
      </c>
      <c r="K147" s="43">
        <v>-14800</v>
      </c>
      <c r="L147" s="43">
        <v>-14800</v>
      </c>
      <c r="M147" s="43">
        <v>-14800</v>
      </c>
      <c r="N147" s="43">
        <v>-14800</v>
      </c>
      <c r="O147" s="43">
        <v>-14800</v>
      </c>
      <c r="P147" s="43">
        <v>-14800</v>
      </c>
      <c r="Q147" s="43">
        <f>-14800+7700</f>
        <v>-7100</v>
      </c>
      <c r="R147" s="43">
        <v>-7100</v>
      </c>
      <c r="S147" s="43">
        <v>-7100</v>
      </c>
      <c r="T147" s="43">
        <v>0</v>
      </c>
      <c r="U147" s="43">
        <v>0</v>
      </c>
      <c r="V147" s="43">
        <v>0</v>
      </c>
      <c r="W147" s="43">
        <v>0</v>
      </c>
      <c r="Y147" s="43">
        <v>-11500</v>
      </c>
      <c r="Z147" s="43">
        <v>-11500</v>
      </c>
      <c r="AA147" s="43">
        <v>-11500</v>
      </c>
      <c r="AB147" s="43">
        <v>-11500</v>
      </c>
      <c r="AC147" s="43">
        <v>-11500</v>
      </c>
      <c r="AD147" s="43">
        <v>-11500</v>
      </c>
      <c r="AE147" s="43">
        <v>-11500</v>
      </c>
      <c r="AF147" s="43">
        <f>-11500+1012</f>
        <v>-10488</v>
      </c>
      <c r="AG147" s="43">
        <f t="shared" ref="AG147:AM147" si="36">-11500+1012</f>
        <v>-10488</v>
      </c>
      <c r="AH147" s="43">
        <f t="shared" si="36"/>
        <v>-10488</v>
      </c>
      <c r="AI147" s="43">
        <f t="shared" si="36"/>
        <v>-10488</v>
      </c>
      <c r="AJ147" s="43">
        <f t="shared" si="36"/>
        <v>-10488</v>
      </c>
      <c r="AK147" s="43">
        <f t="shared" si="36"/>
        <v>-10488</v>
      </c>
      <c r="AL147" s="43">
        <f t="shared" si="36"/>
        <v>-10488</v>
      </c>
      <c r="AM147" s="43">
        <f t="shared" si="36"/>
        <v>-10488</v>
      </c>
      <c r="AN147" s="54">
        <f>-10488+5188</f>
        <v>-5300</v>
      </c>
      <c r="AO147" s="54">
        <v>-5300</v>
      </c>
      <c r="AP147" s="43">
        <v>0</v>
      </c>
      <c r="AQ147" s="43">
        <v>0</v>
      </c>
      <c r="AR147" s="43">
        <v>0</v>
      </c>
      <c r="AS147" s="43">
        <v>0</v>
      </c>
      <c r="AU147" s="43">
        <v>-17000</v>
      </c>
      <c r="AV147" s="43">
        <v>-17000</v>
      </c>
      <c r="AW147" s="43">
        <v>-17000</v>
      </c>
      <c r="AX147" s="43">
        <v>-17000</v>
      </c>
      <c r="AY147" s="43">
        <v>-17000</v>
      </c>
      <c r="AZ147" s="43">
        <v>-17000</v>
      </c>
      <c r="BA147" s="43">
        <v>-17000</v>
      </c>
      <c r="BB147" s="43">
        <v>-17000</v>
      </c>
      <c r="BC147" s="43">
        <v>-17000</v>
      </c>
      <c r="BD147" s="43">
        <v>-17000</v>
      </c>
      <c r="BE147" s="43">
        <v>-17000</v>
      </c>
      <c r="BF147" s="43">
        <v>-17000</v>
      </c>
      <c r="BG147" s="43">
        <v>-17000</v>
      </c>
      <c r="BH147" s="43">
        <v>-17000</v>
      </c>
      <c r="BI147" s="43">
        <f>-17000+7200</f>
        <v>-9800</v>
      </c>
      <c r="BJ147" s="43">
        <f>-17000+7200</f>
        <v>-9800</v>
      </c>
      <c r="BK147" s="43">
        <f>-17000+7200</f>
        <v>-9800</v>
      </c>
      <c r="BL147" s="43">
        <v>0</v>
      </c>
      <c r="BM147" s="43">
        <v>0</v>
      </c>
    </row>
    <row r="148" spans="1:65" x14ac:dyDescent="0.2">
      <c r="A148" s="43" t="s">
        <v>185</v>
      </c>
      <c r="G148" s="53"/>
      <c r="H148" s="53"/>
      <c r="I148" s="53"/>
      <c r="J148" s="49">
        <f t="shared" ref="J148:W148" si="37">$B$179/$B$181*J142</f>
        <v>-4451.6129032258059</v>
      </c>
      <c r="K148" s="49">
        <f t="shared" si="37"/>
        <v>-5564.5161290322576</v>
      </c>
      <c r="L148" s="49">
        <f t="shared" si="37"/>
        <v>-5935.4838709677415</v>
      </c>
      <c r="M148" s="49">
        <f t="shared" si="37"/>
        <v>-6306.4516129032254</v>
      </c>
      <c r="N148" s="49">
        <f t="shared" si="37"/>
        <v>-6677.4193548387093</v>
      </c>
      <c r="O148" s="49">
        <f t="shared" si="37"/>
        <v>-7048.3870967741932</v>
      </c>
      <c r="P148" s="49">
        <f t="shared" si="37"/>
        <v>-8161.2903225806449</v>
      </c>
      <c r="Q148" s="49">
        <f t="shared" si="37"/>
        <v>-8532.2580645161288</v>
      </c>
      <c r="R148" s="49">
        <f t="shared" si="37"/>
        <v>-8903.2258064516118</v>
      </c>
      <c r="S148" s="49">
        <f t="shared" si="37"/>
        <v>-9274.1935483870966</v>
      </c>
      <c r="T148" s="49">
        <f t="shared" si="37"/>
        <v>-9645.1612903225796</v>
      </c>
      <c r="U148" s="49">
        <f t="shared" si="37"/>
        <v>-10758.064516129032</v>
      </c>
      <c r="V148" s="49">
        <f t="shared" si="37"/>
        <v>-11129.032258064515</v>
      </c>
      <c r="W148" s="49">
        <f t="shared" si="37"/>
        <v>-11500</v>
      </c>
      <c r="Y148" s="49">
        <f>$B$185/$B$187*Y142</f>
        <v>-566.66666666666663</v>
      </c>
      <c r="Z148" s="49">
        <f t="shared" ref="Z148:AS148" si="38">$B$185/$B$187*Z142</f>
        <v>-1133.3333333333333</v>
      </c>
      <c r="AA148" s="49">
        <f t="shared" si="38"/>
        <v>-2833.333333333333</v>
      </c>
      <c r="AB148" s="49">
        <f t="shared" si="38"/>
        <v>-3400</v>
      </c>
      <c r="AC148" s="49">
        <f t="shared" si="38"/>
        <v>-3966.6666666666665</v>
      </c>
      <c r="AD148" s="49">
        <f t="shared" si="38"/>
        <v>-4533.333333333333</v>
      </c>
      <c r="AE148" s="49">
        <f t="shared" si="38"/>
        <v>-5100</v>
      </c>
      <c r="AF148" s="49">
        <f t="shared" si="38"/>
        <v>-6800</v>
      </c>
      <c r="AG148" s="49">
        <f t="shared" si="38"/>
        <v>-7366.6666666666661</v>
      </c>
      <c r="AH148" s="49">
        <f t="shared" si="38"/>
        <v>-7933.333333333333</v>
      </c>
      <c r="AI148" s="49">
        <f t="shared" si="38"/>
        <v>-8500</v>
      </c>
      <c r="AJ148" s="49">
        <f t="shared" si="38"/>
        <v>-9066.6666666666661</v>
      </c>
      <c r="AK148" s="49">
        <f t="shared" si="38"/>
        <v>-10766.666666666666</v>
      </c>
      <c r="AL148" s="49">
        <f t="shared" si="38"/>
        <v>-11333.333333333332</v>
      </c>
      <c r="AM148" s="49">
        <f t="shared" si="38"/>
        <v>-11900</v>
      </c>
      <c r="AN148" s="49">
        <f t="shared" si="38"/>
        <v>-13033.333333333332</v>
      </c>
      <c r="AO148" s="49">
        <f t="shared" si="38"/>
        <v>-14733.333333333332</v>
      </c>
      <c r="AP148" s="49">
        <f t="shared" si="38"/>
        <v>-15299.999999999998</v>
      </c>
      <c r="AQ148" s="49">
        <f t="shared" si="38"/>
        <v>-15866.666666666666</v>
      </c>
      <c r="AR148" s="49">
        <f t="shared" si="38"/>
        <v>-16433.333333333332</v>
      </c>
      <c r="AS148" s="49">
        <f t="shared" si="38"/>
        <v>-17000</v>
      </c>
      <c r="AU148" s="49">
        <f>$B$192/$B$194*AU142</f>
        <v>-2003.2258064516129</v>
      </c>
      <c r="AV148" s="49">
        <f t="shared" ref="AV148:BM148" si="39">$B$192/$B$194*AV142</f>
        <v>-2670.9677419354839</v>
      </c>
      <c r="AW148" s="49">
        <f t="shared" si="39"/>
        <v>-3338.7096774193551</v>
      </c>
      <c r="AX148" s="49">
        <f t="shared" si="39"/>
        <v>-4006.4516129032259</v>
      </c>
      <c r="AY148" s="49">
        <f t="shared" si="39"/>
        <v>-4674.1935483870966</v>
      </c>
      <c r="AZ148" s="49">
        <f t="shared" si="39"/>
        <v>-6677.4193548387102</v>
      </c>
      <c r="BA148" s="49">
        <f t="shared" si="39"/>
        <v>-7345.1612903225805</v>
      </c>
      <c r="BB148" s="49">
        <f t="shared" si="39"/>
        <v>-8012.9032258064517</v>
      </c>
      <c r="BC148" s="49">
        <f t="shared" si="39"/>
        <v>-8680.645161290322</v>
      </c>
      <c r="BD148" s="49">
        <f t="shared" si="39"/>
        <v>-9348.3870967741932</v>
      </c>
      <c r="BE148" s="49">
        <f t="shared" si="39"/>
        <v>-11351.612903225807</v>
      </c>
      <c r="BF148" s="49">
        <f t="shared" si="39"/>
        <v>-12019.354838709678</v>
      </c>
      <c r="BG148" s="49">
        <f t="shared" si="39"/>
        <v>-12687.096774193549</v>
      </c>
      <c r="BH148" s="49">
        <f t="shared" si="39"/>
        <v>-13354.83870967742</v>
      </c>
      <c r="BI148" s="49">
        <f t="shared" si="39"/>
        <v>-14022.58064516129</v>
      </c>
      <c r="BJ148" s="49">
        <f t="shared" si="39"/>
        <v>-16025.806451612903</v>
      </c>
      <c r="BK148" s="49">
        <f t="shared" si="39"/>
        <v>-17361.290322580644</v>
      </c>
      <c r="BL148" s="49">
        <f t="shared" si="39"/>
        <v>-18029.032258064515</v>
      </c>
      <c r="BM148" s="49">
        <f t="shared" si="39"/>
        <v>-20700</v>
      </c>
    </row>
    <row r="149" spans="1:65" x14ac:dyDescent="0.2">
      <c r="A149" s="43" t="s">
        <v>193</v>
      </c>
      <c r="G149" s="53"/>
      <c r="H149" s="53"/>
      <c r="I149" s="53"/>
      <c r="J149" s="43">
        <f t="shared" ref="J149:W149" si="40">SUM(J146:J148)</f>
        <v>-129851.6129032258</v>
      </c>
      <c r="K149" s="43">
        <f t="shared" si="40"/>
        <v>-130964.51612903226</v>
      </c>
      <c r="L149" s="43">
        <f t="shared" si="40"/>
        <v>-131335.48387096773</v>
      </c>
      <c r="M149" s="43">
        <f t="shared" si="40"/>
        <v>-131706.45161290321</v>
      </c>
      <c r="N149" s="43">
        <f t="shared" si="40"/>
        <v>-132077.4193548387</v>
      </c>
      <c r="O149" s="43">
        <f t="shared" si="40"/>
        <v>-132448.38709677418</v>
      </c>
      <c r="P149" s="43">
        <f t="shared" si="40"/>
        <v>-133561.29032258064</v>
      </c>
      <c r="Q149" s="43">
        <f t="shared" si="40"/>
        <v>-126232.25806451612</v>
      </c>
      <c r="R149" s="43">
        <f t="shared" si="40"/>
        <v>-126603.22580645161</v>
      </c>
      <c r="S149" s="43">
        <f t="shared" si="40"/>
        <v>-126974.19354838709</v>
      </c>
      <c r="T149" s="43">
        <f t="shared" si="40"/>
        <v>-120245.16129032258</v>
      </c>
      <c r="U149" s="43">
        <f t="shared" si="40"/>
        <v>-121358.06451612903</v>
      </c>
      <c r="V149" s="43">
        <f t="shared" si="40"/>
        <v>-121729.03225806452</v>
      </c>
      <c r="W149" s="43">
        <f t="shared" si="40"/>
        <v>-122100</v>
      </c>
      <c r="Y149" s="43">
        <f>SUM(Y146:Y148)</f>
        <v>-122666.66666666667</v>
      </c>
      <c r="Z149" s="43">
        <f t="shared" ref="Z149:AU149" si="41">SUM(Z146:Z148)</f>
        <v>-123233.33333333333</v>
      </c>
      <c r="AA149" s="43">
        <f t="shared" si="41"/>
        <v>-124933.33333333333</v>
      </c>
      <c r="AB149" s="43">
        <f t="shared" si="41"/>
        <v>-125500</v>
      </c>
      <c r="AC149" s="43">
        <f t="shared" si="41"/>
        <v>-126066.66666666667</v>
      </c>
      <c r="AD149" s="43">
        <f t="shared" si="41"/>
        <v>-126633.33333333333</v>
      </c>
      <c r="AE149" s="43">
        <f t="shared" si="41"/>
        <v>-127200</v>
      </c>
      <c r="AF149" s="43">
        <f t="shared" si="41"/>
        <v>-127888</v>
      </c>
      <c r="AG149" s="43">
        <f t="shared" si="41"/>
        <v>-128454.66666666667</v>
      </c>
      <c r="AH149" s="43">
        <f t="shared" si="41"/>
        <v>-129021.33333333333</v>
      </c>
      <c r="AI149" s="43">
        <f t="shared" si="41"/>
        <v>-129588</v>
      </c>
      <c r="AJ149" s="43">
        <f t="shared" si="41"/>
        <v>-130154.66666666667</v>
      </c>
      <c r="AK149" s="43">
        <f t="shared" si="41"/>
        <v>-131854.66666666666</v>
      </c>
      <c r="AL149" s="43">
        <f t="shared" si="41"/>
        <v>-132421.33333333334</v>
      </c>
      <c r="AM149" s="43">
        <f t="shared" si="41"/>
        <v>-132988</v>
      </c>
      <c r="AN149" s="43">
        <f t="shared" si="41"/>
        <v>-128933.33333333333</v>
      </c>
      <c r="AO149" s="43">
        <f t="shared" si="41"/>
        <v>-130633.33333333333</v>
      </c>
      <c r="AP149" s="43">
        <f t="shared" si="41"/>
        <v>-125900</v>
      </c>
      <c r="AQ149" s="43">
        <f t="shared" si="41"/>
        <v>-126466.66666666667</v>
      </c>
      <c r="AR149" s="43">
        <f t="shared" si="41"/>
        <v>-127033.33333333333</v>
      </c>
      <c r="AS149" s="43">
        <f t="shared" si="41"/>
        <v>-127600</v>
      </c>
      <c r="AU149" s="43">
        <f t="shared" si="41"/>
        <v>-129603.22580645161</v>
      </c>
      <c r="AV149" s="43">
        <f t="shared" ref="AV149:BM149" si="42">SUM(AV146:AV148)</f>
        <v>-130270.96774193548</v>
      </c>
      <c r="AW149" s="43">
        <f t="shared" si="42"/>
        <v>-130938.70967741935</v>
      </c>
      <c r="AX149" s="43">
        <f t="shared" si="42"/>
        <v>-131606.45161290321</v>
      </c>
      <c r="AY149" s="43">
        <f t="shared" si="42"/>
        <v>-132274.19354838709</v>
      </c>
      <c r="AZ149" s="43">
        <f t="shared" si="42"/>
        <v>-134277.4193548387</v>
      </c>
      <c r="BA149" s="43">
        <f t="shared" si="42"/>
        <v>-134945.16129032258</v>
      </c>
      <c r="BB149" s="43">
        <f t="shared" si="42"/>
        <v>-135612.90322580645</v>
      </c>
      <c r="BC149" s="43">
        <f t="shared" si="42"/>
        <v>-136280.64516129033</v>
      </c>
      <c r="BD149" s="43">
        <f t="shared" si="42"/>
        <v>-136948.38709677418</v>
      </c>
      <c r="BE149" s="43">
        <f t="shared" si="42"/>
        <v>-138951.61290322582</v>
      </c>
      <c r="BF149" s="43">
        <f t="shared" si="42"/>
        <v>-139619.35483870967</v>
      </c>
      <c r="BG149" s="43">
        <f t="shared" si="42"/>
        <v>-140287.09677419355</v>
      </c>
      <c r="BH149" s="43">
        <f t="shared" si="42"/>
        <v>-140954.83870967742</v>
      </c>
      <c r="BI149" s="43">
        <f t="shared" si="42"/>
        <v>-134422.5806451613</v>
      </c>
      <c r="BJ149" s="43">
        <f t="shared" si="42"/>
        <v>-136425.80645161291</v>
      </c>
      <c r="BK149" s="43">
        <f t="shared" si="42"/>
        <v>-137761.29032258064</v>
      </c>
      <c r="BL149" s="43">
        <f t="shared" si="42"/>
        <v>-128629.03225806452</v>
      </c>
      <c r="BM149" s="43">
        <f t="shared" si="42"/>
        <v>-131300</v>
      </c>
    </row>
    <row r="150" spans="1:65" x14ac:dyDescent="0.2">
      <c r="G150" s="50"/>
      <c r="H150" s="50"/>
      <c r="I150" s="50"/>
    </row>
    <row r="151" spans="1:65" x14ac:dyDescent="0.2">
      <c r="A151" s="43" t="s">
        <v>186</v>
      </c>
      <c r="G151" s="53"/>
      <c r="H151" s="53"/>
      <c r="I151" s="53"/>
      <c r="J151" s="43">
        <v>20000</v>
      </c>
      <c r="K151" s="43">
        <v>20000</v>
      </c>
      <c r="L151" s="43">
        <v>20000</v>
      </c>
      <c r="M151" s="43">
        <v>20000</v>
      </c>
      <c r="N151" s="43">
        <v>20000</v>
      </c>
      <c r="O151" s="43">
        <v>20000</v>
      </c>
      <c r="P151" s="43">
        <v>20000</v>
      </c>
      <c r="Q151" s="43">
        <v>20000</v>
      </c>
      <c r="R151" s="43">
        <v>20000</v>
      </c>
      <c r="S151" s="43">
        <v>20000</v>
      </c>
      <c r="T151" s="43">
        <v>20000</v>
      </c>
      <c r="U151" s="43">
        <v>20000</v>
      </c>
      <c r="V151" s="43">
        <v>20000</v>
      </c>
      <c r="W151" s="43">
        <v>20000</v>
      </c>
      <c r="Y151" s="43">
        <v>40000</v>
      </c>
      <c r="Z151" s="43">
        <v>40000</v>
      </c>
      <c r="AA151" s="43">
        <v>40000</v>
      </c>
      <c r="AB151" s="43">
        <v>40000</v>
      </c>
      <c r="AC151" s="43">
        <v>40000</v>
      </c>
      <c r="AD151" s="43">
        <v>40000</v>
      </c>
      <c r="AE151" s="43">
        <v>40000</v>
      </c>
      <c r="AF151" s="43">
        <v>40000</v>
      </c>
      <c r="AG151" s="43">
        <v>40000</v>
      </c>
      <c r="AH151" s="43">
        <v>40000</v>
      </c>
      <c r="AI151" s="43">
        <v>40000</v>
      </c>
      <c r="AJ151" s="43">
        <v>40000</v>
      </c>
      <c r="AK151" s="43">
        <v>40000</v>
      </c>
      <c r="AL151" s="43">
        <v>40000</v>
      </c>
      <c r="AM151" s="43">
        <v>40000</v>
      </c>
      <c r="AN151" s="43">
        <v>40000</v>
      </c>
      <c r="AO151" s="43">
        <v>40000</v>
      </c>
      <c r="AP151" s="43">
        <v>40000</v>
      </c>
      <c r="AQ151" s="43">
        <v>40000</v>
      </c>
      <c r="AR151" s="43">
        <v>40000</v>
      </c>
      <c r="AS151" s="43">
        <v>40000</v>
      </c>
      <c r="AU151" s="43">
        <v>40000</v>
      </c>
      <c r="AV151" s="43">
        <v>40000</v>
      </c>
      <c r="AW151" s="43">
        <v>40000</v>
      </c>
      <c r="AX151" s="43">
        <v>40000</v>
      </c>
      <c r="AY151" s="43">
        <v>40000</v>
      </c>
      <c r="AZ151" s="43">
        <v>40000</v>
      </c>
      <c r="BA151" s="43">
        <v>40000</v>
      </c>
      <c r="BB151" s="43">
        <v>40000</v>
      </c>
      <c r="BC151" s="43">
        <v>40000</v>
      </c>
      <c r="BD151" s="43">
        <v>40000</v>
      </c>
      <c r="BE151" s="43">
        <v>40000</v>
      </c>
      <c r="BF151" s="43">
        <v>40000</v>
      </c>
      <c r="BG151" s="43">
        <v>40000</v>
      </c>
      <c r="BH151" s="43">
        <v>40000</v>
      </c>
      <c r="BI151" s="43">
        <v>40000</v>
      </c>
      <c r="BJ151" s="43">
        <v>40000</v>
      </c>
      <c r="BK151" s="43">
        <v>40000</v>
      </c>
      <c r="BL151" s="43">
        <v>40000</v>
      </c>
      <c r="BM151" s="43">
        <v>40000</v>
      </c>
    </row>
    <row r="152" spans="1:65" x14ac:dyDescent="0.2">
      <c r="A152" s="43" t="s">
        <v>187</v>
      </c>
      <c r="G152" s="53"/>
      <c r="H152" s="53"/>
      <c r="I152" s="53"/>
      <c r="J152" s="49">
        <v>109300</v>
      </c>
      <c r="K152" s="49">
        <f t="shared" ref="K152:W152" si="43">J152-K156</f>
        <v>109851.6129032258</v>
      </c>
      <c r="L152" s="49">
        <f t="shared" si="43"/>
        <v>110964.51612903226</v>
      </c>
      <c r="M152" s="49">
        <f t="shared" si="43"/>
        <v>111335.48387096773</v>
      </c>
      <c r="N152" s="49">
        <f t="shared" si="43"/>
        <v>111706.45161290321</v>
      </c>
      <c r="O152" s="49">
        <f t="shared" si="43"/>
        <v>112077.4193548387</v>
      </c>
      <c r="P152" s="49">
        <f t="shared" si="43"/>
        <v>112448.38709677418</v>
      </c>
      <c r="Q152" s="49">
        <f t="shared" si="43"/>
        <v>113561.29032258064</v>
      </c>
      <c r="R152" s="49">
        <f t="shared" si="43"/>
        <v>106232.25806451612</v>
      </c>
      <c r="S152" s="49">
        <f t="shared" si="43"/>
        <v>106603.22580645161</v>
      </c>
      <c r="T152" s="49">
        <f t="shared" si="43"/>
        <v>106974.19354838709</v>
      </c>
      <c r="U152" s="49">
        <f t="shared" si="43"/>
        <v>100245.16129032258</v>
      </c>
      <c r="V152" s="49">
        <f t="shared" si="43"/>
        <v>101358.06451612903</v>
      </c>
      <c r="W152" s="49">
        <f t="shared" si="43"/>
        <v>101729.03225806452</v>
      </c>
      <c r="Y152" s="49">
        <f>W152-Y156</f>
        <v>102100</v>
      </c>
      <c r="Z152" s="49">
        <f>Y152-Z156</f>
        <v>82666.666666666672</v>
      </c>
      <c r="AA152" s="49">
        <f t="shared" ref="AA152:AS152" si="44">Z152-AA156</f>
        <v>83233.333333333328</v>
      </c>
      <c r="AB152" s="49">
        <f t="shared" si="44"/>
        <v>84933.333333333328</v>
      </c>
      <c r="AC152" s="49">
        <f t="shared" si="44"/>
        <v>85500</v>
      </c>
      <c r="AD152" s="49">
        <f t="shared" si="44"/>
        <v>86066.666666666672</v>
      </c>
      <c r="AE152" s="49">
        <f t="shared" si="44"/>
        <v>86633.333333333328</v>
      </c>
      <c r="AF152" s="49">
        <f t="shared" si="44"/>
        <v>87200</v>
      </c>
      <c r="AG152" s="49">
        <f t="shared" si="44"/>
        <v>87888</v>
      </c>
      <c r="AH152" s="49">
        <f t="shared" si="44"/>
        <v>88454.666666666672</v>
      </c>
      <c r="AI152" s="49">
        <f t="shared" si="44"/>
        <v>89021.333333333328</v>
      </c>
      <c r="AJ152" s="49">
        <f t="shared" si="44"/>
        <v>89588</v>
      </c>
      <c r="AK152" s="49">
        <f t="shared" si="44"/>
        <v>90154.666666666672</v>
      </c>
      <c r="AL152" s="49">
        <f t="shared" si="44"/>
        <v>91854.666666666657</v>
      </c>
      <c r="AM152" s="49">
        <f t="shared" si="44"/>
        <v>92421.333333333343</v>
      </c>
      <c r="AN152" s="49">
        <f t="shared" si="44"/>
        <v>92988</v>
      </c>
      <c r="AO152" s="49">
        <f t="shared" si="44"/>
        <v>88933.333333333328</v>
      </c>
      <c r="AP152" s="49">
        <f t="shared" si="44"/>
        <v>90633.333333333328</v>
      </c>
      <c r="AQ152" s="49">
        <f t="shared" si="44"/>
        <v>85900</v>
      </c>
      <c r="AR152" s="49">
        <f t="shared" si="44"/>
        <v>86466.666666666672</v>
      </c>
      <c r="AS152" s="49">
        <f t="shared" si="44"/>
        <v>87033.333333333328</v>
      </c>
      <c r="AU152" s="89">
        <f>AS152-AU156</f>
        <v>87600</v>
      </c>
      <c r="AV152" s="89">
        <f>AU152-AV156</f>
        <v>89603.225806451606</v>
      </c>
      <c r="AW152" s="89">
        <f t="shared" ref="AW152:BM152" si="45">AV152-AW156</f>
        <v>90270.967741935485</v>
      </c>
      <c r="AX152" s="89">
        <f t="shared" si="45"/>
        <v>90938.709677419349</v>
      </c>
      <c r="AY152" s="89">
        <f t="shared" si="45"/>
        <v>91606.451612903213</v>
      </c>
      <c r="AZ152" s="89">
        <f t="shared" si="45"/>
        <v>92274.193548387091</v>
      </c>
      <c r="BA152" s="89">
        <f t="shared" si="45"/>
        <v>94277.419354838697</v>
      </c>
      <c r="BB152" s="89">
        <f t="shared" si="45"/>
        <v>94945.161290322576</v>
      </c>
      <c r="BC152" s="89">
        <f t="shared" si="45"/>
        <v>95612.903225806454</v>
      </c>
      <c r="BD152" s="89">
        <f t="shared" si="45"/>
        <v>96280.645161290333</v>
      </c>
      <c r="BE152" s="89">
        <f t="shared" si="45"/>
        <v>96948.387096774182</v>
      </c>
      <c r="BF152" s="89">
        <f t="shared" si="45"/>
        <v>98951.612903225818</v>
      </c>
      <c r="BG152" s="89">
        <f t="shared" si="45"/>
        <v>99619.354838709667</v>
      </c>
      <c r="BH152" s="89">
        <f t="shared" si="45"/>
        <v>100287.09677419355</v>
      </c>
      <c r="BI152" s="89">
        <f t="shared" si="45"/>
        <v>100954.83870967742</v>
      </c>
      <c r="BJ152" s="89">
        <f t="shared" si="45"/>
        <v>94422.580645161303</v>
      </c>
      <c r="BK152" s="89">
        <f t="shared" si="45"/>
        <v>96425.806451612909</v>
      </c>
      <c r="BL152" s="89">
        <f t="shared" si="45"/>
        <v>97761.290322580637</v>
      </c>
      <c r="BM152" s="89">
        <f t="shared" si="45"/>
        <v>88629.032258064515</v>
      </c>
    </row>
    <row r="153" spans="1:65" x14ac:dyDescent="0.2">
      <c r="A153" s="43" t="s">
        <v>188</v>
      </c>
      <c r="G153" s="53"/>
      <c r="H153" s="53"/>
      <c r="I153" s="53"/>
      <c r="J153" s="43">
        <f t="shared" ref="J153:W153" si="46">SUM(J151:J152)</f>
        <v>129300</v>
      </c>
      <c r="K153" s="43">
        <f t="shared" si="46"/>
        <v>129851.6129032258</v>
      </c>
      <c r="L153" s="43">
        <f t="shared" si="46"/>
        <v>130964.51612903226</v>
      </c>
      <c r="M153" s="43">
        <f t="shared" si="46"/>
        <v>131335.48387096773</v>
      </c>
      <c r="N153" s="43">
        <f t="shared" si="46"/>
        <v>131706.45161290321</v>
      </c>
      <c r="O153" s="43">
        <f t="shared" si="46"/>
        <v>132077.4193548387</v>
      </c>
      <c r="P153" s="43">
        <f t="shared" si="46"/>
        <v>132448.38709677418</v>
      </c>
      <c r="Q153" s="43">
        <f t="shared" si="46"/>
        <v>133561.29032258064</v>
      </c>
      <c r="R153" s="43">
        <f t="shared" si="46"/>
        <v>126232.25806451612</v>
      </c>
      <c r="S153" s="43">
        <f t="shared" si="46"/>
        <v>126603.22580645161</v>
      </c>
      <c r="T153" s="43">
        <f t="shared" si="46"/>
        <v>126974.19354838709</v>
      </c>
      <c r="U153" s="43">
        <f t="shared" si="46"/>
        <v>120245.16129032258</v>
      </c>
      <c r="V153" s="43">
        <f t="shared" si="46"/>
        <v>121358.06451612903</v>
      </c>
      <c r="W153" s="43">
        <f t="shared" si="46"/>
        <v>121729.03225806452</v>
      </c>
      <c r="Y153" s="43">
        <f>SUM(Y151:Y152)</f>
        <v>142100</v>
      </c>
      <c r="Z153" s="43">
        <f t="shared" ref="Z153:AU153" si="47">SUM(Z151:Z152)</f>
        <v>122666.66666666667</v>
      </c>
      <c r="AA153" s="43">
        <f t="shared" si="47"/>
        <v>123233.33333333333</v>
      </c>
      <c r="AB153" s="43">
        <f t="shared" si="47"/>
        <v>124933.33333333333</v>
      </c>
      <c r="AC153" s="43">
        <f t="shared" si="47"/>
        <v>125500</v>
      </c>
      <c r="AD153" s="43">
        <f t="shared" si="47"/>
        <v>126066.66666666667</v>
      </c>
      <c r="AE153" s="43">
        <f t="shared" si="47"/>
        <v>126633.33333333333</v>
      </c>
      <c r="AF153" s="43">
        <f t="shared" si="47"/>
        <v>127200</v>
      </c>
      <c r="AG153" s="43">
        <f t="shared" si="47"/>
        <v>127888</v>
      </c>
      <c r="AH153" s="43">
        <f t="shared" si="47"/>
        <v>128454.66666666667</v>
      </c>
      <c r="AI153" s="43">
        <f t="shared" si="47"/>
        <v>129021.33333333333</v>
      </c>
      <c r="AJ153" s="43">
        <f t="shared" si="47"/>
        <v>129588</v>
      </c>
      <c r="AK153" s="43">
        <f t="shared" si="47"/>
        <v>130154.66666666667</v>
      </c>
      <c r="AL153" s="43">
        <f t="shared" si="47"/>
        <v>131854.66666666666</v>
      </c>
      <c r="AM153" s="43">
        <f t="shared" si="47"/>
        <v>132421.33333333334</v>
      </c>
      <c r="AN153" s="43">
        <f t="shared" si="47"/>
        <v>132988</v>
      </c>
      <c r="AO153" s="43">
        <f t="shared" si="47"/>
        <v>128933.33333333333</v>
      </c>
      <c r="AP153" s="43">
        <f t="shared" si="47"/>
        <v>130633.33333333333</v>
      </c>
      <c r="AQ153" s="43">
        <f t="shared" si="47"/>
        <v>125900</v>
      </c>
      <c r="AR153" s="43">
        <f t="shared" si="47"/>
        <v>126466.66666666667</v>
      </c>
      <c r="AS153" s="43">
        <f t="shared" si="47"/>
        <v>127033.33333333333</v>
      </c>
      <c r="AU153" s="43">
        <f t="shared" si="47"/>
        <v>127600</v>
      </c>
      <c r="AV153" s="43">
        <f t="shared" ref="AV153:BM153" si="48">SUM(AV151:AV152)</f>
        <v>129603.22580645161</v>
      </c>
      <c r="AW153" s="43">
        <f t="shared" si="48"/>
        <v>130270.96774193548</v>
      </c>
      <c r="AX153" s="43">
        <f t="shared" si="48"/>
        <v>130938.70967741935</v>
      </c>
      <c r="AY153" s="43">
        <f t="shared" si="48"/>
        <v>131606.45161290321</v>
      </c>
      <c r="AZ153" s="43">
        <f t="shared" si="48"/>
        <v>132274.19354838709</v>
      </c>
      <c r="BA153" s="43">
        <f t="shared" si="48"/>
        <v>134277.4193548387</v>
      </c>
      <c r="BB153" s="43">
        <f t="shared" si="48"/>
        <v>134945.16129032258</v>
      </c>
      <c r="BC153" s="43">
        <f t="shared" si="48"/>
        <v>135612.90322580645</v>
      </c>
      <c r="BD153" s="43">
        <f t="shared" si="48"/>
        <v>136280.64516129033</v>
      </c>
      <c r="BE153" s="43">
        <f t="shared" si="48"/>
        <v>136948.38709677418</v>
      </c>
      <c r="BF153" s="43">
        <f t="shared" si="48"/>
        <v>138951.61290322582</v>
      </c>
      <c r="BG153" s="43">
        <f t="shared" si="48"/>
        <v>139619.35483870967</v>
      </c>
      <c r="BH153" s="43">
        <f t="shared" si="48"/>
        <v>140287.09677419355</v>
      </c>
      <c r="BI153" s="43">
        <f t="shared" si="48"/>
        <v>140954.83870967742</v>
      </c>
      <c r="BJ153" s="43">
        <f t="shared" si="48"/>
        <v>134422.5806451613</v>
      </c>
      <c r="BK153" s="43">
        <f t="shared" si="48"/>
        <v>136425.80645161291</v>
      </c>
      <c r="BL153" s="43">
        <f t="shared" si="48"/>
        <v>137761.29032258064</v>
      </c>
      <c r="BM153" s="43">
        <f t="shared" si="48"/>
        <v>128629.03225806452</v>
      </c>
    </row>
    <row r="154" spans="1:65" x14ac:dyDescent="0.2">
      <c r="G154" s="50"/>
      <c r="H154" s="50"/>
      <c r="I154" s="50"/>
    </row>
    <row r="155" spans="1:65" s="43" customFormat="1" x14ac:dyDescent="0.2">
      <c r="A155" s="43" t="s">
        <v>189</v>
      </c>
      <c r="G155" s="53"/>
      <c r="H155" s="53"/>
      <c r="I155" s="53"/>
      <c r="J155" s="43">
        <f t="shared" ref="J155:W155" si="49">J149+J153</f>
        <v>-551.61290322580317</v>
      </c>
      <c r="K155" s="43">
        <f t="shared" si="49"/>
        <v>-1112.9032258064544</v>
      </c>
      <c r="L155" s="43">
        <f t="shared" si="49"/>
        <v>-370.96774193547026</v>
      </c>
      <c r="M155" s="43">
        <f t="shared" si="49"/>
        <v>-370.96774193548481</v>
      </c>
      <c r="N155" s="43">
        <f t="shared" si="49"/>
        <v>-370.96774193548481</v>
      </c>
      <c r="O155" s="43">
        <f t="shared" si="49"/>
        <v>-370.96774193548481</v>
      </c>
      <c r="P155" s="43">
        <f t="shared" si="49"/>
        <v>-1112.9032258064544</v>
      </c>
      <c r="Q155" s="43">
        <f t="shared" si="49"/>
        <v>7329.0322580645152</v>
      </c>
      <c r="R155" s="43">
        <f t="shared" si="49"/>
        <v>-370.96774193548481</v>
      </c>
      <c r="S155" s="43">
        <f t="shared" si="49"/>
        <v>-370.96774193548481</v>
      </c>
      <c r="T155" s="43">
        <f t="shared" si="49"/>
        <v>6729.0322580645152</v>
      </c>
      <c r="U155" s="43">
        <f t="shared" si="49"/>
        <v>-1112.9032258064544</v>
      </c>
      <c r="V155" s="43">
        <f t="shared" si="49"/>
        <v>-370.96774193548481</v>
      </c>
      <c r="W155" s="43">
        <f t="shared" si="49"/>
        <v>-370.96774193548481</v>
      </c>
      <c r="Y155" s="43">
        <f>Y149+Y153</f>
        <v>19433.333333333328</v>
      </c>
      <c r="Z155" s="43">
        <f t="shared" ref="Z155:BM155" si="50">Z149+Z153</f>
        <v>-566.66666666665697</v>
      </c>
      <c r="AA155" s="43">
        <f t="shared" si="50"/>
        <v>-1700</v>
      </c>
      <c r="AB155" s="43">
        <f t="shared" si="50"/>
        <v>-566.66666666667152</v>
      </c>
      <c r="AC155" s="43">
        <f t="shared" si="50"/>
        <v>-566.66666666667152</v>
      </c>
      <c r="AD155" s="43">
        <f t="shared" si="50"/>
        <v>-566.66666666665697</v>
      </c>
      <c r="AE155" s="43">
        <f t="shared" si="50"/>
        <v>-566.66666666667152</v>
      </c>
      <c r="AF155" s="43">
        <f t="shared" si="50"/>
        <v>-688</v>
      </c>
      <c r="AG155" s="43">
        <f t="shared" si="50"/>
        <v>-566.66666666667152</v>
      </c>
      <c r="AH155" s="43">
        <f t="shared" si="50"/>
        <v>-566.66666666665697</v>
      </c>
      <c r="AI155" s="43">
        <f t="shared" si="50"/>
        <v>-566.66666666667152</v>
      </c>
      <c r="AJ155" s="43">
        <f t="shared" si="50"/>
        <v>-566.66666666667152</v>
      </c>
      <c r="AK155" s="43">
        <f t="shared" si="50"/>
        <v>-1699.9999999999854</v>
      </c>
      <c r="AL155" s="43">
        <f t="shared" si="50"/>
        <v>-566.66666666668607</v>
      </c>
      <c r="AM155" s="43">
        <f t="shared" si="50"/>
        <v>-566.66666666665697</v>
      </c>
      <c r="AN155" s="43">
        <f t="shared" si="50"/>
        <v>4054.6666666666715</v>
      </c>
      <c r="AO155" s="43">
        <f t="shared" si="50"/>
        <v>-1700</v>
      </c>
      <c r="AP155" s="43">
        <f t="shared" si="50"/>
        <v>4733.3333333333285</v>
      </c>
      <c r="AQ155" s="43">
        <f t="shared" si="50"/>
        <v>-566.66666666667152</v>
      </c>
      <c r="AR155" s="43">
        <f t="shared" si="50"/>
        <v>-566.66666666665697</v>
      </c>
      <c r="AS155" s="43">
        <f t="shared" si="50"/>
        <v>-566.66666666667152</v>
      </c>
      <c r="AU155" s="43">
        <f t="shared" si="50"/>
        <v>-2003.2258064516063</v>
      </c>
      <c r="AV155" s="43">
        <f t="shared" si="50"/>
        <v>-667.74193548387848</v>
      </c>
      <c r="AW155" s="43">
        <f t="shared" si="50"/>
        <v>-667.74193548386393</v>
      </c>
      <c r="AX155" s="43">
        <f t="shared" si="50"/>
        <v>-667.74193548386393</v>
      </c>
      <c r="AY155" s="43">
        <f t="shared" si="50"/>
        <v>-667.74193548387848</v>
      </c>
      <c r="AZ155" s="43">
        <f t="shared" si="50"/>
        <v>-2003.2258064516063</v>
      </c>
      <c r="BA155" s="43">
        <f t="shared" si="50"/>
        <v>-667.74193548387848</v>
      </c>
      <c r="BB155" s="43">
        <f t="shared" si="50"/>
        <v>-667.74193548387848</v>
      </c>
      <c r="BC155" s="43">
        <f t="shared" si="50"/>
        <v>-667.74193548387848</v>
      </c>
      <c r="BD155" s="43">
        <f t="shared" si="50"/>
        <v>-667.74193548384937</v>
      </c>
      <c r="BE155" s="43">
        <f t="shared" si="50"/>
        <v>-2003.2258064516354</v>
      </c>
      <c r="BF155" s="43">
        <f t="shared" si="50"/>
        <v>-667.74193548384937</v>
      </c>
      <c r="BG155" s="43">
        <f t="shared" si="50"/>
        <v>-667.74193548387848</v>
      </c>
      <c r="BH155" s="43">
        <f t="shared" si="50"/>
        <v>-667.74193548387848</v>
      </c>
      <c r="BI155" s="43">
        <f t="shared" si="50"/>
        <v>6532.2580645161215</v>
      </c>
      <c r="BJ155" s="43">
        <f t="shared" si="50"/>
        <v>-2003.2258064516063</v>
      </c>
      <c r="BK155" s="43">
        <f t="shared" si="50"/>
        <v>-1335.4838709677279</v>
      </c>
      <c r="BL155" s="43">
        <f t="shared" si="50"/>
        <v>9132.2580645161215</v>
      </c>
      <c r="BM155" s="43">
        <f t="shared" si="50"/>
        <v>-2670.9677419354848</v>
      </c>
    </row>
    <row r="156" spans="1:65" s="43" customFormat="1" x14ac:dyDescent="0.2">
      <c r="A156" s="43" t="s">
        <v>190</v>
      </c>
      <c r="G156" s="53"/>
      <c r="H156" s="53"/>
      <c r="I156" s="53"/>
      <c r="J156" s="43">
        <v>0</v>
      </c>
      <c r="K156" s="43">
        <f>+J155</f>
        <v>-551.61290322580317</v>
      </c>
      <c r="L156" s="43">
        <f t="shared" ref="L156:W156" si="51">+K155</f>
        <v>-1112.9032258064544</v>
      </c>
      <c r="M156" s="43">
        <f t="shared" si="51"/>
        <v>-370.96774193547026</v>
      </c>
      <c r="N156" s="43">
        <f t="shared" si="51"/>
        <v>-370.96774193548481</v>
      </c>
      <c r="O156" s="43">
        <f t="shared" si="51"/>
        <v>-370.96774193548481</v>
      </c>
      <c r="P156" s="43">
        <f t="shared" si="51"/>
        <v>-370.96774193548481</v>
      </c>
      <c r="Q156" s="43">
        <f t="shared" si="51"/>
        <v>-1112.9032258064544</v>
      </c>
      <c r="R156" s="43">
        <f t="shared" si="51"/>
        <v>7329.0322580645152</v>
      </c>
      <c r="S156" s="43">
        <f t="shared" si="51"/>
        <v>-370.96774193548481</v>
      </c>
      <c r="T156" s="43">
        <f t="shared" si="51"/>
        <v>-370.96774193548481</v>
      </c>
      <c r="U156" s="43">
        <f t="shared" si="51"/>
        <v>6729.0322580645152</v>
      </c>
      <c r="V156" s="43">
        <f t="shared" si="51"/>
        <v>-1112.9032258064544</v>
      </c>
      <c r="W156" s="43">
        <f t="shared" si="51"/>
        <v>-370.96774193548481</v>
      </c>
      <c r="Y156" s="43">
        <f>+W155</f>
        <v>-370.96774193548481</v>
      </c>
      <c r="Z156" s="43">
        <f>+Y155</f>
        <v>19433.333333333328</v>
      </c>
      <c r="AA156" s="43">
        <f t="shared" ref="AA156:AS156" si="52">+Z155</f>
        <v>-566.66666666665697</v>
      </c>
      <c r="AB156" s="43">
        <f t="shared" si="52"/>
        <v>-1700</v>
      </c>
      <c r="AC156" s="43">
        <f t="shared" si="52"/>
        <v>-566.66666666667152</v>
      </c>
      <c r="AD156" s="43">
        <f t="shared" si="52"/>
        <v>-566.66666666667152</v>
      </c>
      <c r="AE156" s="43">
        <f t="shared" si="52"/>
        <v>-566.66666666665697</v>
      </c>
      <c r="AF156" s="43">
        <f t="shared" si="52"/>
        <v>-566.66666666667152</v>
      </c>
      <c r="AG156" s="43">
        <f t="shared" si="52"/>
        <v>-688</v>
      </c>
      <c r="AH156" s="43">
        <f t="shared" si="52"/>
        <v>-566.66666666667152</v>
      </c>
      <c r="AI156" s="43">
        <f t="shared" si="52"/>
        <v>-566.66666666665697</v>
      </c>
      <c r="AJ156" s="43">
        <f t="shared" si="52"/>
        <v>-566.66666666667152</v>
      </c>
      <c r="AK156" s="43">
        <f t="shared" si="52"/>
        <v>-566.66666666667152</v>
      </c>
      <c r="AL156" s="43">
        <f t="shared" si="52"/>
        <v>-1699.9999999999854</v>
      </c>
      <c r="AM156" s="43">
        <f t="shared" si="52"/>
        <v>-566.66666666668607</v>
      </c>
      <c r="AN156" s="43">
        <f t="shared" si="52"/>
        <v>-566.66666666665697</v>
      </c>
      <c r="AO156" s="43">
        <f t="shared" si="52"/>
        <v>4054.6666666666715</v>
      </c>
      <c r="AP156" s="43">
        <f t="shared" si="52"/>
        <v>-1700</v>
      </c>
      <c r="AQ156" s="43">
        <f t="shared" si="52"/>
        <v>4733.3333333333285</v>
      </c>
      <c r="AR156" s="43">
        <f t="shared" si="52"/>
        <v>-566.66666666667152</v>
      </c>
      <c r="AS156" s="43">
        <f t="shared" si="52"/>
        <v>-566.66666666665697</v>
      </c>
      <c r="AU156" s="53">
        <f>+AS155</f>
        <v>-566.66666666667152</v>
      </c>
      <c r="AV156" s="53">
        <f>+AU155</f>
        <v>-2003.2258064516063</v>
      </c>
      <c r="AW156" s="53">
        <f t="shared" ref="AW156:BM156" si="53">+AV155</f>
        <v>-667.74193548387848</v>
      </c>
      <c r="AX156" s="53">
        <f t="shared" si="53"/>
        <v>-667.74193548386393</v>
      </c>
      <c r="AY156" s="53">
        <f t="shared" si="53"/>
        <v>-667.74193548386393</v>
      </c>
      <c r="AZ156" s="53">
        <f t="shared" si="53"/>
        <v>-667.74193548387848</v>
      </c>
      <c r="BA156" s="53">
        <f t="shared" si="53"/>
        <v>-2003.2258064516063</v>
      </c>
      <c r="BB156" s="53">
        <f t="shared" si="53"/>
        <v>-667.74193548387848</v>
      </c>
      <c r="BC156" s="53">
        <f t="shared" si="53"/>
        <v>-667.74193548387848</v>
      </c>
      <c r="BD156" s="53">
        <f t="shared" si="53"/>
        <v>-667.74193548387848</v>
      </c>
      <c r="BE156" s="53">
        <f t="shared" si="53"/>
        <v>-667.74193548384937</v>
      </c>
      <c r="BF156" s="53">
        <f t="shared" si="53"/>
        <v>-2003.2258064516354</v>
      </c>
      <c r="BG156" s="53">
        <f t="shared" si="53"/>
        <v>-667.74193548384937</v>
      </c>
      <c r="BH156" s="53">
        <f t="shared" si="53"/>
        <v>-667.74193548387848</v>
      </c>
      <c r="BI156" s="53">
        <f t="shared" si="53"/>
        <v>-667.74193548387848</v>
      </c>
      <c r="BJ156" s="53">
        <f t="shared" si="53"/>
        <v>6532.2580645161215</v>
      </c>
      <c r="BK156" s="53">
        <f t="shared" si="53"/>
        <v>-2003.2258064516063</v>
      </c>
      <c r="BL156" s="53">
        <f t="shared" si="53"/>
        <v>-1335.4838709677279</v>
      </c>
      <c r="BM156" s="53">
        <f t="shared" si="53"/>
        <v>9132.2580645161215</v>
      </c>
    </row>
    <row r="157" spans="1:65" s="43" customFormat="1" x14ac:dyDescent="0.2">
      <c r="A157" s="43" t="s">
        <v>207</v>
      </c>
      <c r="G157" s="53"/>
      <c r="H157" s="53"/>
      <c r="I157" s="53"/>
      <c r="K157" s="43">
        <f>J157+K156</f>
        <v>-551.61290322580317</v>
      </c>
      <c r="L157" s="43">
        <f>K157+L156</f>
        <v>-1664.5161290322576</v>
      </c>
      <c r="M157" s="43">
        <f t="shared" ref="M157:W157" si="54">L157+M156</f>
        <v>-2035.4838709677279</v>
      </c>
      <c r="N157" s="43">
        <f t="shared" si="54"/>
        <v>-2406.4516129032127</v>
      </c>
      <c r="O157" s="43">
        <f t="shared" si="54"/>
        <v>-2777.4193548386975</v>
      </c>
      <c r="P157" s="43">
        <f t="shared" si="54"/>
        <v>-3148.3870967741823</v>
      </c>
      <c r="Q157" s="43">
        <f t="shared" si="54"/>
        <v>-4261.2903225806367</v>
      </c>
      <c r="R157" s="43">
        <f t="shared" si="54"/>
        <v>3067.7419354838785</v>
      </c>
      <c r="S157" s="43">
        <f t="shared" si="54"/>
        <v>2696.7741935483937</v>
      </c>
      <c r="T157" s="43">
        <f t="shared" si="54"/>
        <v>2325.8064516129089</v>
      </c>
      <c r="U157" s="43">
        <f t="shared" si="54"/>
        <v>9054.838709677424</v>
      </c>
      <c r="V157" s="43">
        <f t="shared" si="54"/>
        <v>7941.9354838709696</v>
      </c>
      <c r="W157" s="43">
        <f t="shared" si="54"/>
        <v>7570.9677419354848</v>
      </c>
      <c r="Y157" s="43">
        <f>W157+Y156</f>
        <v>7200</v>
      </c>
      <c r="Z157" s="43">
        <f>+Y157+Z156</f>
        <v>26633.333333333328</v>
      </c>
      <c r="AA157" s="43">
        <f t="shared" ref="AA157:AS157" si="55">+Z157+AA156</f>
        <v>26066.666666666672</v>
      </c>
      <c r="AB157" s="43">
        <f t="shared" si="55"/>
        <v>24366.666666666672</v>
      </c>
      <c r="AC157" s="43">
        <f t="shared" si="55"/>
        <v>23800</v>
      </c>
      <c r="AD157" s="43">
        <f t="shared" si="55"/>
        <v>23233.333333333328</v>
      </c>
      <c r="AE157" s="43">
        <f t="shared" si="55"/>
        <v>22666.666666666672</v>
      </c>
      <c r="AF157" s="43">
        <f t="shared" si="55"/>
        <v>22100</v>
      </c>
      <c r="AG157" s="43">
        <f t="shared" si="55"/>
        <v>21412</v>
      </c>
      <c r="AH157" s="43">
        <f t="shared" si="55"/>
        <v>20845.333333333328</v>
      </c>
      <c r="AI157" s="43">
        <f t="shared" si="55"/>
        <v>20278.666666666672</v>
      </c>
      <c r="AJ157" s="43">
        <f t="shared" si="55"/>
        <v>19712</v>
      </c>
      <c r="AK157" s="43">
        <f t="shared" si="55"/>
        <v>19145.333333333328</v>
      </c>
      <c r="AL157" s="43">
        <f t="shared" si="55"/>
        <v>17445.333333333343</v>
      </c>
      <c r="AM157" s="43">
        <f t="shared" si="55"/>
        <v>16878.666666666657</v>
      </c>
      <c r="AN157" s="43">
        <f t="shared" si="55"/>
        <v>16312</v>
      </c>
      <c r="AO157" s="43">
        <f t="shared" si="55"/>
        <v>20366.666666666672</v>
      </c>
      <c r="AP157" s="43">
        <f t="shared" si="55"/>
        <v>18666.666666666672</v>
      </c>
      <c r="AQ157" s="43">
        <f t="shared" si="55"/>
        <v>23400</v>
      </c>
      <c r="AR157" s="43">
        <f t="shared" si="55"/>
        <v>22833.333333333328</v>
      </c>
      <c r="AS157" s="43">
        <f t="shared" si="55"/>
        <v>22266.666666666672</v>
      </c>
      <c r="AU157" s="53">
        <f>+AS157+AU156</f>
        <v>21700</v>
      </c>
      <c r="AV157" s="53">
        <f>AU157+AV156</f>
        <v>19696.774193548394</v>
      </c>
      <c r="AW157" s="53">
        <f t="shared" ref="AW157:BM157" si="56">AV157+AW156</f>
        <v>19029.032258064515</v>
      </c>
      <c r="AX157" s="53">
        <f t="shared" si="56"/>
        <v>18361.290322580651</v>
      </c>
      <c r="AY157" s="53">
        <f t="shared" si="56"/>
        <v>17693.548387096787</v>
      </c>
      <c r="AZ157" s="53">
        <f t="shared" si="56"/>
        <v>17025.806451612909</v>
      </c>
      <c r="BA157" s="53">
        <f t="shared" si="56"/>
        <v>15022.580645161303</v>
      </c>
      <c r="BB157" s="53">
        <f t="shared" si="56"/>
        <v>14354.838709677424</v>
      </c>
      <c r="BC157" s="53">
        <f t="shared" si="56"/>
        <v>13687.096774193546</v>
      </c>
      <c r="BD157" s="53">
        <f t="shared" si="56"/>
        <v>13019.354838709667</v>
      </c>
      <c r="BE157" s="53">
        <f t="shared" si="56"/>
        <v>12351.612903225818</v>
      </c>
      <c r="BF157" s="53">
        <f t="shared" si="56"/>
        <v>10348.387096774182</v>
      </c>
      <c r="BG157" s="53">
        <f t="shared" si="56"/>
        <v>9680.6451612903329</v>
      </c>
      <c r="BH157" s="53">
        <f t="shared" si="56"/>
        <v>9012.9032258064544</v>
      </c>
      <c r="BI157" s="53">
        <f t="shared" si="56"/>
        <v>8345.161290322576</v>
      </c>
      <c r="BJ157" s="53">
        <f t="shared" si="56"/>
        <v>14877.419354838697</v>
      </c>
      <c r="BK157" s="53">
        <f t="shared" si="56"/>
        <v>12874.193548387091</v>
      </c>
      <c r="BL157" s="53">
        <f t="shared" si="56"/>
        <v>11538.709677419363</v>
      </c>
      <c r="BM157" s="53">
        <f t="shared" si="56"/>
        <v>20670.967741935485</v>
      </c>
    </row>
    <row r="158" spans="1:65" x14ac:dyDescent="0.2">
      <c r="G158" s="50"/>
      <c r="H158" s="50"/>
      <c r="I158" s="50"/>
    </row>
    <row r="159" spans="1:65" ht="13.5" thickBot="1" x14ac:dyDescent="0.25">
      <c r="A159" s="43" t="s">
        <v>192</v>
      </c>
      <c r="G159" s="54"/>
      <c r="J159" s="87">
        <f>J135+J156</f>
        <v>21564</v>
      </c>
      <c r="K159" s="87">
        <f>K135+K157</f>
        <v>22982.387096774197</v>
      </c>
      <c r="L159" s="87">
        <f t="shared" ref="L159:W159" si="57">L135+L157</f>
        <v>21469.483870967742</v>
      </c>
      <c r="M159" s="87">
        <f t="shared" si="57"/>
        <v>21698.516129032272</v>
      </c>
      <c r="N159" s="87">
        <f t="shared" si="57"/>
        <v>21002.548387096787</v>
      </c>
      <c r="O159" s="87">
        <f t="shared" si="57"/>
        <v>18841.580645161303</v>
      </c>
      <c r="P159" s="87">
        <f t="shared" si="57"/>
        <v>6973.6129032258177</v>
      </c>
      <c r="Q159" s="87">
        <f t="shared" si="57"/>
        <v>5460.7096774193633</v>
      </c>
      <c r="R159" s="87">
        <f t="shared" si="57"/>
        <v>12994.741935483878</v>
      </c>
      <c r="S159" s="87">
        <f t="shared" si="57"/>
        <v>1818.7741935483937</v>
      </c>
      <c r="T159" s="87">
        <f t="shared" si="57"/>
        <v>1057.8064516129089</v>
      </c>
      <c r="U159" s="87">
        <f t="shared" si="57"/>
        <v>8656.838709677424</v>
      </c>
      <c r="V159" s="87">
        <f t="shared" si="57"/>
        <v>5893.9354838709696</v>
      </c>
      <c r="W159" s="87">
        <f t="shared" si="57"/>
        <v>6022.9677419354848</v>
      </c>
      <c r="Y159" s="87">
        <f>Y135+Y157</f>
        <v>3952</v>
      </c>
      <c r="Z159" s="87">
        <f t="shared" ref="Z159:AS159" si="58">Z135+Z157</f>
        <v>23105.333333333328</v>
      </c>
      <c r="AA159" s="87">
        <f t="shared" si="58"/>
        <v>17008.666666666672</v>
      </c>
      <c r="AB159" s="87">
        <f t="shared" si="58"/>
        <v>15258.666666666672</v>
      </c>
      <c r="AC159" s="87">
        <f t="shared" si="58"/>
        <v>16317</v>
      </c>
      <c r="AD159" s="87">
        <f t="shared" si="58"/>
        <v>15550.333333333328</v>
      </c>
      <c r="AE159" s="87">
        <f t="shared" si="58"/>
        <v>15628.666666666672</v>
      </c>
      <c r="AF159" s="87">
        <f t="shared" si="58"/>
        <v>16495</v>
      </c>
      <c r="AG159" s="87">
        <f t="shared" si="58"/>
        <v>15532</v>
      </c>
      <c r="AH159" s="87">
        <f t="shared" si="58"/>
        <v>15290.333333333328</v>
      </c>
      <c r="AI159" s="87">
        <f t="shared" si="58"/>
        <v>14698.666666666672</v>
      </c>
      <c r="AJ159" s="87">
        <f t="shared" si="58"/>
        <v>13877</v>
      </c>
      <c r="AK159" s="87">
        <f t="shared" si="58"/>
        <v>15755.333333333328</v>
      </c>
      <c r="AL159" s="87">
        <f t="shared" si="58"/>
        <v>8862.333333333343</v>
      </c>
      <c r="AM159" s="87">
        <f t="shared" si="58"/>
        <v>6520.666666666657</v>
      </c>
      <c r="AN159" s="87">
        <f t="shared" si="58"/>
        <v>2649</v>
      </c>
      <c r="AO159" s="87">
        <f t="shared" si="58"/>
        <v>660.66666666667152</v>
      </c>
      <c r="AP159" s="87">
        <f t="shared" si="58"/>
        <v>-1314.3333333333285</v>
      </c>
      <c r="AQ159" s="87">
        <f t="shared" si="58"/>
        <v>4494</v>
      </c>
      <c r="AR159" s="87">
        <f t="shared" si="58"/>
        <v>2452.3333333333285</v>
      </c>
      <c r="AS159" s="87">
        <f t="shared" si="58"/>
        <v>1685.6666666666715</v>
      </c>
      <c r="AU159" s="87">
        <f>AU135+AU157</f>
        <v>1914</v>
      </c>
      <c r="AV159" s="87">
        <f t="shared" ref="AV159:BM159" si="59">AV135+AV157</f>
        <v>-464.22580645160633</v>
      </c>
      <c r="AW159" s="87">
        <f t="shared" si="59"/>
        <v>-1456.9677419354848</v>
      </c>
      <c r="AX159" s="87">
        <f t="shared" si="59"/>
        <v>-2299.7096774193487</v>
      </c>
      <c r="AY159" s="87">
        <f t="shared" si="59"/>
        <v>-1602.4516129032127</v>
      </c>
      <c r="AZ159" s="87">
        <f t="shared" si="59"/>
        <v>39304.806451612909</v>
      </c>
      <c r="BA159" s="87">
        <f t="shared" si="59"/>
        <v>36926.580645161303</v>
      </c>
      <c r="BB159" s="87">
        <f t="shared" si="59"/>
        <v>40133.838709677424</v>
      </c>
      <c r="BC159" s="87">
        <f t="shared" si="59"/>
        <v>37991.096774193546</v>
      </c>
      <c r="BD159" s="87">
        <f t="shared" si="59"/>
        <v>36988.354838709667</v>
      </c>
      <c r="BE159" s="87">
        <f t="shared" si="59"/>
        <v>39415.612903225818</v>
      </c>
      <c r="BF159" s="87">
        <f t="shared" si="59"/>
        <v>37037.387096774182</v>
      </c>
      <c r="BG159" s="87">
        <f t="shared" si="59"/>
        <v>39744.645161290333</v>
      </c>
      <c r="BH159" s="87">
        <f t="shared" si="59"/>
        <v>37691.903225806454</v>
      </c>
      <c r="BI159" s="87">
        <f t="shared" si="59"/>
        <v>33689.161290322576</v>
      </c>
      <c r="BJ159" s="87">
        <f t="shared" si="59"/>
        <v>37041.419354838697</v>
      </c>
      <c r="BK159" s="87">
        <f t="shared" si="59"/>
        <v>25168.193548387091</v>
      </c>
      <c r="BL159" s="87">
        <f t="shared" si="59"/>
        <v>22382.709677419363</v>
      </c>
      <c r="BM159" s="87">
        <f t="shared" si="59"/>
        <v>30204.967741935485</v>
      </c>
    </row>
    <row r="160" spans="1:65" ht="13.5" thickTop="1" x14ac:dyDescent="0.2">
      <c r="G160" s="54"/>
    </row>
    <row r="161" spans="1:65" x14ac:dyDescent="0.2">
      <c r="G161" s="54"/>
    </row>
    <row r="162" spans="1:65" x14ac:dyDescent="0.2">
      <c r="A162" s="43" t="s">
        <v>213</v>
      </c>
      <c r="B162" s="53">
        <v>33719</v>
      </c>
      <c r="C162" s="53">
        <v>33607</v>
      </c>
      <c r="D162" s="53">
        <v>23919</v>
      </c>
      <c r="E162" s="53">
        <v>23388</v>
      </c>
      <c r="F162" s="53">
        <v>22895</v>
      </c>
      <c r="G162" s="53">
        <v>26141</v>
      </c>
      <c r="H162" s="53">
        <v>26356</v>
      </c>
      <c r="I162" s="53">
        <v>25656</v>
      </c>
      <c r="J162" s="53">
        <v>20016</v>
      </c>
      <c r="K162" s="53">
        <v>21884.387096774197</v>
      </c>
      <c r="L162" s="53">
        <v>20371.483870967742</v>
      </c>
      <c r="M162" s="53">
        <v>20600.516129032272</v>
      </c>
      <c r="N162" s="53">
        <v>19904.548387096787</v>
      </c>
      <c r="O162" s="53">
        <v>17743.580645161303</v>
      </c>
      <c r="P162" s="53">
        <v>6325.6129032258177</v>
      </c>
      <c r="Q162" s="53">
        <v>4812.7096774193633</v>
      </c>
      <c r="R162" s="53">
        <v>12346.741935483878</v>
      </c>
      <c r="S162" s="53">
        <v>1170.7741935483937</v>
      </c>
      <c r="T162" s="53">
        <v>409.80645161290886</v>
      </c>
      <c r="U162" s="53">
        <v>8458.838709677424</v>
      </c>
      <c r="V162" s="53">
        <v>5695.9354838709696</v>
      </c>
      <c r="W162" s="53">
        <v>5824.9677419354848</v>
      </c>
      <c r="X162" s="53"/>
      <c r="Y162" s="53">
        <v>3754</v>
      </c>
      <c r="Z162" s="53">
        <v>22907.333333333328</v>
      </c>
      <c r="AA162" s="53">
        <v>16810.666666666672</v>
      </c>
      <c r="AB162" s="53">
        <v>15060.666666666672</v>
      </c>
      <c r="AC162" s="53">
        <v>16119</v>
      </c>
      <c r="AD162" s="53">
        <v>15352.333333333328</v>
      </c>
      <c r="AE162" s="53">
        <v>15430.666666666672</v>
      </c>
      <c r="AF162" s="53">
        <v>16297</v>
      </c>
      <c r="AG162" s="53">
        <v>15334</v>
      </c>
      <c r="AH162" s="53">
        <v>15092.333333333328</v>
      </c>
      <c r="AI162" s="53">
        <v>14500.666666666672</v>
      </c>
      <c r="AJ162" s="53">
        <v>13679</v>
      </c>
      <c r="AK162" s="53">
        <v>15557.333333333328</v>
      </c>
      <c r="AL162" s="53">
        <v>8664.333333333343</v>
      </c>
      <c r="AM162" s="53">
        <v>6322.666666666657</v>
      </c>
      <c r="AN162" s="53">
        <v>2451</v>
      </c>
      <c r="AO162" s="53">
        <v>462.66666666667152</v>
      </c>
      <c r="AP162" s="53">
        <v>-1512.3333333333285</v>
      </c>
      <c r="AQ162" s="53">
        <v>4296</v>
      </c>
      <c r="AR162" s="53">
        <v>2254.3333333333285</v>
      </c>
      <c r="AS162" s="53">
        <v>1487.6666666666715</v>
      </c>
      <c r="AT162" s="53"/>
      <c r="AU162" s="53">
        <v>1716</v>
      </c>
      <c r="AV162" s="53">
        <v>-662.22580645160633</v>
      </c>
      <c r="AW162" s="53">
        <v>-1654.9677419354848</v>
      </c>
      <c r="AX162" s="53">
        <v>-2497.7096774193487</v>
      </c>
      <c r="AY162" s="53">
        <v>-1800.4516129032127</v>
      </c>
      <c r="AZ162" s="53">
        <v>39106.806451612909</v>
      </c>
      <c r="BA162" s="53">
        <v>36728.580645161303</v>
      </c>
      <c r="BB162" s="53">
        <v>39935.838709677424</v>
      </c>
      <c r="BC162" s="53">
        <v>37793.096774193546</v>
      </c>
      <c r="BD162" s="53">
        <v>36790.354838709667</v>
      </c>
      <c r="BE162" s="53">
        <v>39217.612903225818</v>
      </c>
      <c r="BF162" s="53">
        <v>36839.387096774182</v>
      </c>
      <c r="BG162" s="53">
        <v>39546.645161290333</v>
      </c>
      <c r="BH162" s="53">
        <v>37493.903225806454</v>
      </c>
      <c r="BI162" s="53">
        <v>33491.161290322576</v>
      </c>
      <c r="BJ162" s="53">
        <v>36843.419354838697</v>
      </c>
      <c r="BK162" s="53">
        <v>24970.193548387091</v>
      </c>
      <c r="BL162" s="53">
        <v>22184.709677419363</v>
      </c>
      <c r="BM162" s="53">
        <v>30006.967741935485</v>
      </c>
    </row>
    <row r="163" spans="1:65" x14ac:dyDescent="0.2">
      <c r="G163" s="54"/>
    </row>
    <row r="164" spans="1:65" x14ac:dyDescent="0.2">
      <c r="A164" s="43" t="s">
        <v>220</v>
      </c>
      <c r="B164" s="54">
        <f>B135-B162</f>
        <v>0</v>
      </c>
      <c r="C164" s="54">
        <f t="shared" ref="C164:I164" si="60">C135-C162</f>
        <v>0</v>
      </c>
      <c r="D164" s="54">
        <f t="shared" si="60"/>
        <v>0</v>
      </c>
      <c r="E164" s="54">
        <f t="shared" si="60"/>
        <v>0</v>
      </c>
      <c r="F164" s="54">
        <f t="shared" si="60"/>
        <v>-291</v>
      </c>
      <c r="G164" s="54">
        <f t="shared" si="60"/>
        <v>671</v>
      </c>
      <c r="H164" s="54">
        <f t="shared" si="60"/>
        <v>1723</v>
      </c>
      <c r="I164" s="54">
        <f t="shared" si="60"/>
        <v>1723</v>
      </c>
      <c r="J164" s="54">
        <f>J159-J162</f>
        <v>1548</v>
      </c>
      <c r="K164" s="54">
        <f t="shared" ref="K164:BM164" si="61">K159-K162</f>
        <v>1098</v>
      </c>
      <c r="L164" s="54">
        <f t="shared" si="61"/>
        <v>1098</v>
      </c>
      <c r="M164" s="54">
        <f t="shared" si="61"/>
        <v>1098</v>
      </c>
      <c r="N164" s="54">
        <f t="shared" si="61"/>
        <v>1098</v>
      </c>
      <c r="O164" s="54">
        <f t="shared" si="61"/>
        <v>1098</v>
      </c>
      <c r="P164" s="54">
        <f t="shared" si="61"/>
        <v>648</v>
      </c>
      <c r="Q164" s="54">
        <f t="shared" si="61"/>
        <v>648</v>
      </c>
      <c r="R164" s="54">
        <f t="shared" si="61"/>
        <v>648</v>
      </c>
      <c r="S164" s="54">
        <f t="shared" si="61"/>
        <v>648</v>
      </c>
      <c r="T164" s="54">
        <f t="shared" si="61"/>
        <v>648</v>
      </c>
      <c r="U164" s="54">
        <f t="shared" si="61"/>
        <v>198</v>
      </c>
      <c r="V164" s="54">
        <f t="shared" si="61"/>
        <v>198</v>
      </c>
      <c r="W164" s="54">
        <f t="shared" si="61"/>
        <v>198</v>
      </c>
      <c r="X164" s="54"/>
      <c r="Y164" s="54">
        <f t="shared" si="61"/>
        <v>198</v>
      </c>
      <c r="Z164" s="54">
        <f t="shared" si="61"/>
        <v>198</v>
      </c>
      <c r="AA164" s="54">
        <f t="shared" si="61"/>
        <v>198</v>
      </c>
      <c r="AB164" s="54">
        <f t="shared" si="61"/>
        <v>198</v>
      </c>
      <c r="AC164" s="54">
        <f t="shared" si="61"/>
        <v>198</v>
      </c>
      <c r="AD164" s="54">
        <f t="shared" si="61"/>
        <v>198</v>
      </c>
      <c r="AE164" s="54">
        <f t="shared" si="61"/>
        <v>198</v>
      </c>
      <c r="AF164" s="54">
        <f t="shared" si="61"/>
        <v>198</v>
      </c>
      <c r="AG164" s="54">
        <f t="shared" si="61"/>
        <v>198</v>
      </c>
      <c r="AH164" s="54">
        <f t="shared" si="61"/>
        <v>198</v>
      </c>
      <c r="AI164" s="54">
        <f t="shared" si="61"/>
        <v>198</v>
      </c>
      <c r="AJ164" s="54">
        <f t="shared" si="61"/>
        <v>198</v>
      </c>
      <c r="AK164" s="54">
        <f t="shared" si="61"/>
        <v>198</v>
      </c>
      <c r="AL164" s="54">
        <f t="shared" si="61"/>
        <v>198</v>
      </c>
      <c r="AM164" s="54">
        <f t="shared" si="61"/>
        <v>198</v>
      </c>
      <c r="AN164" s="54">
        <f t="shared" si="61"/>
        <v>198</v>
      </c>
      <c r="AO164" s="54">
        <f t="shared" si="61"/>
        <v>198</v>
      </c>
      <c r="AP164" s="54">
        <f t="shared" si="61"/>
        <v>198</v>
      </c>
      <c r="AQ164" s="54">
        <f t="shared" si="61"/>
        <v>198</v>
      </c>
      <c r="AR164" s="54">
        <f t="shared" si="61"/>
        <v>198</v>
      </c>
      <c r="AS164" s="54">
        <f t="shared" si="61"/>
        <v>198</v>
      </c>
      <c r="AT164" s="54"/>
      <c r="AU164" s="54">
        <f t="shared" si="61"/>
        <v>198</v>
      </c>
      <c r="AV164" s="54">
        <f t="shared" si="61"/>
        <v>198</v>
      </c>
      <c r="AW164" s="54">
        <f t="shared" si="61"/>
        <v>198</v>
      </c>
      <c r="AX164" s="54">
        <f t="shared" si="61"/>
        <v>198</v>
      </c>
      <c r="AY164" s="54">
        <f t="shared" si="61"/>
        <v>198</v>
      </c>
      <c r="AZ164" s="54">
        <f t="shared" si="61"/>
        <v>198</v>
      </c>
      <c r="BA164" s="54">
        <f t="shared" si="61"/>
        <v>198</v>
      </c>
      <c r="BB164" s="54">
        <f t="shared" si="61"/>
        <v>198</v>
      </c>
      <c r="BC164" s="54">
        <f t="shared" si="61"/>
        <v>198</v>
      </c>
      <c r="BD164" s="54">
        <f t="shared" si="61"/>
        <v>198</v>
      </c>
      <c r="BE164" s="54">
        <f t="shared" si="61"/>
        <v>198</v>
      </c>
      <c r="BF164" s="54">
        <f t="shared" si="61"/>
        <v>198</v>
      </c>
      <c r="BG164" s="54">
        <f t="shared" si="61"/>
        <v>198</v>
      </c>
      <c r="BH164" s="54">
        <f t="shared" si="61"/>
        <v>198</v>
      </c>
      <c r="BI164" s="54">
        <f t="shared" si="61"/>
        <v>198</v>
      </c>
      <c r="BJ164" s="54">
        <f t="shared" si="61"/>
        <v>198</v>
      </c>
      <c r="BK164" s="54">
        <f t="shared" si="61"/>
        <v>198</v>
      </c>
      <c r="BL164" s="54">
        <f t="shared" si="61"/>
        <v>198</v>
      </c>
      <c r="BM164" s="54">
        <f t="shared" si="61"/>
        <v>198</v>
      </c>
    </row>
    <row r="165" spans="1:65" x14ac:dyDescent="0.2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</row>
    <row r="166" spans="1:65" x14ac:dyDescent="0.2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</row>
    <row r="167" spans="1:65" x14ac:dyDescent="0.2">
      <c r="B167" s="43" t="s">
        <v>221</v>
      </c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</row>
    <row r="168" spans="1:65" x14ac:dyDescent="0.2">
      <c r="B168" s="43" t="s">
        <v>222</v>
      </c>
      <c r="C168" s="93"/>
      <c r="D168" s="54"/>
      <c r="E168" s="54"/>
      <c r="F168" s="93">
        <v>0.28999999999999998</v>
      </c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</row>
    <row r="169" spans="1:65" x14ac:dyDescent="0.2">
      <c r="B169" s="43" t="s">
        <v>223</v>
      </c>
      <c r="C169" s="92"/>
      <c r="D169" s="54"/>
      <c r="E169" s="54"/>
      <c r="F169" s="92">
        <v>0.7</v>
      </c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</row>
    <row r="170" spans="1:65" x14ac:dyDescent="0.2">
      <c r="B170" s="43" t="s">
        <v>224</v>
      </c>
      <c r="C170" s="92"/>
      <c r="D170" s="54"/>
      <c r="E170" s="54"/>
      <c r="F170" s="92">
        <v>-0.27300000000000002</v>
      </c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</row>
    <row r="171" spans="1:65" x14ac:dyDescent="0.2">
      <c r="B171" s="43" t="s">
        <v>225</v>
      </c>
      <c r="C171" s="92"/>
      <c r="D171" s="54"/>
      <c r="E171" s="54"/>
      <c r="F171" s="92">
        <v>-0.17499999999999999</v>
      </c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</row>
    <row r="172" spans="1:65" x14ac:dyDescent="0.2">
      <c r="B172" s="43" t="s">
        <v>226</v>
      </c>
      <c r="C172" s="54"/>
      <c r="D172" s="54"/>
      <c r="E172" s="54"/>
      <c r="F172" s="94">
        <v>-0.32</v>
      </c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</row>
    <row r="173" spans="1:65" ht="13.5" thickBot="1" x14ac:dyDescent="0.25">
      <c r="B173" s="54"/>
      <c r="C173" s="54"/>
      <c r="D173" s="54"/>
      <c r="E173" s="54"/>
      <c r="F173" s="95">
        <f>SUM(F168:F172)</f>
        <v>0.22200000000000003</v>
      </c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</row>
    <row r="174" spans="1:65" ht="13.5" thickTop="1" x14ac:dyDescent="0.2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</row>
    <row r="175" spans="1:65" x14ac:dyDescent="0.2">
      <c r="B175" s="43" t="s">
        <v>227</v>
      </c>
      <c r="G175" s="54"/>
    </row>
    <row r="176" spans="1:65" x14ac:dyDescent="0.2">
      <c r="G176" s="54"/>
    </row>
    <row r="177" spans="1:2" x14ac:dyDescent="0.2">
      <c r="A177" s="43" t="s">
        <v>200</v>
      </c>
      <c r="B177">
        <v>-6000</v>
      </c>
    </row>
    <row r="178" spans="1:2" x14ac:dyDescent="0.2">
      <c r="A178" s="43" t="s">
        <v>201</v>
      </c>
      <c r="B178" s="85">
        <v>-5500</v>
      </c>
    </row>
    <row r="179" spans="1:2" x14ac:dyDescent="0.2">
      <c r="B179">
        <f>SUM(B177:B178)</f>
        <v>-11500</v>
      </c>
    </row>
    <row r="181" spans="1:2" x14ac:dyDescent="0.2">
      <c r="A181" s="43" t="s">
        <v>191</v>
      </c>
      <c r="B181">
        <v>31</v>
      </c>
    </row>
    <row r="183" spans="1:2" x14ac:dyDescent="0.2">
      <c r="A183" s="43" t="s">
        <v>196</v>
      </c>
      <c r="B183">
        <f>-6200</f>
        <v>-6200</v>
      </c>
    </row>
    <row r="184" spans="1:2" x14ac:dyDescent="0.2">
      <c r="A184" s="43" t="s">
        <v>197</v>
      </c>
      <c r="B184" s="85">
        <f>(-2400-11100)*80%</f>
        <v>-10800</v>
      </c>
    </row>
    <row r="185" spans="1:2" x14ac:dyDescent="0.2">
      <c r="B185">
        <f>SUM(B183:B184)</f>
        <v>-17000</v>
      </c>
    </row>
    <row r="187" spans="1:2" x14ac:dyDescent="0.2">
      <c r="A187" s="43" t="s">
        <v>195</v>
      </c>
      <c r="B187">
        <v>30</v>
      </c>
    </row>
    <row r="190" spans="1:2" x14ac:dyDescent="0.2">
      <c r="A190" s="43" t="s">
        <v>198</v>
      </c>
      <c r="B190">
        <v>-7200</v>
      </c>
    </row>
    <row r="191" spans="1:2" x14ac:dyDescent="0.2">
      <c r="A191" s="43" t="s">
        <v>199</v>
      </c>
      <c r="B191" s="85">
        <v>-13500</v>
      </c>
    </row>
    <row r="192" spans="1:2" x14ac:dyDescent="0.2">
      <c r="B192">
        <f>SUM(B190:B191)</f>
        <v>-20700</v>
      </c>
    </row>
    <row r="194" spans="1:2" x14ac:dyDescent="0.2">
      <c r="A194" s="43" t="s">
        <v>202</v>
      </c>
      <c r="B194">
        <v>31</v>
      </c>
    </row>
    <row r="195" spans="1:2" x14ac:dyDescent="0.2">
      <c r="A195" s="88">
        <v>37226</v>
      </c>
    </row>
  </sheetData>
  <mergeCells count="9">
    <mergeCell ref="AU1:BN1"/>
    <mergeCell ref="AU2:BN2"/>
    <mergeCell ref="AU3:BN3"/>
    <mergeCell ref="B1:X1"/>
    <mergeCell ref="B2:X2"/>
    <mergeCell ref="B3:X3"/>
    <mergeCell ref="Y1:AT1"/>
    <mergeCell ref="Y2:AT2"/>
    <mergeCell ref="Y3:AT3"/>
  </mergeCells>
  <pageMargins left="0.25" right="0.25" top="0.75" bottom="0.75" header="0.5" footer="0.5"/>
  <pageSetup paperSize="5" scale="54" fitToWidth="3" orientation="landscape" r:id="rId1"/>
  <headerFooter alignWithMargins="0">
    <oddFooter>&amp;R&amp;D  &amp;T
&amp;F    &amp;A</oddFooter>
  </headerFooter>
  <colBreaks count="2" manualBreakCount="2">
    <brk id="24" max="162" man="1"/>
    <brk id="46" max="16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Liquidity Forecast NPW</vt:lpstr>
      <vt:lpstr>Daily NPW</vt:lpstr>
      <vt:lpstr>'Daily NPW'!Print_Area</vt:lpstr>
      <vt:lpstr>'Liquidity Forecast NPW'!Print_Area</vt:lpstr>
      <vt:lpstr>'Daily NPW'!Print_Titles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slawrenc</dc:creator>
  <cp:lastModifiedBy>Jan Havlíček</cp:lastModifiedBy>
  <cp:lastPrinted>2001-10-09T23:23:04Z</cp:lastPrinted>
  <dcterms:created xsi:type="dcterms:W3CDTF">2001-09-17T15:33:40Z</dcterms:created>
  <dcterms:modified xsi:type="dcterms:W3CDTF">2023-09-13T17:13:10Z</dcterms:modified>
</cp:coreProperties>
</file>